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30" windowWidth="11475" windowHeight="10725"/>
  </bookViews>
  <sheets>
    <sheet name="прил.2 стандарт" sheetId="15" r:id="rId1"/>
    <sheet name="прил.3 стандарт С1 2019 кВт" sheetId="12" r:id="rId2"/>
    <sheet name="прил.2 МУ С1 2019 1 присоед." sheetId="13" r:id="rId3"/>
    <sheet name="С2, С3  км" sheetId="41" r:id="rId4"/>
    <sheet name="прил.4 стандарт город" sheetId="21" r:id="rId5"/>
    <sheet name="прил.4 стандарт село" sheetId="23" r:id="rId6"/>
    <sheet name="Прил.5 стандарт" sheetId="16" r:id="rId7"/>
    <sheet name="6 стандарт" sheetId="17" r:id="rId8"/>
    <sheet name="7 стандарт" sheetId="18" r:id="rId9"/>
    <sheet name="8 стандарт" sheetId="19" r:id="rId10"/>
    <sheet name="9 стандарт" sheetId="20" r:id="rId11"/>
    <sheet name="Приложение 3 МУ" sheetId="8" r:id="rId12"/>
    <sheet name="Приложение 2 МУ 2017" sheetId="5" r:id="rId13"/>
    <sheet name="Приложение 2 МУ 2016" sheetId="7" r:id="rId14"/>
    <sheet name="Приложение 2 МУ 2015" sheetId="6" r:id="rId15"/>
    <sheet name="УТВ ставки" sheetId="4" r:id="rId16"/>
    <sheet name="С1 2019 1 присоед" sheetId="34" state="hidden" r:id="rId17"/>
    <sheet name="Пр.1 город 2015" sheetId="24" r:id="rId18"/>
    <sheet name="Пр.1 город 2016" sheetId="25" r:id="rId19"/>
    <sheet name="Пр.1 город 2017" sheetId="26" r:id="rId20"/>
    <sheet name="Пр.1 село 2015" sheetId="28" r:id="rId21"/>
    <sheet name="Пр.1 село 2016" sheetId="29" r:id="rId22"/>
    <sheet name="Пр.1 село 2017" sheetId="32" r:id="rId23"/>
    <sheet name="Пр.5 город 2015" sheetId="35" r:id="rId24"/>
    <sheet name="Пр.5 город 2016" sheetId="36" r:id="rId25"/>
    <sheet name="Пр.5 город 2017" sheetId="37" r:id="rId26"/>
    <sheet name="Пр.5 село 2015" sheetId="38" r:id="rId27"/>
    <sheet name="Пр.5 село 2016" sheetId="39" r:id="rId28"/>
    <sheet name="Пр.5 село 2017" sheetId="40" r:id="rId29"/>
    <sheet name="прил.1 МУ ВД ТП" sheetId="42" r:id="rId30"/>
    <sheet name="прил. 2 МУ ВД ТП" sheetId="43" r:id="rId31"/>
    <sheet name="прил. 3 МУ ВД ТП" sheetId="44" r:id="rId32"/>
    <sheet name="Лист1" sheetId="10" r:id="rId33"/>
    <sheet name="Лист3" sheetId="14" r:id="rId34"/>
  </sheets>
  <externalReferences>
    <externalReference r:id="rId35"/>
    <externalReference r:id="rId36"/>
  </externalReferences>
  <definedNames>
    <definedName name="_inf2007" localSheetId="7">#REF!</definedName>
    <definedName name="_inf2007" localSheetId="8">#REF!</definedName>
    <definedName name="_inf2007" localSheetId="9">#REF!</definedName>
    <definedName name="_inf2007" localSheetId="10">#REF!</definedName>
    <definedName name="_inf2007" localSheetId="17">#REF!</definedName>
    <definedName name="_inf2007" localSheetId="18">#REF!</definedName>
    <definedName name="_inf2007" localSheetId="22">#REF!</definedName>
    <definedName name="_inf2007" localSheetId="23">#REF!</definedName>
    <definedName name="_inf2007" localSheetId="24">#REF!</definedName>
    <definedName name="_inf2007" localSheetId="28">#REF!</definedName>
    <definedName name="_inf2007" localSheetId="2">#REF!</definedName>
    <definedName name="_inf2007" localSheetId="0">#REF!</definedName>
    <definedName name="_inf2007" localSheetId="1">#REF!</definedName>
    <definedName name="_inf2007" localSheetId="4">#REF!</definedName>
    <definedName name="_inf2007" localSheetId="5">#REF!</definedName>
    <definedName name="_inf2007" localSheetId="6">#REF!</definedName>
    <definedName name="_inf2007" localSheetId="16">#REF!</definedName>
    <definedName name="_inf2007" localSheetId="3">#REF!</definedName>
    <definedName name="_inf2007">#REF!</definedName>
    <definedName name="_inf2008" localSheetId="7">#REF!</definedName>
    <definedName name="_inf2008" localSheetId="8">#REF!</definedName>
    <definedName name="_inf2008" localSheetId="9">#REF!</definedName>
    <definedName name="_inf2008" localSheetId="10">#REF!</definedName>
    <definedName name="_inf2008" localSheetId="17">#REF!</definedName>
    <definedName name="_inf2008" localSheetId="18">#REF!</definedName>
    <definedName name="_inf2008" localSheetId="22">#REF!</definedName>
    <definedName name="_inf2008" localSheetId="23">#REF!</definedName>
    <definedName name="_inf2008" localSheetId="24">#REF!</definedName>
    <definedName name="_inf2008" localSheetId="28">#REF!</definedName>
    <definedName name="_inf2008" localSheetId="2">#REF!</definedName>
    <definedName name="_inf2008" localSheetId="0">#REF!</definedName>
    <definedName name="_inf2008" localSheetId="1">#REF!</definedName>
    <definedName name="_inf2008" localSheetId="4">#REF!</definedName>
    <definedName name="_inf2008" localSheetId="5">#REF!</definedName>
    <definedName name="_inf2008" localSheetId="6">#REF!</definedName>
    <definedName name="_inf2008" localSheetId="16">#REF!</definedName>
    <definedName name="_inf2008" localSheetId="3">#REF!</definedName>
    <definedName name="_inf2008">#REF!</definedName>
    <definedName name="_inf2009" localSheetId="7">#REF!</definedName>
    <definedName name="_inf2009" localSheetId="8">#REF!</definedName>
    <definedName name="_inf2009" localSheetId="9">#REF!</definedName>
    <definedName name="_inf2009" localSheetId="10">#REF!</definedName>
    <definedName name="_inf2009" localSheetId="17">#REF!</definedName>
    <definedName name="_inf2009" localSheetId="18">#REF!</definedName>
    <definedName name="_inf2009" localSheetId="22">#REF!</definedName>
    <definedName name="_inf2009" localSheetId="23">#REF!</definedName>
    <definedName name="_inf2009" localSheetId="24">#REF!</definedName>
    <definedName name="_inf2009" localSheetId="28">#REF!</definedName>
    <definedName name="_inf2009" localSheetId="2">#REF!</definedName>
    <definedName name="_inf2009" localSheetId="0">#REF!</definedName>
    <definedName name="_inf2009" localSheetId="1">#REF!</definedName>
    <definedName name="_inf2009" localSheetId="4">#REF!</definedName>
    <definedName name="_inf2009" localSheetId="5">#REF!</definedName>
    <definedName name="_inf2009" localSheetId="6">#REF!</definedName>
    <definedName name="_inf2009" localSheetId="16">#REF!</definedName>
    <definedName name="_inf2009" localSheetId="3">#REF!</definedName>
    <definedName name="_inf2009">#REF!</definedName>
    <definedName name="_inf2010" localSheetId="7">#REF!</definedName>
    <definedName name="_inf2010" localSheetId="8">#REF!</definedName>
    <definedName name="_inf2010" localSheetId="9">#REF!</definedName>
    <definedName name="_inf2010" localSheetId="10">#REF!</definedName>
    <definedName name="_inf2010" localSheetId="17">#REF!</definedName>
    <definedName name="_inf2010" localSheetId="18">#REF!</definedName>
    <definedName name="_inf2010" localSheetId="22">#REF!</definedName>
    <definedName name="_inf2010" localSheetId="23">#REF!</definedName>
    <definedName name="_inf2010" localSheetId="24">#REF!</definedName>
    <definedName name="_inf2010" localSheetId="28">#REF!</definedName>
    <definedName name="_inf2010" localSheetId="2">#REF!</definedName>
    <definedName name="_inf2010" localSheetId="0">#REF!</definedName>
    <definedName name="_inf2010" localSheetId="1">#REF!</definedName>
    <definedName name="_inf2010" localSheetId="4">#REF!</definedName>
    <definedName name="_inf2010" localSheetId="5">#REF!</definedName>
    <definedName name="_inf2010" localSheetId="6">#REF!</definedName>
    <definedName name="_inf2010" localSheetId="16">#REF!</definedName>
    <definedName name="_inf2010" localSheetId="3">#REF!</definedName>
    <definedName name="_inf2010">#REF!</definedName>
    <definedName name="_inf2011" localSheetId="7">#REF!</definedName>
    <definedName name="_inf2011" localSheetId="8">#REF!</definedName>
    <definedName name="_inf2011" localSheetId="9">#REF!</definedName>
    <definedName name="_inf2011" localSheetId="10">#REF!</definedName>
    <definedName name="_inf2011" localSheetId="17">#REF!</definedName>
    <definedName name="_inf2011" localSheetId="18">#REF!</definedName>
    <definedName name="_inf2011" localSheetId="22">#REF!</definedName>
    <definedName name="_inf2011" localSheetId="23">#REF!</definedName>
    <definedName name="_inf2011" localSheetId="24">#REF!</definedName>
    <definedName name="_inf2011" localSheetId="28">#REF!</definedName>
    <definedName name="_inf2011" localSheetId="2">#REF!</definedName>
    <definedName name="_inf2011" localSheetId="0">#REF!</definedName>
    <definedName name="_inf2011" localSheetId="1">#REF!</definedName>
    <definedName name="_inf2011" localSheetId="4">#REF!</definedName>
    <definedName name="_inf2011" localSheetId="5">#REF!</definedName>
    <definedName name="_inf2011" localSheetId="6">#REF!</definedName>
    <definedName name="_inf2011" localSheetId="16">#REF!</definedName>
    <definedName name="_inf2011" localSheetId="3">#REF!</definedName>
    <definedName name="_inf2011">#REF!</definedName>
    <definedName name="_inf2012" localSheetId="7">#REF!</definedName>
    <definedName name="_inf2012" localSheetId="8">#REF!</definedName>
    <definedName name="_inf2012" localSheetId="9">#REF!</definedName>
    <definedName name="_inf2012" localSheetId="10">#REF!</definedName>
    <definedName name="_inf2012" localSheetId="17">#REF!</definedName>
    <definedName name="_inf2012" localSheetId="18">#REF!</definedName>
    <definedName name="_inf2012" localSheetId="22">#REF!</definedName>
    <definedName name="_inf2012" localSheetId="23">#REF!</definedName>
    <definedName name="_inf2012" localSheetId="24">#REF!</definedName>
    <definedName name="_inf2012" localSheetId="28">#REF!</definedName>
    <definedName name="_inf2012" localSheetId="2">#REF!</definedName>
    <definedName name="_inf2012" localSheetId="0">#REF!</definedName>
    <definedName name="_inf2012" localSheetId="1">#REF!</definedName>
    <definedName name="_inf2012" localSheetId="4">#REF!</definedName>
    <definedName name="_inf2012" localSheetId="5">#REF!</definedName>
    <definedName name="_inf2012" localSheetId="6">#REF!</definedName>
    <definedName name="_inf2012" localSheetId="16">#REF!</definedName>
    <definedName name="_inf2012" localSheetId="3">#REF!</definedName>
    <definedName name="_inf2012">#REF!</definedName>
    <definedName name="_inf2013" localSheetId="7">#REF!</definedName>
    <definedName name="_inf2013" localSheetId="8">#REF!</definedName>
    <definedName name="_inf2013" localSheetId="9">#REF!</definedName>
    <definedName name="_inf2013" localSheetId="10">#REF!</definedName>
    <definedName name="_inf2013" localSheetId="17">#REF!</definedName>
    <definedName name="_inf2013" localSheetId="18">#REF!</definedName>
    <definedName name="_inf2013" localSheetId="22">#REF!</definedName>
    <definedName name="_inf2013" localSheetId="23">#REF!</definedName>
    <definedName name="_inf2013" localSheetId="24">#REF!</definedName>
    <definedName name="_inf2013" localSheetId="28">#REF!</definedName>
    <definedName name="_inf2013" localSheetId="2">#REF!</definedName>
    <definedName name="_inf2013" localSheetId="0">#REF!</definedName>
    <definedName name="_inf2013" localSheetId="1">#REF!</definedName>
    <definedName name="_inf2013" localSheetId="4">#REF!</definedName>
    <definedName name="_inf2013" localSheetId="5">#REF!</definedName>
    <definedName name="_inf2013" localSheetId="6">#REF!</definedName>
    <definedName name="_inf2013" localSheetId="16">#REF!</definedName>
    <definedName name="_inf2013" localSheetId="3">#REF!</definedName>
    <definedName name="_inf2013">#REF!</definedName>
    <definedName name="_inf2014" localSheetId="7">#REF!</definedName>
    <definedName name="_inf2014" localSheetId="8">#REF!</definedName>
    <definedName name="_inf2014" localSheetId="9">#REF!</definedName>
    <definedName name="_inf2014" localSheetId="10">#REF!</definedName>
    <definedName name="_inf2014" localSheetId="17">#REF!</definedName>
    <definedName name="_inf2014" localSheetId="18">#REF!</definedName>
    <definedName name="_inf2014" localSheetId="22">#REF!</definedName>
    <definedName name="_inf2014" localSheetId="23">#REF!</definedName>
    <definedName name="_inf2014" localSheetId="24">#REF!</definedName>
    <definedName name="_inf2014" localSheetId="28">#REF!</definedName>
    <definedName name="_inf2014" localSheetId="2">#REF!</definedName>
    <definedName name="_inf2014" localSheetId="0">#REF!</definedName>
    <definedName name="_inf2014" localSheetId="1">#REF!</definedName>
    <definedName name="_inf2014" localSheetId="4">#REF!</definedName>
    <definedName name="_inf2014" localSheetId="5">#REF!</definedName>
    <definedName name="_inf2014" localSheetId="6">#REF!</definedName>
    <definedName name="_inf2014" localSheetId="16">#REF!</definedName>
    <definedName name="_inf2014" localSheetId="3">#REF!</definedName>
    <definedName name="_inf2014">#REF!</definedName>
    <definedName name="_inf2015" localSheetId="7">#REF!</definedName>
    <definedName name="_inf2015" localSheetId="8">#REF!</definedName>
    <definedName name="_inf2015" localSheetId="9">#REF!</definedName>
    <definedName name="_inf2015" localSheetId="10">#REF!</definedName>
    <definedName name="_inf2015" localSheetId="17">#REF!</definedName>
    <definedName name="_inf2015" localSheetId="18">#REF!</definedName>
    <definedName name="_inf2015" localSheetId="22">#REF!</definedName>
    <definedName name="_inf2015" localSheetId="23">#REF!</definedName>
    <definedName name="_inf2015" localSheetId="24">#REF!</definedName>
    <definedName name="_inf2015" localSheetId="28">#REF!</definedName>
    <definedName name="_inf2015" localSheetId="2">#REF!</definedName>
    <definedName name="_inf2015" localSheetId="0">#REF!</definedName>
    <definedName name="_inf2015" localSheetId="1">#REF!</definedName>
    <definedName name="_inf2015" localSheetId="4">#REF!</definedName>
    <definedName name="_inf2015" localSheetId="5">#REF!</definedName>
    <definedName name="_inf2015" localSheetId="6">#REF!</definedName>
    <definedName name="_inf2015" localSheetId="16">#REF!</definedName>
    <definedName name="_inf2015" localSheetId="3">#REF!</definedName>
    <definedName name="_inf2015">#REF!</definedName>
    <definedName name="TABLE" localSheetId="8">'7 стандарт'!#REF!</definedName>
    <definedName name="TABLE_2" localSheetId="8">'7 стандарт'!#REF!</definedName>
    <definedName name="ДВ50" localSheetId="7">#REF!</definedName>
    <definedName name="ДВ50" localSheetId="8">#REF!</definedName>
    <definedName name="ДВ50" localSheetId="9">#REF!</definedName>
    <definedName name="ДВ50" localSheetId="10">#REF!</definedName>
    <definedName name="ДВ50" localSheetId="17">#REF!</definedName>
    <definedName name="ДВ50" localSheetId="18">#REF!</definedName>
    <definedName name="ДВ50" localSheetId="22">#REF!</definedName>
    <definedName name="ДВ50" localSheetId="23">#REF!</definedName>
    <definedName name="ДВ50" localSheetId="24">#REF!</definedName>
    <definedName name="ДВ50" localSheetId="28">#REF!</definedName>
    <definedName name="ДВ50" localSheetId="30">#REF!</definedName>
    <definedName name="ДВ50" localSheetId="31">#REF!</definedName>
    <definedName name="ДВ50" localSheetId="29">#REF!</definedName>
    <definedName name="ДВ50" localSheetId="2">#REF!</definedName>
    <definedName name="ДВ50" localSheetId="0">#REF!</definedName>
    <definedName name="ДВ50" localSheetId="1">#REF!</definedName>
    <definedName name="ДВ50" localSheetId="4">#REF!</definedName>
    <definedName name="ДВ50" localSheetId="5">#REF!</definedName>
    <definedName name="ДВ50" localSheetId="6">#REF!</definedName>
    <definedName name="ДВ50" localSheetId="16">#REF!</definedName>
    <definedName name="ДВ50" localSheetId="3">#REF!</definedName>
    <definedName name="ДВ50">#REF!</definedName>
    <definedName name="З_ОДС" localSheetId="7">#REF!</definedName>
    <definedName name="З_ОДС" localSheetId="8">#REF!</definedName>
    <definedName name="З_ОДС" localSheetId="9">#REF!</definedName>
    <definedName name="З_ОДС" localSheetId="10">#REF!</definedName>
    <definedName name="З_ОДС" localSheetId="17">#REF!</definedName>
    <definedName name="З_ОДС" localSheetId="18">#REF!</definedName>
    <definedName name="З_ОДС" localSheetId="22">#REF!</definedName>
    <definedName name="З_ОДС" localSheetId="23">#REF!</definedName>
    <definedName name="З_ОДС" localSheetId="24">#REF!</definedName>
    <definedName name="З_ОДС" localSheetId="28">#REF!</definedName>
    <definedName name="З_ОДС" localSheetId="30">#REF!</definedName>
    <definedName name="З_ОДС" localSheetId="31">#REF!</definedName>
    <definedName name="З_ОДС" localSheetId="29">#REF!</definedName>
    <definedName name="З_ОДС" localSheetId="2">#REF!</definedName>
    <definedName name="З_ОДС" localSheetId="0">#REF!</definedName>
    <definedName name="З_ОДС" localSheetId="1">#REF!</definedName>
    <definedName name="З_ОДС" localSheetId="4">#REF!</definedName>
    <definedName name="З_ОДС" localSheetId="5">#REF!</definedName>
    <definedName name="З_ОДС" localSheetId="6">#REF!</definedName>
    <definedName name="З_ОДС" localSheetId="16">#REF!</definedName>
    <definedName name="З_ОДС" localSheetId="3">#REF!</definedName>
    <definedName name="З_ОДС">#REF!</definedName>
    <definedName name="З_РЗАИ" localSheetId="7">#REF!</definedName>
    <definedName name="З_РЗАИ" localSheetId="8">#REF!</definedName>
    <definedName name="З_РЗАИ" localSheetId="9">#REF!</definedName>
    <definedName name="З_РЗАИ" localSheetId="10">#REF!</definedName>
    <definedName name="З_РЗАИ" localSheetId="17">#REF!</definedName>
    <definedName name="З_РЗАИ" localSheetId="18">#REF!</definedName>
    <definedName name="З_РЗАИ" localSheetId="22">#REF!</definedName>
    <definedName name="З_РЗАИ" localSheetId="23">#REF!</definedName>
    <definedName name="З_РЗАИ" localSheetId="24">#REF!</definedName>
    <definedName name="З_РЗАИ" localSheetId="28">#REF!</definedName>
    <definedName name="З_РЗАИ" localSheetId="30">#REF!</definedName>
    <definedName name="З_РЗАИ" localSheetId="31">#REF!</definedName>
    <definedName name="З_РЗАИ" localSheetId="29">#REF!</definedName>
    <definedName name="З_РЗАИ" localSheetId="2">#REF!</definedName>
    <definedName name="З_РЗАИ" localSheetId="0">#REF!</definedName>
    <definedName name="З_РЗАИ" localSheetId="1">#REF!</definedName>
    <definedName name="З_РЗАИ" localSheetId="4">#REF!</definedName>
    <definedName name="З_РЗАИ" localSheetId="5">#REF!</definedName>
    <definedName name="З_РЗАИ" localSheetId="6">#REF!</definedName>
    <definedName name="З_РЗАИ" localSheetId="16">#REF!</definedName>
    <definedName name="З_РЗАИ" localSheetId="3">#REF!</definedName>
    <definedName name="З_РЗАИ">#REF!</definedName>
    <definedName name="З_РСЦ" localSheetId="7">#REF!</definedName>
    <definedName name="З_РСЦ" localSheetId="8">#REF!</definedName>
    <definedName name="З_РСЦ" localSheetId="9">#REF!</definedName>
    <definedName name="З_РСЦ" localSheetId="10">#REF!</definedName>
    <definedName name="З_РСЦ" localSheetId="17">#REF!</definedName>
    <definedName name="З_РСЦ" localSheetId="18">#REF!</definedName>
    <definedName name="З_РСЦ" localSheetId="22">#REF!</definedName>
    <definedName name="З_РСЦ" localSheetId="23">#REF!</definedName>
    <definedName name="З_РСЦ" localSheetId="24">#REF!</definedName>
    <definedName name="З_РСЦ" localSheetId="28">#REF!</definedName>
    <definedName name="З_РСЦ" localSheetId="30">#REF!</definedName>
    <definedName name="З_РСЦ" localSheetId="31">#REF!</definedName>
    <definedName name="З_РСЦ" localSheetId="29">#REF!</definedName>
    <definedName name="З_РСЦ" localSheetId="2">#REF!</definedName>
    <definedName name="З_РСЦ" localSheetId="0">#REF!</definedName>
    <definedName name="З_РСЦ" localSheetId="1">#REF!</definedName>
    <definedName name="З_РСЦ" localSheetId="4">#REF!</definedName>
    <definedName name="З_РСЦ" localSheetId="5">#REF!</definedName>
    <definedName name="З_РСЦ" localSheetId="6">#REF!</definedName>
    <definedName name="З_РСЦ" localSheetId="16">#REF!</definedName>
    <definedName name="З_РСЦ" localSheetId="3">#REF!</definedName>
    <definedName name="З_РСЦ">#REF!</definedName>
    <definedName name="З_СВП" localSheetId="7">#REF!</definedName>
    <definedName name="З_СВП" localSheetId="8">#REF!</definedName>
    <definedName name="З_СВП" localSheetId="9">#REF!</definedName>
    <definedName name="З_СВП" localSheetId="10">#REF!</definedName>
    <definedName name="З_СВП" localSheetId="17">#REF!</definedName>
    <definedName name="З_СВП" localSheetId="18">#REF!</definedName>
    <definedName name="З_СВП" localSheetId="22">#REF!</definedName>
    <definedName name="З_СВП" localSheetId="23">#REF!</definedName>
    <definedName name="З_СВП" localSheetId="24">#REF!</definedName>
    <definedName name="З_СВП" localSheetId="28">#REF!</definedName>
    <definedName name="З_СВП" localSheetId="30">#REF!</definedName>
    <definedName name="З_СВП" localSheetId="31">#REF!</definedName>
    <definedName name="З_СВП" localSheetId="29">#REF!</definedName>
    <definedName name="З_СВП" localSheetId="2">#REF!</definedName>
    <definedName name="З_СВП" localSheetId="0">#REF!</definedName>
    <definedName name="З_СВП" localSheetId="1">#REF!</definedName>
    <definedName name="З_СВП" localSheetId="4">#REF!</definedName>
    <definedName name="З_СВП" localSheetId="5">#REF!</definedName>
    <definedName name="З_СВП" localSheetId="6">#REF!</definedName>
    <definedName name="З_СВП" localSheetId="16">#REF!</definedName>
    <definedName name="З_СВП" localSheetId="3">#REF!</definedName>
    <definedName name="З_СВП">#REF!</definedName>
    <definedName name="З_СВТТ" localSheetId="7">#REF!</definedName>
    <definedName name="З_СВТТ" localSheetId="8">#REF!</definedName>
    <definedName name="З_СВТТ" localSheetId="9">#REF!</definedName>
    <definedName name="З_СВТТ" localSheetId="10">#REF!</definedName>
    <definedName name="З_СВТТ" localSheetId="17">#REF!</definedName>
    <definedName name="З_СВТТ" localSheetId="18">#REF!</definedName>
    <definedName name="З_СВТТ" localSheetId="22">#REF!</definedName>
    <definedName name="З_СВТТ" localSheetId="23">#REF!</definedName>
    <definedName name="З_СВТТ" localSheetId="24">#REF!</definedName>
    <definedName name="З_СВТТ" localSheetId="28">#REF!</definedName>
    <definedName name="З_СВТТ" localSheetId="30">#REF!</definedName>
    <definedName name="З_СВТТ" localSheetId="31">#REF!</definedName>
    <definedName name="З_СВТТ" localSheetId="29">#REF!</definedName>
    <definedName name="З_СВТТ" localSheetId="2">#REF!</definedName>
    <definedName name="З_СВТТ" localSheetId="0">#REF!</definedName>
    <definedName name="З_СВТТ" localSheetId="1">#REF!</definedName>
    <definedName name="З_СВТТ" localSheetId="4">#REF!</definedName>
    <definedName name="З_СВТТ" localSheetId="5">#REF!</definedName>
    <definedName name="З_СВТТ" localSheetId="6">#REF!</definedName>
    <definedName name="З_СВТТ" localSheetId="16">#REF!</definedName>
    <definedName name="З_СВТТ" localSheetId="3">#REF!</definedName>
    <definedName name="З_СВТТ">#REF!</definedName>
    <definedName name="З_СДТУ" localSheetId="7">#REF!</definedName>
    <definedName name="З_СДТУ" localSheetId="8">#REF!</definedName>
    <definedName name="З_СДТУ" localSheetId="9">#REF!</definedName>
    <definedName name="З_СДТУ" localSheetId="10">#REF!</definedName>
    <definedName name="З_СДТУ" localSheetId="17">#REF!</definedName>
    <definedName name="З_СДТУ" localSheetId="18">#REF!</definedName>
    <definedName name="З_СДТУ" localSheetId="22">#REF!</definedName>
    <definedName name="З_СДТУ" localSheetId="23">#REF!</definedName>
    <definedName name="З_СДТУ" localSheetId="24">#REF!</definedName>
    <definedName name="З_СДТУ" localSheetId="28">#REF!</definedName>
    <definedName name="З_СДТУ" localSheetId="30">#REF!</definedName>
    <definedName name="З_СДТУ" localSheetId="31">#REF!</definedName>
    <definedName name="З_СДТУ" localSheetId="29">#REF!</definedName>
    <definedName name="З_СДТУ" localSheetId="2">#REF!</definedName>
    <definedName name="З_СДТУ" localSheetId="0">#REF!</definedName>
    <definedName name="З_СДТУ" localSheetId="1">#REF!</definedName>
    <definedName name="З_СДТУ" localSheetId="4">#REF!</definedName>
    <definedName name="З_СДТУ" localSheetId="5">#REF!</definedName>
    <definedName name="З_СДТУ" localSheetId="6">#REF!</definedName>
    <definedName name="З_СДТУ" localSheetId="16">#REF!</definedName>
    <definedName name="З_СДТУ" localSheetId="3">#REF!</definedName>
    <definedName name="З_СДТУ">#REF!</definedName>
    <definedName name="З_СИЗП" localSheetId="7">#REF!</definedName>
    <definedName name="З_СИЗП" localSheetId="8">#REF!</definedName>
    <definedName name="З_СИЗП" localSheetId="9">#REF!</definedName>
    <definedName name="З_СИЗП" localSheetId="10">#REF!</definedName>
    <definedName name="З_СИЗП" localSheetId="17">#REF!</definedName>
    <definedName name="З_СИЗП" localSheetId="18">#REF!</definedName>
    <definedName name="З_СИЗП" localSheetId="22">#REF!</definedName>
    <definedName name="З_СИЗП" localSheetId="23">#REF!</definedName>
    <definedName name="З_СИЗП" localSheetId="24">#REF!</definedName>
    <definedName name="З_СИЗП" localSheetId="28">#REF!</definedName>
    <definedName name="З_СИЗП" localSheetId="30">#REF!</definedName>
    <definedName name="З_СИЗП" localSheetId="31">#REF!</definedName>
    <definedName name="З_СИЗП" localSheetId="29">#REF!</definedName>
    <definedName name="З_СИЗП" localSheetId="2">#REF!</definedName>
    <definedName name="З_СИЗП" localSheetId="0">#REF!</definedName>
    <definedName name="З_СИЗП" localSheetId="1">#REF!</definedName>
    <definedName name="З_СИЗП" localSheetId="4">#REF!</definedName>
    <definedName name="З_СИЗП" localSheetId="5">#REF!</definedName>
    <definedName name="З_СИЗП" localSheetId="6">#REF!</definedName>
    <definedName name="З_СИЗП" localSheetId="16">#REF!</definedName>
    <definedName name="З_СИЗП" localSheetId="3">#REF!</definedName>
    <definedName name="З_СИЗП">#REF!</definedName>
    <definedName name="З_СМТ" localSheetId="7">#REF!</definedName>
    <definedName name="З_СМТ" localSheetId="8">#REF!</definedName>
    <definedName name="З_СМТ" localSheetId="9">#REF!</definedName>
    <definedName name="З_СМТ" localSheetId="10">#REF!</definedName>
    <definedName name="З_СМТ" localSheetId="17">#REF!</definedName>
    <definedName name="З_СМТ" localSheetId="18">#REF!</definedName>
    <definedName name="З_СМТ" localSheetId="22">#REF!</definedName>
    <definedName name="З_СМТ" localSheetId="23">#REF!</definedName>
    <definedName name="З_СМТ" localSheetId="24">#REF!</definedName>
    <definedName name="З_СМТ" localSheetId="28">#REF!</definedName>
    <definedName name="З_СМТ" localSheetId="30">#REF!</definedName>
    <definedName name="З_СМТ" localSheetId="31">#REF!</definedName>
    <definedName name="З_СМТ" localSheetId="29">#REF!</definedName>
    <definedName name="З_СМТ" localSheetId="2">#REF!</definedName>
    <definedName name="З_СМТ" localSheetId="0">#REF!</definedName>
    <definedName name="З_СМТ" localSheetId="1">#REF!</definedName>
    <definedName name="З_СМТ" localSheetId="4">#REF!</definedName>
    <definedName name="З_СМТ" localSheetId="5">#REF!</definedName>
    <definedName name="З_СМТ" localSheetId="6">#REF!</definedName>
    <definedName name="З_СМТ" localSheetId="16">#REF!</definedName>
    <definedName name="З_СМТ" localSheetId="3">#REF!</definedName>
    <definedName name="З_СМТ">#REF!</definedName>
    <definedName name="З_СТЭЭ" localSheetId="7">#REF!</definedName>
    <definedName name="З_СТЭЭ" localSheetId="8">#REF!</definedName>
    <definedName name="З_СТЭЭ" localSheetId="9">#REF!</definedName>
    <definedName name="З_СТЭЭ" localSheetId="10">#REF!</definedName>
    <definedName name="З_СТЭЭ" localSheetId="17">#REF!</definedName>
    <definedName name="З_СТЭЭ" localSheetId="18">#REF!</definedName>
    <definedName name="З_СТЭЭ" localSheetId="22">#REF!</definedName>
    <definedName name="З_СТЭЭ" localSheetId="23">#REF!</definedName>
    <definedName name="З_СТЭЭ" localSheetId="24">#REF!</definedName>
    <definedName name="З_СТЭЭ" localSheetId="28">#REF!</definedName>
    <definedName name="З_СТЭЭ" localSheetId="30">#REF!</definedName>
    <definedName name="З_СТЭЭ" localSheetId="31">#REF!</definedName>
    <definedName name="З_СТЭЭ" localSheetId="29">#REF!</definedName>
    <definedName name="З_СТЭЭ" localSheetId="2">#REF!</definedName>
    <definedName name="З_СТЭЭ" localSheetId="0">#REF!</definedName>
    <definedName name="З_СТЭЭ" localSheetId="1">#REF!</definedName>
    <definedName name="З_СТЭЭ" localSheetId="4">#REF!</definedName>
    <definedName name="З_СТЭЭ" localSheetId="5">#REF!</definedName>
    <definedName name="З_СТЭЭ" localSheetId="6">#REF!</definedName>
    <definedName name="З_СТЭЭ" localSheetId="16">#REF!</definedName>
    <definedName name="З_СТЭЭ" localSheetId="3">#REF!</definedName>
    <definedName name="З_СТЭЭ">#REF!</definedName>
    <definedName name="З_У1" localSheetId="7">#REF!</definedName>
    <definedName name="З_У1" localSheetId="8">#REF!</definedName>
    <definedName name="З_У1" localSheetId="9">#REF!</definedName>
    <definedName name="З_У1" localSheetId="10">#REF!</definedName>
    <definedName name="З_У1" localSheetId="17">#REF!</definedName>
    <definedName name="З_У1" localSheetId="18">#REF!</definedName>
    <definedName name="З_У1" localSheetId="22">#REF!</definedName>
    <definedName name="З_У1" localSheetId="23">#REF!</definedName>
    <definedName name="З_У1" localSheetId="24">#REF!</definedName>
    <definedName name="З_У1" localSheetId="28">#REF!</definedName>
    <definedName name="З_У1" localSheetId="30">#REF!</definedName>
    <definedName name="З_У1" localSheetId="31">#REF!</definedName>
    <definedName name="З_У1" localSheetId="29">#REF!</definedName>
    <definedName name="З_У1" localSheetId="2">#REF!</definedName>
    <definedName name="З_У1" localSheetId="0">#REF!</definedName>
    <definedName name="З_У1" localSheetId="1">#REF!</definedName>
    <definedName name="З_У1" localSheetId="4">#REF!</definedName>
    <definedName name="З_У1" localSheetId="5">#REF!</definedName>
    <definedName name="З_У1" localSheetId="6">#REF!</definedName>
    <definedName name="З_У1" localSheetId="16">#REF!</definedName>
    <definedName name="З_У1" localSheetId="3">#REF!</definedName>
    <definedName name="З_У1">#REF!</definedName>
    <definedName name="З_У2" localSheetId="7">#REF!</definedName>
    <definedName name="З_У2" localSheetId="8">#REF!</definedName>
    <definedName name="З_У2" localSheetId="9">#REF!</definedName>
    <definedName name="З_У2" localSheetId="10">#REF!</definedName>
    <definedName name="З_У2" localSheetId="17">#REF!</definedName>
    <definedName name="З_У2" localSheetId="18">#REF!</definedName>
    <definedName name="З_У2" localSheetId="22">#REF!</definedName>
    <definedName name="З_У2" localSheetId="23">#REF!</definedName>
    <definedName name="З_У2" localSheetId="24">#REF!</definedName>
    <definedName name="З_У2" localSheetId="28">#REF!</definedName>
    <definedName name="З_У2" localSheetId="30">#REF!</definedName>
    <definedName name="З_У2" localSheetId="31">#REF!</definedName>
    <definedName name="З_У2" localSheetId="29">#REF!</definedName>
    <definedName name="З_У2" localSheetId="2">#REF!</definedName>
    <definedName name="З_У2" localSheetId="0">#REF!</definedName>
    <definedName name="З_У2" localSheetId="1">#REF!</definedName>
    <definedName name="З_У2" localSheetId="4">#REF!</definedName>
    <definedName name="З_У2" localSheetId="5">#REF!</definedName>
    <definedName name="З_У2" localSheetId="6">#REF!</definedName>
    <definedName name="З_У2" localSheetId="16">#REF!</definedName>
    <definedName name="З_У2" localSheetId="3">#REF!</definedName>
    <definedName name="З_У2">#REF!</definedName>
    <definedName name="З_У3" localSheetId="7">#REF!</definedName>
    <definedName name="З_У3" localSheetId="8">#REF!</definedName>
    <definedName name="З_У3" localSheetId="9">#REF!</definedName>
    <definedName name="З_У3" localSheetId="10">#REF!</definedName>
    <definedName name="З_У3" localSheetId="17">#REF!</definedName>
    <definedName name="З_У3" localSheetId="18">#REF!</definedName>
    <definedName name="З_У3" localSheetId="22">#REF!</definedName>
    <definedName name="З_У3" localSheetId="23">#REF!</definedName>
    <definedName name="З_У3" localSheetId="24">#REF!</definedName>
    <definedName name="З_У3" localSheetId="28">#REF!</definedName>
    <definedName name="З_У3" localSheetId="30">#REF!</definedName>
    <definedName name="З_У3" localSheetId="31">#REF!</definedName>
    <definedName name="З_У3" localSheetId="29">#REF!</definedName>
    <definedName name="З_У3" localSheetId="2">#REF!</definedName>
    <definedName name="З_У3" localSheetId="0">#REF!</definedName>
    <definedName name="З_У3" localSheetId="1">#REF!</definedName>
    <definedName name="З_У3" localSheetId="4">#REF!</definedName>
    <definedName name="З_У3" localSheetId="5">#REF!</definedName>
    <definedName name="З_У3" localSheetId="6">#REF!</definedName>
    <definedName name="З_У3" localSheetId="16">#REF!</definedName>
    <definedName name="З_У3" localSheetId="3">#REF!</definedName>
    <definedName name="З_У3">#REF!</definedName>
    <definedName name="З_У4" localSheetId="7">#REF!</definedName>
    <definedName name="З_У4" localSheetId="8">#REF!</definedName>
    <definedName name="З_У4" localSheetId="9">#REF!</definedName>
    <definedName name="З_У4" localSheetId="10">#REF!</definedName>
    <definedName name="З_У4" localSheetId="17">#REF!</definedName>
    <definedName name="З_У4" localSheetId="18">#REF!</definedName>
    <definedName name="З_У4" localSheetId="22">#REF!</definedName>
    <definedName name="З_У4" localSheetId="23">#REF!</definedName>
    <definedName name="З_У4" localSheetId="24">#REF!</definedName>
    <definedName name="З_У4" localSheetId="28">#REF!</definedName>
    <definedName name="З_У4" localSheetId="30">#REF!</definedName>
    <definedName name="З_У4" localSheetId="31">#REF!</definedName>
    <definedName name="З_У4" localSheetId="29">#REF!</definedName>
    <definedName name="З_У4" localSheetId="2">#REF!</definedName>
    <definedName name="З_У4" localSheetId="0">#REF!</definedName>
    <definedName name="З_У4" localSheetId="1">#REF!</definedName>
    <definedName name="З_У4" localSheetId="4">#REF!</definedName>
    <definedName name="З_У4" localSheetId="5">#REF!</definedName>
    <definedName name="З_У4" localSheetId="6">#REF!</definedName>
    <definedName name="З_У4" localSheetId="16">#REF!</definedName>
    <definedName name="З_У4" localSheetId="3">#REF!</definedName>
    <definedName name="З_У4">#REF!</definedName>
    <definedName name="З_У5" localSheetId="7">#REF!</definedName>
    <definedName name="З_У5" localSheetId="8">#REF!</definedName>
    <definedName name="З_У5" localSheetId="9">#REF!</definedName>
    <definedName name="З_У5" localSheetId="10">#REF!</definedName>
    <definedName name="З_У5" localSheetId="17">#REF!</definedName>
    <definedName name="З_У5" localSheetId="18">#REF!</definedName>
    <definedName name="З_У5" localSheetId="22">#REF!</definedName>
    <definedName name="З_У5" localSheetId="23">#REF!</definedName>
    <definedName name="З_У5" localSheetId="24">#REF!</definedName>
    <definedName name="З_У5" localSheetId="28">#REF!</definedName>
    <definedName name="З_У5" localSheetId="30">#REF!</definedName>
    <definedName name="З_У5" localSheetId="31">#REF!</definedName>
    <definedName name="З_У5" localSheetId="29">#REF!</definedName>
    <definedName name="З_У5" localSheetId="2">#REF!</definedName>
    <definedName name="З_У5" localSheetId="0">#REF!</definedName>
    <definedName name="З_У5" localSheetId="1">#REF!</definedName>
    <definedName name="З_У5" localSheetId="4">#REF!</definedName>
    <definedName name="З_У5" localSheetId="5">#REF!</definedName>
    <definedName name="З_У5" localSheetId="6">#REF!</definedName>
    <definedName name="З_У5" localSheetId="16">#REF!</definedName>
    <definedName name="З_У5" localSheetId="3">#REF!</definedName>
    <definedName name="З_У5">#REF!</definedName>
    <definedName name="З_У6" localSheetId="7">#REF!</definedName>
    <definedName name="З_У6" localSheetId="8">#REF!</definedName>
    <definedName name="З_У6" localSheetId="9">#REF!</definedName>
    <definedName name="З_У6" localSheetId="10">#REF!</definedName>
    <definedName name="З_У6" localSheetId="17">#REF!</definedName>
    <definedName name="З_У6" localSheetId="18">#REF!</definedName>
    <definedName name="З_У6" localSheetId="22">#REF!</definedName>
    <definedName name="З_У6" localSheetId="23">#REF!</definedName>
    <definedName name="З_У6" localSheetId="24">#REF!</definedName>
    <definedName name="З_У6" localSheetId="28">#REF!</definedName>
    <definedName name="З_У6" localSheetId="30">#REF!</definedName>
    <definedName name="З_У6" localSheetId="31">#REF!</definedName>
    <definedName name="З_У6" localSheetId="29">#REF!</definedName>
    <definedName name="З_У6" localSheetId="2">#REF!</definedName>
    <definedName name="З_У6" localSheetId="0">#REF!</definedName>
    <definedName name="З_У6" localSheetId="1">#REF!</definedName>
    <definedName name="З_У6" localSheetId="4">#REF!</definedName>
    <definedName name="З_У6" localSheetId="5">#REF!</definedName>
    <definedName name="З_У6" localSheetId="6">#REF!</definedName>
    <definedName name="З_У6" localSheetId="16">#REF!</definedName>
    <definedName name="З_У6" localSheetId="3">#REF!</definedName>
    <definedName name="З_У6">#REF!</definedName>
    <definedName name="З_Упр" localSheetId="7">#REF!</definedName>
    <definedName name="З_Упр" localSheetId="8">#REF!</definedName>
    <definedName name="З_Упр" localSheetId="9">#REF!</definedName>
    <definedName name="З_Упр" localSheetId="10">#REF!</definedName>
    <definedName name="З_Упр" localSheetId="17">#REF!</definedName>
    <definedName name="З_Упр" localSheetId="18">#REF!</definedName>
    <definedName name="З_Упр" localSheetId="22">#REF!</definedName>
    <definedName name="З_Упр" localSheetId="23">#REF!</definedName>
    <definedName name="З_Упр" localSheetId="24">#REF!</definedName>
    <definedName name="З_Упр" localSheetId="28">#REF!</definedName>
    <definedName name="З_Упр" localSheetId="30">#REF!</definedName>
    <definedName name="З_Упр" localSheetId="31">#REF!</definedName>
    <definedName name="З_Упр" localSheetId="29">#REF!</definedName>
    <definedName name="З_Упр" localSheetId="2">#REF!</definedName>
    <definedName name="З_Упр" localSheetId="0">#REF!</definedName>
    <definedName name="З_Упр" localSheetId="1">#REF!</definedName>
    <definedName name="З_Упр" localSheetId="4">#REF!</definedName>
    <definedName name="З_Упр" localSheetId="5">#REF!</definedName>
    <definedName name="З_Упр" localSheetId="6">#REF!</definedName>
    <definedName name="З_Упр" localSheetId="16">#REF!</definedName>
    <definedName name="З_Упр" localSheetId="3">#REF!</definedName>
    <definedName name="З_Упр">#REF!</definedName>
    <definedName name="З_ЦРО" localSheetId="7">#REF!</definedName>
    <definedName name="З_ЦРО" localSheetId="8">#REF!</definedName>
    <definedName name="З_ЦРО" localSheetId="9">#REF!</definedName>
    <definedName name="З_ЦРО" localSheetId="10">#REF!</definedName>
    <definedName name="З_ЦРО" localSheetId="17">#REF!</definedName>
    <definedName name="З_ЦРО" localSheetId="18">#REF!</definedName>
    <definedName name="З_ЦРО" localSheetId="22">#REF!</definedName>
    <definedName name="З_ЦРО" localSheetId="23">#REF!</definedName>
    <definedName name="З_ЦРО" localSheetId="24">#REF!</definedName>
    <definedName name="З_ЦРО" localSheetId="28">#REF!</definedName>
    <definedName name="З_ЦРО" localSheetId="30">#REF!</definedName>
    <definedName name="З_ЦРО" localSheetId="31">#REF!</definedName>
    <definedName name="З_ЦРО" localSheetId="29">#REF!</definedName>
    <definedName name="З_ЦРО" localSheetId="2">#REF!</definedName>
    <definedName name="З_ЦРО" localSheetId="0">#REF!</definedName>
    <definedName name="З_ЦРО" localSheetId="1">#REF!</definedName>
    <definedName name="З_ЦРО" localSheetId="4">#REF!</definedName>
    <definedName name="З_ЦРО" localSheetId="5">#REF!</definedName>
    <definedName name="З_ЦРО" localSheetId="6">#REF!</definedName>
    <definedName name="З_ЦРО" localSheetId="16">#REF!</definedName>
    <definedName name="З_ЦРО" localSheetId="3">#REF!</definedName>
    <definedName name="З_ЦРО">#REF!</definedName>
    <definedName name="_xlnm.Print_Titles" localSheetId="31">'прил. 3 МУ ВД ТП'!$9:$11</definedName>
    <definedName name="_xlnm.Print_Titles" localSheetId="29">'прил.1 МУ ВД ТП'!$6:$9</definedName>
    <definedName name="Итого_З" localSheetId="7">#REF!</definedName>
    <definedName name="Итого_З" localSheetId="8">#REF!</definedName>
    <definedName name="Итого_З" localSheetId="9">#REF!</definedName>
    <definedName name="Итого_З" localSheetId="10">#REF!</definedName>
    <definedName name="Итого_З" localSheetId="17">#REF!</definedName>
    <definedName name="Итого_З" localSheetId="18">#REF!</definedName>
    <definedName name="Итого_З" localSheetId="22">#REF!</definedName>
    <definedName name="Итого_З" localSheetId="23">#REF!</definedName>
    <definedName name="Итого_З" localSheetId="24">#REF!</definedName>
    <definedName name="Итого_З" localSheetId="28">#REF!</definedName>
    <definedName name="Итого_З" localSheetId="30">#REF!</definedName>
    <definedName name="Итого_З" localSheetId="31">#REF!</definedName>
    <definedName name="Итого_З" localSheetId="29">#REF!</definedName>
    <definedName name="Итого_З" localSheetId="2">#REF!</definedName>
    <definedName name="Итого_З" localSheetId="0">#REF!</definedName>
    <definedName name="Итого_З" localSheetId="1">#REF!</definedName>
    <definedName name="Итого_З" localSheetId="4">#REF!</definedName>
    <definedName name="Итого_З" localSheetId="5">#REF!</definedName>
    <definedName name="Итого_З" localSheetId="6">#REF!</definedName>
    <definedName name="Итого_З" localSheetId="16">#REF!</definedName>
    <definedName name="Итого_З" localSheetId="3">#REF!</definedName>
    <definedName name="Итого_З">#REF!</definedName>
    <definedName name="Итого_С" localSheetId="7">#REF!</definedName>
    <definedName name="Итого_С" localSheetId="8">#REF!</definedName>
    <definedName name="Итого_С" localSheetId="9">#REF!</definedName>
    <definedName name="Итого_С" localSheetId="10">#REF!</definedName>
    <definedName name="Итого_С" localSheetId="17">#REF!</definedName>
    <definedName name="Итого_С" localSheetId="18">#REF!</definedName>
    <definedName name="Итого_С" localSheetId="22">#REF!</definedName>
    <definedName name="Итого_С" localSheetId="23">#REF!</definedName>
    <definedName name="Итого_С" localSheetId="24">#REF!</definedName>
    <definedName name="Итого_С" localSheetId="28">#REF!</definedName>
    <definedName name="Итого_С" localSheetId="30">#REF!</definedName>
    <definedName name="Итого_С" localSheetId="31">#REF!</definedName>
    <definedName name="Итого_С" localSheetId="29">#REF!</definedName>
    <definedName name="Итого_С" localSheetId="2">#REF!</definedName>
    <definedName name="Итого_С" localSheetId="0">#REF!</definedName>
    <definedName name="Итого_С" localSheetId="1">#REF!</definedName>
    <definedName name="Итого_С" localSheetId="4">#REF!</definedName>
    <definedName name="Итого_С" localSheetId="5">#REF!</definedName>
    <definedName name="Итого_С" localSheetId="6">#REF!</definedName>
    <definedName name="Итого_С" localSheetId="16">#REF!</definedName>
    <definedName name="Итого_С" localSheetId="3">#REF!</definedName>
    <definedName name="Итого_С">#REF!</definedName>
    <definedName name="Итого_Ц" localSheetId="7">#REF!</definedName>
    <definedName name="Итого_Ц" localSheetId="8">#REF!</definedName>
    <definedName name="Итого_Ц" localSheetId="9">#REF!</definedName>
    <definedName name="Итого_Ц" localSheetId="10">#REF!</definedName>
    <definedName name="Итого_Ц" localSheetId="17">#REF!</definedName>
    <definedName name="Итого_Ц" localSheetId="18">#REF!</definedName>
    <definedName name="Итого_Ц" localSheetId="22">#REF!</definedName>
    <definedName name="Итого_Ц" localSheetId="23">#REF!</definedName>
    <definedName name="Итого_Ц" localSheetId="24">#REF!</definedName>
    <definedName name="Итого_Ц" localSheetId="28">#REF!</definedName>
    <definedName name="Итого_Ц" localSheetId="30">#REF!</definedName>
    <definedName name="Итого_Ц" localSheetId="31">#REF!</definedName>
    <definedName name="Итого_Ц" localSheetId="29">#REF!</definedName>
    <definedName name="Итого_Ц" localSheetId="2">#REF!</definedName>
    <definedName name="Итого_Ц" localSheetId="0">#REF!</definedName>
    <definedName name="Итого_Ц" localSheetId="1">#REF!</definedName>
    <definedName name="Итого_Ц" localSheetId="4">#REF!</definedName>
    <definedName name="Итого_Ц" localSheetId="5">#REF!</definedName>
    <definedName name="Итого_Ц" localSheetId="6">#REF!</definedName>
    <definedName name="Итого_Ц" localSheetId="16">#REF!</definedName>
    <definedName name="Итого_Ц" localSheetId="3">#REF!</definedName>
    <definedName name="Итого_Ц">#REF!</definedName>
    <definedName name="Итого_Ю" localSheetId="7">#REF!</definedName>
    <definedName name="Итого_Ю" localSheetId="8">#REF!</definedName>
    <definedName name="Итого_Ю" localSheetId="9">#REF!</definedName>
    <definedName name="Итого_Ю" localSheetId="10">#REF!</definedName>
    <definedName name="Итого_Ю" localSheetId="17">#REF!</definedName>
    <definedName name="Итого_Ю" localSheetId="18">#REF!</definedName>
    <definedName name="Итого_Ю" localSheetId="22">#REF!</definedName>
    <definedName name="Итого_Ю" localSheetId="23">#REF!</definedName>
    <definedName name="Итого_Ю" localSheetId="24">#REF!</definedName>
    <definedName name="Итого_Ю" localSheetId="28">#REF!</definedName>
    <definedName name="Итого_Ю" localSheetId="30">#REF!</definedName>
    <definedName name="Итого_Ю" localSheetId="31">#REF!</definedName>
    <definedName name="Итого_Ю" localSheetId="29">#REF!</definedName>
    <definedName name="Итого_Ю" localSheetId="2">#REF!</definedName>
    <definedName name="Итого_Ю" localSheetId="0">#REF!</definedName>
    <definedName name="Итого_Ю" localSheetId="1">#REF!</definedName>
    <definedName name="Итого_Ю" localSheetId="4">#REF!</definedName>
    <definedName name="Итого_Ю" localSheetId="5">#REF!</definedName>
    <definedName name="Итого_Ю" localSheetId="6">#REF!</definedName>
    <definedName name="Итого_Ю" localSheetId="16">#REF!</definedName>
    <definedName name="Итого_Ю" localSheetId="3">#REF!</definedName>
    <definedName name="Итого_Ю">#REF!</definedName>
    <definedName name="К_втч">"в том числе:"</definedName>
    <definedName name="К_Итого">"Итого:"</definedName>
    <definedName name="К_Непром">"Непром.:"</definedName>
    <definedName name="К_раб">"рабоч.:"</definedName>
    <definedName name="К_Рем">"Ремонт:"</definedName>
    <definedName name="К_рук">"руков.:"</definedName>
    <definedName name="К_служ">"служ.:"</definedName>
    <definedName name="К_спец">"спец.:"</definedName>
    <definedName name="К_стр_итог">"Из строки ИТОГО:"</definedName>
    <definedName name="К_Экспл">"Эксплуат.:"</definedName>
    <definedName name="_xlnm.Print_Area" localSheetId="8">'7 стандарт'!$A$1:$CX$18</definedName>
    <definedName name="_xlnm.Print_Area" localSheetId="30">'прил. 2 МУ ВД ТП'!$A$1:$Q$473</definedName>
    <definedName name="_xlnm.Print_Area" localSheetId="29">'прил.1 МУ ВД ТП'!$A$1:$K$135</definedName>
    <definedName name="_xlnm.Print_Area" localSheetId="4">'прил.4 стандарт город'!$A$1:$G$209</definedName>
    <definedName name="_xlnm.Print_Area" localSheetId="5">'прил.4 стандарт село'!$A$1:$G$113</definedName>
    <definedName name="_xlnm.Print_Area" localSheetId="6">'Прил.5 стандарт'!$A$1:$F$32</definedName>
    <definedName name="ПОКАЗАТЕЛИ_ДОЛГОСР.ПРОГНОЗА" localSheetId="7">'[1]2002(v2)'!#REF!</definedName>
    <definedName name="ПОКАЗАТЕЛИ_ДОЛГОСР.ПРОГНОЗА" localSheetId="8">'[1]2002(v2)'!#REF!</definedName>
    <definedName name="ПОКАЗАТЕЛИ_ДОЛГОСР.ПРОГНОЗА" localSheetId="9">'[1]2002(v2)'!#REF!</definedName>
    <definedName name="ПОКАЗАТЕЛИ_ДОЛГОСР.ПРОГНОЗА" localSheetId="10">'[1]2002(v2)'!#REF!</definedName>
    <definedName name="ПОКАЗАТЕЛИ_ДОЛГОСР.ПРОГНОЗА" localSheetId="17">'[1]2002(v2)'!#REF!</definedName>
    <definedName name="ПОКАЗАТЕЛИ_ДОЛГОСР.ПРОГНОЗА" localSheetId="18">'[1]2002(v2)'!#REF!</definedName>
    <definedName name="ПОКАЗАТЕЛИ_ДОЛГОСР.ПРОГНОЗА" localSheetId="22">'[1]2002(v2)'!#REF!</definedName>
    <definedName name="ПОКАЗАТЕЛИ_ДОЛГОСР.ПРОГНОЗА" localSheetId="23">'[1]2002(v2)'!#REF!</definedName>
    <definedName name="ПОКАЗАТЕЛИ_ДОЛГОСР.ПРОГНОЗА" localSheetId="24">'[1]2002(v2)'!#REF!</definedName>
    <definedName name="ПОКАЗАТЕЛИ_ДОЛГОСР.ПРОГНОЗА" localSheetId="28">'[1]2002(v2)'!#REF!</definedName>
    <definedName name="ПОКАЗАТЕЛИ_ДОЛГОСР.ПРОГНОЗА" localSheetId="2">'[1]2002(v2)'!#REF!</definedName>
    <definedName name="ПОКАЗАТЕЛИ_ДОЛГОСР.ПРОГНОЗА" localSheetId="0">'[1]2002(v2)'!#REF!</definedName>
    <definedName name="ПОКАЗАТЕЛИ_ДОЛГОСР.ПРОГНОЗА" localSheetId="1">'[1]2002(v2)'!#REF!</definedName>
    <definedName name="ПОКАЗАТЕЛИ_ДОЛГОСР.ПРОГНОЗА" localSheetId="5">'[1]2002(v2)'!#REF!</definedName>
    <definedName name="ПОКАЗАТЕЛИ_ДОЛГОСР.ПРОГНОЗА" localSheetId="6">'[1]2002(v2)'!#REF!</definedName>
    <definedName name="ПОКАЗАТЕЛИ_ДОЛГОСР.ПРОГНОЗА" localSheetId="16">'[1]2002(v2)'!#REF!</definedName>
    <definedName name="ПОКАЗАТЕЛИ_ДОЛГОСР.ПРОГНОЗА" localSheetId="3">'[1]2002(v2)'!#REF!</definedName>
    <definedName name="ПОКАЗАТЕЛИ_ДОЛГОСР.ПРОГНОЗА">'[1]2002(v2)'!#REF!</definedName>
    <definedName name="РК30" localSheetId="7">#REF!</definedName>
    <definedName name="РК30" localSheetId="8">#REF!</definedName>
    <definedName name="РК30" localSheetId="9">#REF!</definedName>
    <definedName name="РК30" localSheetId="10">#REF!</definedName>
    <definedName name="РК30" localSheetId="17">#REF!</definedName>
    <definedName name="РК30" localSheetId="18">#REF!</definedName>
    <definedName name="РК30" localSheetId="22">#REF!</definedName>
    <definedName name="РК30" localSheetId="23">#REF!</definedName>
    <definedName name="РК30" localSheetId="24">#REF!</definedName>
    <definedName name="РК30" localSheetId="28">#REF!</definedName>
    <definedName name="РК30" localSheetId="30">#REF!</definedName>
    <definedName name="РК30" localSheetId="31">#REF!</definedName>
    <definedName name="РК30" localSheetId="29">#REF!</definedName>
    <definedName name="РК30" localSheetId="2">#REF!</definedName>
    <definedName name="РК30" localSheetId="0">#REF!</definedName>
    <definedName name="РК30" localSheetId="1">#REF!</definedName>
    <definedName name="РК30" localSheetId="4">#REF!</definedName>
    <definedName name="РК30" localSheetId="5">#REF!</definedName>
    <definedName name="РК30" localSheetId="6">#REF!</definedName>
    <definedName name="РК30" localSheetId="16">#REF!</definedName>
    <definedName name="РК30" localSheetId="3">#REF!</definedName>
    <definedName name="РК30">#REF!</definedName>
    <definedName name="С_ОДС" localSheetId="7">#REF!</definedName>
    <definedName name="С_ОДС" localSheetId="8">#REF!</definedName>
    <definedName name="С_ОДС" localSheetId="9">#REF!</definedName>
    <definedName name="С_ОДС" localSheetId="10">#REF!</definedName>
    <definedName name="С_ОДС" localSheetId="17">#REF!</definedName>
    <definedName name="С_ОДС" localSheetId="18">#REF!</definedName>
    <definedName name="С_ОДС" localSheetId="22">#REF!</definedName>
    <definedName name="С_ОДС" localSheetId="23">#REF!</definedName>
    <definedName name="С_ОДС" localSheetId="24">#REF!</definedName>
    <definedName name="С_ОДС" localSheetId="28">#REF!</definedName>
    <definedName name="С_ОДС" localSheetId="30">#REF!</definedName>
    <definedName name="С_ОДС" localSheetId="31">#REF!</definedName>
    <definedName name="С_ОДС" localSheetId="29">#REF!</definedName>
    <definedName name="С_ОДС" localSheetId="2">#REF!</definedName>
    <definedName name="С_ОДС" localSheetId="0">#REF!</definedName>
    <definedName name="С_ОДС" localSheetId="1">#REF!</definedName>
    <definedName name="С_ОДС" localSheetId="4">#REF!</definedName>
    <definedName name="С_ОДС" localSheetId="5">#REF!</definedName>
    <definedName name="С_ОДС" localSheetId="6">#REF!</definedName>
    <definedName name="С_ОДС" localSheetId="16">#REF!</definedName>
    <definedName name="С_ОДС" localSheetId="3">#REF!</definedName>
    <definedName name="С_ОДС">#REF!</definedName>
    <definedName name="С_РЗАИ" localSheetId="7">#REF!</definedName>
    <definedName name="С_РЗАИ" localSheetId="8">#REF!</definedName>
    <definedName name="С_РЗАИ" localSheetId="9">#REF!</definedName>
    <definedName name="С_РЗАИ" localSheetId="10">#REF!</definedName>
    <definedName name="С_РЗАИ" localSheetId="17">#REF!</definedName>
    <definedName name="С_РЗАИ" localSheetId="18">#REF!</definedName>
    <definedName name="С_РЗАИ" localSheetId="22">#REF!</definedName>
    <definedName name="С_РЗАИ" localSheetId="23">#REF!</definedName>
    <definedName name="С_РЗАИ" localSheetId="24">#REF!</definedName>
    <definedName name="С_РЗАИ" localSheetId="28">#REF!</definedName>
    <definedName name="С_РЗАИ" localSheetId="30">#REF!</definedName>
    <definedName name="С_РЗАИ" localSheetId="31">#REF!</definedName>
    <definedName name="С_РЗАИ" localSheetId="29">#REF!</definedName>
    <definedName name="С_РЗАИ" localSheetId="2">#REF!</definedName>
    <definedName name="С_РЗАИ" localSheetId="0">#REF!</definedName>
    <definedName name="С_РЗАИ" localSheetId="1">#REF!</definedName>
    <definedName name="С_РЗАИ" localSheetId="4">#REF!</definedName>
    <definedName name="С_РЗАИ" localSheetId="5">#REF!</definedName>
    <definedName name="С_РЗАИ" localSheetId="6">#REF!</definedName>
    <definedName name="С_РЗАИ" localSheetId="16">#REF!</definedName>
    <definedName name="С_РЗАИ" localSheetId="3">#REF!</definedName>
    <definedName name="С_РЗАИ">#REF!</definedName>
    <definedName name="С_РСЦ" localSheetId="7">#REF!</definedName>
    <definedName name="С_РСЦ" localSheetId="8">#REF!</definedName>
    <definedName name="С_РСЦ" localSheetId="9">#REF!</definedName>
    <definedName name="С_РСЦ" localSheetId="10">#REF!</definedName>
    <definedName name="С_РСЦ" localSheetId="17">#REF!</definedName>
    <definedName name="С_РСЦ" localSheetId="18">#REF!</definedName>
    <definedName name="С_РСЦ" localSheetId="22">#REF!</definedName>
    <definedName name="С_РСЦ" localSheetId="23">#REF!</definedName>
    <definedName name="С_РСЦ" localSheetId="24">#REF!</definedName>
    <definedName name="С_РСЦ" localSheetId="28">#REF!</definedName>
    <definedName name="С_РСЦ" localSheetId="30">#REF!</definedName>
    <definedName name="С_РСЦ" localSheetId="31">#REF!</definedName>
    <definedName name="С_РСЦ" localSheetId="29">#REF!</definedName>
    <definedName name="С_РСЦ" localSheetId="2">#REF!</definedName>
    <definedName name="С_РСЦ" localSheetId="0">#REF!</definedName>
    <definedName name="С_РСЦ" localSheetId="1">#REF!</definedName>
    <definedName name="С_РСЦ" localSheetId="4">#REF!</definedName>
    <definedName name="С_РСЦ" localSheetId="5">#REF!</definedName>
    <definedName name="С_РСЦ" localSheetId="6">#REF!</definedName>
    <definedName name="С_РСЦ" localSheetId="16">#REF!</definedName>
    <definedName name="С_РСЦ" localSheetId="3">#REF!</definedName>
    <definedName name="С_РСЦ">#REF!</definedName>
    <definedName name="С_СВТТ" localSheetId="7">#REF!</definedName>
    <definedName name="С_СВТТ" localSheetId="8">#REF!</definedName>
    <definedName name="С_СВТТ" localSheetId="9">#REF!</definedName>
    <definedName name="С_СВТТ" localSheetId="10">#REF!</definedName>
    <definedName name="С_СВТТ" localSheetId="17">#REF!</definedName>
    <definedName name="С_СВТТ" localSheetId="18">#REF!</definedName>
    <definedName name="С_СВТТ" localSheetId="22">#REF!</definedName>
    <definedName name="С_СВТТ" localSheetId="23">#REF!</definedName>
    <definedName name="С_СВТТ" localSheetId="24">#REF!</definedName>
    <definedName name="С_СВТТ" localSheetId="28">#REF!</definedName>
    <definedName name="С_СВТТ" localSheetId="30">#REF!</definedName>
    <definedName name="С_СВТТ" localSheetId="31">#REF!</definedName>
    <definedName name="С_СВТТ" localSheetId="29">#REF!</definedName>
    <definedName name="С_СВТТ" localSheetId="2">#REF!</definedName>
    <definedName name="С_СВТТ" localSheetId="0">#REF!</definedName>
    <definedName name="С_СВТТ" localSheetId="1">#REF!</definedName>
    <definedName name="С_СВТТ" localSheetId="4">#REF!</definedName>
    <definedName name="С_СВТТ" localSheetId="5">#REF!</definedName>
    <definedName name="С_СВТТ" localSheetId="6">#REF!</definedName>
    <definedName name="С_СВТТ" localSheetId="16">#REF!</definedName>
    <definedName name="С_СВТТ" localSheetId="3">#REF!</definedName>
    <definedName name="С_СВТТ">#REF!</definedName>
    <definedName name="С_СДТУ" localSheetId="7">#REF!</definedName>
    <definedName name="С_СДТУ" localSheetId="8">#REF!</definedName>
    <definedName name="С_СДТУ" localSheetId="9">#REF!</definedName>
    <definedName name="С_СДТУ" localSheetId="10">#REF!</definedName>
    <definedName name="С_СДТУ" localSheetId="17">#REF!</definedName>
    <definedName name="С_СДТУ" localSheetId="18">#REF!</definedName>
    <definedName name="С_СДТУ" localSheetId="22">#REF!</definedName>
    <definedName name="С_СДТУ" localSheetId="23">#REF!</definedName>
    <definedName name="С_СДТУ" localSheetId="24">#REF!</definedName>
    <definedName name="С_СДТУ" localSheetId="28">#REF!</definedName>
    <definedName name="С_СДТУ" localSheetId="30">#REF!</definedName>
    <definedName name="С_СДТУ" localSheetId="31">#REF!</definedName>
    <definedName name="С_СДТУ" localSheetId="29">#REF!</definedName>
    <definedName name="С_СДТУ" localSheetId="2">#REF!</definedName>
    <definedName name="С_СДТУ" localSheetId="0">#REF!</definedName>
    <definedName name="С_СДТУ" localSheetId="1">#REF!</definedName>
    <definedName name="С_СДТУ" localSheetId="4">#REF!</definedName>
    <definedName name="С_СДТУ" localSheetId="5">#REF!</definedName>
    <definedName name="С_СДТУ" localSheetId="6">#REF!</definedName>
    <definedName name="С_СДТУ" localSheetId="16">#REF!</definedName>
    <definedName name="С_СДТУ" localSheetId="3">#REF!</definedName>
    <definedName name="С_СДТУ">#REF!</definedName>
    <definedName name="С_СИЗП" localSheetId="7">#REF!</definedName>
    <definedName name="С_СИЗП" localSheetId="8">#REF!</definedName>
    <definedName name="С_СИЗП" localSheetId="9">#REF!</definedName>
    <definedName name="С_СИЗП" localSheetId="10">#REF!</definedName>
    <definedName name="С_СИЗП" localSheetId="17">#REF!</definedName>
    <definedName name="С_СИЗП" localSheetId="18">#REF!</definedName>
    <definedName name="С_СИЗП" localSheetId="22">#REF!</definedName>
    <definedName name="С_СИЗП" localSheetId="23">#REF!</definedName>
    <definedName name="С_СИЗП" localSheetId="24">#REF!</definedName>
    <definedName name="С_СИЗП" localSheetId="28">#REF!</definedName>
    <definedName name="С_СИЗП" localSheetId="30">#REF!</definedName>
    <definedName name="С_СИЗП" localSheetId="31">#REF!</definedName>
    <definedName name="С_СИЗП" localSheetId="29">#REF!</definedName>
    <definedName name="С_СИЗП" localSheetId="2">#REF!</definedName>
    <definedName name="С_СИЗП" localSheetId="0">#REF!</definedName>
    <definedName name="С_СИЗП" localSheetId="1">#REF!</definedName>
    <definedName name="С_СИЗП" localSheetId="4">#REF!</definedName>
    <definedName name="С_СИЗП" localSheetId="5">#REF!</definedName>
    <definedName name="С_СИЗП" localSheetId="6">#REF!</definedName>
    <definedName name="С_СИЗП" localSheetId="16">#REF!</definedName>
    <definedName name="С_СИЗП" localSheetId="3">#REF!</definedName>
    <definedName name="С_СИЗП">#REF!</definedName>
    <definedName name="С_СМТ" localSheetId="7">#REF!</definedName>
    <definedName name="С_СМТ" localSheetId="8">#REF!</definedName>
    <definedName name="С_СМТ" localSheetId="9">#REF!</definedName>
    <definedName name="С_СМТ" localSheetId="10">#REF!</definedName>
    <definedName name="С_СМТ" localSheetId="17">#REF!</definedName>
    <definedName name="С_СМТ" localSheetId="18">#REF!</definedName>
    <definedName name="С_СМТ" localSheetId="22">#REF!</definedName>
    <definedName name="С_СМТ" localSheetId="23">#REF!</definedName>
    <definedName name="С_СМТ" localSheetId="24">#REF!</definedName>
    <definedName name="С_СМТ" localSheetId="28">#REF!</definedName>
    <definedName name="С_СМТ" localSheetId="30">#REF!</definedName>
    <definedName name="С_СМТ" localSheetId="31">#REF!</definedName>
    <definedName name="С_СМТ" localSheetId="29">#REF!</definedName>
    <definedName name="С_СМТ" localSheetId="2">#REF!</definedName>
    <definedName name="С_СМТ" localSheetId="0">#REF!</definedName>
    <definedName name="С_СМТ" localSheetId="1">#REF!</definedName>
    <definedName name="С_СМТ" localSheetId="4">#REF!</definedName>
    <definedName name="С_СМТ" localSheetId="5">#REF!</definedName>
    <definedName name="С_СМТ" localSheetId="6">#REF!</definedName>
    <definedName name="С_СМТ" localSheetId="16">#REF!</definedName>
    <definedName name="С_СМТ" localSheetId="3">#REF!</definedName>
    <definedName name="С_СМТ">#REF!</definedName>
    <definedName name="С_СТЭЭ" localSheetId="7">#REF!</definedName>
    <definedName name="С_СТЭЭ" localSheetId="8">#REF!</definedName>
    <definedName name="С_СТЭЭ" localSheetId="9">#REF!</definedName>
    <definedName name="С_СТЭЭ" localSheetId="10">#REF!</definedName>
    <definedName name="С_СТЭЭ" localSheetId="17">#REF!</definedName>
    <definedName name="С_СТЭЭ" localSheetId="18">#REF!</definedName>
    <definedName name="С_СТЭЭ" localSheetId="22">#REF!</definedName>
    <definedName name="С_СТЭЭ" localSheetId="23">#REF!</definedName>
    <definedName name="С_СТЭЭ" localSheetId="24">#REF!</definedName>
    <definedName name="С_СТЭЭ" localSheetId="28">#REF!</definedName>
    <definedName name="С_СТЭЭ" localSheetId="30">#REF!</definedName>
    <definedName name="С_СТЭЭ" localSheetId="31">#REF!</definedName>
    <definedName name="С_СТЭЭ" localSheetId="29">#REF!</definedName>
    <definedName name="С_СТЭЭ" localSheetId="2">#REF!</definedName>
    <definedName name="С_СТЭЭ" localSheetId="0">#REF!</definedName>
    <definedName name="С_СТЭЭ" localSheetId="1">#REF!</definedName>
    <definedName name="С_СТЭЭ" localSheetId="4">#REF!</definedName>
    <definedName name="С_СТЭЭ" localSheetId="5">#REF!</definedName>
    <definedName name="С_СТЭЭ" localSheetId="6">#REF!</definedName>
    <definedName name="С_СТЭЭ" localSheetId="16">#REF!</definedName>
    <definedName name="С_СТЭЭ" localSheetId="3">#REF!</definedName>
    <definedName name="С_СТЭЭ">#REF!</definedName>
    <definedName name="С_У1" localSheetId="7">#REF!</definedName>
    <definedName name="С_У1" localSheetId="8">#REF!</definedName>
    <definedName name="С_У1" localSheetId="9">#REF!</definedName>
    <definedName name="С_У1" localSheetId="10">#REF!</definedName>
    <definedName name="С_У1" localSheetId="17">#REF!</definedName>
    <definedName name="С_У1" localSheetId="18">#REF!</definedName>
    <definedName name="С_У1" localSheetId="22">#REF!</definedName>
    <definedName name="С_У1" localSheetId="23">#REF!</definedName>
    <definedName name="С_У1" localSheetId="24">#REF!</definedName>
    <definedName name="С_У1" localSheetId="28">#REF!</definedName>
    <definedName name="С_У1" localSheetId="30">#REF!</definedName>
    <definedName name="С_У1" localSheetId="31">#REF!</definedName>
    <definedName name="С_У1" localSheetId="29">#REF!</definedName>
    <definedName name="С_У1" localSheetId="2">#REF!</definedName>
    <definedName name="С_У1" localSheetId="0">#REF!</definedName>
    <definedName name="С_У1" localSheetId="1">#REF!</definedName>
    <definedName name="С_У1" localSheetId="4">#REF!</definedName>
    <definedName name="С_У1" localSheetId="5">#REF!</definedName>
    <definedName name="С_У1" localSheetId="6">#REF!</definedName>
    <definedName name="С_У1" localSheetId="16">#REF!</definedName>
    <definedName name="С_У1" localSheetId="3">#REF!</definedName>
    <definedName name="С_У1">#REF!</definedName>
    <definedName name="С_У2" localSheetId="7">#REF!</definedName>
    <definedName name="С_У2" localSheetId="8">#REF!</definedName>
    <definedName name="С_У2" localSheetId="9">#REF!</definedName>
    <definedName name="С_У2" localSheetId="10">#REF!</definedName>
    <definedName name="С_У2" localSheetId="17">#REF!</definedName>
    <definedName name="С_У2" localSheetId="18">#REF!</definedName>
    <definedName name="С_У2" localSheetId="22">#REF!</definedName>
    <definedName name="С_У2" localSheetId="23">#REF!</definedName>
    <definedName name="С_У2" localSheetId="24">#REF!</definedName>
    <definedName name="С_У2" localSheetId="28">#REF!</definedName>
    <definedName name="С_У2" localSheetId="30">#REF!</definedName>
    <definedName name="С_У2" localSheetId="31">#REF!</definedName>
    <definedName name="С_У2" localSheetId="29">#REF!</definedName>
    <definedName name="С_У2" localSheetId="2">#REF!</definedName>
    <definedName name="С_У2" localSheetId="0">#REF!</definedName>
    <definedName name="С_У2" localSheetId="1">#REF!</definedName>
    <definedName name="С_У2" localSheetId="4">#REF!</definedName>
    <definedName name="С_У2" localSheetId="5">#REF!</definedName>
    <definedName name="С_У2" localSheetId="6">#REF!</definedName>
    <definedName name="С_У2" localSheetId="16">#REF!</definedName>
    <definedName name="С_У2" localSheetId="3">#REF!</definedName>
    <definedName name="С_У2">#REF!</definedName>
    <definedName name="С_У3" localSheetId="7">#REF!</definedName>
    <definedName name="С_У3" localSheetId="8">#REF!</definedName>
    <definedName name="С_У3" localSheetId="9">#REF!</definedName>
    <definedName name="С_У3" localSheetId="10">#REF!</definedName>
    <definedName name="С_У3" localSheetId="17">#REF!</definedName>
    <definedName name="С_У3" localSheetId="18">#REF!</definedName>
    <definedName name="С_У3" localSheetId="22">#REF!</definedName>
    <definedName name="С_У3" localSheetId="23">#REF!</definedName>
    <definedName name="С_У3" localSheetId="24">#REF!</definedName>
    <definedName name="С_У3" localSheetId="28">#REF!</definedName>
    <definedName name="С_У3" localSheetId="30">#REF!</definedName>
    <definedName name="С_У3" localSheetId="31">#REF!</definedName>
    <definedName name="С_У3" localSheetId="29">#REF!</definedName>
    <definedName name="С_У3" localSheetId="2">#REF!</definedName>
    <definedName name="С_У3" localSheetId="0">#REF!</definedName>
    <definedName name="С_У3" localSheetId="1">#REF!</definedName>
    <definedName name="С_У3" localSheetId="4">#REF!</definedName>
    <definedName name="С_У3" localSheetId="5">#REF!</definedName>
    <definedName name="С_У3" localSheetId="6">#REF!</definedName>
    <definedName name="С_У3" localSheetId="16">#REF!</definedName>
    <definedName name="С_У3" localSheetId="3">#REF!</definedName>
    <definedName name="С_У3">#REF!</definedName>
    <definedName name="С_У4" localSheetId="7">#REF!</definedName>
    <definedName name="С_У4" localSheetId="8">#REF!</definedName>
    <definedName name="С_У4" localSheetId="9">#REF!</definedName>
    <definedName name="С_У4" localSheetId="10">#REF!</definedName>
    <definedName name="С_У4" localSheetId="17">#REF!</definedName>
    <definedName name="С_У4" localSheetId="18">#REF!</definedName>
    <definedName name="С_У4" localSheetId="22">#REF!</definedName>
    <definedName name="С_У4" localSheetId="23">#REF!</definedName>
    <definedName name="С_У4" localSheetId="24">#REF!</definedName>
    <definedName name="С_У4" localSheetId="28">#REF!</definedName>
    <definedName name="С_У4" localSheetId="30">#REF!</definedName>
    <definedName name="С_У4" localSheetId="31">#REF!</definedName>
    <definedName name="С_У4" localSheetId="29">#REF!</definedName>
    <definedName name="С_У4" localSheetId="2">#REF!</definedName>
    <definedName name="С_У4" localSheetId="0">#REF!</definedName>
    <definedName name="С_У4" localSheetId="1">#REF!</definedName>
    <definedName name="С_У4" localSheetId="4">#REF!</definedName>
    <definedName name="С_У4" localSheetId="5">#REF!</definedName>
    <definedName name="С_У4" localSheetId="6">#REF!</definedName>
    <definedName name="С_У4" localSheetId="16">#REF!</definedName>
    <definedName name="С_У4" localSheetId="3">#REF!</definedName>
    <definedName name="С_У4">#REF!</definedName>
    <definedName name="С_У5" localSheetId="7">#REF!</definedName>
    <definedName name="С_У5" localSheetId="8">#REF!</definedName>
    <definedName name="С_У5" localSheetId="9">#REF!</definedName>
    <definedName name="С_У5" localSheetId="10">#REF!</definedName>
    <definedName name="С_У5" localSheetId="17">#REF!</definedName>
    <definedName name="С_У5" localSheetId="18">#REF!</definedName>
    <definedName name="С_У5" localSheetId="22">#REF!</definedName>
    <definedName name="С_У5" localSheetId="23">#REF!</definedName>
    <definedName name="С_У5" localSheetId="24">#REF!</definedName>
    <definedName name="С_У5" localSheetId="28">#REF!</definedName>
    <definedName name="С_У5" localSheetId="30">#REF!</definedName>
    <definedName name="С_У5" localSheetId="31">#REF!</definedName>
    <definedName name="С_У5" localSheetId="29">#REF!</definedName>
    <definedName name="С_У5" localSheetId="2">#REF!</definedName>
    <definedName name="С_У5" localSheetId="0">#REF!</definedName>
    <definedName name="С_У5" localSheetId="1">#REF!</definedName>
    <definedName name="С_У5" localSheetId="4">#REF!</definedName>
    <definedName name="С_У5" localSheetId="5">#REF!</definedName>
    <definedName name="С_У5" localSheetId="6">#REF!</definedName>
    <definedName name="С_У5" localSheetId="16">#REF!</definedName>
    <definedName name="С_У5" localSheetId="3">#REF!</definedName>
    <definedName name="С_У5">#REF!</definedName>
    <definedName name="С_У6" localSheetId="7">#REF!</definedName>
    <definedName name="С_У6" localSheetId="8">#REF!</definedName>
    <definedName name="С_У6" localSheetId="9">#REF!</definedName>
    <definedName name="С_У6" localSheetId="10">#REF!</definedName>
    <definedName name="С_У6" localSheetId="17">#REF!</definedName>
    <definedName name="С_У6" localSheetId="18">#REF!</definedName>
    <definedName name="С_У6" localSheetId="22">#REF!</definedName>
    <definedName name="С_У6" localSheetId="23">#REF!</definedName>
    <definedName name="С_У6" localSheetId="24">#REF!</definedName>
    <definedName name="С_У6" localSheetId="28">#REF!</definedName>
    <definedName name="С_У6" localSheetId="30">#REF!</definedName>
    <definedName name="С_У6" localSheetId="31">#REF!</definedName>
    <definedName name="С_У6" localSheetId="29">#REF!</definedName>
    <definedName name="С_У6" localSheetId="2">#REF!</definedName>
    <definedName name="С_У6" localSheetId="0">#REF!</definedName>
    <definedName name="С_У6" localSheetId="1">#REF!</definedName>
    <definedName name="С_У6" localSheetId="4">#REF!</definedName>
    <definedName name="С_У6" localSheetId="5">#REF!</definedName>
    <definedName name="С_У6" localSheetId="6">#REF!</definedName>
    <definedName name="С_У6" localSheetId="16">#REF!</definedName>
    <definedName name="С_У6" localSheetId="3">#REF!</definedName>
    <definedName name="С_У6">#REF!</definedName>
    <definedName name="С_Упр" localSheetId="7">#REF!</definedName>
    <definedName name="С_Упр" localSheetId="8">#REF!</definedName>
    <definedName name="С_Упр" localSheetId="9">#REF!</definedName>
    <definedName name="С_Упр" localSheetId="10">#REF!</definedName>
    <definedName name="С_Упр" localSheetId="17">#REF!</definedName>
    <definedName name="С_Упр" localSheetId="18">#REF!</definedName>
    <definedName name="С_Упр" localSheetId="22">#REF!</definedName>
    <definedName name="С_Упр" localSheetId="23">#REF!</definedName>
    <definedName name="С_Упр" localSheetId="24">#REF!</definedName>
    <definedName name="С_Упр" localSheetId="28">#REF!</definedName>
    <definedName name="С_Упр" localSheetId="30">#REF!</definedName>
    <definedName name="С_Упр" localSheetId="31">#REF!</definedName>
    <definedName name="С_Упр" localSheetId="29">#REF!</definedName>
    <definedName name="С_Упр" localSheetId="2">#REF!</definedName>
    <definedName name="С_Упр" localSheetId="0">#REF!</definedName>
    <definedName name="С_Упр" localSheetId="1">#REF!</definedName>
    <definedName name="С_Упр" localSheetId="4">#REF!</definedName>
    <definedName name="С_Упр" localSheetId="5">#REF!</definedName>
    <definedName name="С_Упр" localSheetId="6">#REF!</definedName>
    <definedName name="С_Упр" localSheetId="16">#REF!</definedName>
    <definedName name="С_Упр" localSheetId="3">#REF!</definedName>
    <definedName name="С_Упр">#REF!</definedName>
    <definedName name="С_ЦРО" localSheetId="7">#REF!</definedName>
    <definedName name="С_ЦРО" localSheetId="8">#REF!</definedName>
    <definedName name="С_ЦРО" localSheetId="9">#REF!</definedName>
    <definedName name="С_ЦРО" localSheetId="10">#REF!</definedName>
    <definedName name="С_ЦРО" localSheetId="17">#REF!</definedName>
    <definedName name="С_ЦРО" localSheetId="18">#REF!</definedName>
    <definedName name="С_ЦРО" localSheetId="22">#REF!</definedName>
    <definedName name="С_ЦРО" localSheetId="23">#REF!</definedName>
    <definedName name="С_ЦРО" localSheetId="24">#REF!</definedName>
    <definedName name="С_ЦРО" localSheetId="28">#REF!</definedName>
    <definedName name="С_ЦРО" localSheetId="30">#REF!</definedName>
    <definedName name="С_ЦРО" localSheetId="31">#REF!</definedName>
    <definedName name="С_ЦРО" localSheetId="29">#REF!</definedName>
    <definedName name="С_ЦРО" localSheetId="2">#REF!</definedName>
    <definedName name="С_ЦРО" localSheetId="0">#REF!</definedName>
    <definedName name="С_ЦРО" localSheetId="1">#REF!</definedName>
    <definedName name="С_ЦРО" localSheetId="4">#REF!</definedName>
    <definedName name="С_ЦРО" localSheetId="5">#REF!</definedName>
    <definedName name="С_ЦРО" localSheetId="6">#REF!</definedName>
    <definedName name="С_ЦРО" localSheetId="16">#REF!</definedName>
    <definedName name="С_ЦРО" localSheetId="3">#REF!</definedName>
    <definedName name="С_ЦРО">#REF!</definedName>
    <definedName name="У_АСДУ" localSheetId="7">#REF!</definedName>
    <definedName name="У_АСДУ" localSheetId="8">#REF!</definedName>
    <definedName name="У_АСДУ" localSheetId="9">#REF!</definedName>
    <definedName name="У_АСДУ" localSheetId="10">#REF!</definedName>
    <definedName name="У_АСДУ" localSheetId="17">#REF!</definedName>
    <definedName name="У_АСДУ" localSheetId="18">#REF!</definedName>
    <definedName name="У_АСДУ" localSheetId="22">#REF!</definedName>
    <definedName name="У_АСДУ" localSheetId="23">#REF!</definedName>
    <definedName name="У_АСДУ" localSheetId="24">#REF!</definedName>
    <definedName name="У_АСДУ" localSheetId="28">#REF!</definedName>
    <definedName name="У_АСДУ" localSheetId="30">#REF!</definedName>
    <definedName name="У_АСДУ" localSheetId="31">#REF!</definedName>
    <definedName name="У_АСДУ" localSheetId="29">#REF!</definedName>
    <definedName name="У_АСДУ" localSheetId="2">#REF!</definedName>
    <definedName name="У_АСДУ" localSheetId="0">#REF!</definedName>
    <definedName name="У_АСДУ" localSheetId="1">#REF!</definedName>
    <definedName name="У_АСДУ" localSheetId="4">#REF!</definedName>
    <definedName name="У_АСДУ" localSheetId="5">#REF!</definedName>
    <definedName name="У_АСДУ" localSheetId="6">#REF!</definedName>
    <definedName name="У_АСДУ" localSheetId="16">#REF!</definedName>
    <definedName name="У_АСДУ" localSheetId="3">#REF!</definedName>
    <definedName name="У_АСДУ">#REF!</definedName>
    <definedName name="У_АХО" localSheetId="7">#REF!</definedName>
    <definedName name="У_АХО" localSheetId="8">#REF!</definedName>
    <definedName name="У_АХО" localSheetId="9">#REF!</definedName>
    <definedName name="У_АХО" localSheetId="10">#REF!</definedName>
    <definedName name="У_АХО" localSheetId="17">#REF!</definedName>
    <definedName name="У_АХО" localSheetId="18">#REF!</definedName>
    <definedName name="У_АХО" localSheetId="22">#REF!</definedName>
    <definedName name="У_АХО" localSheetId="23">#REF!</definedName>
    <definedName name="У_АХО" localSheetId="24">#REF!</definedName>
    <definedName name="У_АХО" localSheetId="28">#REF!</definedName>
    <definedName name="У_АХО" localSheetId="30">#REF!</definedName>
    <definedName name="У_АХО" localSheetId="31">#REF!</definedName>
    <definedName name="У_АХО" localSheetId="29">#REF!</definedName>
    <definedName name="У_АХО" localSheetId="2">#REF!</definedName>
    <definedName name="У_АХО" localSheetId="0">#REF!</definedName>
    <definedName name="У_АХО" localSheetId="1">#REF!</definedName>
    <definedName name="У_АХО" localSheetId="4">#REF!</definedName>
    <definedName name="У_АХО" localSheetId="5">#REF!</definedName>
    <definedName name="У_АХО" localSheetId="6">#REF!</definedName>
    <definedName name="У_АХО" localSheetId="16">#REF!</definedName>
    <definedName name="У_АХО" localSheetId="3">#REF!</definedName>
    <definedName name="У_АХО">#REF!</definedName>
    <definedName name="У_Бух" localSheetId="7">#REF!</definedName>
    <definedName name="У_Бух" localSheetId="8">#REF!</definedName>
    <definedName name="У_Бух" localSheetId="9">#REF!</definedName>
    <definedName name="У_Бух" localSheetId="10">#REF!</definedName>
    <definedName name="У_Бух" localSheetId="17">#REF!</definedName>
    <definedName name="У_Бух" localSheetId="18">#REF!</definedName>
    <definedName name="У_Бух" localSheetId="22">#REF!</definedName>
    <definedName name="У_Бух" localSheetId="23">#REF!</definedName>
    <definedName name="У_Бух" localSheetId="24">#REF!</definedName>
    <definedName name="У_Бух" localSheetId="28">#REF!</definedName>
    <definedName name="У_Бух" localSheetId="30">#REF!</definedName>
    <definedName name="У_Бух" localSheetId="31">#REF!</definedName>
    <definedName name="У_Бух" localSheetId="29">#REF!</definedName>
    <definedName name="У_Бух" localSheetId="2">#REF!</definedName>
    <definedName name="У_Бух" localSheetId="0">#REF!</definedName>
    <definedName name="У_Бух" localSheetId="1">#REF!</definedName>
    <definedName name="У_Бух" localSheetId="4">#REF!</definedName>
    <definedName name="У_Бух" localSheetId="5">#REF!</definedName>
    <definedName name="У_Бух" localSheetId="6">#REF!</definedName>
    <definedName name="У_Бух" localSheetId="16">#REF!</definedName>
    <definedName name="У_Бух" localSheetId="3">#REF!</definedName>
    <definedName name="У_Бух">#REF!</definedName>
    <definedName name="У_ГО" localSheetId="7">#REF!</definedName>
    <definedName name="У_ГО" localSheetId="8">#REF!</definedName>
    <definedName name="У_ГО" localSheetId="9">#REF!</definedName>
    <definedName name="У_ГО" localSheetId="10">#REF!</definedName>
    <definedName name="У_ГО" localSheetId="17">#REF!</definedName>
    <definedName name="У_ГО" localSheetId="18">#REF!</definedName>
    <definedName name="У_ГО" localSheetId="22">#REF!</definedName>
    <definedName name="У_ГО" localSheetId="23">#REF!</definedName>
    <definedName name="У_ГО" localSheetId="24">#REF!</definedName>
    <definedName name="У_ГО" localSheetId="28">#REF!</definedName>
    <definedName name="У_ГО" localSheetId="30">#REF!</definedName>
    <definedName name="У_ГО" localSheetId="31">#REF!</definedName>
    <definedName name="У_ГО" localSheetId="29">#REF!</definedName>
    <definedName name="У_ГО" localSheetId="2">#REF!</definedName>
    <definedName name="У_ГО" localSheetId="0">#REF!</definedName>
    <definedName name="У_ГО" localSheetId="1">#REF!</definedName>
    <definedName name="У_ГО" localSheetId="4">#REF!</definedName>
    <definedName name="У_ГО" localSheetId="5">#REF!</definedName>
    <definedName name="У_ГО" localSheetId="6">#REF!</definedName>
    <definedName name="У_ГО" localSheetId="16">#REF!</definedName>
    <definedName name="У_ГО" localSheetId="3">#REF!</definedName>
    <definedName name="У_ГО">#REF!</definedName>
    <definedName name="У_ДОУ" localSheetId="7">#REF!</definedName>
    <definedName name="У_ДОУ" localSheetId="8">#REF!</definedName>
    <definedName name="У_ДОУ" localSheetId="9">#REF!</definedName>
    <definedName name="У_ДОУ" localSheetId="10">#REF!</definedName>
    <definedName name="У_ДОУ" localSheetId="17">#REF!</definedName>
    <definedName name="У_ДОУ" localSheetId="18">#REF!</definedName>
    <definedName name="У_ДОУ" localSheetId="22">#REF!</definedName>
    <definedName name="У_ДОУ" localSheetId="23">#REF!</definedName>
    <definedName name="У_ДОУ" localSheetId="24">#REF!</definedName>
    <definedName name="У_ДОУ" localSheetId="28">#REF!</definedName>
    <definedName name="У_ДОУ" localSheetId="30">#REF!</definedName>
    <definedName name="У_ДОУ" localSheetId="31">#REF!</definedName>
    <definedName name="У_ДОУ" localSheetId="29">#REF!</definedName>
    <definedName name="У_ДОУ" localSheetId="2">#REF!</definedName>
    <definedName name="У_ДОУ" localSheetId="0">#REF!</definedName>
    <definedName name="У_ДОУ" localSheetId="1">#REF!</definedName>
    <definedName name="У_ДОУ" localSheetId="4">#REF!</definedName>
    <definedName name="У_ДОУ" localSheetId="5">#REF!</definedName>
    <definedName name="У_ДОУ" localSheetId="6">#REF!</definedName>
    <definedName name="У_ДОУ" localSheetId="16">#REF!</definedName>
    <definedName name="У_ДОУ" localSheetId="3">#REF!</definedName>
    <definedName name="У_ДОУ">#REF!</definedName>
    <definedName name="У_ИДС" localSheetId="7">#REF!</definedName>
    <definedName name="У_ИДС" localSheetId="8">#REF!</definedName>
    <definedName name="У_ИДС" localSheetId="9">#REF!</definedName>
    <definedName name="У_ИДС" localSheetId="10">#REF!</definedName>
    <definedName name="У_ИДС" localSheetId="17">#REF!</definedName>
    <definedName name="У_ИДС" localSheetId="18">#REF!</definedName>
    <definedName name="У_ИДС" localSheetId="22">#REF!</definedName>
    <definedName name="У_ИДС" localSheetId="23">#REF!</definedName>
    <definedName name="У_ИДС" localSheetId="24">#REF!</definedName>
    <definedName name="У_ИДС" localSheetId="28">#REF!</definedName>
    <definedName name="У_ИДС" localSheetId="30">#REF!</definedName>
    <definedName name="У_ИДС" localSheetId="31">#REF!</definedName>
    <definedName name="У_ИДС" localSheetId="29">#REF!</definedName>
    <definedName name="У_ИДС" localSheetId="2">#REF!</definedName>
    <definedName name="У_ИДС" localSheetId="0">#REF!</definedName>
    <definedName name="У_ИДС" localSheetId="1">#REF!</definedName>
    <definedName name="У_ИДС" localSheetId="4">#REF!</definedName>
    <definedName name="У_ИДС" localSheetId="5">#REF!</definedName>
    <definedName name="У_ИДС" localSheetId="6">#REF!</definedName>
    <definedName name="У_ИДС" localSheetId="16">#REF!</definedName>
    <definedName name="У_ИДС" localSheetId="3">#REF!</definedName>
    <definedName name="У_ИДС">#REF!</definedName>
    <definedName name="У_ИСУ" localSheetId="7">#REF!</definedName>
    <definedName name="У_ИСУ" localSheetId="8">#REF!</definedName>
    <definedName name="У_ИСУ" localSheetId="9">#REF!</definedName>
    <definedName name="У_ИСУ" localSheetId="10">#REF!</definedName>
    <definedName name="У_ИСУ" localSheetId="17">#REF!</definedName>
    <definedName name="У_ИСУ" localSheetId="18">#REF!</definedName>
    <definedName name="У_ИСУ" localSheetId="22">#REF!</definedName>
    <definedName name="У_ИСУ" localSheetId="23">#REF!</definedName>
    <definedName name="У_ИСУ" localSheetId="24">#REF!</definedName>
    <definedName name="У_ИСУ" localSheetId="28">#REF!</definedName>
    <definedName name="У_ИСУ" localSheetId="30">#REF!</definedName>
    <definedName name="У_ИСУ" localSheetId="31">#REF!</definedName>
    <definedName name="У_ИСУ" localSheetId="29">#REF!</definedName>
    <definedName name="У_ИСУ" localSheetId="2">#REF!</definedName>
    <definedName name="У_ИСУ" localSheetId="0">#REF!</definedName>
    <definedName name="У_ИСУ" localSheetId="1">#REF!</definedName>
    <definedName name="У_ИСУ" localSheetId="4">#REF!</definedName>
    <definedName name="У_ИСУ" localSheetId="5">#REF!</definedName>
    <definedName name="У_ИСУ" localSheetId="6">#REF!</definedName>
    <definedName name="У_ИСУ" localSheetId="16">#REF!</definedName>
    <definedName name="У_ИСУ" localSheetId="3">#REF!</definedName>
    <definedName name="У_ИСУ">#REF!</definedName>
    <definedName name="У_Общ" localSheetId="7">#REF!</definedName>
    <definedName name="У_Общ" localSheetId="8">#REF!</definedName>
    <definedName name="У_Общ" localSheetId="9">#REF!</definedName>
    <definedName name="У_Общ" localSheetId="10">#REF!</definedName>
    <definedName name="У_Общ" localSheetId="17">#REF!</definedName>
    <definedName name="У_Общ" localSheetId="18">#REF!</definedName>
    <definedName name="У_Общ" localSheetId="22">#REF!</definedName>
    <definedName name="У_Общ" localSheetId="23">#REF!</definedName>
    <definedName name="У_Общ" localSheetId="24">#REF!</definedName>
    <definedName name="У_Общ" localSheetId="28">#REF!</definedName>
    <definedName name="У_Общ" localSheetId="30">#REF!</definedName>
    <definedName name="У_Общ" localSheetId="31">#REF!</definedName>
    <definedName name="У_Общ" localSheetId="29">#REF!</definedName>
    <definedName name="У_Общ" localSheetId="2">#REF!</definedName>
    <definedName name="У_Общ" localSheetId="0">#REF!</definedName>
    <definedName name="У_Общ" localSheetId="1">#REF!</definedName>
    <definedName name="У_Общ" localSheetId="4">#REF!</definedName>
    <definedName name="У_Общ" localSheetId="5">#REF!</definedName>
    <definedName name="У_Общ" localSheetId="6">#REF!</definedName>
    <definedName name="У_Общ" localSheetId="16">#REF!</definedName>
    <definedName name="У_Общ" localSheetId="3">#REF!</definedName>
    <definedName name="У_Общ">#REF!</definedName>
    <definedName name="У_ОКС" localSheetId="7">#REF!</definedName>
    <definedName name="У_ОКС" localSheetId="8">#REF!</definedName>
    <definedName name="У_ОКС" localSheetId="9">#REF!</definedName>
    <definedName name="У_ОКС" localSheetId="10">#REF!</definedName>
    <definedName name="У_ОКС" localSheetId="17">#REF!</definedName>
    <definedName name="У_ОКС" localSheetId="18">#REF!</definedName>
    <definedName name="У_ОКС" localSheetId="22">#REF!</definedName>
    <definedName name="У_ОКС" localSheetId="23">#REF!</definedName>
    <definedName name="У_ОКС" localSheetId="24">#REF!</definedName>
    <definedName name="У_ОКС" localSheetId="28">#REF!</definedName>
    <definedName name="У_ОКС" localSheetId="30">#REF!</definedName>
    <definedName name="У_ОКС" localSheetId="31">#REF!</definedName>
    <definedName name="У_ОКС" localSheetId="29">#REF!</definedName>
    <definedName name="У_ОКС" localSheetId="2">#REF!</definedName>
    <definedName name="У_ОКС" localSheetId="0">#REF!</definedName>
    <definedName name="У_ОКС" localSheetId="1">#REF!</definedName>
    <definedName name="У_ОКС" localSheetId="4">#REF!</definedName>
    <definedName name="У_ОКС" localSheetId="5">#REF!</definedName>
    <definedName name="У_ОКС" localSheetId="6">#REF!</definedName>
    <definedName name="У_ОКС" localSheetId="16">#REF!</definedName>
    <definedName name="У_ОКС" localSheetId="3">#REF!</definedName>
    <definedName name="У_ОКС">#REF!</definedName>
    <definedName name="У_ОРУ" localSheetId="7">#REF!</definedName>
    <definedName name="У_ОРУ" localSheetId="8">#REF!</definedName>
    <definedName name="У_ОРУ" localSheetId="9">#REF!</definedName>
    <definedName name="У_ОРУ" localSheetId="10">#REF!</definedName>
    <definedName name="У_ОРУ" localSheetId="17">#REF!</definedName>
    <definedName name="У_ОРУ" localSheetId="18">#REF!</definedName>
    <definedName name="У_ОРУ" localSheetId="22">#REF!</definedName>
    <definedName name="У_ОРУ" localSheetId="23">#REF!</definedName>
    <definedName name="У_ОРУ" localSheetId="24">#REF!</definedName>
    <definedName name="У_ОРУ" localSheetId="28">#REF!</definedName>
    <definedName name="У_ОРУ" localSheetId="30">#REF!</definedName>
    <definedName name="У_ОРУ" localSheetId="31">#REF!</definedName>
    <definedName name="У_ОРУ" localSheetId="29">#REF!</definedName>
    <definedName name="У_ОРУ" localSheetId="2">#REF!</definedName>
    <definedName name="У_ОРУ" localSheetId="0">#REF!</definedName>
    <definedName name="У_ОРУ" localSheetId="1">#REF!</definedName>
    <definedName name="У_ОРУ" localSheetId="4">#REF!</definedName>
    <definedName name="У_ОРУ" localSheetId="5">#REF!</definedName>
    <definedName name="У_ОРУ" localSheetId="6">#REF!</definedName>
    <definedName name="У_ОРУ" localSheetId="16">#REF!</definedName>
    <definedName name="У_ОРУ" localSheetId="3">#REF!</definedName>
    <definedName name="У_ОРУ">#REF!</definedName>
    <definedName name="У_План" localSheetId="7">#REF!</definedName>
    <definedName name="У_План" localSheetId="8">#REF!</definedName>
    <definedName name="У_План" localSheetId="9">#REF!</definedName>
    <definedName name="У_План" localSheetId="10">#REF!</definedName>
    <definedName name="У_План" localSheetId="17">#REF!</definedName>
    <definedName name="У_План" localSheetId="18">#REF!</definedName>
    <definedName name="У_План" localSheetId="22">#REF!</definedName>
    <definedName name="У_План" localSheetId="23">#REF!</definedName>
    <definedName name="У_План" localSheetId="24">#REF!</definedName>
    <definedName name="У_План" localSheetId="28">#REF!</definedName>
    <definedName name="У_План" localSheetId="30">#REF!</definedName>
    <definedName name="У_План" localSheetId="31">#REF!</definedName>
    <definedName name="У_План" localSheetId="29">#REF!</definedName>
    <definedName name="У_План" localSheetId="2">#REF!</definedName>
    <definedName name="У_План" localSheetId="0">#REF!</definedName>
    <definedName name="У_План" localSheetId="1">#REF!</definedName>
    <definedName name="У_План" localSheetId="4">#REF!</definedName>
    <definedName name="У_План" localSheetId="5">#REF!</definedName>
    <definedName name="У_План" localSheetId="6">#REF!</definedName>
    <definedName name="У_План" localSheetId="16">#REF!</definedName>
    <definedName name="У_План" localSheetId="3">#REF!</definedName>
    <definedName name="У_План">#REF!</definedName>
    <definedName name="У_ПТС" localSheetId="7">#REF!</definedName>
    <definedName name="У_ПТС" localSheetId="8">#REF!</definedName>
    <definedName name="У_ПТС" localSheetId="9">#REF!</definedName>
    <definedName name="У_ПТС" localSheetId="10">#REF!</definedName>
    <definedName name="У_ПТС" localSheetId="17">#REF!</definedName>
    <definedName name="У_ПТС" localSheetId="18">#REF!</definedName>
    <definedName name="У_ПТС" localSheetId="22">#REF!</definedName>
    <definedName name="У_ПТС" localSheetId="23">#REF!</definedName>
    <definedName name="У_ПТС" localSheetId="24">#REF!</definedName>
    <definedName name="У_ПТС" localSheetId="28">#REF!</definedName>
    <definedName name="У_ПТС" localSheetId="30">#REF!</definedName>
    <definedName name="У_ПТС" localSheetId="31">#REF!</definedName>
    <definedName name="У_ПТС" localSheetId="29">#REF!</definedName>
    <definedName name="У_ПТС" localSheetId="2">#REF!</definedName>
    <definedName name="У_ПТС" localSheetId="0">#REF!</definedName>
    <definedName name="У_ПТС" localSheetId="1">#REF!</definedName>
    <definedName name="У_ПТС" localSheetId="4">#REF!</definedName>
    <definedName name="У_ПТС" localSheetId="5">#REF!</definedName>
    <definedName name="У_ПТС" localSheetId="6">#REF!</definedName>
    <definedName name="У_ПТС" localSheetId="16">#REF!</definedName>
    <definedName name="У_ПТС" localSheetId="3">#REF!</definedName>
    <definedName name="У_ПТС">#REF!</definedName>
    <definedName name="У_РЗАИ" localSheetId="7">#REF!</definedName>
    <definedName name="У_РЗАИ" localSheetId="8">#REF!</definedName>
    <definedName name="У_РЗАИ" localSheetId="9">#REF!</definedName>
    <definedName name="У_РЗАИ" localSheetId="10">#REF!</definedName>
    <definedName name="У_РЗАИ" localSheetId="17">#REF!</definedName>
    <definedName name="У_РЗАИ" localSheetId="18">#REF!</definedName>
    <definedName name="У_РЗАИ" localSheetId="22">#REF!</definedName>
    <definedName name="У_РЗАИ" localSheetId="23">#REF!</definedName>
    <definedName name="У_РЗАИ" localSheetId="24">#REF!</definedName>
    <definedName name="У_РЗАИ" localSheetId="28">#REF!</definedName>
    <definedName name="У_РЗАИ" localSheetId="30">#REF!</definedName>
    <definedName name="У_РЗАИ" localSheetId="31">#REF!</definedName>
    <definedName name="У_РЗАИ" localSheetId="29">#REF!</definedName>
    <definedName name="У_РЗАИ" localSheetId="2">#REF!</definedName>
    <definedName name="У_РЗАИ" localSheetId="0">#REF!</definedName>
    <definedName name="У_РЗАИ" localSheetId="1">#REF!</definedName>
    <definedName name="У_РЗАИ" localSheetId="4">#REF!</definedName>
    <definedName name="У_РЗАИ" localSheetId="5">#REF!</definedName>
    <definedName name="У_РЗАИ" localSheetId="6">#REF!</definedName>
    <definedName name="У_РЗАИ" localSheetId="16">#REF!</definedName>
    <definedName name="У_РЗАИ" localSheetId="3">#REF!</definedName>
    <definedName name="У_РЗАИ">#REF!</definedName>
    <definedName name="У_СБИПА" localSheetId="7">#REF!</definedName>
    <definedName name="У_СБИПА" localSheetId="8">#REF!</definedName>
    <definedName name="У_СБИПА" localSheetId="9">#REF!</definedName>
    <definedName name="У_СБИПА" localSheetId="10">#REF!</definedName>
    <definedName name="У_СБИПА" localSheetId="17">#REF!</definedName>
    <definedName name="У_СБИПА" localSheetId="18">#REF!</definedName>
    <definedName name="У_СБИПА" localSheetId="22">#REF!</definedName>
    <definedName name="У_СБИПА" localSheetId="23">#REF!</definedName>
    <definedName name="У_СБИПА" localSheetId="24">#REF!</definedName>
    <definedName name="У_СБИПА" localSheetId="28">#REF!</definedName>
    <definedName name="У_СБИПА" localSheetId="30">#REF!</definedName>
    <definedName name="У_СБИПА" localSheetId="31">#REF!</definedName>
    <definedName name="У_СБИПА" localSheetId="29">#REF!</definedName>
    <definedName name="У_СБИПА" localSheetId="2">#REF!</definedName>
    <definedName name="У_СБИПА" localSheetId="0">#REF!</definedName>
    <definedName name="У_СБИПА" localSheetId="1">#REF!</definedName>
    <definedName name="У_СБИПА" localSheetId="4">#REF!</definedName>
    <definedName name="У_СБИПА" localSheetId="5">#REF!</definedName>
    <definedName name="У_СБИПА" localSheetId="6">#REF!</definedName>
    <definedName name="У_СБИПА" localSheetId="16">#REF!</definedName>
    <definedName name="У_СБИПА" localSheetId="3">#REF!</definedName>
    <definedName name="У_СБИПА">#REF!</definedName>
    <definedName name="У_СМ" localSheetId="7">#REF!</definedName>
    <definedName name="У_СМ" localSheetId="8">#REF!</definedName>
    <definedName name="У_СМ" localSheetId="9">#REF!</definedName>
    <definedName name="У_СМ" localSheetId="10">#REF!</definedName>
    <definedName name="У_СМ" localSheetId="17">#REF!</definedName>
    <definedName name="У_СМ" localSheetId="18">#REF!</definedName>
    <definedName name="У_СМ" localSheetId="22">#REF!</definedName>
    <definedName name="У_СМ" localSheetId="23">#REF!</definedName>
    <definedName name="У_СМ" localSheetId="24">#REF!</definedName>
    <definedName name="У_СМ" localSheetId="28">#REF!</definedName>
    <definedName name="У_СМ" localSheetId="30">#REF!</definedName>
    <definedName name="У_СМ" localSheetId="31">#REF!</definedName>
    <definedName name="У_СМ" localSheetId="29">#REF!</definedName>
    <definedName name="У_СМ" localSheetId="2">#REF!</definedName>
    <definedName name="У_СМ" localSheetId="0">#REF!</definedName>
    <definedName name="У_СМ" localSheetId="1">#REF!</definedName>
    <definedName name="У_СМ" localSheetId="4">#REF!</definedName>
    <definedName name="У_СМ" localSheetId="5">#REF!</definedName>
    <definedName name="У_СМ" localSheetId="6">#REF!</definedName>
    <definedName name="У_СМ" localSheetId="16">#REF!</definedName>
    <definedName name="У_СМ" localSheetId="3">#REF!</definedName>
    <definedName name="У_СМ">#REF!</definedName>
    <definedName name="У_СМТС" localSheetId="7">#REF!</definedName>
    <definedName name="У_СМТС" localSheetId="8">#REF!</definedName>
    <definedName name="У_СМТС" localSheetId="9">#REF!</definedName>
    <definedName name="У_СМТС" localSheetId="10">#REF!</definedName>
    <definedName name="У_СМТС" localSheetId="17">#REF!</definedName>
    <definedName name="У_СМТС" localSheetId="18">#REF!</definedName>
    <definedName name="У_СМТС" localSheetId="22">#REF!</definedName>
    <definedName name="У_СМТС" localSheetId="23">#REF!</definedName>
    <definedName name="У_СМТС" localSheetId="24">#REF!</definedName>
    <definedName name="У_СМТС" localSheetId="28">#REF!</definedName>
    <definedName name="У_СМТС" localSheetId="30">#REF!</definedName>
    <definedName name="У_СМТС" localSheetId="31">#REF!</definedName>
    <definedName name="У_СМТС" localSheetId="29">#REF!</definedName>
    <definedName name="У_СМТС" localSheetId="2">#REF!</definedName>
    <definedName name="У_СМТС" localSheetId="0">#REF!</definedName>
    <definedName name="У_СМТС" localSheetId="1">#REF!</definedName>
    <definedName name="У_СМТС" localSheetId="4">#REF!</definedName>
    <definedName name="У_СМТС" localSheetId="5">#REF!</definedName>
    <definedName name="У_СМТС" localSheetId="6">#REF!</definedName>
    <definedName name="У_СМТС" localSheetId="16">#REF!</definedName>
    <definedName name="У_СМТС" localSheetId="3">#REF!</definedName>
    <definedName name="У_СМТС">#REF!</definedName>
    <definedName name="У_СОПР" localSheetId="7">#REF!</definedName>
    <definedName name="У_СОПР" localSheetId="8">#REF!</definedName>
    <definedName name="У_СОПР" localSheetId="9">#REF!</definedName>
    <definedName name="У_СОПР" localSheetId="10">#REF!</definedName>
    <definedName name="У_СОПР" localSheetId="17">#REF!</definedName>
    <definedName name="У_СОПР" localSheetId="18">#REF!</definedName>
    <definedName name="У_СОПР" localSheetId="22">#REF!</definedName>
    <definedName name="У_СОПР" localSheetId="23">#REF!</definedName>
    <definedName name="У_СОПР" localSheetId="24">#REF!</definedName>
    <definedName name="У_СОПР" localSheetId="28">#REF!</definedName>
    <definedName name="У_СОПР" localSheetId="30">#REF!</definedName>
    <definedName name="У_СОПР" localSheetId="31">#REF!</definedName>
    <definedName name="У_СОПР" localSheetId="29">#REF!</definedName>
    <definedName name="У_СОПР" localSheetId="2">#REF!</definedName>
    <definedName name="У_СОПР" localSheetId="0">#REF!</definedName>
    <definedName name="У_СОПР" localSheetId="1">#REF!</definedName>
    <definedName name="У_СОПР" localSheetId="4">#REF!</definedName>
    <definedName name="У_СОПР" localSheetId="5">#REF!</definedName>
    <definedName name="У_СОПР" localSheetId="6">#REF!</definedName>
    <definedName name="У_СОПР" localSheetId="16">#REF!</definedName>
    <definedName name="У_СОПР" localSheetId="3">#REF!</definedName>
    <definedName name="У_СОПР">#REF!</definedName>
    <definedName name="У_СОТН" localSheetId="7">#REF!</definedName>
    <definedName name="У_СОТН" localSheetId="8">#REF!</definedName>
    <definedName name="У_СОТН" localSheetId="9">#REF!</definedName>
    <definedName name="У_СОТН" localSheetId="10">#REF!</definedName>
    <definedName name="У_СОТН" localSheetId="17">#REF!</definedName>
    <definedName name="У_СОТН" localSheetId="18">#REF!</definedName>
    <definedName name="У_СОТН" localSheetId="22">#REF!</definedName>
    <definedName name="У_СОТН" localSheetId="23">#REF!</definedName>
    <definedName name="У_СОТН" localSheetId="24">#REF!</definedName>
    <definedName name="У_СОТН" localSheetId="28">#REF!</definedName>
    <definedName name="У_СОТН" localSheetId="30">#REF!</definedName>
    <definedName name="У_СОТН" localSheetId="31">#REF!</definedName>
    <definedName name="У_СОТН" localSheetId="29">#REF!</definedName>
    <definedName name="У_СОТН" localSheetId="2">#REF!</definedName>
    <definedName name="У_СОТН" localSheetId="0">#REF!</definedName>
    <definedName name="У_СОТН" localSheetId="1">#REF!</definedName>
    <definedName name="У_СОТН" localSheetId="4">#REF!</definedName>
    <definedName name="У_СОТН" localSheetId="5">#REF!</definedName>
    <definedName name="У_СОТН" localSheetId="6">#REF!</definedName>
    <definedName name="У_СОТН" localSheetId="16">#REF!</definedName>
    <definedName name="У_СОТН" localSheetId="3">#REF!</definedName>
    <definedName name="У_СОТН">#REF!</definedName>
    <definedName name="У_СПР" localSheetId="7">#REF!</definedName>
    <definedName name="У_СПР" localSheetId="8">#REF!</definedName>
    <definedName name="У_СПР" localSheetId="9">#REF!</definedName>
    <definedName name="У_СПР" localSheetId="10">#REF!</definedName>
    <definedName name="У_СПР" localSheetId="17">#REF!</definedName>
    <definedName name="У_СПР" localSheetId="18">#REF!</definedName>
    <definedName name="У_СПР" localSheetId="22">#REF!</definedName>
    <definedName name="У_СПР" localSheetId="23">#REF!</definedName>
    <definedName name="У_СПР" localSheetId="24">#REF!</definedName>
    <definedName name="У_СПР" localSheetId="28">#REF!</definedName>
    <definedName name="У_СПР" localSheetId="30">#REF!</definedName>
    <definedName name="У_СПР" localSheetId="31">#REF!</definedName>
    <definedName name="У_СПР" localSheetId="29">#REF!</definedName>
    <definedName name="У_СПР" localSheetId="2">#REF!</definedName>
    <definedName name="У_СПР" localSheetId="0">#REF!</definedName>
    <definedName name="У_СПР" localSheetId="1">#REF!</definedName>
    <definedName name="У_СПР" localSheetId="4">#REF!</definedName>
    <definedName name="У_СПР" localSheetId="5">#REF!</definedName>
    <definedName name="У_СПР" localSheetId="6">#REF!</definedName>
    <definedName name="У_СПР" localSheetId="16">#REF!</definedName>
    <definedName name="У_СПР" localSheetId="3">#REF!</definedName>
    <definedName name="У_СПР">#REF!</definedName>
    <definedName name="У_СТИС" localSheetId="7">#REF!</definedName>
    <definedName name="У_СТИС" localSheetId="8">#REF!</definedName>
    <definedName name="У_СТИС" localSheetId="9">#REF!</definedName>
    <definedName name="У_СТИС" localSheetId="10">#REF!</definedName>
    <definedName name="У_СТИС" localSheetId="17">#REF!</definedName>
    <definedName name="У_СТИС" localSheetId="18">#REF!</definedName>
    <definedName name="У_СТИС" localSheetId="22">#REF!</definedName>
    <definedName name="У_СТИС" localSheetId="23">#REF!</definedName>
    <definedName name="У_СТИС" localSheetId="24">#REF!</definedName>
    <definedName name="У_СТИС" localSheetId="28">#REF!</definedName>
    <definedName name="У_СТИС" localSheetId="30">#REF!</definedName>
    <definedName name="У_СТИС" localSheetId="31">#REF!</definedName>
    <definedName name="У_СТИС" localSheetId="29">#REF!</definedName>
    <definedName name="У_СТИС" localSheetId="2">#REF!</definedName>
    <definedName name="У_СТИС" localSheetId="0">#REF!</definedName>
    <definedName name="У_СТИС" localSheetId="1">#REF!</definedName>
    <definedName name="У_СТИС" localSheetId="4">#REF!</definedName>
    <definedName name="У_СТИС" localSheetId="5">#REF!</definedName>
    <definedName name="У_СТИС" localSheetId="6">#REF!</definedName>
    <definedName name="У_СТИС" localSheetId="16">#REF!</definedName>
    <definedName name="У_СТИС" localSheetId="3">#REF!</definedName>
    <definedName name="У_СТИС">#REF!</definedName>
    <definedName name="У_СТП" localSheetId="7">#REF!</definedName>
    <definedName name="У_СТП" localSheetId="8">#REF!</definedName>
    <definedName name="У_СТП" localSheetId="9">#REF!</definedName>
    <definedName name="У_СТП" localSheetId="10">#REF!</definedName>
    <definedName name="У_СТП" localSheetId="17">#REF!</definedName>
    <definedName name="У_СТП" localSheetId="18">#REF!</definedName>
    <definedName name="У_СТП" localSheetId="22">#REF!</definedName>
    <definedName name="У_СТП" localSheetId="23">#REF!</definedName>
    <definedName name="У_СТП" localSheetId="24">#REF!</definedName>
    <definedName name="У_СТП" localSheetId="28">#REF!</definedName>
    <definedName name="У_СТП" localSheetId="30">#REF!</definedName>
    <definedName name="У_СТП" localSheetId="31">#REF!</definedName>
    <definedName name="У_СТП" localSheetId="29">#REF!</definedName>
    <definedName name="У_СТП" localSheetId="2">#REF!</definedName>
    <definedName name="У_СТП" localSheetId="0">#REF!</definedName>
    <definedName name="У_СТП" localSheetId="1">#REF!</definedName>
    <definedName name="У_СТП" localSheetId="4">#REF!</definedName>
    <definedName name="У_СТП" localSheetId="5">#REF!</definedName>
    <definedName name="У_СТП" localSheetId="6">#REF!</definedName>
    <definedName name="У_СТП" localSheetId="16">#REF!</definedName>
    <definedName name="У_СТП" localSheetId="3">#REF!</definedName>
    <definedName name="У_СТП">#REF!</definedName>
    <definedName name="У_СУиККЭ" localSheetId="7">#REF!</definedName>
    <definedName name="У_СУиККЭ" localSheetId="8">#REF!</definedName>
    <definedName name="У_СУиККЭ" localSheetId="9">#REF!</definedName>
    <definedName name="У_СУиККЭ" localSheetId="10">#REF!</definedName>
    <definedName name="У_СУиККЭ" localSheetId="17">#REF!</definedName>
    <definedName name="У_СУиККЭ" localSheetId="18">#REF!</definedName>
    <definedName name="У_СУиККЭ" localSheetId="22">#REF!</definedName>
    <definedName name="У_СУиККЭ" localSheetId="23">#REF!</definedName>
    <definedName name="У_СУиККЭ" localSheetId="24">#REF!</definedName>
    <definedName name="У_СУиККЭ" localSheetId="28">#REF!</definedName>
    <definedName name="У_СУиККЭ" localSheetId="30">#REF!</definedName>
    <definedName name="У_СУиККЭ" localSheetId="31">#REF!</definedName>
    <definedName name="У_СУиККЭ" localSheetId="29">#REF!</definedName>
    <definedName name="У_СУиККЭ" localSheetId="2">#REF!</definedName>
    <definedName name="У_СУиККЭ" localSheetId="0">#REF!</definedName>
    <definedName name="У_СУиККЭ" localSheetId="1">#REF!</definedName>
    <definedName name="У_СУиККЭ" localSheetId="4">#REF!</definedName>
    <definedName name="У_СУиККЭ" localSheetId="5">#REF!</definedName>
    <definedName name="У_СУиККЭ" localSheetId="6">#REF!</definedName>
    <definedName name="У_СУиККЭ" localSheetId="16">#REF!</definedName>
    <definedName name="У_СУиККЭ" localSheetId="3">#REF!</definedName>
    <definedName name="У_СУиККЭ">#REF!</definedName>
    <definedName name="У_СУПС" localSheetId="7">#REF!</definedName>
    <definedName name="У_СУПС" localSheetId="8">#REF!</definedName>
    <definedName name="У_СУПС" localSheetId="9">#REF!</definedName>
    <definedName name="У_СУПС" localSheetId="10">#REF!</definedName>
    <definedName name="У_СУПС" localSheetId="17">#REF!</definedName>
    <definedName name="У_СУПС" localSheetId="18">#REF!</definedName>
    <definedName name="У_СУПС" localSheetId="22">#REF!</definedName>
    <definedName name="У_СУПС" localSheetId="23">#REF!</definedName>
    <definedName name="У_СУПС" localSheetId="24">#REF!</definedName>
    <definedName name="У_СУПС" localSheetId="28">#REF!</definedName>
    <definedName name="У_СУПС" localSheetId="30">#REF!</definedName>
    <definedName name="У_СУПС" localSheetId="31">#REF!</definedName>
    <definedName name="У_СУПС" localSheetId="29">#REF!</definedName>
    <definedName name="У_СУПС" localSheetId="2">#REF!</definedName>
    <definedName name="У_СУПС" localSheetId="0">#REF!</definedName>
    <definedName name="У_СУПС" localSheetId="1">#REF!</definedName>
    <definedName name="У_СУПС" localSheetId="4">#REF!</definedName>
    <definedName name="У_СУПС" localSheetId="5">#REF!</definedName>
    <definedName name="У_СУПС" localSheetId="6">#REF!</definedName>
    <definedName name="У_СУПС" localSheetId="16">#REF!</definedName>
    <definedName name="У_СУПС" localSheetId="3">#REF!</definedName>
    <definedName name="У_СУПС">#REF!</definedName>
    <definedName name="У_СЭ" localSheetId="7">#REF!</definedName>
    <definedName name="У_СЭ" localSheetId="8">#REF!</definedName>
    <definedName name="У_СЭ" localSheetId="9">#REF!</definedName>
    <definedName name="У_СЭ" localSheetId="10">#REF!</definedName>
    <definedName name="У_СЭ" localSheetId="17">#REF!</definedName>
    <definedName name="У_СЭ" localSheetId="18">#REF!</definedName>
    <definedName name="У_СЭ" localSheetId="22">#REF!</definedName>
    <definedName name="У_СЭ" localSheetId="23">#REF!</definedName>
    <definedName name="У_СЭ" localSheetId="24">#REF!</definedName>
    <definedName name="У_СЭ" localSheetId="28">#REF!</definedName>
    <definedName name="У_СЭ" localSheetId="30">#REF!</definedName>
    <definedName name="У_СЭ" localSheetId="31">#REF!</definedName>
    <definedName name="У_СЭ" localSheetId="29">#REF!</definedName>
    <definedName name="У_СЭ" localSheetId="2">#REF!</definedName>
    <definedName name="У_СЭ" localSheetId="0">#REF!</definedName>
    <definedName name="У_СЭ" localSheetId="1">#REF!</definedName>
    <definedName name="У_СЭ" localSheetId="4">#REF!</definedName>
    <definedName name="У_СЭ" localSheetId="5">#REF!</definedName>
    <definedName name="У_СЭ" localSheetId="6">#REF!</definedName>
    <definedName name="У_СЭ" localSheetId="16">#REF!</definedName>
    <definedName name="У_СЭ" localSheetId="3">#REF!</definedName>
    <definedName name="У_СЭ">#REF!</definedName>
    <definedName name="У_ТГ" localSheetId="7">#REF!</definedName>
    <definedName name="У_ТГ" localSheetId="8">#REF!</definedName>
    <definedName name="У_ТГ" localSheetId="9">#REF!</definedName>
    <definedName name="У_ТГ" localSheetId="10">#REF!</definedName>
    <definedName name="У_ТГ" localSheetId="17">#REF!</definedName>
    <definedName name="У_ТГ" localSheetId="18">#REF!</definedName>
    <definedName name="У_ТГ" localSheetId="22">#REF!</definedName>
    <definedName name="У_ТГ" localSheetId="23">#REF!</definedName>
    <definedName name="У_ТГ" localSheetId="24">#REF!</definedName>
    <definedName name="У_ТГ" localSheetId="28">#REF!</definedName>
    <definedName name="У_ТГ" localSheetId="30">#REF!</definedName>
    <definedName name="У_ТГ" localSheetId="31">#REF!</definedName>
    <definedName name="У_ТГ" localSheetId="29">#REF!</definedName>
    <definedName name="У_ТГ" localSheetId="2">#REF!</definedName>
    <definedName name="У_ТГ" localSheetId="0">#REF!</definedName>
    <definedName name="У_ТГ" localSheetId="1">#REF!</definedName>
    <definedName name="У_ТГ" localSheetId="4">#REF!</definedName>
    <definedName name="У_ТГ" localSheetId="5">#REF!</definedName>
    <definedName name="У_ТГ" localSheetId="6">#REF!</definedName>
    <definedName name="У_ТГ" localSheetId="16">#REF!</definedName>
    <definedName name="У_ТГ" localSheetId="3">#REF!</definedName>
    <definedName name="У_ТГ">#REF!</definedName>
    <definedName name="У_УП" localSheetId="7">#REF!</definedName>
    <definedName name="У_УП" localSheetId="8">#REF!</definedName>
    <definedName name="У_УП" localSheetId="9">#REF!</definedName>
    <definedName name="У_УП" localSheetId="10">#REF!</definedName>
    <definedName name="У_УП" localSheetId="17">#REF!</definedName>
    <definedName name="У_УП" localSheetId="18">#REF!</definedName>
    <definedName name="У_УП" localSheetId="22">#REF!</definedName>
    <definedName name="У_УП" localSheetId="23">#REF!</definedName>
    <definedName name="У_УП" localSheetId="24">#REF!</definedName>
    <definedName name="У_УП" localSheetId="28">#REF!</definedName>
    <definedName name="У_УП" localSheetId="30">#REF!</definedName>
    <definedName name="У_УП" localSheetId="31">#REF!</definedName>
    <definedName name="У_УП" localSheetId="29">#REF!</definedName>
    <definedName name="У_УП" localSheetId="2">#REF!</definedName>
    <definedName name="У_УП" localSheetId="0">#REF!</definedName>
    <definedName name="У_УП" localSheetId="1">#REF!</definedName>
    <definedName name="У_УП" localSheetId="4">#REF!</definedName>
    <definedName name="У_УП" localSheetId="5">#REF!</definedName>
    <definedName name="У_УП" localSheetId="6">#REF!</definedName>
    <definedName name="У_УП" localSheetId="16">#REF!</definedName>
    <definedName name="У_УП" localSheetId="3">#REF!</definedName>
    <definedName name="У_УП">#REF!</definedName>
    <definedName name="У_Фин" localSheetId="7">#REF!</definedName>
    <definedName name="У_Фин" localSheetId="8">#REF!</definedName>
    <definedName name="У_Фин" localSheetId="9">#REF!</definedName>
    <definedName name="У_Фин" localSheetId="10">#REF!</definedName>
    <definedName name="У_Фин" localSheetId="17">#REF!</definedName>
    <definedName name="У_Фин" localSheetId="18">#REF!</definedName>
    <definedName name="У_Фин" localSheetId="22">#REF!</definedName>
    <definedName name="У_Фин" localSheetId="23">#REF!</definedName>
    <definedName name="У_Фин" localSheetId="24">#REF!</definedName>
    <definedName name="У_Фин" localSheetId="28">#REF!</definedName>
    <definedName name="У_Фин" localSheetId="30">#REF!</definedName>
    <definedName name="У_Фин" localSheetId="31">#REF!</definedName>
    <definedName name="У_Фин" localSheetId="29">#REF!</definedName>
    <definedName name="У_Фин" localSheetId="2">#REF!</definedName>
    <definedName name="У_Фин" localSheetId="0">#REF!</definedName>
    <definedName name="У_Фин" localSheetId="1">#REF!</definedName>
    <definedName name="У_Фин" localSheetId="4">#REF!</definedName>
    <definedName name="У_Фин" localSheetId="5">#REF!</definedName>
    <definedName name="У_Фин" localSheetId="6">#REF!</definedName>
    <definedName name="У_Фин" localSheetId="16">#REF!</definedName>
    <definedName name="У_Фин" localSheetId="3">#REF!</definedName>
    <definedName name="У_Фин">#REF!</definedName>
    <definedName name="У_ЦСИЗП" localSheetId="7">#REF!</definedName>
    <definedName name="У_ЦСИЗП" localSheetId="8">#REF!</definedName>
    <definedName name="У_ЦСИЗП" localSheetId="9">#REF!</definedName>
    <definedName name="У_ЦСИЗП" localSheetId="10">#REF!</definedName>
    <definedName name="У_ЦСИЗП" localSheetId="17">#REF!</definedName>
    <definedName name="У_ЦСИЗП" localSheetId="18">#REF!</definedName>
    <definedName name="У_ЦСИЗП" localSheetId="22">#REF!</definedName>
    <definedName name="У_ЦСИЗП" localSheetId="23">#REF!</definedName>
    <definedName name="У_ЦСИЗП" localSheetId="24">#REF!</definedName>
    <definedName name="У_ЦСИЗП" localSheetId="28">#REF!</definedName>
    <definedName name="У_ЦСИЗП" localSheetId="30">#REF!</definedName>
    <definedName name="У_ЦСИЗП" localSheetId="31">#REF!</definedName>
    <definedName name="У_ЦСИЗП" localSheetId="29">#REF!</definedName>
    <definedName name="У_ЦСИЗП" localSheetId="2">#REF!</definedName>
    <definedName name="У_ЦСИЗП" localSheetId="0">#REF!</definedName>
    <definedName name="У_ЦСИЗП" localSheetId="1">#REF!</definedName>
    <definedName name="У_ЦСИЗП" localSheetId="4">#REF!</definedName>
    <definedName name="У_ЦСИЗП" localSheetId="5">#REF!</definedName>
    <definedName name="У_ЦСИЗП" localSheetId="6">#REF!</definedName>
    <definedName name="У_ЦСИЗП" localSheetId="16">#REF!</definedName>
    <definedName name="У_ЦСИЗП" localSheetId="3">#REF!</definedName>
    <definedName name="У_ЦСИЗП">#REF!</definedName>
    <definedName name="У_Юр" localSheetId="7">#REF!</definedName>
    <definedName name="У_Юр" localSheetId="8">#REF!</definedName>
    <definedName name="У_Юр" localSheetId="9">#REF!</definedName>
    <definedName name="У_Юр" localSheetId="10">#REF!</definedName>
    <definedName name="У_Юр" localSheetId="17">#REF!</definedName>
    <definedName name="У_Юр" localSheetId="18">#REF!</definedName>
    <definedName name="У_Юр" localSheetId="22">#REF!</definedName>
    <definedName name="У_Юр" localSheetId="23">#REF!</definedName>
    <definedName name="У_Юр" localSheetId="24">#REF!</definedName>
    <definedName name="У_Юр" localSheetId="28">#REF!</definedName>
    <definedName name="У_Юр" localSheetId="30">#REF!</definedName>
    <definedName name="У_Юр" localSheetId="31">#REF!</definedName>
    <definedName name="У_Юр" localSheetId="29">#REF!</definedName>
    <definedName name="У_Юр" localSheetId="2">#REF!</definedName>
    <definedName name="У_Юр" localSheetId="0">#REF!</definedName>
    <definedName name="У_Юр" localSheetId="1">#REF!</definedName>
    <definedName name="У_Юр" localSheetId="4">#REF!</definedName>
    <definedName name="У_Юр" localSheetId="5">#REF!</definedName>
    <definedName name="У_Юр" localSheetId="6">#REF!</definedName>
    <definedName name="У_Юр" localSheetId="16">#REF!</definedName>
    <definedName name="У_Юр" localSheetId="3">#REF!</definedName>
    <definedName name="У_Юр">#REF!</definedName>
    <definedName name="Ц_ГПО" localSheetId="7">#REF!</definedName>
    <definedName name="Ц_ГПО" localSheetId="8">#REF!</definedName>
    <definedName name="Ц_ГПО" localSheetId="9">#REF!</definedName>
    <definedName name="Ц_ГПО" localSheetId="10">#REF!</definedName>
    <definedName name="Ц_ГПО" localSheetId="17">#REF!</definedName>
    <definedName name="Ц_ГПО" localSheetId="18">#REF!</definedName>
    <definedName name="Ц_ГПО" localSheetId="22">#REF!</definedName>
    <definedName name="Ц_ГПО" localSheetId="23">#REF!</definedName>
    <definedName name="Ц_ГПО" localSheetId="24">#REF!</definedName>
    <definedName name="Ц_ГПО" localSheetId="28">#REF!</definedName>
    <definedName name="Ц_ГПО" localSheetId="30">#REF!</definedName>
    <definedName name="Ц_ГПО" localSheetId="31">#REF!</definedName>
    <definedName name="Ц_ГПО" localSheetId="29">#REF!</definedName>
    <definedName name="Ц_ГПО" localSheetId="2">#REF!</definedName>
    <definedName name="Ц_ГПО" localSheetId="0">#REF!</definedName>
    <definedName name="Ц_ГПО" localSheetId="1">#REF!</definedName>
    <definedName name="Ц_ГПО" localSheetId="4">#REF!</definedName>
    <definedName name="Ц_ГПО" localSheetId="5">#REF!</definedName>
    <definedName name="Ц_ГПО" localSheetId="6">#REF!</definedName>
    <definedName name="Ц_ГПО" localSheetId="16">#REF!</definedName>
    <definedName name="Ц_ГПО" localSheetId="3">#REF!</definedName>
    <definedName name="Ц_ГПО">#REF!</definedName>
    <definedName name="Ц_ОДС" localSheetId="7">#REF!</definedName>
    <definedName name="Ц_ОДС" localSheetId="8">#REF!</definedName>
    <definedName name="Ц_ОДС" localSheetId="9">#REF!</definedName>
    <definedName name="Ц_ОДС" localSheetId="10">#REF!</definedName>
    <definedName name="Ц_ОДС" localSheetId="17">#REF!</definedName>
    <definedName name="Ц_ОДС" localSheetId="18">#REF!</definedName>
    <definedName name="Ц_ОДС" localSheetId="22">#REF!</definedName>
    <definedName name="Ц_ОДС" localSheetId="23">#REF!</definedName>
    <definedName name="Ц_ОДС" localSheetId="24">#REF!</definedName>
    <definedName name="Ц_ОДС" localSheetId="28">#REF!</definedName>
    <definedName name="Ц_ОДС" localSheetId="30">#REF!</definedName>
    <definedName name="Ц_ОДС" localSheetId="31">#REF!</definedName>
    <definedName name="Ц_ОДС" localSheetId="29">#REF!</definedName>
    <definedName name="Ц_ОДС" localSheetId="2">#REF!</definedName>
    <definedName name="Ц_ОДС" localSheetId="0">#REF!</definedName>
    <definedName name="Ц_ОДС" localSheetId="1">#REF!</definedName>
    <definedName name="Ц_ОДС" localSheetId="4">#REF!</definedName>
    <definedName name="Ц_ОДС" localSheetId="5">#REF!</definedName>
    <definedName name="Ц_ОДС" localSheetId="6">#REF!</definedName>
    <definedName name="Ц_ОДС" localSheetId="16">#REF!</definedName>
    <definedName name="Ц_ОДС" localSheetId="3">#REF!</definedName>
    <definedName name="Ц_ОДС">#REF!</definedName>
    <definedName name="Ц_РЗАИ" localSheetId="7">#REF!</definedName>
    <definedName name="Ц_РЗАИ" localSheetId="8">#REF!</definedName>
    <definedName name="Ц_РЗАИ" localSheetId="9">#REF!</definedName>
    <definedName name="Ц_РЗАИ" localSheetId="10">#REF!</definedName>
    <definedName name="Ц_РЗАИ" localSheetId="17">#REF!</definedName>
    <definedName name="Ц_РЗАИ" localSheetId="18">#REF!</definedName>
    <definedName name="Ц_РЗАИ" localSheetId="22">#REF!</definedName>
    <definedName name="Ц_РЗАИ" localSheetId="23">#REF!</definedName>
    <definedName name="Ц_РЗАИ" localSheetId="24">#REF!</definedName>
    <definedName name="Ц_РЗАИ" localSheetId="28">#REF!</definedName>
    <definedName name="Ц_РЗАИ" localSheetId="30">#REF!</definedName>
    <definedName name="Ц_РЗАИ" localSheetId="31">#REF!</definedName>
    <definedName name="Ц_РЗАИ" localSheetId="29">#REF!</definedName>
    <definedName name="Ц_РЗАИ" localSheetId="2">#REF!</definedName>
    <definedName name="Ц_РЗАИ" localSheetId="0">#REF!</definedName>
    <definedName name="Ц_РЗАИ" localSheetId="1">#REF!</definedName>
    <definedName name="Ц_РЗАИ" localSheetId="4">#REF!</definedName>
    <definedName name="Ц_РЗАИ" localSheetId="5">#REF!</definedName>
    <definedName name="Ц_РЗАИ" localSheetId="6">#REF!</definedName>
    <definedName name="Ц_РЗАИ" localSheetId="16">#REF!</definedName>
    <definedName name="Ц_РЗАИ" localSheetId="3">#REF!</definedName>
    <definedName name="Ц_РЗАИ">#REF!</definedName>
    <definedName name="Ц_РСЦ" localSheetId="7">#REF!</definedName>
    <definedName name="Ц_РСЦ" localSheetId="8">#REF!</definedName>
    <definedName name="Ц_РСЦ" localSheetId="9">#REF!</definedName>
    <definedName name="Ц_РСЦ" localSheetId="10">#REF!</definedName>
    <definedName name="Ц_РСЦ" localSheetId="17">#REF!</definedName>
    <definedName name="Ц_РСЦ" localSheetId="18">#REF!</definedName>
    <definedName name="Ц_РСЦ" localSheetId="22">#REF!</definedName>
    <definedName name="Ц_РСЦ" localSheetId="23">#REF!</definedName>
    <definedName name="Ц_РСЦ" localSheetId="24">#REF!</definedName>
    <definedName name="Ц_РСЦ" localSheetId="28">#REF!</definedName>
    <definedName name="Ц_РСЦ" localSheetId="30">#REF!</definedName>
    <definedName name="Ц_РСЦ" localSheetId="31">#REF!</definedName>
    <definedName name="Ц_РСЦ" localSheetId="29">#REF!</definedName>
    <definedName name="Ц_РСЦ" localSheetId="2">#REF!</definedName>
    <definedName name="Ц_РСЦ" localSheetId="0">#REF!</definedName>
    <definedName name="Ц_РСЦ" localSheetId="1">#REF!</definedName>
    <definedName name="Ц_РСЦ" localSheetId="4">#REF!</definedName>
    <definedName name="Ц_РСЦ" localSheetId="5">#REF!</definedName>
    <definedName name="Ц_РСЦ" localSheetId="6">#REF!</definedName>
    <definedName name="Ц_РСЦ" localSheetId="16">#REF!</definedName>
    <definedName name="Ц_РСЦ" localSheetId="3">#REF!</definedName>
    <definedName name="Ц_РСЦ">#REF!</definedName>
    <definedName name="Ц_СВТТ" localSheetId="7">#REF!</definedName>
    <definedName name="Ц_СВТТ" localSheetId="8">#REF!</definedName>
    <definedName name="Ц_СВТТ" localSheetId="9">#REF!</definedName>
    <definedName name="Ц_СВТТ" localSheetId="10">#REF!</definedName>
    <definedName name="Ц_СВТТ" localSheetId="17">#REF!</definedName>
    <definedName name="Ц_СВТТ" localSheetId="18">#REF!</definedName>
    <definedName name="Ц_СВТТ" localSheetId="22">#REF!</definedName>
    <definedName name="Ц_СВТТ" localSheetId="23">#REF!</definedName>
    <definedName name="Ц_СВТТ" localSheetId="24">#REF!</definedName>
    <definedName name="Ц_СВТТ" localSheetId="28">#REF!</definedName>
    <definedName name="Ц_СВТТ" localSheetId="30">#REF!</definedName>
    <definedName name="Ц_СВТТ" localSheetId="31">#REF!</definedName>
    <definedName name="Ц_СВТТ" localSheetId="29">#REF!</definedName>
    <definedName name="Ц_СВТТ" localSheetId="2">#REF!</definedName>
    <definedName name="Ц_СВТТ" localSheetId="0">#REF!</definedName>
    <definedName name="Ц_СВТТ" localSheetId="1">#REF!</definedName>
    <definedName name="Ц_СВТТ" localSheetId="4">#REF!</definedName>
    <definedName name="Ц_СВТТ" localSheetId="5">#REF!</definedName>
    <definedName name="Ц_СВТТ" localSheetId="6">#REF!</definedName>
    <definedName name="Ц_СВТТ" localSheetId="16">#REF!</definedName>
    <definedName name="Ц_СВТТ" localSheetId="3">#REF!</definedName>
    <definedName name="Ц_СВТТ">#REF!</definedName>
    <definedName name="Ц_СДТУ" localSheetId="7">#REF!</definedName>
    <definedName name="Ц_СДТУ" localSheetId="8">#REF!</definedName>
    <definedName name="Ц_СДТУ" localSheetId="9">#REF!</definedName>
    <definedName name="Ц_СДТУ" localSheetId="10">#REF!</definedName>
    <definedName name="Ц_СДТУ" localSheetId="17">#REF!</definedName>
    <definedName name="Ц_СДТУ" localSheetId="18">#REF!</definedName>
    <definedName name="Ц_СДТУ" localSheetId="22">#REF!</definedName>
    <definedName name="Ц_СДТУ" localSheetId="23">#REF!</definedName>
    <definedName name="Ц_СДТУ" localSheetId="24">#REF!</definedName>
    <definedName name="Ц_СДТУ" localSheetId="28">#REF!</definedName>
    <definedName name="Ц_СДТУ" localSheetId="30">#REF!</definedName>
    <definedName name="Ц_СДТУ" localSheetId="31">#REF!</definedName>
    <definedName name="Ц_СДТУ" localSheetId="29">#REF!</definedName>
    <definedName name="Ц_СДТУ" localSheetId="2">#REF!</definedName>
    <definedName name="Ц_СДТУ" localSheetId="0">#REF!</definedName>
    <definedName name="Ц_СДТУ" localSheetId="1">#REF!</definedName>
    <definedName name="Ц_СДТУ" localSheetId="4">#REF!</definedName>
    <definedName name="Ц_СДТУ" localSheetId="5">#REF!</definedName>
    <definedName name="Ц_СДТУ" localSheetId="6">#REF!</definedName>
    <definedName name="Ц_СДТУ" localSheetId="16">#REF!</definedName>
    <definedName name="Ц_СДТУ" localSheetId="3">#REF!</definedName>
    <definedName name="Ц_СДТУ">#REF!</definedName>
    <definedName name="Ц_СИЗП" localSheetId="7">#REF!</definedName>
    <definedName name="Ц_СИЗП" localSheetId="8">#REF!</definedName>
    <definedName name="Ц_СИЗП" localSheetId="9">#REF!</definedName>
    <definedName name="Ц_СИЗП" localSheetId="10">#REF!</definedName>
    <definedName name="Ц_СИЗП" localSheetId="17">#REF!</definedName>
    <definedName name="Ц_СИЗП" localSheetId="18">#REF!</definedName>
    <definedName name="Ц_СИЗП" localSheetId="22">#REF!</definedName>
    <definedName name="Ц_СИЗП" localSheetId="23">#REF!</definedName>
    <definedName name="Ц_СИЗП" localSheetId="24">#REF!</definedName>
    <definedName name="Ц_СИЗП" localSheetId="28">#REF!</definedName>
    <definedName name="Ц_СИЗП" localSheetId="30">#REF!</definedName>
    <definedName name="Ц_СИЗП" localSheetId="31">#REF!</definedName>
    <definedName name="Ц_СИЗП" localSheetId="29">#REF!</definedName>
    <definedName name="Ц_СИЗП" localSheetId="2">#REF!</definedName>
    <definedName name="Ц_СИЗП" localSheetId="0">#REF!</definedName>
    <definedName name="Ц_СИЗП" localSheetId="1">#REF!</definedName>
    <definedName name="Ц_СИЗП" localSheetId="4">#REF!</definedName>
    <definedName name="Ц_СИЗП" localSheetId="5">#REF!</definedName>
    <definedName name="Ц_СИЗП" localSheetId="6">#REF!</definedName>
    <definedName name="Ц_СИЗП" localSheetId="16">#REF!</definedName>
    <definedName name="Ц_СИЗП" localSheetId="3">#REF!</definedName>
    <definedName name="Ц_СИЗП">#REF!</definedName>
    <definedName name="Ц_СМТ" localSheetId="7">#REF!</definedName>
    <definedName name="Ц_СМТ" localSheetId="8">#REF!</definedName>
    <definedName name="Ц_СМТ" localSheetId="9">#REF!</definedName>
    <definedName name="Ц_СМТ" localSheetId="10">#REF!</definedName>
    <definedName name="Ц_СМТ" localSheetId="17">#REF!</definedName>
    <definedName name="Ц_СМТ" localSheetId="18">#REF!</definedName>
    <definedName name="Ц_СМТ" localSheetId="22">#REF!</definedName>
    <definedName name="Ц_СМТ" localSheetId="23">#REF!</definedName>
    <definedName name="Ц_СМТ" localSheetId="24">#REF!</definedName>
    <definedName name="Ц_СМТ" localSheetId="28">#REF!</definedName>
    <definedName name="Ц_СМТ" localSheetId="30">#REF!</definedName>
    <definedName name="Ц_СМТ" localSheetId="31">#REF!</definedName>
    <definedName name="Ц_СМТ" localSheetId="29">#REF!</definedName>
    <definedName name="Ц_СМТ" localSheetId="2">#REF!</definedName>
    <definedName name="Ц_СМТ" localSheetId="0">#REF!</definedName>
    <definedName name="Ц_СМТ" localSheetId="1">#REF!</definedName>
    <definedName name="Ц_СМТ" localSheetId="4">#REF!</definedName>
    <definedName name="Ц_СМТ" localSheetId="5">#REF!</definedName>
    <definedName name="Ц_СМТ" localSheetId="6">#REF!</definedName>
    <definedName name="Ц_СМТ" localSheetId="16">#REF!</definedName>
    <definedName name="Ц_СМТ" localSheetId="3">#REF!</definedName>
    <definedName name="Ц_СМТ">#REF!</definedName>
    <definedName name="Ц_СО" localSheetId="7">#REF!</definedName>
    <definedName name="Ц_СО" localSheetId="8">#REF!</definedName>
    <definedName name="Ц_СО" localSheetId="9">#REF!</definedName>
    <definedName name="Ц_СО" localSheetId="10">#REF!</definedName>
    <definedName name="Ц_СО" localSheetId="17">#REF!</definedName>
    <definedName name="Ц_СО" localSheetId="18">#REF!</definedName>
    <definedName name="Ц_СО" localSheetId="22">#REF!</definedName>
    <definedName name="Ц_СО" localSheetId="23">#REF!</definedName>
    <definedName name="Ц_СО" localSheetId="24">#REF!</definedName>
    <definedName name="Ц_СО" localSheetId="28">#REF!</definedName>
    <definedName name="Ц_СО" localSheetId="30">#REF!</definedName>
    <definedName name="Ц_СО" localSheetId="31">#REF!</definedName>
    <definedName name="Ц_СО" localSheetId="29">#REF!</definedName>
    <definedName name="Ц_СО" localSheetId="2">#REF!</definedName>
    <definedName name="Ц_СО" localSheetId="0">#REF!</definedName>
    <definedName name="Ц_СО" localSheetId="1">#REF!</definedName>
    <definedName name="Ц_СО" localSheetId="4">#REF!</definedName>
    <definedName name="Ц_СО" localSheetId="5">#REF!</definedName>
    <definedName name="Ц_СО" localSheetId="6">#REF!</definedName>
    <definedName name="Ц_СО" localSheetId="16">#REF!</definedName>
    <definedName name="Ц_СО" localSheetId="3">#REF!</definedName>
    <definedName name="Ц_СО">#REF!</definedName>
    <definedName name="Ц_СТЭЭ" localSheetId="7">#REF!</definedName>
    <definedName name="Ц_СТЭЭ" localSheetId="8">#REF!</definedName>
    <definedName name="Ц_СТЭЭ" localSheetId="9">#REF!</definedName>
    <definedName name="Ц_СТЭЭ" localSheetId="10">#REF!</definedName>
    <definedName name="Ц_СТЭЭ" localSheetId="17">#REF!</definedName>
    <definedName name="Ц_СТЭЭ" localSheetId="18">#REF!</definedName>
    <definedName name="Ц_СТЭЭ" localSheetId="22">#REF!</definedName>
    <definedName name="Ц_СТЭЭ" localSheetId="23">#REF!</definedName>
    <definedName name="Ц_СТЭЭ" localSheetId="24">#REF!</definedName>
    <definedName name="Ц_СТЭЭ" localSheetId="28">#REF!</definedName>
    <definedName name="Ц_СТЭЭ" localSheetId="30">#REF!</definedName>
    <definedName name="Ц_СТЭЭ" localSheetId="31">#REF!</definedName>
    <definedName name="Ц_СТЭЭ" localSheetId="29">#REF!</definedName>
    <definedName name="Ц_СТЭЭ" localSheetId="2">#REF!</definedName>
    <definedName name="Ц_СТЭЭ" localSheetId="0">#REF!</definedName>
    <definedName name="Ц_СТЭЭ" localSheetId="1">#REF!</definedName>
    <definedName name="Ц_СТЭЭ" localSheetId="4">#REF!</definedName>
    <definedName name="Ц_СТЭЭ" localSheetId="5">#REF!</definedName>
    <definedName name="Ц_СТЭЭ" localSheetId="6">#REF!</definedName>
    <definedName name="Ц_СТЭЭ" localSheetId="16">#REF!</definedName>
    <definedName name="Ц_СТЭЭ" localSheetId="3">#REF!</definedName>
    <definedName name="Ц_СТЭЭ">#REF!</definedName>
    <definedName name="Ц_У1" localSheetId="7">#REF!</definedName>
    <definedName name="Ц_У1" localSheetId="8">#REF!</definedName>
    <definedName name="Ц_У1" localSheetId="9">#REF!</definedName>
    <definedName name="Ц_У1" localSheetId="10">#REF!</definedName>
    <definedName name="Ц_У1" localSheetId="17">#REF!</definedName>
    <definedName name="Ц_У1" localSheetId="18">#REF!</definedName>
    <definedName name="Ц_У1" localSheetId="22">#REF!</definedName>
    <definedName name="Ц_У1" localSheetId="23">#REF!</definedName>
    <definedName name="Ц_У1" localSheetId="24">#REF!</definedName>
    <definedName name="Ц_У1" localSheetId="28">#REF!</definedName>
    <definedName name="Ц_У1" localSheetId="30">#REF!</definedName>
    <definedName name="Ц_У1" localSheetId="31">#REF!</definedName>
    <definedName name="Ц_У1" localSheetId="29">#REF!</definedName>
    <definedName name="Ц_У1" localSheetId="2">#REF!</definedName>
    <definedName name="Ц_У1" localSheetId="0">#REF!</definedName>
    <definedName name="Ц_У1" localSheetId="1">#REF!</definedName>
    <definedName name="Ц_У1" localSheetId="4">#REF!</definedName>
    <definedName name="Ц_У1" localSheetId="5">#REF!</definedName>
    <definedName name="Ц_У1" localSheetId="6">#REF!</definedName>
    <definedName name="Ц_У1" localSheetId="16">#REF!</definedName>
    <definedName name="Ц_У1" localSheetId="3">#REF!</definedName>
    <definedName name="Ц_У1">#REF!</definedName>
    <definedName name="Ц_У2" localSheetId="7">#REF!</definedName>
    <definedName name="Ц_У2" localSheetId="8">#REF!</definedName>
    <definedName name="Ц_У2" localSheetId="9">#REF!</definedName>
    <definedName name="Ц_У2" localSheetId="10">#REF!</definedName>
    <definedName name="Ц_У2" localSheetId="17">#REF!</definedName>
    <definedName name="Ц_У2" localSheetId="18">#REF!</definedName>
    <definedName name="Ц_У2" localSheetId="22">#REF!</definedName>
    <definedName name="Ц_У2" localSheetId="23">#REF!</definedName>
    <definedName name="Ц_У2" localSheetId="24">#REF!</definedName>
    <definedName name="Ц_У2" localSheetId="28">#REF!</definedName>
    <definedName name="Ц_У2" localSheetId="30">#REF!</definedName>
    <definedName name="Ц_У2" localSheetId="31">#REF!</definedName>
    <definedName name="Ц_У2" localSheetId="29">#REF!</definedName>
    <definedName name="Ц_У2" localSheetId="2">#REF!</definedName>
    <definedName name="Ц_У2" localSheetId="0">#REF!</definedName>
    <definedName name="Ц_У2" localSheetId="1">#REF!</definedName>
    <definedName name="Ц_У2" localSheetId="4">#REF!</definedName>
    <definedName name="Ц_У2" localSheetId="5">#REF!</definedName>
    <definedName name="Ц_У2" localSheetId="6">#REF!</definedName>
    <definedName name="Ц_У2" localSheetId="16">#REF!</definedName>
    <definedName name="Ц_У2" localSheetId="3">#REF!</definedName>
    <definedName name="Ц_У2">#REF!</definedName>
    <definedName name="Ц_У3" localSheetId="7">#REF!</definedName>
    <definedName name="Ц_У3" localSheetId="8">#REF!</definedName>
    <definedName name="Ц_У3" localSheetId="9">#REF!</definedName>
    <definedName name="Ц_У3" localSheetId="10">#REF!</definedName>
    <definedName name="Ц_У3" localSheetId="17">#REF!</definedName>
    <definedName name="Ц_У3" localSheetId="18">#REF!</definedName>
    <definedName name="Ц_У3" localSheetId="22">#REF!</definedName>
    <definedName name="Ц_У3" localSheetId="23">#REF!</definedName>
    <definedName name="Ц_У3" localSheetId="24">#REF!</definedName>
    <definedName name="Ц_У3" localSheetId="28">#REF!</definedName>
    <definedName name="Ц_У3" localSheetId="30">#REF!</definedName>
    <definedName name="Ц_У3" localSheetId="31">#REF!</definedName>
    <definedName name="Ц_У3" localSheetId="29">#REF!</definedName>
    <definedName name="Ц_У3" localSheetId="2">#REF!</definedName>
    <definedName name="Ц_У3" localSheetId="0">#REF!</definedName>
    <definedName name="Ц_У3" localSheetId="1">#REF!</definedName>
    <definedName name="Ц_У3" localSheetId="4">#REF!</definedName>
    <definedName name="Ц_У3" localSheetId="5">#REF!</definedName>
    <definedName name="Ц_У3" localSheetId="6">#REF!</definedName>
    <definedName name="Ц_У3" localSheetId="16">#REF!</definedName>
    <definedName name="Ц_У3" localSheetId="3">#REF!</definedName>
    <definedName name="Ц_У3">#REF!</definedName>
    <definedName name="Ц_У4" localSheetId="7">#REF!</definedName>
    <definedName name="Ц_У4" localSheetId="8">#REF!</definedName>
    <definedName name="Ц_У4" localSheetId="9">#REF!</definedName>
    <definedName name="Ц_У4" localSheetId="10">#REF!</definedName>
    <definedName name="Ц_У4" localSheetId="17">#REF!</definedName>
    <definedName name="Ц_У4" localSheetId="18">#REF!</definedName>
    <definedName name="Ц_У4" localSheetId="22">#REF!</definedName>
    <definedName name="Ц_У4" localSheetId="23">#REF!</definedName>
    <definedName name="Ц_У4" localSheetId="24">#REF!</definedName>
    <definedName name="Ц_У4" localSheetId="28">#REF!</definedName>
    <definedName name="Ц_У4" localSheetId="30">#REF!</definedName>
    <definedName name="Ц_У4" localSheetId="31">#REF!</definedName>
    <definedName name="Ц_У4" localSheetId="29">#REF!</definedName>
    <definedName name="Ц_У4" localSheetId="2">#REF!</definedName>
    <definedName name="Ц_У4" localSheetId="0">#REF!</definedName>
    <definedName name="Ц_У4" localSheetId="1">#REF!</definedName>
    <definedName name="Ц_У4" localSheetId="4">#REF!</definedName>
    <definedName name="Ц_У4" localSheetId="5">#REF!</definedName>
    <definedName name="Ц_У4" localSheetId="6">#REF!</definedName>
    <definedName name="Ц_У4" localSheetId="16">#REF!</definedName>
    <definedName name="Ц_У4" localSheetId="3">#REF!</definedName>
    <definedName name="Ц_У4">#REF!</definedName>
    <definedName name="Ц_У5" localSheetId="7">#REF!</definedName>
    <definedName name="Ц_У5" localSheetId="8">#REF!</definedName>
    <definedName name="Ц_У5" localSheetId="9">#REF!</definedName>
    <definedName name="Ц_У5" localSheetId="10">#REF!</definedName>
    <definedName name="Ц_У5" localSheetId="17">#REF!</definedName>
    <definedName name="Ц_У5" localSheetId="18">#REF!</definedName>
    <definedName name="Ц_У5" localSheetId="22">#REF!</definedName>
    <definedName name="Ц_У5" localSheetId="23">#REF!</definedName>
    <definedName name="Ц_У5" localSheetId="24">#REF!</definedName>
    <definedName name="Ц_У5" localSheetId="28">#REF!</definedName>
    <definedName name="Ц_У5" localSheetId="30">#REF!</definedName>
    <definedName name="Ц_У5" localSheetId="31">#REF!</definedName>
    <definedName name="Ц_У5" localSheetId="29">#REF!</definedName>
    <definedName name="Ц_У5" localSheetId="2">#REF!</definedName>
    <definedName name="Ц_У5" localSheetId="0">#REF!</definedName>
    <definedName name="Ц_У5" localSheetId="1">#REF!</definedName>
    <definedName name="Ц_У5" localSheetId="4">#REF!</definedName>
    <definedName name="Ц_У5" localSheetId="5">#REF!</definedName>
    <definedName name="Ц_У5" localSheetId="6">#REF!</definedName>
    <definedName name="Ц_У5" localSheetId="16">#REF!</definedName>
    <definedName name="Ц_У5" localSheetId="3">#REF!</definedName>
    <definedName name="Ц_У5">#REF!</definedName>
    <definedName name="Ц_У6" localSheetId="7">#REF!</definedName>
    <definedName name="Ц_У6" localSheetId="8">#REF!</definedName>
    <definedName name="Ц_У6" localSheetId="9">#REF!</definedName>
    <definedName name="Ц_У6" localSheetId="10">#REF!</definedName>
    <definedName name="Ц_У6" localSheetId="17">#REF!</definedName>
    <definedName name="Ц_У6" localSheetId="18">#REF!</definedName>
    <definedName name="Ц_У6" localSheetId="22">#REF!</definedName>
    <definedName name="Ц_У6" localSheetId="23">#REF!</definedName>
    <definedName name="Ц_У6" localSheetId="24">#REF!</definedName>
    <definedName name="Ц_У6" localSheetId="28">#REF!</definedName>
    <definedName name="Ц_У6" localSheetId="30">#REF!</definedName>
    <definedName name="Ц_У6" localSheetId="31">#REF!</definedName>
    <definedName name="Ц_У6" localSheetId="29">#REF!</definedName>
    <definedName name="Ц_У6" localSheetId="2">#REF!</definedName>
    <definedName name="Ц_У6" localSheetId="0">#REF!</definedName>
    <definedName name="Ц_У6" localSheetId="1">#REF!</definedName>
    <definedName name="Ц_У6" localSheetId="4">#REF!</definedName>
    <definedName name="Ц_У6" localSheetId="5">#REF!</definedName>
    <definedName name="Ц_У6" localSheetId="6">#REF!</definedName>
    <definedName name="Ц_У6" localSheetId="16">#REF!</definedName>
    <definedName name="Ц_У6" localSheetId="3">#REF!</definedName>
    <definedName name="Ц_У6">#REF!</definedName>
    <definedName name="Ц_У7" localSheetId="7">#REF!</definedName>
    <definedName name="Ц_У7" localSheetId="8">#REF!</definedName>
    <definedName name="Ц_У7" localSheetId="9">#REF!</definedName>
    <definedName name="Ц_У7" localSheetId="10">#REF!</definedName>
    <definedName name="Ц_У7" localSheetId="17">#REF!</definedName>
    <definedName name="Ц_У7" localSheetId="18">#REF!</definedName>
    <definedName name="Ц_У7" localSheetId="22">#REF!</definedName>
    <definedName name="Ц_У7" localSheetId="23">#REF!</definedName>
    <definedName name="Ц_У7" localSheetId="24">#REF!</definedName>
    <definedName name="Ц_У7" localSheetId="28">#REF!</definedName>
    <definedName name="Ц_У7" localSheetId="30">#REF!</definedName>
    <definedName name="Ц_У7" localSheetId="31">#REF!</definedName>
    <definedName name="Ц_У7" localSheetId="29">#REF!</definedName>
    <definedName name="Ц_У7" localSheetId="2">#REF!</definedName>
    <definedName name="Ц_У7" localSheetId="0">#REF!</definedName>
    <definedName name="Ц_У7" localSheetId="1">#REF!</definedName>
    <definedName name="Ц_У7" localSheetId="4">#REF!</definedName>
    <definedName name="Ц_У7" localSheetId="5">#REF!</definedName>
    <definedName name="Ц_У7" localSheetId="6">#REF!</definedName>
    <definedName name="Ц_У7" localSheetId="16">#REF!</definedName>
    <definedName name="Ц_У7" localSheetId="3">#REF!</definedName>
    <definedName name="Ц_У7">#REF!</definedName>
    <definedName name="Ц_Упр" localSheetId="7">#REF!</definedName>
    <definedName name="Ц_Упр" localSheetId="8">#REF!</definedName>
    <definedName name="Ц_Упр" localSheetId="9">#REF!</definedName>
    <definedName name="Ц_Упр" localSheetId="10">#REF!</definedName>
    <definedName name="Ц_Упр" localSheetId="17">#REF!</definedName>
    <definedName name="Ц_Упр" localSheetId="18">#REF!</definedName>
    <definedName name="Ц_Упр" localSheetId="22">#REF!</definedName>
    <definedName name="Ц_Упр" localSheetId="23">#REF!</definedName>
    <definedName name="Ц_Упр" localSheetId="24">#REF!</definedName>
    <definedName name="Ц_Упр" localSheetId="28">#REF!</definedName>
    <definedName name="Ц_Упр" localSheetId="30">#REF!</definedName>
    <definedName name="Ц_Упр" localSheetId="31">#REF!</definedName>
    <definedName name="Ц_Упр" localSheetId="29">#REF!</definedName>
    <definedName name="Ц_Упр" localSheetId="2">#REF!</definedName>
    <definedName name="Ц_Упр" localSheetId="0">#REF!</definedName>
    <definedName name="Ц_Упр" localSheetId="1">#REF!</definedName>
    <definedName name="Ц_Упр" localSheetId="4">#REF!</definedName>
    <definedName name="Ц_Упр" localSheetId="5">#REF!</definedName>
    <definedName name="Ц_Упр" localSheetId="6">#REF!</definedName>
    <definedName name="Ц_Упр" localSheetId="16">#REF!</definedName>
    <definedName name="Ц_Упр" localSheetId="3">#REF!</definedName>
    <definedName name="Ц_Упр">#REF!</definedName>
    <definedName name="Ц_ЦРО" localSheetId="7">#REF!</definedName>
    <definedName name="Ц_ЦРО" localSheetId="8">#REF!</definedName>
    <definedName name="Ц_ЦРО" localSheetId="9">#REF!</definedName>
    <definedName name="Ц_ЦРО" localSheetId="10">#REF!</definedName>
    <definedName name="Ц_ЦРО" localSheetId="17">#REF!</definedName>
    <definedName name="Ц_ЦРО" localSheetId="18">#REF!</definedName>
    <definedName name="Ц_ЦРО" localSheetId="22">#REF!</definedName>
    <definedName name="Ц_ЦРО" localSheetId="23">#REF!</definedName>
    <definedName name="Ц_ЦРО" localSheetId="24">#REF!</definedName>
    <definedName name="Ц_ЦРО" localSheetId="28">#REF!</definedName>
    <definedName name="Ц_ЦРО" localSheetId="30">#REF!</definedName>
    <definedName name="Ц_ЦРО" localSheetId="31">#REF!</definedName>
    <definedName name="Ц_ЦРО" localSheetId="29">#REF!</definedName>
    <definedName name="Ц_ЦРО" localSheetId="2">#REF!</definedName>
    <definedName name="Ц_ЦРО" localSheetId="0">#REF!</definedName>
    <definedName name="Ц_ЦРО" localSheetId="1">#REF!</definedName>
    <definedName name="Ц_ЦРО" localSheetId="4">#REF!</definedName>
    <definedName name="Ц_ЦРО" localSheetId="5">#REF!</definedName>
    <definedName name="Ц_ЦРО" localSheetId="6">#REF!</definedName>
    <definedName name="Ц_ЦРО" localSheetId="16">#REF!</definedName>
    <definedName name="Ц_ЦРО" localSheetId="3">#REF!</definedName>
    <definedName name="Ц_ЦРО">#REF!</definedName>
    <definedName name="Ю_АХО" localSheetId="7">#REF!</definedName>
    <definedName name="Ю_АХО" localSheetId="8">#REF!</definedName>
    <definedName name="Ю_АХО" localSheetId="9">#REF!</definedName>
    <definedName name="Ю_АХО" localSheetId="10">#REF!</definedName>
    <definedName name="Ю_АХО" localSheetId="17">#REF!</definedName>
    <definedName name="Ю_АХО" localSheetId="18">#REF!</definedName>
    <definedName name="Ю_АХО" localSheetId="22">#REF!</definedName>
    <definedName name="Ю_АХО" localSheetId="23">#REF!</definedName>
    <definedName name="Ю_АХО" localSheetId="24">#REF!</definedName>
    <definedName name="Ю_АХО" localSheetId="28">#REF!</definedName>
    <definedName name="Ю_АХО" localSheetId="30">#REF!</definedName>
    <definedName name="Ю_АХО" localSheetId="31">#REF!</definedName>
    <definedName name="Ю_АХО" localSheetId="29">#REF!</definedName>
    <definedName name="Ю_АХО" localSheetId="2">#REF!</definedName>
    <definedName name="Ю_АХО" localSheetId="0">#REF!</definedName>
    <definedName name="Ю_АХО" localSheetId="1">#REF!</definedName>
    <definedName name="Ю_АХО" localSheetId="4">#REF!</definedName>
    <definedName name="Ю_АХО" localSheetId="5">#REF!</definedName>
    <definedName name="Ю_АХО" localSheetId="6">#REF!</definedName>
    <definedName name="Ю_АХО" localSheetId="16">#REF!</definedName>
    <definedName name="Ю_АХО" localSheetId="3">#REF!</definedName>
    <definedName name="Ю_АХО">#REF!</definedName>
    <definedName name="Ю_ММ" localSheetId="7">#REF!</definedName>
    <definedName name="Ю_ММ" localSheetId="8">#REF!</definedName>
    <definedName name="Ю_ММ" localSheetId="9">#REF!</definedName>
    <definedName name="Ю_ММ" localSheetId="10">#REF!</definedName>
    <definedName name="Ю_ММ" localSheetId="17">#REF!</definedName>
    <definedName name="Ю_ММ" localSheetId="18">#REF!</definedName>
    <definedName name="Ю_ММ" localSheetId="22">#REF!</definedName>
    <definedName name="Ю_ММ" localSheetId="23">#REF!</definedName>
    <definedName name="Ю_ММ" localSheetId="24">#REF!</definedName>
    <definedName name="Ю_ММ" localSheetId="28">#REF!</definedName>
    <definedName name="Ю_ММ" localSheetId="30">#REF!</definedName>
    <definedName name="Ю_ММ" localSheetId="31">#REF!</definedName>
    <definedName name="Ю_ММ" localSheetId="29">#REF!</definedName>
    <definedName name="Ю_ММ" localSheetId="2">#REF!</definedName>
    <definedName name="Ю_ММ" localSheetId="0">#REF!</definedName>
    <definedName name="Ю_ММ" localSheetId="1">#REF!</definedName>
    <definedName name="Ю_ММ" localSheetId="4">#REF!</definedName>
    <definedName name="Ю_ММ" localSheetId="5">#REF!</definedName>
    <definedName name="Ю_ММ" localSheetId="6">#REF!</definedName>
    <definedName name="Ю_ММ" localSheetId="16">#REF!</definedName>
    <definedName name="Ю_ММ" localSheetId="3">#REF!</definedName>
    <definedName name="Ю_ММ">#REF!</definedName>
    <definedName name="Ю_ОДС" localSheetId="7">#REF!</definedName>
    <definedName name="Ю_ОДС" localSheetId="8">#REF!</definedName>
    <definedName name="Ю_ОДС" localSheetId="9">#REF!</definedName>
    <definedName name="Ю_ОДС" localSheetId="10">#REF!</definedName>
    <definedName name="Ю_ОДС" localSheetId="17">#REF!</definedName>
    <definedName name="Ю_ОДС" localSheetId="18">#REF!</definedName>
    <definedName name="Ю_ОДС" localSheetId="22">#REF!</definedName>
    <definedName name="Ю_ОДС" localSheetId="23">#REF!</definedName>
    <definedName name="Ю_ОДС" localSheetId="24">#REF!</definedName>
    <definedName name="Ю_ОДС" localSheetId="28">#REF!</definedName>
    <definedName name="Ю_ОДС" localSheetId="30">#REF!</definedName>
    <definedName name="Ю_ОДС" localSheetId="31">#REF!</definedName>
    <definedName name="Ю_ОДС" localSheetId="29">#REF!</definedName>
    <definedName name="Ю_ОДС" localSheetId="2">#REF!</definedName>
    <definedName name="Ю_ОДС" localSheetId="0">#REF!</definedName>
    <definedName name="Ю_ОДС" localSheetId="1">#REF!</definedName>
    <definedName name="Ю_ОДС" localSheetId="4">#REF!</definedName>
    <definedName name="Ю_ОДС" localSheetId="5">#REF!</definedName>
    <definedName name="Ю_ОДС" localSheetId="6">#REF!</definedName>
    <definedName name="Ю_ОДС" localSheetId="16">#REF!</definedName>
    <definedName name="Ю_ОДС" localSheetId="3">#REF!</definedName>
    <definedName name="Ю_ОДС">#REF!</definedName>
    <definedName name="Ю_РЗАИ" localSheetId="7">#REF!</definedName>
    <definedName name="Ю_РЗАИ" localSheetId="8">#REF!</definedName>
    <definedName name="Ю_РЗАИ" localSheetId="9">#REF!</definedName>
    <definedName name="Ю_РЗАИ" localSheetId="10">#REF!</definedName>
    <definedName name="Ю_РЗАИ" localSheetId="17">#REF!</definedName>
    <definedName name="Ю_РЗАИ" localSheetId="18">#REF!</definedName>
    <definedName name="Ю_РЗАИ" localSheetId="22">#REF!</definedName>
    <definedName name="Ю_РЗАИ" localSheetId="23">#REF!</definedName>
    <definedName name="Ю_РЗАИ" localSheetId="24">#REF!</definedName>
    <definedName name="Ю_РЗАИ" localSheetId="28">#REF!</definedName>
    <definedName name="Ю_РЗАИ" localSheetId="30">#REF!</definedName>
    <definedName name="Ю_РЗАИ" localSheetId="31">#REF!</definedName>
    <definedName name="Ю_РЗАИ" localSheetId="29">#REF!</definedName>
    <definedName name="Ю_РЗАИ" localSheetId="2">#REF!</definedName>
    <definedName name="Ю_РЗАИ" localSheetId="0">#REF!</definedName>
    <definedName name="Ю_РЗАИ" localSheetId="1">#REF!</definedName>
    <definedName name="Ю_РЗАИ" localSheetId="4">#REF!</definedName>
    <definedName name="Ю_РЗАИ" localSheetId="5">#REF!</definedName>
    <definedName name="Ю_РЗАИ" localSheetId="6">#REF!</definedName>
    <definedName name="Ю_РЗАИ" localSheetId="16">#REF!</definedName>
    <definedName name="Ю_РЗАИ" localSheetId="3">#REF!</definedName>
    <definedName name="Ю_РЗАИ">#REF!</definedName>
    <definedName name="Ю_РСЦ" localSheetId="7">#REF!</definedName>
    <definedName name="Ю_РСЦ" localSheetId="8">#REF!</definedName>
    <definedName name="Ю_РСЦ" localSheetId="9">#REF!</definedName>
    <definedName name="Ю_РСЦ" localSheetId="10">#REF!</definedName>
    <definedName name="Ю_РСЦ" localSheetId="17">#REF!</definedName>
    <definedName name="Ю_РСЦ" localSheetId="18">#REF!</definedName>
    <definedName name="Ю_РСЦ" localSheetId="22">#REF!</definedName>
    <definedName name="Ю_РСЦ" localSheetId="23">#REF!</definedName>
    <definedName name="Ю_РСЦ" localSheetId="24">#REF!</definedName>
    <definedName name="Ю_РСЦ" localSheetId="28">#REF!</definedName>
    <definedName name="Ю_РСЦ" localSheetId="30">#REF!</definedName>
    <definedName name="Ю_РСЦ" localSheetId="31">#REF!</definedName>
    <definedName name="Ю_РСЦ" localSheetId="29">#REF!</definedName>
    <definedName name="Ю_РСЦ" localSheetId="2">#REF!</definedName>
    <definedName name="Ю_РСЦ" localSheetId="0">#REF!</definedName>
    <definedName name="Ю_РСЦ" localSheetId="1">#REF!</definedName>
    <definedName name="Ю_РСЦ" localSheetId="4">#REF!</definedName>
    <definedName name="Ю_РСЦ" localSheetId="5">#REF!</definedName>
    <definedName name="Ю_РСЦ" localSheetId="6">#REF!</definedName>
    <definedName name="Ю_РСЦ" localSheetId="16">#REF!</definedName>
    <definedName name="Ю_РСЦ" localSheetId="3">#REF!</definedName>
    <definedName name="Ю_РСЦ">#REF!</definedName>
    <definedName name="Ю_СДТУ" localSheetId="7">#REF!</definedName>
    <definedName name="Ю_СДТУ" localSheetId="8">#REF!</definedName>
    <definedName name="Ю_СДТУ" localSheetId="9">#REF!</definedName>
    <definedName name="Ю_СДТУ" localSheetId="10">#REF!</definedName>
    <definedName name="Ю_СДТУ" localSheetId="17">#REF!</definedName>
    <definedName name="Ю_СДТУ" localSheetId="18">#REF!</definedName>
    <definedName name="Ю_СДТУ" localSheetId="22">#REF!</definedName>
    <definedName name="Ю_СДТУ" localSheetId="23">#REF!</definedName>
    <definedName name="Ю_СДТУ" localSheetId="24">#REF!</definedName>
    <definedName name="Ю_СДТУ" localSheetId="28">#REF!</definedName>
    <definedName name="Ю_СДТУ" localSheetId="30">#REF!</definedName>
    <definedName name="Ю_СДТУ" localSheetId="31">#REF!</definedName>
    <definedName name="Ю_СДТУ" localSheetId="29">#REF!</definedName>
    <definedName name="Ю_СДТУ" localSheetId="2">#REF!</definedName>
    <definedName name="Ю_СДТУ" localSheetId="0">#REF!</definedName>
    <definedName name="Ю_СДТУ" localSheetId="1">#REF!</definedName>
    <definedName name="Ю_СДТУ" localSheetId="4">#REF!</definedName>
    <definedName name="Ю_СДТУ" localSheetId="5">#REF!</definedName>
    <definedName name="Ю_СДТУ" localSheetId="6">#REF!</definedName>
    <definedName name="Ю_СДТУ" localSheetId="16">#REF!</definedName>
    <definedName name="Ю_СДТУ" localSheetId="3">#REF!</definedName>
    <definedName name="Ю_СДТУ">#REF!</definedName>
    <definedName name="Ю_СИЗП" localSheetId="7">#REF!</definedName>
    <definedName name="Ю_СИЗП" localSheetId="8">#REF!</definedName>
    <definedName name="Ю_СИЗП" localSheetId="9">#REF!</definedName>
    <definedName name="Ю_СИЗП" localSheetId="10">#REF!</definedName>
    <definedName name="Ю_СИЗП" localSheetId="17">#REF!</definedName>
    <definedName name="Ю_СИЗП" localSheetId="18">#REF!</definedName>
    <definedName name="Ю_СИЗП" localSheetId="22">#REF!</definedName>
    <definedName name="Ю_СИЗП" localSheetId="23">#REF!</definedName>
    <definedName name="Ю_СИЗП" localSheetId="24">#REF!</definedName>
    <definedName name="Ю_СИЗП" localSheetId="28">#REF!</definedName>
    <definedName name="Ю_СИЗП" localSheetId="30">#REF!</definedName>
    <definedName name="Ю_СИЗП" localSheetId="31">#REF!</definedName>
    <definedName name="Ю_СИЗП" localSheetId="29">#REF!</definedName>
    <definedName name="Ю_СИЗП" localSheetId="2">#REF!</definedName>
    <definedName name="Ю_СИЗП" localSheetId="0">#REF!</definedName>
    <definedName name="Ю_СИЗП" localSheetId="1">#REF!</definedName>
    <definedName name="Ю_СИЗП" localSheetId="4">#REF!</definedName>
    <definedName name="Ю_СИЗП" localSheetId="5">#REF!</definedName>
    <definedName name="Ю_СИЗП" localSheetId="6">#REF!</definedName>
    <definedName name="Ю_СИЗП" localSheetId="16">#REF!</definedName>
    <definedName name="Ю_СИЗП" localSheetId="3">#REF!</definedName>
    <definedName name="Ю_СИЗП">#REF!</definedName>
    <definedName name="Ю_СМТ" localSheetId="7">#REF!</definedName>
    <definedName name="Ю_СМТ" localSheetId="8">#REF!</definedName>
    <definedName name="Ю_СМТ" localSheetId="9">#REF!</definedName>
    <definedName name="Ю_СМТ" localSheetId="10">#REF!</definedName>
    <definedName name="Ю_СМТ" localSheetId="17">#REF!</definedName>
    <definedName name="Ю_СМТ" localSheetId="18">#REF!</definedName>
    <definedName name="Ю_СМТ" localSheetId="22">#REF!</definedName>
    <definedName name="Ю_СМТ" localSheetId="23">#REF!</definedName>
    <definedName name="Ю_СМТ" localSheetId="24">#REF!</definedName>
    <definedName name="Ю_СМТ" localSheetId="28">#REF!</definedName>
    <definedName name="Ю_СМТ" localSheetId="30">#REF!</definedName>
    <definedName name="Ю_СМТ" localSheetId="31">#REF!</definedName>
    <definedName name="Ю_СМТ" localSheetId="29">#REF!</definedName>
    <definedName name="Ю_СМТ" localSheetId="2">#REF!</definedName>
    <definedName name="Ю_СМТ" localSheetId="0">#REF!</definedName>
    <definedName name="Ю_СМТ" localSheetId="1">#REF!</definedName>
    <definedName name="Ю_СМТ" localSheetId="4">#REF!</definedName>
    <definedName name="Ю_СМТ" localSheetId="5">#REF!</definedName>
    <definedName name="Ю_СМТ" localSheetId="6">#REF!</definedName>
    <definedName name="Ю_СМТ" localSheetId="16">#REF!</definedName>
    <definedName name="Ю_СМТ" localSheetId="3">#REF!</definedName>
    <definedName name="Ю_СМТ">#REF!</definedName>
    <definedName name="Ю_СО" localSheetId="7">#REF!</definedName>
    <definedName name="Ю_СО" localSheetId="8">#REF!</definedName>
    <definedName name="Ю_СО" localSheetId="9">#REF!</definedName>
    <definedName name="Ю_СО" localSheetId="10">#REF!</definedName>
    <definedName name="Ю_СО" localSheetId="17">#REF!</definedName>
    <definedName name="Ю_СО" localSheetId="18">#REF!</definedName>
    <definedName name="Ю_СО" localSheetId="22">#REF!</definedName>
    <definedName name="Ю_СО" localSheetId="23">#REF!</definedName>
    <definedName name="Ю_СО" localSheetId="24">#REF!</definedName>
    <definedName name="Ю_СО" localSheetId="28">#REF!</definedName>
    <definedName name="Ю_СО" localSheetId="30">#REF!</definedName>
    <definedName name="Ю_СО" localSheetId="31">#REF!</definedName>
    <definedName name="Ю_СО" localSheetId="29">#REF!</definedName>
    <definedName name="Ю_СО" localSheetId="2">#REF!</definedName>
    <definedName name="Ю_СО" localSheetId="0">#REF!</definedName>
    <definedName name="Ю_СО" localSheetId="1">#REF!</definedName>
    <definedName name="Ю_СО" localSheetId="4">#REF!</definedName>
    <definedName name="Ю_СО" localSheetId="5">#REF!</definedName>
    <definedName name="Ю_СО" localSheetId="6">#REF!</definedName>
    <definedName name="Ю_СО" localSheetId="16">#REF!</definedName>
    <definedName name="Ю_СО" localSheetId="3">#REF!</definedName>
    <definedName name="Ю_СО">#REF!</definedName>
    <definedName name="Ю_Стол" localSheetId="7">#REF!</definedName>
    <definedName name="Ю_Стол" localSheetId="8">#REF!</definedName>
    <definedName name="Ю_Стол" localSheetId="9">#REF!</definedName>
    <definedName name="Ю_Стол" localSheetId="10">#REF!</definedName>
    <definedName name="Ю_Стол" localSheetId="17">#REF!</definedName>
    <definedName name="Ю_Стол" localSheetId="18">#REF!</definedName>
    <definedName name="Ю_Стол" localSheetId="22">#REF!</definedName>
    <definedName name="Ю_Стол" localSheetId="23">#REF!</definedName>
    <definedName name="Ю_Стол" localSheetId="24">#REF!</definedName>
    <definedName name="Ю_Стол" localSheetId="28">#REF!</definedName>
    <definedName name="Ю_Стол" localSheetId="30">#REF!</definedName>
    <definedName name="Ю_Стол" localSheetId="31">#REF!</definedName>
    <definedName name="Ю_Стол" localSheetId="29">#REF!</definedName>
    <definedName name="Ю_Стол" localSheetId="2">#REF!</definedName>
    <definedName name="Ю_Стол" localSheetId="0">#REF!</definedName>
    <definedName name="Ю_Стол" localSheetId="1">#REF!</definedName>
    <definedName name="Ю_Стол" localSheetId="4">#REF!</definedName>
    <definedName name="Ю_Стол" localSheetId="5">#REF!</definedName>
    <definedName name="Ю_Стол" localSheetId="6">#REF!</definedName>
    <definedName name="Ю_Стол" localSheetId="16">#REF!</definedName>
    <definedName name="Ю_Стол" localSheetId="3">#REF!</definedName>
    <definedName name="Ю_Стол">#REF!</definedName>
    <definedName name="Ю_СТЭЭ" localSheetId="7">#REF!</definedName>
    <definedName name="Ю_СТЭЭ" localSheetId="8">#REF!</definedName>
    <definedName name="Ю_СТЭЭ" localSheetId="9">#REF!</definedName>
    <definedName name="Ю_СТЭЭ" localSheetId="10">#REF!</definedName>
    <definedName name="Ю_СТЭЭ" localSheetId="17">#REF!</definedName>
    <definedName name="Ю_СТЭЭ" localSheetId="18">#REF!</definedName>
    <definedName name="Ю_СТЭЭ" localSheetId="22">#REF!</definedName>
    <definedName name="Ю_СТЭЭ" localSheetId="23">#REF!</definedName>
    <definedName name="Ю_СТЭЭ" localSheetId="24">#REF!</definedName>
    <definedName name="Ю_СТЭЭ" localSheetId="28">#REF!</definedName>
    <definedName name="Ю_СТЭЭ" localSheetId="30">#REF!</definedName>
    <definedName name="Ю_СТЭЭ" localSheetId="31">#REF!</definedName>
    <definedName name="Ю_СТЭЭ" localSheetId="29">#REF!</definedName>
    <definedName name="Ю_СТЭЭ" localSheetId="2">#REF!</definedName>
    <definedName name="Ю_СТЭЭ" localSheetId="0">#REF!</definedName>
    <definedName name="Ю_СТЭЭ" localSheetId="1">#REF!</definedName>
    <definedName name="Ю_СТЭЭ" localSheetId="4">#REF!</definedName>
    <definedName name="Ю_СТЭЭ" localSheetId="5">#REF!</definedName>
    <definedName name="Ю_СТЭЭ" localSheetId="6">#REF!</definedName>
    <definedName name="Ю_СТЭЭ" localSheetId="16">#REF!</definedName>
    <definedName name="Ю_СТЭЭ" localSheetId="3">#REF!</definedName>
    <definedName name="Ю_СТЭЭ">#REF!</definedName>
    <definedName name="Ю_У1" localSheetId="7">#REF!</definedName>
    <definedName name="Ю_У1" localSheetId="8">#REF!</definedName>
    <definedName name="Ю_У1" localSheetId="9">#REF!</definedName>
    <definedName name="Ю_У1" localSheetId="10">#REF!</definedName>
    <definedName name="Ю_У1" localSheetId="17">#REF!</definedName>
    <definedName name="Ю_У1" localSheetId="18">#REF!</definedName>
    <definedName name="Ю_У1" localSheetId="22">#REF!</definedName>
    <definedName name="Ю_У1" localSheetId="23">#REF!</definedName>
    <definedName name="Ю_У1" localSheetId="24">#REF!</definedName>
    <definedName name="Ю_У1" localSheetId="28">#REF!</definedName>
    <definedName name="Ю_У1" localSheetId="30">#REF!</definedName>
    <definedName name="Ю_У1" localSheetId="31">#REF!</definedName>
    <definedName name="Ю_У1" localSheetId="29">#REF!</definedName>
    <definedName name="Ю_У1" localSheetId="2">#REF!</definedName>
    <definedName name="Ю_У1" localSheetId="0">#REF!</definedName>
    <definedName name="Ю_У1" localSheetId="1">#REF!</definedName>
    <definedName name="Ю_У1" localSheetId="4">#REF!</definedName>
    <definedName name="Ю_У1" localSheetId="5">#REF!</definedName>
    <definedName name="Ю_У1" localSheetId="6">#REF!</definedName>
    <definedName name="Ю_У1" localSheetId="16">#REF!</definedName>
    <definedName name="Ю_У1" localSheetId="3">#REF!</definedName>
    <definedName name="Ю_У1">#REF!</definedName>
    <definedName name="Ю_У2" localSheetId="7">#REF!</definedName>
    <definedName name="Ю_У2" localSheetId="8">#REF!</definedName>
    <definedName name="Ю_У2" localSheetId="9">#REF!</definedName>
    <definedName name="Ю_У2" localSheetId="10">#REF!</definedName>
    <definedName name="Ю_У2" localSheetId="17">#REF!</definedName>
    <definedName name="Ю_У2" localSheetId="18">#REF!</definedName>
    <definedName name="Ю_У2" localSheetId="22">#REF!</definedName>
    <definedName name="Ю_У2" localSheetId="23">#REF!</definedName>
    <definedName name="Ю_У2" localSheetId="24">#REF!</definedName>
    <definedName name="Ю_У2" localSheetId="28">#REF!</definedName>
    <definedName name="Ю_У2" localSheetId="30">#REF!</definedName>
    <definedName name="Ю_У2" localSheetId="31">#REF!</definedName>
    <definedName name="Ю_У2" localSheetId="29">#REF!</definedName>
    <definedName name="Ю_У2" localSheetId="2">#REF!</definedName>
    <definedName name="Ю_У2" localSheetId="0">#REF!</definedName>
    <definedName name="Ю_У2" localSheetId="1">#REF!</definedName>
    <definedName name="Ю_У2" localSheetId="4">#REF!</definedName>
    <definedName name="Ю_У2" localSheetId="5">#REF!</definedName>
    <definedName name="Ю_У2" localSheetId="6">#REF!</definedName>
    <definedName name="Ю_У2" localSheetId="16">#REF!</definedName>
    <definedName name="Ю_У2" localSheetId="3">#REF!</definedName>
    <definedName name="Ю_У2">#REF!</definedName>
    <definedName name="Ю_У3" localSheetId="7">#REF!</definedName>
    <definedName name="Ю_У3" localSheetId="8">#REF!</definedName>
    <definedName name="Ю_У3" localSheetId="9">#REF!</definedName>
    <definedName name="Ю_У3" localSheetId="10">#REF!</definedName>
    <definedName name="Ю_У3" localSheetId="17">#REF!</definedName>
    <definedName name="Ю_У3" localSheetId="18">#REF!</definedName>
    <definedName name="Ю_У3" localSheetId="22">#REF!</definedName>
    <definedName name="Ю_У3" localSheetId="23">#REF!</definedName>
    <definedName name="Ю_У3" localSheetId="24">#REF!</definedName>
    <definedName name="Ю_У3" localSheetId="28">#REF!</definedName>
    <definedName name="Ю_У3" localSheetId="30">#REF!</definedName>
    <definedName name="Ю_У3" localSheetId="31">#REF!</definedName>
    <definedName name="Ю_У3" localSheetId="29">#REF!</definedName>
    <definedName name="Ю_У3" localSheetId="2">#REF!</definedName>
    <definedName name="Ю_У3" localSheetId="0">#REF!</definedName>
    <definedName name="Ю_У3" localSheetId="1">#REF!</definedName>
    <definedName name="Ю_У3" localSheetId="4">#REF!</definedName>
    <definedName name="Ю_У3" localSheetId="5">#REF!</definedName>
    <definedName name="Ю_У3" localSheetId="6">#REF!</definedName>
    <definedName name="Ю_У3" localSheetId="16">#REF!</definedName>
    <definedName name="Ю_У3" localSheetId="3">#REF!</definedName>
    <definedName name="Ю_У3">#REF!</definedName>
    <definedName name="Ю_У4" localSheetId="7">#REF!</definedName>
    <definedName name="Ю_У4" localSheetId="8">#REF!</definedName>
    <definedName name="Ю_У4" localSheetId="9">#REF!</definedName>
    <definedName name="Ю_У4" localSheetId="10">#REF!</definedName>
    <definedName name="Ю_У4" localSheetId="17">#REF!</definedName>
    <definedName name="Ю_У4" localSheetId="18">#REF!</definedName>
    <definedName name="Ю_У4" localSheetId="22">#REF!</definedName>
    <definedName name="Ю_У4" localSheetId="23">#REF!</definedName>
    <definedName name="Ю_У4" localSheetId="24">#REF!</definedName>
    <definedName name="Ю_У4" localSheetId="28">#REF!</definedName>
    <definedName name="Ю_У4" localSheetId="30">#REF!</definedName>
    <definedName name="Ю_У4" localSheetId="31">#REF!</definedName>
    <definedName name="Ю_У4" localSheetId="29">#REF!</definedName>
    <definedName name="Ю_У4" localSheetId="2">#REF!</definedName>
    <definedName name="Ю_У4" localSheetId="0">#REF!</definedName>
    <definedName name="Ю_У4" localSheetId="1">#REF!</definedName>
    <definedName name="Ю_У4" localSheetId="4">#REF!</definedName>
    <definedName name="Ю_У4" localSheetId="5">#REF!</definedName>
    <definedName name="Ю_У4" localSheetId="6">#REF!</definedName>
    <definedName name="Ю_У4" localSheetId="16">#REF!</definedName>
    <definedName name="Ю_У4" localSheetId="3">#REF!</definedName>
    <definedName name="Ю_У4">#REF!</definedName>
    <definedName name="Ю_У5" localSheetId="7">#REF!</definedName>
    <definedName name="Ю_У5" localSheetId="8">#REF!</definedName>
    <definedName name="Ю_У5" localSheetId="9">#REF!</definedName>
    <definedName name="Ю_У5" localSheetId="10">#REF!</definedName>
    <definedName name="Ю_У5" localSheetId="17">#REF!</definedName>
    <definedName name="Ю_У5" localSheetId="18">#REF!</definedName>
    <definedName name="Ю_У5" localSheetId="22">#REF!</definedName>
    <definedName name="Ю_У5" localSheetId="23">#REF!</definedName>
    <definedName name="Ю_У5" localSheetId="24">#REF!</definedName>
    <definedName name="Ю_У5" localSheetId="28">#REF!</definedName>
    <definedName name="Ю_У5" localSheetId="30">#REF!</definedName>
    <definedName name="Ю_У5" localSheetId="31">#REF!</definedName>
    <definedName name="Ю_У5" localSheetId="29">#REF!</definedName>
    <definedName name="Ю_У5" localSheetId="2">#REF!</definedName>
    <definedName name="Ю_У5" localSheetId="0">#REF!</definedName>
    <definedName name="Ю_У5" localSheetId="1">#REF!</definedName>
    <definedName name="Ю_У5" localSheetId="4">#REF!</definedName>
    <definedName name="Ю_У5" localSheetId="5">#REF!</definedName>
    <definedName name="Ю_У5" localSheetId="6">#REF!</definedName>
    <definedName name="Ю_У5" localSheetId="16">#REF!</definedName>
    <definedName name="Ю_У5" localSheetId="3">#REF!</definedName>
    <definedName name="Ю_У5">#REF!</definedName>
    <definedName name="Ю_У6" localSheetId="7">#REF!</definedName>
    <definedName name="Ю_У6" localSheetId="8">#REF!</definedName>
    <definedName name="Ю_У6" localSheetId="9">#REF!</definedName>
    <definedName name="Ю_У6" localSheetId="10">#REF!</definedName>
    <definedName name="Ю_У6" localSheetId="17">#REF!</definedName>
    <definedName name="Ю_У6" localSheetId="18">#REF!</definedName>
    <definedName name="Ю_У6" localSheetId="22">#REF!</definedName>
    <definedName name="Ю_У6" localSheetId="23">#REF!</definedName>
    <definedName name="Ю_У6" localSheetId="24">#REF!</definedName>
    <definedName name="Ю_У6" localSheetId="28">#REF!</definedName>
    <definedName name="Ю_У6" localSheetId="30">#REF!</definedName>
    <definedName name="Ю_У6" localSheetId="31">#REF!</definedName>
    <definedName name="Ю_У6" localSheetId="29">#REF!</definedName>
    <definedName name="Ю_У6" localSheetId="2">#REF!</definedName>
    <definedName name="Ю_У6" localSheetId="0">#REF!</definedName>
    <definedName name="Ю_У6" localSheetId="1">#REF!</definedName>
    <definedName name="Ю_У6" localSheetId="4">#REF!</definedName>
    <definedName name="Ю_У6" localSheetId="5">#REF!</definedName>
    <definedName name="Ю_У6" localSheetId="6">#REF!</definedName>
    <definedName name="Ю_У6" localSheetId="16">#REF!</definedName>
    <definedName name="Ю_У6" localSheetId="3">#REF!</definedName>
    <definedName name="Ю_У6">#REF!</definedName>
    <definedName name="Ю_У7" localSheetId="7">#REF!</definedName>
    <definedName name="Ю_У7" localSheetId="8">#REF!</definedName>
    <definedName name="Ю_У7" localSheetId="9">#REF!</definedName>
    <definedName name="Ю_У7" localSheetId="10">#REF!</definedName>
    <definedName name="Ю_У7" localSheetId="17">#REF!</definedName>
    <definedName name="Ю_У7" localSheetId="18">#REF!</definedName>
    <definedName name="Ю_У7" localSheetId="22">#REF!</definedName>
    <definedName name="Ю_У7" localSheetId="23">#REF!</definedName>
    <definedName name="Ю_У7" localSheetId="24">#REF!</definedName>
    <definedName name="Ю_У7" localSheetId="28">#REF!</definedName>
    <definedName name="Ю_У7" localSheetId="30">#REF!</definedName>
    <definedName name="Ю_У7" localSheetId="31">#REF!</definedName>
    <definedName name="Ю_У7" localSheetId="29">#REF!</definedName>
    <definedName name="Ю_У7" localSheetId="2">#REF!</definedName>
    <definedName name="Ю_У7" localSheetId="0">#REF!</definedName>
    <definedName name="Ю_У7" localSheetId="1">#REF!</definedName>
    <definedName name="Ю_У7" localSheetId="4">#REF!</definedName>
    <definedName name="Ю_У7" localSheetId="5">#REF!</definedName>
    <definedName name="Ю_У7" localSheetId="6">#REF!</definedName>
    <definedName name="Ю_У7" localSheetId="16">#REF!</definedName>
    <definedName name="Ю_У7" localSheetId="3">#REF!</definedName>
    <definedName name="Ю_У7">#REF!</definedName>
    <definedName name="Ю_Упр" localSheetId="7">#REF!</definedName>
    <definedName name="Ю_Упр" localSheetId="8">#REF!</definedName>
    <definedName name="Ю_Упр" localSheetId="9">#REF!</definedName>
    <definedName name="Ю_Упр" localSheetId="10">#REF!</definedName>
    <definedName name="Ю_Упр" localSheetId="17">#REF!</definedName>
    <definedName name="Ю_Упр" localSheetId="18">#REF!</definedName>
    <definedName name="Ю_Упр" localSheetId="22">#REF!</definedName>
    <definedName name="Ю_Упр" localSheetId="23">#REF!</definedName>
    <definedName name="Ю_Упр" localSheetId="24">#REF!</definedName>
    <definedName name="Ю_Упр" localSheetId="28">#REF!</definedName>
    <definedName name="Ю_Упр" localSheetId="30">#REF!</definedName>
    <definedName name="Ю_Упр" localSheetId="31">#REF!</definedName>
    <definedName name="Ю_Упр" localSheetId="29">#REF!</definedName>
    <definedName name="Ю_Упр" localSheetId="2">#REF!</definedName>
    <definedName name="Ю_Упр" localSheetId="0">#REF!</definedName>
    <definedName name="Ю_Упр" localSheetId="1">#REF!</definedName>
    <definedName name="Ю_Упр" localSheetId="4">#REF!</definedName>
    <definedName name="Ю_Упр" localSheetId="5">#REF!</definedName>
    <definedName name="Ю_Упр" localSheetId="6">#REF!</definedName>
    <definedName name="Ю_Упр" localSheetId="16">#REF!</definedName>
    <definedName name="Ю_Упр" localSheetId="3">#REF!</definedName>
    <definedName name="Ю_Упр">#REF!</definedName>
    <definedName name="Ю_ЦРО" localSheetId="7">#REF!</definedName>
    <definedName name="Ю_ЦРО" localSheetId="8">#REF!</definedName>
    <definedName name="Ю_ЦРО" localSheetId="9">#REF!</definedName>
    <definedName name="Ю_ЦРО" localSheetId="10">#REF!</definedName>
    <definedName name="Ю_ЦРО" localSheetId="17">#REF!</definedName>
    <definedName name="Ю_ЦРО" localSheetId="18">#REF!</definedName>
    <definedName name="Ю_ЦРО" localSheetId="22">#REF!</definedName>
    <definedName name="Ю_ЦРО" localSheetId="23">#REF!</definedName>
    <definedName name="Ю_ЦРО" localSheetId="24">#REF!</definedName>
    <definedName name="Ю_ЦРО" localSheetId="28">#REF!</definedName>
    <definedName name="Ю_ЦРО" localSheetId="30">#REF!</definedName>
    <definedName name="Ю_ЦРО" localSheetId="31">#REF!</definedName>
    <definedName name="Ю_ЦРО" localSheetId="29">#REF!</definedName>
    <definedName name="Ю_ЦРО" localSheetId="2">#REF!</definedName>
    <definedName name="Ю_ЦРО" localSheetId="0">#REF!</definedName>
    <definedName name="Ю_ЦРО" localSheetId="1">#REF!</definedName>
    <definedName name="Ю_ЦРО" localSheetId="4">#REF!</definedName>
    <definedName name="Ю_ЦРО" localSheetId="5">#REF!</definedName>
    <definedName name="Ю_ЦРО" localSheetId="6">#REF!</definedName>
    <definedName name="Ю_ЦРО" localSheetId="16">#REF!</definedName>
    <definedName name="Ю_ЦРО" localSheetId="3">#REF!</definedName>
    <definedName name="Ю_ЦРО">#REF!</definedName>
    <definedName name="Ю_ЦРПУ" localSheetId="7">#REF!</definedName>
    <definedName name="Ю_ЦРПУ" localSheetId="8">#REF!</definedName>
    <definedName name="Ю_ЦРПУ" localSheetId="9">#REF!</definedName>
    <definedName name="Ю_ЦРПУ" localSheetId="10">#REF!</definedName>
    <definedName name="Ю_ЦРПУ" localSheetId="17">#REF!</definedName>
    <definedName name="Ю_ЦРПУ" localSheetId="18">#REF!</definedName>
    <definedName name="Ю_ЦРПУ" localSheetId="22">#REF!</definedName>
    <definedName name="Ю_ЦРПУ" localSheetId="23">#REF!</definedName>
    <definedName name="Ю_ЦРПУ" localSheetId="24">#REF!</definedName>
    <definedName name="Ю_ЦРПУ" localSheetId="28">#REF!</definedName>
    <definedName name="Ю_ЦРПУ" localSheetId="30">#REF!</definedName>
    <definedName name="Ю_ЦРПУ" localSheetId="31">#REF!</definedName>
    <definedName name="Ю_ЦРПУ" localSheetId="29">#REF!</definedName>
    <definedName name="Ю_ЦРПУ" localSheetId="2">#REF!</definedName>
    <definedName name="Ю_ЦРПУ" localSheetId="0">#REF!</definedName>
    <definedName name="Ю_ЦРПУ" localSheetId="1">#REF!</definedName>
    <definedName name="Ю_ЦРПУ" localSheetId="4">#REF!</definedName>
    <definedName name="Ю_ЦРПУ" localSheetId="5">#REF!</definedName>
    <definedName name="Ю_ЦРПУ" localSheetId="6">#REF!</definedName>
    <definedName name="Ю_ЦРПУ" localSheetId="16">#REF!</definedName>
    <definedName name="Ю_ЦРПУ" localSheetId="3">#REF!</definedName>
    <definedName name="Ю_ЦРПУ">#REF!</definedName>
  </definedNames>
  <calcPr calcId="145621"/>
</workbook>
</file>

<file path=xl/calcChain.xml><?xml version="1.0" encoding="utf-8"?>
<calcChain xmlns="http://schemas.openxmlformats.org/spreadsheetml/2006/main">
  <c r="F10" i="13" l="1"/>
  <c r="BT13" i="17" l="1"/>
  <c r="J217" i="44" l="1"/>
  <c r="I217" i="44"/>
  <c r="E217" i="44"/>
  <c r="D217" i="44"/>
  <c r="C217" i="44"/>
  <c r="J216" i="44"/>
  <c r="I216" i="44"/>
  <c r="E216" i="44"/>
  <c r="D216" i="44"/>
  <c r="C216" i="44"/>
  <c r="J215" i="44"/>
  <c r="I215" i="44"/>
  <c r="E215" i="44"/>
  <c r="D215" i="44"/>
  <c r="C215" i="44"/>
  <c r="I214" i="44"/>
  <c r="F214" i="44"/>
  <c r="D214" i="44"/>
  <c r="C214" i="44"/>
  <c r="J213" i="44"/>
  <c r="I213" i="44"/>
  <c r="F213" i="44"/>
  <c r="E213" i="44"/>
  <c r="D213" i="44"/>
  <c r="C213" i="44"/>
  <c r="J212" i="44"/>
  <c r="I212" i="44"/>
  <c r="F212" i="44"/>
  <c r="E212" i="44"/>
  <c r="D212" i="44"/>
  <c r="C212" i="44"/>
  <c r="J211" i="44"/>
  <c r="I211" i="44"/>
  <c r="F211" i="44"/>
  <c r="E211" i="44"/>
  <c r="D211" i="44"/>
  <c r="C211" i="44"/>
  <c r="J210" i="44"/>
  <c r="I210" i="44"/>
  <c r="F210" i="44"/>
  <c r="E210" i="44"/>
  <c r="D210" i="44"/>
  <c r="C210" i="44"/>
  <c r="I209" i="44"/>
  <c r="F209" i="44"/>
  <c r="E209" i="44"/>
  <c r="C209" i="44"/>
  <c r="J208" i="44"/>
  <c r="I208" i="44"/>
  <c r="F208" i="44"/>
  <c r="E208" i="44"/>
  <c r="D208" i="44"/>
  <c r="C208" i="44"/>
  <c r="K207" i="44"/>
  <c r="J207" i="44"/>
  <c r="I207" i="44"/>
  <c r="F207" i="44"/>
  <c r="E207" i="44"/>
  <c r="D207" i="44"/>
  <c r="C207" i="44"/>
  <c r="J206" i="44"/>
  <c r="I206" i="44"/>
  <c r="F206" i="44"/>
  <c r="E206" i="44"/>
  <c r="D206" i="44"/>
  <c r="C206" i="44"/>
  <c r="J205" i="44"/>
  <c r="I205" i="44"/>
  <c r="F205" i="44"/>
  <c r="E205" i="44"/>
  <c r="D205" i="44"/>
  <c r="C205" i="44"/>
  <c r="J204" i="44"/>
  <c r="I204" i="44"/>
  <c r="F204" i="44"/>
  <c r="E204" i="44"/>
  <c r="D204" i="44"/>
  <c r="C204" i="44"/>
  <c r="I203" i="44"/>
  <c r="F203" i="44"/>
  <c r="C203" i="44"/>
  <c r="I202" i="44"/>
  <c r="F202" i="44"/>
  <c r="C202" i="44"/>
  <c r="J201" i="44"/>
  <c r="I201" i="44"/>
  <c r="F201" i="44"/>
  <c r="E201" i="44"/>
  <c r="D201" i="44"/>
  <c r="C201" i="44"/>
  <c r="J200" i="44"/>
  <c r="I200" i="44"/>
  <c r="F200" i="44"/>
  <c r="E200" i="44"/>
  <c r="D200" i="44"/>
  <c r="C200" i="44"/>
  <c r="J199" i="44"/>
  <c r="I199" i="44"/>
  <c r="G199" i="44"/>
  <c r="F199" i="44"/>
  <c r="E199" i="44"/>
  <c r="D199" i="44"/>
  <c r="C199" i="44"/>
  <c r="J198" i="44"/>
  <c r="I198" i="44"/>
  <c r="F198" i="44"/>
  <c r="E198" i="44"/>
  <c r="D198" i="44"/>
  <c r="C198" i="44"/>
  <c r="I197" i="44"/>
  <c r="F197" i="44"/>
  <c r="C197" i="44"/>
  <c r="I196" i="44"/>
  <c r="F196" i="44"/>
  <c r="C196" i="44"/>
  <c r="K195" i="44"/>
  <c r="J195" i="44"/>
  <c r="I195" i="44"/>
  <c r="F195" i="44"/>
  <c r="E195" i="44"/>
  <c r="D195" i="44"/>
  <c r="C195" i="44"/>
  <c r="J194" i="44"/>
  <c r="I194" i="44"/>
  <c r="F194" i="44"/>
  <c r="E194" i="44"/>
  <c r="D194" i="44"/>
  <c r="C194" i="44"/>
  <c r="J193" i="44"/>
  <c r="I193" i="44"/>
  <c r="F193" i="44"/>
  <c r="E193" i="44"/>
  <c r="D193" i="44"/>
  <c r="C193" i="44"/>
  <c r="J192" i="44"/>
  <c r="I192" i="44"/>
  <c r="F192" i="44"/>
  <c r="E192" i="44"/>
  <c r="D192" i="44"/>
  <c r="C192" i="44"/>
  <c r="J191" i="44"/>
  <c r="I191" i="44"/>
  <c r="F191" i="44"/>
  <c r="C191" i="44"/>
  <c r="J190" i="44"/>
  <c r="I190" i="44"/>
  <c r="F190" i="44"/>
  <c r="E190" i="44"/>
  <c r="D190" i="44"/>
  <c r="C190" i="44"/>
  <c r="J189" i="44"/>
  <c r="I189" i="44"/>
  <c r="F189" i="44"/>
  <c r="E189" i="44"/>
  <c r="D189" i="44"/>
  <c r="C189" i="44"/>
  <c r="J188" i="44"/>
  <c r="I188" i="44"/>
  <c r="F188" i="44"/>
  <c r="E188" i="44"/>
  <c r="D188" i="44"/>
  <c r="C188" i="44"/>
  <c r="K187" i="44"/>
  <c r="J187" i="44"/>
  <c r="I187" i="44"/>
  <c r="E187" i="44"/>
  <c r="D187" i="44"/>
  <c r="C187" i="44"/>
  <c r="I186" i="44"/>
  <c r="F186" i="44"/>
  <c r="C186" i="44"/>
  <c r="J185" i="44"/>
  <c r="I185" i="44"/>
  <c r="E185" i="44"/>
  <c r="D185" i="44"/>
  <c r="C185" i="44"/>
  <c r="J184" i="44"/>
  <c r="I184" i="44"/>
  <c r="E184" i="44"/>
  <c r="D184" i="44"/>
  <c r="C184" i="44"/>
  <c r="J183" i="44"/>
  <c r="I183" i="44"/>
  <c r="E183" i="44"/>
  <c r="D183" i="44"/>
  <c r="C183" i="44"/>
  <c r="J182" i="44"/>
  <c r="I182" i="44"/>
  <c r="E182" i="44"/>
  <c r="D182" i="44"/>
  <c r="C182" i="44"/>
  <c r="J181" i="44"/>
  <c r="I181" i="44"/>
  <c r="E181" i="44"/>
  <c r="D181" i="44"/>
  <c r="C181" i="44"/>
  <c r="I180" i="44"/>
  <c r="F180" i="44"/>
  <c r="C180" i="44"/>
  <c r="J179" i="44"/>
  <c r="I179" i="44"/>
  <c r="G179" i="44"/>
  <c r="E179" i="44"/>
  <c r="D179" i="44"/>
  <c r="C179" i="44"/>
  <c r="J178" i="44"/>
  <c r="I178" i="44"/>
  <c r="E178" i="44"/>
  <c r="D178" i="44"/>
  <c r="C178" i="44"/>
  <c r="J177" i="44"/>
  <c r="I177" i="44"/>
  <c r="E177" i="44"/>
  <c r="D177" i="44"/>
  <c r="C177" i="44"/>
  <c r="J176" i="44"/>
  <c r="I176" i="44"/>
  <c r="E176" i="44"/>
  <c r="D176" i="44"/>
  <c r="C176" i="44"/>
  <c r="J175" i="44"/>
  <c r="I175" i="44"/>
  <c r="G175" i="44"/>
  <c r="E175" i="44"/>
  <c r="D175" i="44"/>
  <c r="C175" i="44"/>
  <c r="J174" i="44"/>
  <c r="I174" i="44"/>
  <c r="E174" i="44"/>
  <c r="D174" i="44"/>
  <c r="C174" i="44"/>
  <c r="J173" i="44"/>
  <c r="I173" i="44"/>
  <c r="E173" i="44"/>
  <c r="D173" i="44"/>
  <c r="C173" i="44"/>
  <c r="J172" i="44"/>
  <c r="I172" i="44"/>
  <c r="E172" i="44"/>
  <c r="D172" i="44"/>
  <c r="C172" i="44"/>
  <c r="J171" i="44"/>
  <c r="I171" i="44"/>
  <c r="E171" i="44"/>
  <c r="D171" i="44"/>
  <c r="C171" i="44"/>
  <c r="J170" i="44"/>
  <c r="I170" i="44"/>
  <c r="E170" i="44"/>
  <c r="D170" i="44"/>
  <c r="C170" i="44"/>
  <c r="J169" i="44"/>
  <c r="I169" i="44"/>
  <c r="E169" i="44"/>
  <c r="D169" i="44"/>
  <c r="J168" i="44"/>
  <c r="I168" i="44"/>
  <c r="F168" i="44"/>
  <c r="E168" i="44"/>
  <c r="D168" i="44"/>
  <c r="J167" i="44"/>
  <c r="I167" i="44"/>
  <c r="E167" i="44"/>
  <c r="D167" i="44"/>
  <c r="C167" i="44"/>
  <c r="I166" i="44"/>
  <c r="F166" i="44"/>
  <c r="J165" i="44"/>
  <c r="I165" i="44"/>
  <c r="E165" i="44"/>
  <c r="D165" i="44"/>
  <c r="J164" i="44"/>
  <c r="I164" i="44"/>
  <c r="F164" i="44"/>
  <c r="E164" i="44"/>
  <c r="D164" i="44"/>
  <c r="J163" i="44"/>
  <c r="I163" i="44"/>
  <c r="E163" i="44"/>
  <c r="D163" i="44"/>
  <c r="J162" i="44"/>
  <c r="I162" i="44"/>
  <c r="E162" i="44"/>
  <c r="D162" i="44"/>
  <c r="J161" i="44"/>
  <c r="I161" i="44"/>
  <c r="E161" i="44"/>
  <c r="D161" i="44"/>
  <c r="I160" i="44"/>
  <c r="F160" i="44"/>
  <c r="J159" i="44"/>
  <c r="I159" i="44"/>
  <c r="F159" i="44"/>
  <c r="E159" i="44"/>
  <c r="D159" i="44"/>
  <c r="C159" i="44"/>
  <c r="J158" i="44"/>
  <c r="I158" i="44"/>
  <c r="E158" i="44"/>
  <c r="D158" i="44"/>
  <c r="C158" i="44"/>
  <c r="J157" i="44"/>
  <c r="I157" i="44"/>
  <c r="E157" i="44"/>
  <c r="D157" i="44"/>
  <c r="C157" i="44"/>
  <c r="J156" i="44"/>
  <c r="I156" i="44"/>
  <c r="F156" i="44"/>
  <c r="E156" i="44"/>
  <c r="D156" i="44"/>
  <c r="C156" i="44"/>
  <c r="J155" i="44"/>
  <c r="I155" i="44"/>
  <c r="F155" i="44"/>
  <c r="C155" i="44"/>
  <c r="J154" i="44"/>
  <c r="I154" i="44"/>
  <c r="F154" i="44"/>
  <c r="E154" i="44"/>
  <c r="D154" i="44"/>
  <c r="C154" i="44"/>
  <c r="J153" i="44"/>
  <c r="I153" i="44"/>
  <c r="E153" i="44"/>
  <c r="D153" i="44"/>
  <c r="C153" i="44"/>
  <c r="J152" i="44"/>
  <c r="I152" i="44"/>
  <c r="F152" i="44"/>
  <c r="C152" i="44"/>
  <c r="J151" i="44"/>
  <c r="I151" i="44"/>
  <c r="E151" i="44"/>
  <c r="D151" i="44"/>
  <c r="C151" i="44"/>
  <c r="J150" i="44"/>
  <c r="I150" i="44"/>
  <c r="E150" i="44"/>
  <c r="D150" i="44"/>
  <c r="J149" i="44"/>
  <c r="I149" i="44"/>
  <c r="E149" i="44"/>
  <c r="D149" i="44"/>
  <c r="J148" i="44"/>
  <c r="I148" i="44"/>
  <c r="E148" i="44"/>
  <c r="D148" i="44"/>
  <c r="C148" i="44"/>
  <c r="J147" i="44"/>
  <c r="I147" i="44"/>
  <c r="E147" i="44"/>
  <c r="D147" i="44"/>
  <c r="C147" i="44"/>
  <c r="J146" i="44"/>
  <c r="I146" i="44"/>
  <c r="E146" i="44"/>
  <c r="D146" i="44"/>
  <c r="J145" i="44"/>
  <c r="I145" i="44"/>
  <c r="E145" i="44"/>
  <c r="D145" i="44"/>
  <c r="C145" i="44"/>
  <c r="J144" i="44"/>
  <c r="I144" i="44"/>
  <c r="F144" i="44"/>
  <c r="J143" i="44"/>
  <c r="I143" i="44"/>
  <c r="E143" i="44"/>
  <c r="D143" i="44"/>
  <c r="C143" i="44"/>
  <c r="J142" i="44"/>
  <c r="I142" i="44"/>
  <c r="H142" i="44"/>
  <c r="E142" i="44"/>
  <c r="D142" i="44"/>
  <c r="C142" i="44"/>
  <c r="J141" i="44"/>
  <c r="I141" i="44"/>
  <c r="E141" i="44"/>
  <c r="D141" i="44"/>
  <c r="J140" i="44"/>
  <c r="I140" i="44"/>
  <c r="F140" i="44"/>
  <c r="E140" i="44"/>
  <c r="D140" i="44"/>
  <c r="K139" i="44"/>
  <c r="J139" i="44"/>
  <c r="I139" i="44"/>
  <c r="G139" i="44"/>
  <c r="E139" i="44"/>
  <c r="D139" i="44"/>
  <c r="C139" i="44"/>
  <c r="J138" i="44"/>
  <c r="I138" i="44"/>
  <c r="E138" i="44"/>
  <c r="D138" i="44"/>
  <c r="C138" i="44"/>
  <c r="J137" i="44"/>
  <c r="I137" i="44"/>
  <c r="F137" i="44"/>
  <c r="E137" i="44"/>
  <c r="D137" i="44"/>
  <c r="C137" i="44"/>
  <c r="J136" i="44"/>
  <c r="I136" i="44"/>
  <c r="F136" i="44"/>
  <c r="I135" i="44"/>
  <c r="F135" i="44"/>
  <c r="J134" i="44"/>
  <c r="I134" i="44"/>
  <c r="F134" i="44"/>
  <c r="E134" i="44"/>
  <c r="D134" i="44"/>
  <c r="C134" i="44"/>
  <c r="J133" i="44"/>
  <c r="I133" i="44"/>
  <c r="F133" i="44"/>
  <c r="E133" i="44"/>
  <c r="D133" i="44"/>
  <c r="C133" i="44"/>
  <c r="J132" i="44"/>
  <c r="I132" i="44"/>
  <c r="F132" i="44"/>
  <c r="E132" i="44"/>
  <c r="D132" i="44"/>
  <c r="C132" i="44"/>
  <c r="K131" i="44"/>
  <c r="J131" i="44"/>
  <c r="I131" i="44"/>
  <c r="G131" i="44"/>
  <c r="F131" i="44"/>
  <c r="E131" i="44"/>
  <c r="D131" i="44"/>
  <c r="C131" i="44"/>
  <c r="J130" i="44"/>
  <c r="I130" i="44"/>
  <c r="F130" i="44"/>
  <c r="E130" i="44"/>
  <c r="D130" i="44"/>
  <c r="C130" i="44"/>
  <c r="J129" i="44"/>
  <c r="I129" i="44"/>
  <c r="F129" i="44"/>
  <c r="E129" i="44"/>
  <c r="D129" i="44"/>
  <c r="C129" i="44"/>
  <c r="J128" i="44"/>
  <c r="I128" i="44"/>
  <c r="F128" i="44"/>
  <c r="E128" i="44"/>
  <c r="D128" i="44"/>
  <c r="C128" i="44"/>
  <c r="K127" i="44"/>
  <c r="J127" i="44"/>
  <c r="I127" i="44"/>
  <c r="G127" i="44"/>
  <c r="F127" i="44"/>
  <c r="E127" i="44"/>
  <c r="D127" i="44"/>
  <c r="C127" i="44"/>
  <c r="J126" i="44"/>
  <c r="I126" i="44"/>
  <c r="H126" i="44"/>
  <c r="F126" i="44"/>
  <c r="E126" i="44"/>
  <c r="D126" i="44"/>
  <c r="I125" i="44"/>
  <c r="F125" i="44"/>
  <c r="E125" i="44"/>
  <c r="J124" i="44"/>
  <c r="I124" i="44"/>
  <c r="F124" i="44"/>
  <c r="E124" i="44"/>
  <c r="D124" i="44"/>
  <c r="C124" i="44"/>
  <c r="K123" i="44"/>
  <c r="J123" i="44"/>
  <c r="I123" i="44"/>
  <c r="G123" i="44"/>
  <c r="E123" i="44"/>
  <c r="D123" i="44"/>
  <c r="C123" i="44"/>
  <c r="J122" i="44"/>
  <c r="I122" i="44"/>
  <c r="F122" i="44"/>
  <c r="E122" i="44"/>
  <c r="D122" i="44"/>
  <c r="C122" i="44"/>
  <c r="J121" i="44"/>
  <c r="I121" i="44"/>
  <c r="E121" i="44"/>
  <c r="D121" i="44"/>
  <c r="C121" i="44"/>
  <c r="J120" i="44"/>
  <c r="I120" i="44"/>
  <c r="E120" i="44"/>
  <c r="D120" i="44"/>
  <c r="C120" i="44"/>
  <c r="J119" i="44"/>
  <c r="I119" i="44"/>
  <c r="G119" i="44"/>
  <c r="E119" i="44"/>
  <c r="D119" i="44"/>
  <c r="C119" i="44"/>
  <c r="C118" i="44"/>
  <c r="K113" i="44"/>
  <c r="K217" i="44" s="1"/>
  <c r="G113" i="44"/>
  <c r="G217" i="44" s="1"/>
  <c r="F113" i="44"/>
  <c r="K112" i="44"/>
  <c r="K216" i="44" s="1"/>
  <c r="G112" i="44"/>
  <c r="G216" i="44" s="1"/>
  <c r="F112" i="44"/>
  <c r="K111" i="44"/>
  <c r="K215" i="44" s="1"/>
  <c r="G111" i="44"/>
  <c r="G215" i="44" s="1"/>
  <c r="F111" i="44"/>
  <c r="K110" i="44"/>
  <c r="K214" i="44" s="1"/>
  <c r="J110" i="44"/>
  <c r="J214" i="44" s="1"/>
  <c r="G110" i="44"/>
  <c r="G214" i="44" s="1"/>
  <c r="E110" i="44"/>
  <c r="E214" i="44" s="1"/>
  <c r="K109" i="44"/>
  <c r="K213" i="44" s="1"/>
  <c r="G109" i="44"/>
  <c r="K108" i="44"/>
  <c r="K212" i="44" s="1"/>
  <c r="G108" i="44"/>
  <c r="G212" i="44" s="1"/>
  <c r="K107" i="44"/>
  <c r="K211" i="44" s="1"/>
  <c r="H107" i="44"/>
  <c r="H211" i="44" s="1"/>
  <c r="G107" i="44"/>
  <c r="G211" i="44" s="1"/>
  <c r="K106" i="44"/>
  <c r="K210" i="44" s="1"/>
  <c r="H106" i="44"/>
  <c r="H210" i="44" s="1"/>
  <c r="G106" i="44"/>
  <c r="G210" i="44" s="1"/>
  <c r="J105" i="44"/>
  <c r="J209" i="44" s="1"/>
  <c r="E105" i="44"/>
  <c r="D105" i="44"/>
  <c r="D209" i="44" s="1"/>
  <c r="K104" i="44"/>
  <c r="K208" i="44" s="1"/>
  <c r="H104" i="44"/>
  <c r="H208" i="44" s="1"/>
  <c r="G104" i="44"/>
  <c r="G208" i="44" s="1"/>
  <c r="K103" i="44"/>
  <c r="H103" i="44"/>
  <c r="H207" i="44" s="1"/>
  <c r="G103" i="44"/>
  <c r="G207" i="44" s="1"/>
  <c r="K102" i="44"/>
  <c r="K206" i="44" s="1"/>
  <c r="G102" i="44"/>
  <c r="K101" i="44"/>
  <c r="K205" i="44" s="1"/>
  <c r="G101" i="44"/>
  <c r="G205" i="44" s="1"/>
  <c r="K100" i="44"/>
  <c r="H100" i="44"/>
  <c r="H204" i="44" s="1"/>
  <c r="G100" i="44"/>
  <c r="G204" i="44" s="1"/>
  <c r="J99" i="44"/>
  <c r="E99" i="44"/>
  <c r="E203" i="44" s="1"/>
  <c r="D99" i="44"/>
  <c r="K97" i="44"/>
  <c r="K201" i="44" s="1"/>
  <c r="H97" i="44"/>
  <c r="H201" i="44" s="1"/>
  <c r="G97" i="44"/>
  <c r="G201" i="44" s="1"/>
  <c r="K96" i="44"/>
  <c r="K200" i="44" s="1"/>
  <c r="G96" i="44"/>
  <c r="K95" i="44"/>
  <c r="K199" i="44" s="1"/>
  <c r="G95" i="44"/>
  <c r="H95" i="44" s="1"/>
  <c r="K94" i="44"/>
  <c r="H94" i="44"/>
  <c r="H198" i="44" s="1"/>
  <c r="G94" i="44"/>
  <c r="G198" i="44" s="1"/>
  <c r="J93" i="44"/>
  <c r="E93" i="44"/>
  <c r="E92" i="44" s="1"/>
  <c r="E196" i="44" s="1"/>
  <c r="D93" i="44"/>
  <c r="K91" i="44"/>
  <c r="H91" i="44"/>
  <c r="H195" i="44" s="1"/>
  <c r="G91" i="44"/>
  <c r="G195" i="44" s="1"/>
  <c r="K90" i="44"/>
  <c r="K194" i="44" s="1"/>
  <c r="G90" i="44"/>
  <c r="K89" i="44"/>
  <c r="K193" i="44" s="1"/>
  <c r="G89" i="44"/>
  <c r="G193" i="44" s="1"/>
  <c r="K88" i="44"/>
  <c r="H88" i="44"/>
  <c r="H192" i="44" s="1"/>
  <c r="G88" i="44"/>
  <c r="G192" i="44" s="1"/>
  <c r="E87" i="44"/>
  <c r="E191" i="44" s="1"/>
  <c r="D87" i="44"/>
  <c r="D191" i="44" s="1"/>
  <c r="K86" i="44"/>
  <c r="K190" i="44" s="1"/>
  <c r="H86" i="44"/>
  <c r="H190" i="44" s="1"/>
  <c r="G86" i="44"/>
  <c r="G190" i="44" s="1"/>
  <c r="K85" i="44"/>
  <c r="K189" i="44" s="1"/>
  <c r="H85" i="44"/>
  <c r="H189" i="44" s="1"/>
  <c r="G85" i="44"/>
  <c r="G189" i="44" s="1"/>
  <c r="K84" i="44"/>
  <c r="K188" i="44" s="1"/>
  <c r="G84" i="44"/>
  <c r="F84" i="44"/>
  <c r="K83" i="44"/>
  <c r="G83" i="44"/>
  <c r="F83" i="44"/>
  <c r="F187" i="44" s="1"/>
  <c r="J82" i="44"/>
  <c r="J186" i="44" s="1"/>
  <c r="E82" i="44"/>
  <c r="E186" i="44" s="1"/>
  <c r="D82" i="44"/>
  <c r="G82" i="44" s="1"/>
  <c r="G186" i="44" s="1"/>
  <c r="K81" i="44"/>
  <c r="K185" i="44" s="1"/>
  <c r="G81" i="44"/>
  <c r="G185" i="44" s="1"/>
  <c r="F81" i="44"/>
  <c r="F185" i="44" s="1"/>
  <c r="K80" i="44"/>
  <c r="K184" i="44" s="1"/>
  <c r="G80" i="44"/>
  <c r="G184" i="44" s="1"/>
  <c r="F80" i="44"/>
  <c r="F184" i="44" s="1"/>
  <c r="K79" i="44"/>
  <c r="K183" i="44" s="1"/>
  <c r="G79" i="44"/>
  <c r="G183" i="44" s="1"/>
  <c r="F79" i="44"/>
  <c r="F183" i="44" s="1"/>
  <c r="K78" i="44"/>
  <c r="K182" i="44" s="1"/>
  <c r="G78" i="44"/>
  <c r="G182" i="44" s="1"/>
  <c r="F78" i="44"/>
  <c r="F182" i="44" s="1"/>
  <c r="K77" i="44"/>
  <c r="K181" i="44" s="1"/>
  <c r="G77" i="44"/>
  <c r="G181" i="44" s="1"/>
  <c r="F77" i="44"/>
  <c r="F181" i="44" s="1"/>
  <c r="K76" i="44"/>
  <c r="K180" i="44" s="1"/>
  <c r="J76" i="44"/>
  <c r="J180" i="44" s="1"/>
  <c r="G76" i="44"/>
  <c r="G180" i="44" s="1"/>
  <c r="E76" i="44"/>
  <c r="E180" i="44" s="1"/>
  <c r="D76" i="44"/>
  <c r="D180" i="44" s="1"/>
  <c r="K75" i="44"/>
  <c r="K179" i="44" s="1"/>
  <c r="G75" i="44"/>
  <c r="H75" i="44" s="1"/>
  <c r="H179" i="44" s="1"/>
  <c r="F75" i="44"/>
  <c r="F179" i="44" s="1"/>
  <c r="K74" i="44"/>
  <c r="K178" i="44" s="1"/>
  <c r="G74" i="44"/>
  <c r="F74" i="44"/>
  <c r="F178" i="44" s="1"/>
  <c r="K73" i="44"/>
  <c r="K177" i="44" s="1"/>
  <c r="G73" i="44"/>
  <c r="F73" i="44"/>
  <c r="F177" i="44" s="1"/>
  <c r="K72" i="44"/>
  <c r="K176" i="44" s="1"/>
  <c r="G72" i="44"/>
  <c r="F72" i="44"/>
  <c r="F176" i="44" s="1"/>
  <c r="K71" i="44"/>
  <c r="K175" i="44" s="1"/>
  <c r="G71" i="44"/>
  <c r="H71" i="44" s="1"/>
  <c r="H175" i="44" s="1"/>
  <c r="F71" i="44"/>
  <c r="F175" i="44" s="1"/>
  <c r="K70" i="44"/>
  <c r="K174" i="44" s="1"/>
  <c r="G70" i="44"/>
  <c r="F70" i="44"/>
  <c r="F174" i="44" s="1"/>
  <c r="K69" i="44"/>
  <c r="K173" i="44" s="1"/>
  <c r="G69" i="44"/>
  <c r="F69" i="44"/>
  <c r="F173" i="44" s="1"/>
  <c r="K68" i="44"/>
  <c r="K172" i="44" s="1"/>
  <c r="G68" i="44"/>
  <c r="F68" i="44"/>
  <c r="F172" i="44" s="1"/>
  <c r="K67" i="44"/>
  <c r="K171" i="44" s="1"/>
  <c r="G67" i="44"/>
  <c r="H67" i="44" s="1"/>
  <c r="H171" i="44" s="1"/>
  <c r="F67" i="44"/>
  <c r="F171" i="44" s="1"/>
  <c r="K66" i="44"/>
  <c r="K170" i="44" s="1"/>
  <c r="G66" i="44"/>
  <c r="F66" i="44"/>
  <c r="F170" i="44" s="1"/>
  <c r="K65" i="44"/>
  <c r="K169" i="44" s="1"/>
  <c r="G65" i="44"/>
  <c r="F65" i="44"/>
  <c r="F169" i="44" s="1"/>
  <c r="C65" i="44"/>
  <c r="C169" i="44" s="1"/>
  <c r="K64" i="44"/>
  <c r="K168" i="44" s="1"/>
  <c r="H64" i="44"/>
  <c r="H168" i="44" s="1"/>
  <c r="G64" i="44"/>
  <c r="G168" i="44" s="1"/>
  <c r="F64" i="44"/>
  <c r="C64" i="44"/>
  <c r="C168" i="44" s="1"/>
  <c r="K63" i="44"/>
  <c r="K167" i="44" s="1"/>
  <c r="G63" i="44"/>
  <c r="G167" i="44" s="1"/>
  <c r="F63" i="44"/>
  <c r="F167" i="44" s="1"/>
  <c r="J62" i="44"/>
  <c r="J166" i="44" s="1"/>
  <c r="G62" i="44"/>
  <c r="G166" i="44" s="1"/>
  <c r="E62" i="44"/>
  <c r="D62" i="44"/>
  <c r="D166" i="44" s="1"/>
  <c r="K61" i="44"/>
  <c r="K165" i="44" s="1"/>
  <c r="H61" i="44"/>
  <c r="H165" i="44" s="1"/>
  <c r="G61" i="44"/>
  <c r="G165" i="44" s="1"/>
  <c r="F61" i="44"/>
  <c r="F165" i="44" s="1"/>
  <c r="C61" i="44"/>
  <c r="C165" i="44" s="1"/>
  <c r="K60" i="44"/>
  <c r="K164" i="44" s="1"/>
  <c r="G60" i="44"/>
  <c r="G164" i="44" s="1"/>
  <c r="F60" i="44"/>
  <c r="H60" i="44" s="1"/>
  <c r="H164" i="44" s="1"/>
  <c r="C60" i="44"/>
  <c r="C164" i="44" s="1"/>
  <c r="K59" i="44"/>
  <c r="K163" i="44" s="1"/>
  <c r="G59" i="44"/>
  <c r="G163" i="44" s="1"/>
  <c r="F59" i="44"/>
  <c r="C59" i="44"/>
  <c r="C163" i="44" s="1"/>
  <c r="K58" i="44"/>
  <c r="K162" i="44" s="1"/>
  <c r="G58" i="44"/>
  <c r="F58" i="44"/>
  <c r="F162" i="44" s="1"/>
  <c r="C58" i="44"/>
  <c r="C162" i="44" s="1"/>
  <c r="K57" i="44"/>
  <c r="K161" i="44" s="1"/>
  <c r="H57" i="44"/>
  <c r="G57" i="44"/>
  <c r="G161" i="44" s="1"/>
  <c r="F57" i="44"/>
  <c r="F161" i="44" s="1"/>
  <c r="C57" i="44"/>
  <c r="C161" i="44" s="1"/>
  <c r="J56" i="44"/>
  <c r="J160" i="44" s="1"/>
  <c r="G56" i="44"/>
  <c r="G160" i="44" s="1"/>
  <c r="E56" i="44"/>
  <c r="D56" i="44"/>
  <c r="D160" i="44" s="1"/>
  <c r="K55" i="44"/>
  <c r="K159" i="44" s="1"/>
  <c r="H55" i="44"/>
  <c r="H159" i="44" s="1"/>
  <c r="G55" i="44"/>
  <c r="G159" i="44" s="1"/>
  <c r="K54" i="44"/>
  <c r="K158" i="44" s="1"/>
  <c r="G54" i="44"/>
  <c r="F54" i="44"/>
  <c r="F158" i="44" s="1"/>
  <c r="K53" i="44"/>
  <c r="K157" i="44" s="1"/>
  <c r="G53" i="44"/>
  <c r="F53" i="44"/>
  <c r="F157" i="44" s="1"/>
  <c r="K52" i="44"/>
  <c r="K156" i="44" s="1"/>
  <c r="G52" i="44"/>
  <c r="G51" i="44"/>
  <c r="G155" i="44" s="1"/>
  <c r="E51" i="44"/>
  <c r="E155" i="44" s="1"/>
  <c r="D51" i="44"/>
  <c r="D155" i="44" s="1"/>
  <c r="K50" i="44"/>
  <c r="K154" i="44" s="1"/>
  <c r="G50" i="44"/>
  <c r="K49" i="44"/>
  <c r="K153" i="44" s="1"/>
  <c r="G49" i="44"/>
  <c r="G153" i="44" s="1"/>
  <c r="F49" i="44"/>
  <c r="K48" i="44"/>
  <c r="K152" i="44" s="1"/>
  <c r="G48" i="44"/>
  <c r="G152" i="44" s="1"/>
  <c r="E48" i="44"/>
  <c r="E152" i="44" s="1"/>
  <c r="D48" i="44"/>
  <c r="D152" i="44" s="1"/>
  <c r="K47" i="44"/>
  <c r="K151" i="44" s="1"/>
  <c r="G47" i="44"/>
  <c r="H47" i="44" s="1"/>
  <c r="H151" i="44" s="1"/>
  <c r="F47" i="44"/>
  <c r="F151" i="44" s="1"/>
  <c r="K46" i="44"/>
  <c r="K150" i="44" s="1"/>
  <c r="G46" i="44"/>
  <c r="F46" i="44"/>
  <c r="F150" i="44" s="1"/>
  <c r="C46" i="44"/>
  <c r="C150" i="44" s="1"/>
  <c r="K45" i="44"/>
  <c r="K149" i="44" s="1"/>
  <c r="H45" i="44"/>
  <c r="H149" i="44" s="1"/>
  <c r="G45" i="44"/>
  <c r="G149" i="44" s="1"/>
  <c r="F45" i="44"/>
  <c r="F149" i="44" s="1"/>
  <c r="C45" i="44"/>
  <c r="C149" i="44" s="1"/>
  <c r="K44" i="44"/>
  <c r="K148" i="44" s="1"/>
  <c r="G44" i="44"/>
  <c r="G148" i="44" s="1"/>
  <c r="F44" i="44"/>
  <c r="F148" i="44" s="1"/>
  <c r="K43" i="44"/>
  <c r="K147" i="44" s="1"/>
  <c r="G43" i="44"/>
  <c r="G147" i="44" s="1"/>
  <c r="F43" i="44"/>
  <c r="F147" i="44" s="1"/>
  <c r="K42" i="44"/>
  <c r="G42" i="44"/>
  <c r="G146" i="44" s="1"/>
  <c r="F42" i="44"/>
  <c r="F146" i="44" s="1"/>
  <c r="C42" i="44"/>
  <c r="C146" i="44" s="1"/>
  <c r="K41" i="44"/>
  <c r="K145" i="44" s="1"/>
  <c r="G41" i="44"/>
  <c r="G145" i="44" s="1"/>
  <c r="F41" i="44"/>
  <c r="G40" i="44"/>
  <c r="G144" i="44" s="1"/>
  <c r="E40" i="44"/>
  <c r="D40" i="44"/>
  <c r="D144" i="44" s="1"/>
  <c r="K39" i="44"/>
  <c r="K143" i="44" s="1"/>
  <c r="H39" i="44"/>
  <c r="H143" i="44" s="1"/>
  <c r="G39" i="44"/>
  <c r="G143" i="44" s="1"/>
  <c r="F39" i="44"/>
  <c r="F143" i="44" s="1"/>
  <c r="K38" i="44"/>
  <c r="K142" i="44" s="1"/>
  <c r="H38" i="44"/>
  <c r="G38" i="44"/>
  <c r="G142" i="44" s="1"/>
  <c r="F38" i="44"/>
  <c r="F142" i="44" s="1"/>
  <c r="K37" i="44"/>
  <c r="K141" i="44" s="1"/>
  <c r="H37" i="44"/>
  <c r="H141" i="44" s="1"/>
  <c r="G37" i="44"/>
  <c r="G141" i="44" s="1"/>
  <c r="F37" i="44"/>
  <c r="F141" i="44" s="1"/>
  <c r="C37" i="44"/>
  <c r="C141" i="44" s="1"/>
  <c r="K36" i="44"/>
  <c r="K140" i="44" s="1"/>
  <c r="G36" i="44"/>
  <c r="G140" i="44" s="1"/>
  <c r="F36" i="44"/>
  <c r="H36" i="44" s="1"/>
  <c r="H140" i="44" s="1"/>
  <c r="C36" i="44"/>
  <c r="C140" i="44" s="1"/>
  <c r="K35" i="44"/>
  <c r="G35" i="44"/>
  <c r="F35" i="44"/>
  <c r="K34" i="44"/>
  <c r="K138" i="44" s="1"/>
  <c r="G34" i="44"/>
  <c r="G138" i="44" s="1"/>
  <c r="F34" i="44"/>
  <c r="K33" i="44"/>
  <c r="K137" i="44" s="1"/>
  <c r="G33" i="44"/>
  <c r="G137" i="44" s="1"/>
  <c r="K32" i="44"/>
  <c r="J32" i="44"/>
  <c r="G32" i="44"/>
  <c r="G136" i="44" s="1"/>
  <c r="E32" i="44"/>
  <c r="D32" i="44"/>
  <c r="D136" i="44" s="1"/>
  <c r="J31" i="44"/>
  <c r="J135" i="44" s="1"/>
  <c r="D31" i="44"/>
  <c r="K30" i="44"/>
  <c r="K134" i="44" s="1"/>
  <c r="G30" i="44"/>
  <c r="K29" i="44"/>
  <c r="K133" i="44" s="1"/>
  <c r="G29" i="44"/>
  <c r="G133" i="44" s="1"/>
  <c r="K28" i="44"/>
  <c r="K132" i="44" s="1"/>
  <c r="G28" i="44"/>
  <c r="G132" i="44" s="1"/>
  <c r="K27" i="44"/>
  <c r="H27" i="44"/>
  <c r="H131" i="44" s="1"/>
  <c r="G27" i="44"/>
  <c r="K26" i="44"/>
  <c r="K130" i="44" s="1"/>
  <c r="G26" i="44"/>
  <c r="K25" i="44"/>
  <c r="K129" i="44" s="1"/>
  <c r="G25" i="44"/>
  <c r="G129" i="44" s="1"/>
  <c r="K24" i="44"/>
  <c r="G24" i="44"/>
  <c r="G128" i="44" s="1"/>
  <c r="K23" i="44"/>
  <c r="H23" i="44"/>
  <c r="H127" i="44" s="1"/>
  <c r="G23" i="44"/>
  <c r="C23" i="44"/>
  <c r="K22" i="44"/>
  <c r="K126" i="44" s="1"/>
  <c r="H22" i="44"/>
  <c r="G22" i="44"/>
  <c r="G126" i="44" s="1"/>
  <c r="C22" i="44"/>
  <c r="C126" i="44" s="1"/>
  <c r="J21" i="44"/>
  <c r="J125" i="44" s="1"/>
  <c r="E21" i="44"/>
  <c r="D21" i="44"/>
  <c r="K20" i="44"/>
  <c r="K124" i="44" s="1"/>
  <c r="G20" i="44"/>
  <c r="K19" i="44"/>
  <c r="G19" i="44"/>
  <c r="F19" i="44"/>
  <c r="K18" i="44"/>
  <c r="K122" i="44" s="1"/>
  <c r="G18" i="44"/>
  <c r="K17" i="44"/>
  <c r="K121" i="44" s="1"/>
  <c r="G17" i="44"/>
  <c r="G121" i="44" s="1"/>
  <c r="F17" i="44"/>
  <c r="K16" i="44"/>
  <c r="K120" i="44" s="1"/>
  <c r="G16" i="44"/>
  <c r="G120" i="44" s="1"/>
  <c r="F16" i="44"/>
  <c r="H16" i="44" s="1"/>
  <c r="H120" i="44" s="1"/>
  <c r="K15" i="44"/>
  <c r="K119" i="44" s="1"/>
  <c r="G15" i="44"/>
  <c r="H15" i="44" s="1"/>
  <c r="K14" i="44"/>
  <c r="K118" i="44" s="1"/>
  <c r="J14" i="44"/>
  <c r="E14" i="44"/>
  <c r="E13" i="44" s="1"/>
  <c r="D14" i="44"/>
  <c r="E12" i="44"/>
  <c r="G456" i="43"/>
  <c r="G455" i="43"/>
  <c r="F454" i="43"/>
  <c r="E454" i="43"/>
  <c r="E452" i="43" s="1"/>
  <c r="D454" i="43"/>
  <c r="C454" i="43"/>
  <c r="F453" i="43"/>
  <c r="F452" i="43" s="1"/>
  <c r="E453" i="43"/>
  <c r="D453" i="43"/>
  <c r="D452" i="43" s="1"/>
  <c r="C453" i="43"/>
  <c r="C452" i="43"/>
  <c r="F451" i="43"/>
  <c r="E451" i="43"/>
  <c r="D451" i="43"/>
  <c r="D447" i="43" s="1"/>
  <c r="C451" i="43"/>
  <c r="F450" i="43"/>
  <c r="E450" i="43"/>
  <c r="D450" i="43"/>
  <c r="C450" i="43"/>
  <c r="G450" i="43" s="1"/>
  <c r="F449" i="43"/>
  <c r="F447" i="43" s="1"/>
  <c r="E449" i="43"/>
  <c r="D449" i="43"/>
  <c r="C449" i="43"/>
  <c r="F448" i="43"/>
  <c r="E448" i="43"/>
  <c r="E447" i="43" s="1"/>
  <c r="D448" i="43"/>
  <c r="C448" i="43"/>
  <c r="C447" i="43" s="1"/>
  <c r="F446" i="43"/>
  <c r="E446" i="43"/>
  <c r="D446" i="43"/>
  <c r="C446" i="43"/>
  <c r="F445" i="43"/>
  <c r="E445" i="43"/>
  <c r="D445" i="43"/>
  <c r="C445" i="43"/>
  <c r="F444" i="43"/>
  <c r="E444" i="43"/>
  <c r="D444" i="43"/>
  <c r="C444" i="43"/>
  <c r="C442" i="43" s="1"/>
  <c r="F443" i="43"/>
  <c r="E443" i="43"/>
  <c r="D443" i="43"/>
  <c r="D442" i="43" s="1"/>
  <c r="C443" i="43"/>
  <c r="G443" i="43" s="1"/>
  <c r="E442" i="43"/>
  <c r="F441" i="43"/>
  <c r="F437" i="43" s="1"/>
  <c r="E441" i="43"/>
  <c r="D441" i="43"/>
  <c r="C441" i="43"/>
  <c r="F440" i="43"/>
  <c r="E440" i="43"/>
  <c r="E437" i="43" s="1"/>
  <c r="D440" i="43"/>
  <c r="C440" i="43"/>
  <c r="C437" i="43" s="1"/>
  <c r="D437" i="43"/>
  <c r="G430" i="43"/>
  <c r="F429" i="43"/>
  <c r="E429" i="43"/>
  <c r="D429" i="43"/>
  <c r="C429" i="43"/>
  <c r="G429" i="43" s="1"/>
  <c r="F428" i="43"/>
  <c r="E428" i="43"/>
  <c r="D428" i="43"/>
  <c r="D426" i="43" s="1"/>
  <c r="C428" i="43"/>
  <c r="F427" i="43"/>
  <c r="E427" i="43"/>
  <c r="E426" i="43" s="1"/>
  <c r="D427" i="43"/>
  <c r="C427" i="43"/>
  <c r="F426" i="43"/>
  <c r="F425" i="43"/>
  <c r="E425" i="43"/>
  <c r="D425" i="43"/>
  <c r="C425" i="43"/>
  <c r="C421" i="43" s="1"/>
  <c r="F424" i="43"/>
  <c r="E424" i="43"/>
  <c r="D424" i="43"/>
  <c r="C424" i="43"/>
  <c r="F423" i="43"/>
  <c r="E423" i="43"/>
  <c r="E421" i="43" s="1"/>
  <c r="D423" i="43"/>
  <c r="C423" i="43"/>
  <c r="G423" i="43" s="1"/>
  <c r="F422" i="43"/>
  <c r="F421" i="43" s="1"/>
  <c r="E422" i="43"/>
  <c r="D422" i="43"/>
  <c r="D421" i="43" s="1"/>
  <c r="C422" i="43"/>
  <c r="F420" i="43"/>
  <c r="E420" i="43"/>
  <c r="D420" i="43"/>
  <c r="D416" i="43" s="1"/>
  <c r="C420" i="43"/>
  <c r="F419" i="43"/>
  <c r="E419" i="43"/>
  <c r="D419" i="43"/>
  <c r="C419" i="43"/>
  <c r="F418" i="43"/>
  <c r="F416" i="43" s="1"/>
  <c r="E418" i="43"/>
  <c r="D418" i="43"/>
  <c r="C418" i="43"/>
  <c r="F417" i="43"/>
  <c r="E417" i="43"/>
  <c r="E416" i="43" s="1"/>
  <c r="D417" i="43"/>
  <c r="C417" i="43"/>
  <c r="C416" i="43" s="1"/>
  <c r="F415" i="43"/>
  <c r="E415" i="43"/>
  <c r="E411" i="43" s="1"/>
  <c r="E431" i="43" s="1"/>
  <c r="D415" i="43"/>
  <c r="C415" i="43"/>
  <c r="G415" i="43" s="1"/>
  <c r="G411" i="43" s="1"/>
  <c r="F411" i="43"/>
  <c r="D411" i="43"/>
  <c r="C405" i="43"/>
  <c r="F404" i="43"/>
  <c r="E404" i="43"/>
  <c r="D404" i="43"/>
  <c r="C404" i="43"/>
  <c r="G404" i="43" s="1"/>
  <c r="F403" i="43"/>
  <c r="E403" i="43"/>
  <c r="E400" i="43" s="1"/>
  <c r="D403" i="43"/>
  <c r="C403" i="43"/>
  <c r="F402" i="43"/>
  <c r="F400" i="43" s="1"/>
  <c r="E402" i="43"/>
  <c r="D402" i="43"/>
  <c r="C402" i="43"/>
  <c r="G402" i="43" s="1"/>
  <c r="F401" i="43"/>
  <c r="E401" i="43"/>
  <c r="D401" i="43"/>
  <c r="C401" i="43"/>
  <c r="C400" i="43" s="1"/>
  <c r="D400" i="43"/>
  <c r="F399" i="43"/>
  <c r="E399" i="43"/>
  <c r="D399" i="43"/>
  <c r="C399" i="43"/>
  <c r="G399" i="43" s="1"/>
  <c r="F398" i="43"/>
  <c r="F395" i="43" s="1"/>
  <c r="E398" i="43"/>
  <c r="D398" i="43"/>
  <c r="C398" i="43"/>
  <c r="G398" i="43" s="1"/>
  <c r="F397" i="43"/>
  <c r="E397" i="43"/>
  <c r="D397" i="43"/>
  <c r="C397" i="43"/>
  <c r="C395" i="43" s="1"/>
  <c r="F396" i="43"/>
  <c r="E396" i="43"/>
  <c r="D396" i="43"/>
  <c r="D395" i="43" s="1"/>
  <c r="C396" i="43"/>
  <c r="E395" i="43"/>
  <c r="F394" i="43"/>
  <c r="E394" i="43"/>
  <c r="D394" i="43"/>
  <c r="C394" i="43"/>
  <c r="G394" i="43" s="1"/>
  <c r="F393" i="43"/>
  <c r="E393" i="43"/>
  <c r="D393" i="43"/>
  <c r="C393" i="43"/>
  <c r="C390" i="43" s="1"/>
  <c r="F392" i="43"/>
  <c r="E392" i="43"/>
  <c r="D392" i="43"/>
  <c r="D390" i="43" s="1"/>
  <c r="C392" i="43"/>
  <c r="F391" i="43"/>
  <c r="E391" i="43"/>
  <c r="E390" i="43" s="1"/>
  <c r="D391" i="43"/>
  <c r="C391" i="43"/>
  <c r="F390" i="43"/>
  <c r="F405" i="43" s="1"/>
  <c r="G383" i="43"/>
  <c r="F382" i="43"/>
  <c r="E382" i="43"/>
  <c r="D382" i="43"/>
  <c r="C382" i="43"/>
  <c r="G382" i="43" s="1"/>
  <c r="F381" i="43"/>
  <c r="F379" i="43" s="1"/>
  <c r="E381" i="43"/>
  <c r="D381" i="43"/>
  <c r="C381" i="43"/>
  <c r="G381" i="43" s="1"/>
  <c r="F380" i="43"/>
  <c r="E380" i="43"/>
  <c r="D380" i="43"/>
  <c r="C380" i="43"/>
  <c r="C379" i="43" s="1"/>
  <c r="D379" i="43"/>
  <c r="F378" i="43"/>
  <c r="E378" i="43"/>
  <c r="E374" i="43" s="1"/>
  <c r="D378" i="43"/>
  <c r="C378" i="43"/>
  <c r="F377" i="43"/>
  <c r="E377" i="43"/>
  <c r="D377" i="43"/>
  <c r="C377" i="43"/>
  <c r="G377" i="43" s="1"/>
  <c r="F376" i="43"/>
  <c r="E376" i="43"/>
  <c r="D376" i="43"/>
  <c r="C376" i="43"/>
  <c r="C374" i="43" s="1"/>
  <c r="F375" i="43"/>
  <c r="F374" i="43" s="1"/>
  <c r="E375" i="43"/>
  <c r="D375" i="43"/>
  <c r="D374" i="43" s="1"/>
  <c r="C375" i="43"/>
  <c r="F373" i="43"/>
  <c r="E373" i="43"/>
  <c r="D373" i="43"/>
  <c r="C373" i="43"/>
  <c r="G373" i="43" s="1"/>
  <c r="F372" i="43"/>
  <c r="E372" i="43"/>
  <c r="D372" i="43"/>
  <c r="C372" i="43"/>
  <c r="G372" i="43" s="1"/>
  <c r="F371" i="43"/>
  <c r="E371" i="43"/>
  <c r="D371" i="43"/>
  <c r="D369" i="43" s="1"/>
  <c r="C371" i="43"/>
  <c r="F370" i="43"/>
  <c r="E370" i="43"/>
  <c r="E369" i="43" s="1"/>
  <c r="D370" i="43"/>
  <c r="C370" i="43"/>
  <c r="G370" i="43" s="1"/>
  <c r="F369" i="43"/>
  <c r="F368" i="43"/>
  <c r="E368" i="43"/>
  <c r="E364" i="43" s="1"/>
  <c r="D368" i="43"/>
  <c r="C368" i="43"/>
  <c r="C364" i="43" s="1"/>
  <c r="F364" i="43"/>
  <c r="F384" i="43" s="1"/>
  <c r="D364" i="43"/>
  <c r="G357" i="43"/>
  <c r="G356" i="43"/>
  <c r="G355" i="43"/>
  <c r="F354" i="43"/>
  <c r="F353" i="43" s="1"/>
  <c r="E354" i="43"/>
  <c r="D354" i="43"/>
  <c r="D353" i="43" s="1"/>
  <c r="C354" i="43"/>
  <c r="G354" i="43" s="1"/>
  <c r="G353" i="43" s="1"/>
  <c r="K358" i="43" s="1"/>
  <c r="E353" i="43"/>
  <c r="C353" i="43"/>
  <c r="F352" i="43"/>
  <c r="E352" i="43"/>
  <c r="D352" i="43"/>
  <c r="C352" i="43"/>
  <c r="G352" i="43" s="1"/>
  <c r="F351" i="43"/>
  <c r="E351" i="43"/>
  <c r="D351" i="43"/>
  <c r="C351" i="43"/>
  <c r="G351" i="43" s="1"/>
  <c r="F350" i="43"/>
  <c r="E350" i="43"/>
  <c r="D350" i="43"/>
  <c r="D348" i="43" s="1"/>
  <c r="C350" i="43"/>
  <c r="F349" i="43"/>
  <c r="E349" i="43"/>
  <c r="E348" i="43" s="1"/>
  <c r="D349" i="43"/>
  <c r="C349" i="43"/>
  <c r="G349" i="43" s="1"/>
  <c r="F348" i="43"/>
  <c r="F347" i="43"/>
  <c r="E347" i="43"/>
  <c r="D347" i="43"/>
  <c r="C347" i="43"/>
  <c r="G347" i="43" s="1"/>
  <c r="F346" i="43"/>
  <c r="E346" i="43"/>
  <c r="D346" i="43"/>
  <c r="C346" i="43"/>
  <c r="F345" i="43"/>
  <c r="E345" i="43"/>
  <c r="E343" i="43" s="1"/>
  <c r="D345" i="43"/>
  <c r="C345" i="43"/>
  <c r="F344" i="43"/>
  <c r="E344" i="43"/>
  <c r="D344" i="43"/>
  <c r="C344" i="43"/>
  <c r="C343" i="43"/>
  <c r="F342" i="43"/>
  <c r="E342" i="43"/>
  <c r="D342" i="43"/>
  <c r="D343" i="43" s="1"/>
  <c r="C342" i="43"/>
  <c r="F341" i="43"/>
  <c r="E341" i="43"/>
  <c r="E338" i="43" s="1"/>
  <c r="D341" i="43"/>
  <c r="C341" i="43"/>
  <c r="G341" i="43" s="1"/>
  <c r="F340" i="43"/>
  <c r="F338" i="43" s="1"/>
  <c r="E340" i="43"/>
  <c r="D340" i="43"/>
  <c r="D338" i="43" s="1"/>
  <c r="C340" i="43"/>
  <c r="C338" i="43"/>
  <c r="F331" i="43"/>
  <c r="E331" i="43"/>
  <c r="D331" i="43"/>
  <c r="D327" i="43" s="1"/>
  <c r="C331" i="43"/>
  <c r="F330" i="43"/>
  <c r="E330" i="43"/>
  <c r="E327" i="43" s="1"/>
  <c r="D330" i="43"/>
  <c r="C330" i="43"/>
  <c r="G330" i="43" s="1"/>
  <c r="F329" i="43"/>
  <c r="E329" i="43"/>
  <c r="D329" i="43"/>
  <c r="C329" i="43"/>
  <c r="F328" i="43"/>
  <c r="E328" i="43"/>
  <c r="D328" i="43"/>
  <c r="C328" i="43"/>
  <c r="C327" i="43" s="1"/>
  <c r="F326" i="43"/>
  <c r="E326" i="43"/>
  <c r="D326" i="43"/>
  <c r="C326" i="43"/>
  <c r="F325" i="43"/>
  <c r="F322" i="43" s="1"/>
  <c r="E325" i="43"/>
  <c r="D325" i="43"/>
  <c r="C325" i="43"/>
  <c r="F324" i="43"/>
  <c r="E324" i="43"/>
  <c r="D324" i="43"/>
  <c r="C324" i="43"/>
  <c r="G324" i="43" s="1"/>
  <c r="F323" i="43"/>
  <c r="E323" i="43"/>
  <c r="D323" i="43"/>
  <c r="D322" i="43" s="1"/>
  <c r="C323" i="43"/>
  <c r="G323" i="43" s="1"/>
  <c r="E322" i="43"/>
  <c r="F321" i="43"/>
  <c r="F317" i="43" s="1"/>
  <c r="E321" i="43"/>
  <c r="D321" i="43"/>
  <c r="C321" i="43"/>
  <c r="F320" i="43"/>
  <c r="E320" i="43"/>
  <c r="D320" i="43"/>
  <c r="C320" i="43"/>
  <c r="C317" i="43" s="1"/>
  <c r="F319" i="43"/>
  <c r="E319" i="43"/>
  <c r="D319" i="43"/>
  <c r="C319" i="43"/>
  <c r="G319" i="43" s="1"/>
  <c r="F318" i="43"/>
  <c r="E318" i="43"/>
  <c r="E317" i="43" s="1"/>
  <c r="E332" i="43" s="1"/>
  <c r="D318" i="43"/>
  <c r="D317" i="43" s="1"/>
  <c r="C318" i="43"/>
  <c r="G310" i="43"/>
  <c r="G309" i="43"/>
  <c r="F308" i="43"/>
  <c r="E308" i="43"/>
  <c r="D308" i="43"/>
  <c r="C308" i="43"/>
  <c r="F307" i="43"/>
  <c r="F306" i="43" s="1"/>
  <c r="E307" i="43"/>
  <c r="E306" i="43" s="1"/>
  <c r="D307" i="43"/>
  <c r="C307" i="43"/>
  <c r="D306" i="43"/>
  <c r="C306" i="43"/>
  <c r="F305" i="43"/>
  <c r="E305" i="43"/>
  <c r="D305" i="43"/>
  <c r="C305" i="43"/>
  <c r="G305" i="43" s="1"/>
  <c r="F304" i="43"/>
  <c r="E304" i="43"/>
  <c r="E301" i="43" s="1"/>
  <c r="D304" i="43"/>
  <c r="C304" i="43"/>
  <c r="F303" i="43"/>
  <c r="F301" i="43" s="1"/>
  <c r="E303" i="43"/>
  <c r="D303" i="43"/>
  <c r="C303" i="43"/>
  <c r="G303" i="43" s="1"/>
  <c r="F302" i="43"/>
  <c r="E302" i="43"/>
  <c r="D302" i="43"/>
  <c r="C302" i="43"/>
  <c r="C301" i="43" s="1"/>
  <c r="D301" i="43"/>
  <c r="F300" i="43"/>
  <c r="E300" i="43"/>
  <c r="D300" i="43"/>
  <c r="C300" i="43"/>
  <c r="G300" i="43" s="1"/>
  <c r="F299" i="43"/>
  <c r="F296" i="43" s="1"/>
  <c r="E299" i="43"/>
  <c r="D299" i="43"/>
  <c r="C299" i="43"/>
  <c r="G299" i="43" s="1"/>
  <c r="F298" i="43"/>
  <c r="E298" i="43"/>
  <c r="D298" i="43"/>
  <c r="C298" i="43"/>
  <c r="C296" i="43" s="1"/>
  <c r="F297" i="43"/>
  <c r="E297" i="43"/>
  <c r="D297" i="43"/>
  <c r="D296" i="43" s="1"/>
  <c r="C297" i="43"/>
  <c r="E296" i="43"/>
  <c r="F295" i="43"/>
  <c r="F291" i="43" s="1"/>
  <c r="E295" i="43"/>
  <c r="D295" i="43"/>
  <c r="C295" i="43"/>
  <c r="G295" i="43" s="1"/>
  <c r="F294" i="43"/>
  <c r="E294" i="43"/>
  <c r="D294" i="43"/>
  <c r="C294" i="43"/>
  <c r="C291" i="43" s="1"/>
  <c r="E291" i="43"/>
  <c r="D291" i="43"/>
  <c r="G284" i="43"/>
  <c r="G283" i="43"/>
  <c r="F282" i="43"/>
  <c r="E282" i="43"/>
  <c r="D282" i="43"/>
  <c r="C282" i="43"/>
  <c r="C280" i="43" s="1"/>
  <c r="F281" i="43"/>
  <c r="E281" i="43"/>
  <c r="D281" i="43"/>
  <c r="D280" i="43" s="1"/>
  <c r="C281" i="43"/>
  <c r="G281" i="43" s="1"/>
  <c r="F280" i="43"/>
  <c r="E280" i="43"/>
  <c r="F279" i="43"/>
  <c r="E279" i="43"/>
  <c r="D279" i="43"/>
  <c r="C279" i="43"/>
  <c r="G279" i="43" s="1"/>
  <c r="F278" i="43"/>
  <c r="E278" i="43"/>
  <c r="D278" i="43"/>
  <c r="C278" i="43"/>
  <c r="C275" i="43" s="1"/>
  <c r="F277" i="43"/>
  <c r="E277" i="43"/>
  <c r="D277" i="43"/>
  <c r="D275" i="43" s="1"/>
  <c r="C277" i="43"/>
  <c r="F276" i="43"/>
  <c r="E276" i="43"/>
  <c r="E275" i="43" s="1"/>
  <c r="D276" i="43"/>
  <c r="C276" i="43"/>
  <c r="G276" i="43" s="1"/>
  <c r="F275" i="43"/>
  <c r="F274" i="43"/>
  <c r="E274" i="43"/>
  <c r="D274" i="43"/>
  <c r="C274" i="43"/>
  <c r="G274" i="43" s="1"/>
  <c r="F273" i="43"/>
  <c r="E273" i="43"/>
  <c r="D273" i="43"/>
  <c r="D270" i="43" s="1"/>
  <c r="C273" i="43"/>
  <c r="F272" i="43"/>
  <c r="E272" i="43"/>
  <c r="E270" i="43" s="1"/>
  <c r="D272" i="43"/>
  <c r="C272" i="43"/>
  <c r="F271" i="43"/>
  <c r="F270" i="43" s="1"/>
  <c r="E271" i="43"/>
  <c r="D271" i="43"/>
  <c r="C271" i="43"/>
  <c r="C270" i="43"/>
  <c r="F269" i="43"/>
  <c r="E269" i="43"/>
  <c r="D269" i="43"/>
  <c r="D265" i="43" s="1"/>
  <c r="D285" i="43" s="1"/>
  <c r="C269" i="43"/>
  <c r="F268" i="43"/>
  <c r="E268" i="43"/>
  <c r="E265" i="43" s="1"/>
  <c r="D268" i="43"/>
  <c r="C268" i="43"/>
  <c r="G268" i="43" s="1"/>
  <c r="F265" i="43"/>
  <c r="C265" i="43"/>
  <c r="K259" i="43"/>
  <c r="G258" i="43"/>
  <c r="G257" i="43"/>
  <c r="G256" i="43"/>
  <c r="F255" i="43"/>
  <c r="F254" i="43" s="1"/>
  <c r="E255" i="43"/>
  <c r="D255" i="43"/>
  <c r="C255" i="43"/>
  <c r="G255" i="43" s="1"/>
  <c r="G254" i="43" s="1"/>
  <c r="E254" i="43"/>
  <c r="D254" i="43"/>
  <c r="C254" i="43"/>
  <c r="F253" i="43"/>
  <c r="E253" i="43"/>
  <c r="D253" i="43"/>
  <c r="C253" i="43"/>
  <c r="G253" i="43" s="1"/>
  <c r="F252" i="43"/>
  <c r="E252" i="43"/>
  <c r="D252" i="43"/>
  <c r="C252" i="43"/>
  <c r="G252" i="43" s="1"/>
  <c r="F251" i="43"/>
  <c r="E251" i="43"/>
  <c r="E249" i="43" s="1"/>
  <c r="D251" i="43"/>
  <c r="C251" i="43"/>
  <c r="G251" i="43" s="1"/>
  <c r="F250" i="43"/>
  <c r="F249" i="43" s="1"/>
  <c r="E250" i="43"/>
  <c r="D250" i="43"/>
  <c r="D249" i="43" s="1"/>
  <c r="C250" i="43"/>
  <c r="G250" i="43" s="1"/>
  <c r="F248" i="43"/>
  <c r="E248" i="43"/>
  <c r="D248" i="43"/>
  <c r="C248" i="43"/>
  <c r="G248" i="43" s="1"/>
  <c r="G249" i="43" s="1"/>
  <c r="J259" i="43" s="1"/>
  <c r="F247" i="43"/>
  <c r="E247" i="43"/>
  <c r="D247" i="43"/>
  <c r="C247" i="43"/>
  <c r="F246" i="43"/>
  <c r="F244" i="43" s="1"/>
  <c r="E246" i="43"/>
  <c r="D246" i="43"/>
  <c r="C246" i="43"/>
  <c r="G246" i="43" s="1"/>
  <c r="F245" i="43"/>
  <c r="E245" i="43"/>
  <c r="D245" i="43"/>
  <c r="C245" i="43"/>
  <c r="G245" i="43" s="1"/>
  <c r="D244" i="43"/>
  <c r="F243" i="43"/>
  <c r="E243" i="43"/>
  <c r="D243" i="43"/>
  <c r="C243" i="43"/>
  <c r="G243" i="43" s="1"/>
  <c r="F242" i="43"/>
  <c r="F239" i="43" s="1"/>
  <c r="F259" i="43" s="1"/>
  <c r="E242" i="43"/>
  <c r="D242" i="43"/>
  <c r="C242" i="43"/>
  <c r="G242" i="43" s="1"/>
  <c r="F241" i="43"/>
  <c r="E241" i="43"/>
  <c r="D241" i="43"/>
  <c r="C241" i="43"/>
  <c r="C239" i="43" s="1"/>
  <c r="D239" i="43"/>
  <c r="G233" i="43"/>
  <c r="G232" i="43"/>
  <c r="F231" i="43"/>
  <c r="E231" i="43"/>
  <c r="D231" i="43"/>
  <c r="C231" i="43"/>
  <c r="C229" i="43" s="1"/>
  <c r="F230" i="43"/>
  <c r="F229" i="43" s="1"/>
  <c r="E230" i="43"/>
  <c r="D230" i="43"/>
  <c r="D229" i="43" s="1"/>
  <c r="C230" i="43"/>
  <c r="E229" i="43"/>
  <c r="F228" i="43"/>
  <c r="E228" i="43"/>
  <c r="D228" i="43"/>
  <c r="C228" i="43"/>
  <c r="G228" i="43" s="1"/>
  <c r="F227" i="43"/>
  <c r="E227" i="43"/>
  <c r="D227" i="43"/>
  <c r="C227" i="43"/>
  <c r="G227" i="43" s="1"/>
  <c r="F226" i="43"/>
  <c r="E226" i="43"/>
  <c r="D226" i="43"/>
  <c r="D224" i="43" s="1"/>
  <c r="C226" i="43"/>
  <c r="F225" i="43"/>
  <c r="E225" i="43"/>
  <c r="E224" i="43" s="1"/>
  <c r="D225" i="43"/>
  <c r="C225" i="43"/>
  <c r="G225" i="43" s="1"/>
  <c r="F224" i="43"/>
  <c r="F223" i="43"/>
  <c r="E223" i="43"/>
  <c r="D223" i="43"/>
  <c r="C223" i="43"/>
  <c r="G223" i="43" s="1"/>
  <c r="F222" i="43"/>
  <c r="E222" i="43"/>
  <c r="D222" i="43"/>
  <c r="C222" i="43"/>
  <c r="F221" i="43"/>
  <c r="E221" i="43"/>
  <c r="E219" i="43" s="1"/>
  <c r="D221" i="43"/>
  <c r="C221" i="43"/>
  <c r="F220" i="43"/>
  <c r="F219" i="43" s="1"/>
  <c r="E220" i="43"/>
  <c r="D220" i="43"/>
  <c r="D219" i="43" s="1"/>
  <c r="C220" i="43"/>
  <c r="C219" i="43"/>
  <c r="F218" i="43"/>
  <c r="E218" i="43"/>
  <c r="D218" i="43"/>
  <c r="D214" i="43" s="1"/>
  <c r="D234" i="43" s="1"/>
  <c r="C218" i="43"/>
  <c r="F217" i="43"/>
  <c r="E217" i="43"/>
  <c r="E214" i="43" s="1"/>
  <c r="D217" i="43"/>
  <c r="C217" i="43"/>
  <c r="G217" i="43" s="1"/>
  <c r="F214" i="43"/>
  <c r="G207" i="43"/>
  <c r="G206" i="43"/>
  <c r="F205" i="43"/>
  <c r="E205" i="43"/>
  <c r="E203" i="43" s="1"/>
  <c r="D205" i="43"/>
  <c r="C205" i="43"/>
  <c r="F204" i="43"/>
  <c r="F203" i="43" s="1"/>
  <c r="E204" i="43"/>
  <c r="D204" i="43"/>
  <c r="D203" i="43" s="1"/>
  <c r="C204" i="43"/>
  <c r="G204" i="43" s="1"/>
  <c r="C203" i="43"/>
  <c r="F202" i="43"/>
  <c r="E202" i="43"/>
  <c r="D202" i="43"/>
  <c r="C202" i="43"/>
  <c r="G202" i="43" s="1"/>
  <c r="F201" i="43"/>
  <c r="E201" i="43"/>
  <c r="D201" i="43"/>
  <c r="C201" i="43"/>
  <c r="G201" i="43" s="1"/>
  <c r="F200" i="43"/>
  <c r="F198" i="43" s="1"/>
  <c r="E200" i="43"/>
  <c r="D200" i="43"/>
  <c r="C200" i="43"/>
  <c r="G200" i="43" s="1"/>
  <c r="F199" i="43"/>
  <c r="E199" i="43"/>
  <c r="D199" i="43"/>
  <c r="C199" i="43"/>
  <c r="C198" i="43" s="1"/>
  <c r="D198" i="43"/>
  <c r="F197" i="43"/>
  <c r="E197" i="43"/>
  <c r="D197" i="43"/>
  <c r="C197" i="43"/>
  <c r="F196" i="43"/>
  <c r="E196" i="43"/>
  <c r="D196" i="43"/>
  <c r="C196" i="43"/>
  <c r="G196" i="43" s="1"/>
  <c r="F195" i="43"/>
  <c r="E195" i="43"/>
  <c r="D195" i="43"/>
  <c r="C195" i="43"/>
  <c r="C193" i="43" s="1"/>
  <c r="F194" i="43"/>
  <c r="F193" i="43" s="1"/>
  <c r="F208" i="43" s="1"/>
  <c r="E194" i="43"/>
  <c r="D194" i="43"/>
  <c r="D193" i="43" s="1"/>
  <c r="C194" i="43"/>
  <c r="E193" i="43"/>
  <c r="F192" i="43"/>
  <c r="F188" i="43" s="1"/>
  <c r="E192" i="43"/>
  <c r="D192" i="43"/>
  <c r="C192" i="43"/>
  <c r="G192" i="43" s="1"/>
  <c r="F191" i="43"/>
  <c r="E191" i="43"/>
  <c r="E188" i="43" s="1"/>
  <c r="D191" i="43"/>
  <c r="C191" i="43"/>
  <c r="C188" i="43" s="1"/>
  <c r="D188" i="43"/>
  <c r="D208" i="43" s="1"/>
  <c r="G182" i="43"/>
  <c r="G181" i="43"/>
  <c r="F180" i="43"/>
  <c r="E180" i="43"/>
  <c r="E178" i="43" s="1"/>
  <c r="D180" i="43"/>
  <c r="C180" i="43"/>
  <c r="G180" i="43" s="1"/>
  <c r="F179" i="43"/>
  <c r="F178" i="43" s="1"/>
  <c r="E179" i="43"/>
  <c r="D179" i="43"/>
  <c r="D178" i="43" s="1"/>
  <c r="C179" i="43"/>
  <c r="C178" i="43"/>
  <c r="F177" i="43"/>
  <c r="E177" i="43"/>
  <c r="D177" i="43"/>
  <c r="D173" i="43" s="1"/>
  <c r="C177" i="43"/>
  <c r="F176" i="43"/>
  <c r="E176" i="43"/>
  <c r="D176" i="43"/>
  <c r="C176" i="43"/>
  <c r="G176" i="43" s="1"/>
  <c r="F175" i="43"/>
  <c r="F173" i="43" s="1"/>
  <c r="E175" i="43"/>
  <c r="D175" i="43"/>
  <c r="C175" i="43"/>
  <c r="F174" i="43"/>
  <c r="E174" i="43"/>
  <c r="E173" i="43" s="1"/>
  <c r="D174" i="43"/>
  <c r="C174" i="43"/>
  <c r="C173" i="43" s="1"/>
  <c r="F172" i="43"/>
  <c r="E172" i="43"/>
  <c r="D172" i="43"/>
  <c r="C172" i="43"/>
  <c r="F171" i="43"/>
  <c r="E171" i="43"/>
  <c r="D171" i="43"/>
  <c r="C171" i="43"/>
  <c r="F170" i="43"/>
  <c r="E170" i="43"/>
  <c r="D170" i="43"/>
  <c r="C170" i="43"/>
  <c r="C168" i="43" s="1"/>
  <c r="F169" i="43"/>
  <c r="E169" i="43"/>
  <c r="D169" i="43"/>
  <c r="D168" i="43" s="1"/>
  <c r="C169" i="43"/>
  <c r="G169" i="43" s="1"/>
  <c r="E168" i="43"/>
  <c r="F167" i="43"/>
  <c r="F163" i="43" s="1"/>
  <c r="E167" i="43"/>
  <c r="D167" i="43"/>
  <c r="C167" i="43"/>
  <c r="F166" i="43"/>
  <c r="E166" i="43"/>
  <c r="D166" i="43"/>
  <c r="C166" i="43"/>
  <c r="C163" i="43" s="1"/>
  <c r="C183" i="43" s="1"/>
  <c r="G165" i="43"/>
  <c r="G164" i="43"/>
  <c r="E163" i="43"/>
  <c r="E183" i="43" s="1"/>
  <c r="D163" i="43"/>
  <c r="G157" i="43"/>
  <c r="G156" i="43"/>
  <c r="F155" i="43"/>
  <c r="E155" i="43"/>
  <c r="E153" i="43" s="1"/>
  <c r="D155" i="43"/>
  <c r="C155" i="43"/>
  <c r="G155" i="43" s="1"/>
  <c r="F154" i="43"/>
  <c r="F153" i="43" s="1"/>
  <c r="E154" i="43"/>
  <c r="D154" i="43"/>
  <c r="D153" i="43" s="1"/>
  <c r="C154" i="43"/>
  <c r="G154" i="43" s="1"/>
  <c r="G153" i="43" s="1"/>
  <c r="C153" i="43"/>
  <c r="F152" i="43"/>
  <c r="E152" i="43"/>
  <c r="D152" i="43"/>
  <c r="C152" i="43"/>
  <c r="G152" i="43" s="1"/>
  <c r="F151" i="43"/>
  <c r="E151" i="43"/>
  <c r="D151" i="43"/>
  <c r="C151" i="43"/>
  <c r="G151" i="43" s="1"/>
  <c r="F150" i="43"/>
  <c r="F148" i="43" s="1"/>
  <c r="E150" i="43"/>
  <c r="D150" i="43"/>
  <c r="C150" i="43"/>
  <c r="G150" i="43" s="1"/>
  <c r="F149" i="43"/>
  <c r="E149" i="43"/>
  <c r="E148" i="43" s="1"/>
  <c r="D149" i="43"/>
  <c r="C149" i="43"/>
  <c r="G149" i="43" s="1"/>
  <c r="G148" i="43" s="1"/>
  <c r="D148" i="43"/>
  <c r="F147" i="43"/>
  <c r="E147" i="43"/>
  <c r="D147" i="43"/>
  <c r="C147" i="43"/>
  <c r="G147" i="43" s="1"/>
  <c r="F146" i="43"/>
  <c r="E146" i="43"/>
  <c r="D146" i="43"/>
  <c r="C146" i="43"/>
  <c r="G146" i="43" s="1"/>
  <c r="F145" i="43"/>
  <c r="E145" i="43"/>
  <c r="D145" i="43"/>
  <c r="C145" i="43"/>
  <c r="C143" i="43" s="1"/>
  <c r="F144" i="43"/>
  <c r="F143" i="43" s="1"/>
  <c r="E144" i="43"/>
  <c r="D144" i="43"/>
  <c r="D143" i="43" s="1"/>
  <c r="C144" i="43"/>
  <c r="G144" i="43" s="1"/>
  <c r="E143" i="43"/>
  <c r="F142" i="43"/>
  <c r="E142" i="43"/>
  <c r="D142" i="43"/>
  <c r="C142" i="43"/>
  <c r="G142" i="43" s="1"/>
  <c r="F141" i="43"/>
  <c r="E141" i="43"/>
  <c r="E138" i="43" s="1"/>
  <c r="D141" i="43"/>
  <c r="C141" i="43"/>
  <c r="G141" i="43" s="1"/>
  <c r="G140" i="43"/>
  <c r="G139" i="43"/>
  <c r="F138" i="43"/>
  <c r="F158" i="43" s="1"/>
  <c r="D138" i="43"/>
  <c r="D158" i="43" s="1"/>
  <c r="F130" i="43"/>
  <c r="E130" i="43"/>
  <c r="D130" i="43"/>
  <c r="C130" i="43"/>
  <c r="G130" i="43" s="1"/>
  <c r="F129" i="43"/>
  <c r="E129" i="43"/>
  <c r="D129" i="43"/>
  <c r="C129" i="43"/>
  <c r="G129" i="43" s="1"/>
  <c r="F128" i="43"/>
  <c r="F126" i="43" s="1"/>
  <c r="E128" i="43"/>
  <c r="D128" i="43"/>
  <c r="C128" i="43"/>
  <c r="G128" i="43" s="1"/>
  <c r="F127" i="43"/>
  <c r="E127" i="43"/>
  <c r="E126" i="43" s="1"/>
  <c r="D127" i="43"/>
  <c r="C127" i="43"/>
  <c r="C126" i="43" s="1"/>
  <c r="D126" i="43"/>
  <c r="F125" i="43"/>
  <c r="E125" i="43"/>
  <c r="D125" i="43"/>
  <c r="C125" i="43"/>
  <c r="G125" i="43" s="1"/>
  <c r="F124" i="43"/>
  <c r="E124" i="43"/>
  <c r="D124" i="43"/>
  <c r="C124" i="43"/>
  <c r="G124" i="43" s="1"/>
  <c r="F123" i="43"/>
  <c r="E123" i="43"/>
  <c r="D123" i="43"/>
  <c r="C123" i="43"/>
  <c r="C121" i="43" s="1"/>
  <c r="F122" i="43"/>
  <c r="F121" i="43" s="1"/>
  <c r="E122" i="43"/>
  <c r="D122" i="43"/>
  <c r="D121" i="43" s="1"/>
  <c r="C122" i="43"/>
  <c r="G122" i="43" s="1"/>
  <c r="E121" i="43"/>
  <c r="F120" i="43"/>
  <c r="E120" i="43"/>
  <c r="D120" i="43"/>
  <c r="C120" i="43"/>
  <c r="G120" i="43" s="1"/>
  <c r="F119" i="43"/>
  <c r="E119" i="43"/>
  <c r="D119" i="43"/>
  <c r="C119" i="43"/>
  <c r="G119" i="43" s="1"/>
  <c r="F118" i="43"/>
  <c r="E118" i="43"/>
  <c r="D118" i="43"/>
  <c r="D116" i="43" s="1"/>
  <c r="C118" i="43"/>
  <c r="G118" i="43" s="1"/>
  <c r="F117" i="43"/>
  <c r="E117" i="43"/>
  <c r="E116" i="43" s="1"/>
  <c r="E131" i="43" s="1"/>
  <c r="D117" i="43"/>
  <c r="C117" i="43"/>
  <c r="G117" i="43" s="1"/>
  <c r="G116" i="43" s="1"/>
  <c r="F116" i="43"/>
  <c r="F131" i="43" s="1"/>
  <c r="F108" i="43"/>
  <c r="E108" i="43"/>
  <c r="D108" i="43"/>
  <c r="C108" i="43"/>
  <c r="G108" i="43" s="1"/>
  <c r="F107" i="43"/>
  <c r="E107" i="43"/>
  <c r="D107" i="43"/>
  <c r="C107" i="43"/>
  <c r="G107" i="43" s="1"/>
  <c r="F106" i="43"/>
  <c r="E106" i="43"/>
  <c r="D106" i="43"/>
  <c r="C106" i="43"/>
  <c r="C104" i="43" s="1"/>
  <c r="F105" i="43"/>
  <c r="F104" i="43" s="1"/>
  <c r="E105" i="43"/>
  <c r="D105" i="43"/>
  <c r="D104" i="43" s="1"/>
  <c r="C105" i="43"/>
  <c r="G105" i="43" s="1"/>
  <c r="E104" i="43"/>
  <c r="F103" i="43"/>
  <c r="E103" i="43"/>
  <c r="D103" i="43"/>
  <c r="C103" i="43"/>
  <c r="G103" i="43" s="1"/>
  <c r="F102" i="43"/>
  <c r="E102" i="43"/>
  <c r="D102" i="43"/>
  <c r="C102" i="43"/>
  <c r="G102" i="43" s="1"/>
  <c r="F101" i="43"/>
  <c r="E101" i="43"/>
  <c r="D101" i="43"/>
  <c r="D99" i="43" s="1"/>
  <c r="C101" i="43"/>
  <c r="G101" i="43" s="1"/>
  <c r="F100" i="43"/>
  <c r="E100" i="43"/>
  <c r="E99" i="43" s="1"/>
  <c r="D100" i="43"/>
  <c r="C100" i="43"/>
  <c r="G100" i="43" s="1"/>
  <c r="G99" i="43" s="1"/>
  <c r="F99" i="43"/>
  <c r="F98" i="43"/>
  <c r="E98" i="43"/>
  <c r="D98" i="43"/>
  <c r="C98" i="43"/>
  <c r="G98" i="43" s="1"/>
  <c r="F97" i="43"/>
  <c r="E97" i="43"/>
  <c r="D97" i="43"/>
  <c r="C97" i="43"/>
  <c r="G97" i="43" s="1"/>
  <c r="F96" i="43"/>
  <c r="E96" i="43"/>
  <c r="E94" i="43" s="1"/>
  <c r="E109" i="43" s="1"/>
  <c r="D96" i="43"/>
  <c r="C96" i="43"/>
  <c r="G96" i="43" s="1"/>
  <c r="F95" i="43"/>
  <c r="F94" i="43" s="1"/>
  <c r="E95" i="43"/>
  <c r="D95" i="43"/>
  <c r="D94" i="43" s="1"/>
  <c r="C95" i="43"/>
  <c r="G95" i="43" s="1"/>
  <c r="G94" i="43" s="1"/>
  <c r="C94" i="43"/>
  <c r="G86" i="43"/>
  <c r="F85" i="43"/>
  <c r="E85" i="43"/>
  <c r="D85" i="43"/>
  <c r="C85" i="43"/>
  <c r="G85" i="43" s="1"/>
  <c r="F84" i="43"/>
  <c r="E84" i="43"/>
  <c r="D84" i="43"/>
  <c r="D82" i="43" s="1"/>
  <c r="C84" i="43"/>
  <c r="G84" i="43" s="1"/>
  <c r="F83" i="43"/>
  <c r="E83" i="43"/>
  <c r="E82" i="43" s="1"/>
  <c r="D83" i="43"/>
  <c r="C83" i="43"/>
  <c r="G83" i="43" s="1"/>
  <c r="G82" i="43" s="1"/>
  <c r="F82" i="43"/>
  <c r="F81" i="43"/>
  <c r="E81" i="43"/>
  <c r="D81" i="43"/>
  <c r="C81" i="43"/>
  <c r="G81" i="43" s="1"/>
  <c r="F80" i="43"/>
  <c r="E80" i="43"/>
  <c r="D80" i="43"/>
  <c r="C80" i="43"/>
  <c r="F79" i="43"/>
  <c r="E79" i="43"/>
  <c r="E77" i="43" s="1"/>
  <c r="D79" i="43"/>
  <c r="C79" i="43"/>
  <c r="G79" i="43" s="1"/>
  <c r="F78" i="43"/>
  <c r="F77" i="43" s="1"/>
  <c r="E78" i="43"/>
  <c r="D78" i="43"/>
  <c r="D77" i="43" s="1"/>
  <c r="C78" i="43"/>
  <c r="G78" i="43" s="1"/>
  <c r="C77" i="43"/>
  <c r="F76" i="43"/>
  <c r="E76" i="43"/>
  <c r="D76" i="43"/>
  <c r="C76" i="43"/>
  <c r="F75" i="43"/>
  <c r="E75" i="43"/>
  <c r="D75" i="43"/>
  <c r="C75" i="43"/>
  <c r="F74" i="43"/>
  <c r="F72" i="43" s="1"/>
  <c r="E74" i="43"/>
  <c r="D74" i="43"/>
  <c r="C74" i="43"/>
  <c r="F73" i="43"/>
  <c r="E73" i="43"/>
  <c r="D73" i="43"/>
  <c r="C73" i="43"/>
  <c r="C72" i="43" s="1"/>
  <c r="D72" i="43"/>
  <c r="F71" i="43"/>
  <c r="E71" i="43"/>
  <c r="E67" i="43" s="1"/>
  <c r="D71" i="43"/>
  <c r="C71" i="43"/>
  <c r="G71" i="43" s="1"/>
  <c r="G67" i="43" s="1"/>
  <c r="F67" i="43"/>
  <c r="D67" i="43"/>
  <c r="G59" i="43"/>
  <c r="F58" i="43"/>
  <c r="E58" i="43"/>
  <c r="D58" i="43"/>
  <c r="C58" i="43"/>
  <c r="G58" i="43" s="1"/>
  <c r="F57" i="43"/>
  <c r="E57" i="43"/>
  <c r="D57" i="43"/>
  <c r="C57" i="43"/>
  <c r="C55" i="43" s="1"/>
  <c r="F56" i="43"/>
  <c r="F55" i="43" s="1"/>
  <c r="E56" i="43"/>
  <c r="D56" i="43"/>
  <c r="D55" i="43" s="1"/>
  <c r="C56" i="43"/>
  <c r="E55" i="43"/>
  <c r="F54" i="43"/>
  <c r="F50" i="43" s="1"/>
  <c r="E54" i="43"/>
  <c r="D54" i="43"/>
  <c r="C54" i="43"/>
  <c r="G54" i="43" s="1"/>
  <c r="F53" i="43"/>
  <c r="E53" i="43"/>
  <c r="D53" i="43"/>
  <c r="C53" i="43"/>
  <c r="C50" i="43" s="1"/>
  <c r="F52" i="43"/>
  <c r="E52" i="43"/>
  <c r="D52" i="43"/>
  <c r="D50" i="43" s="1"/>
  <c r="C52" i="43"/>
  <c r="F51" i="43"/>
  <c r="E51" i="43"/>
  <c r="E50" i="43" s="1"/>
  <c r="D51" i="43"/>
  <c r="C51" i="43"/>
  <c r="G51" i="43" s="1"/>
  <c r="F49" i="43"/>
  <c r="E49" i="43"/>
  <c r="D49" i="43"/>
  <c r="C49" i="43"/>
  <c r="G49" i="43" s="1"/>
  <c r="F48" i="43"/>
  <c r="E48" i="43"/>
  <c r="D48" i="43"/>
  <c r="D45" i="43" s="1"/>
  <c r="C48" i="43"/>
  <c r="F47" i="43"/>
  <c r="E47" i="43"/>
  <c r="E45" i="43" s="1"/>
  <c r="D47" i="43"/>
  <c r="C47" i="43"/>
  <c r="F46" i="43"/>
  <c r="F45" i="43" s="1"/>
  <c r="E46" i="43"/>
  <c r="D46" i="43"/>
  <c r="C46" i="43"/>
  <c r="C45" i="43"/>
  <c r="F44" i="43"/>
  <c r="E44" i="43"/>
  <c r="D44" i="43"/>
  <c r="D40" i="43" s="1"/>
  <c r="D60" i="43" s="1"/>
  <c r="C44" i="43"/>
  <c r="F40" i="43"/>
  <c r="E40" i="43"/>
  <c r="C40" i="43"/>
  <c r="G40" i="43" s="1"/>
  <c r="F33" i="43"/>
  <c r="E33" i="43"/>
  <c r="D33" i="43"/>
  <c r="C33" i="43"/>
  <c r="F32" i="43"/>
  <c r="E32" i="43"/>
  <c r="E29" i="43" s="1"/>
  <c r="D32" i="43"/>
  <c r="C32" i="43"/>
  <c r="F31" i="43"/>
  <c r="F29" i="43" s="1"/>
  <c r="E31" i="43"/>
  <c r="D31" i="43"/>
  <c r="C31" i="43"/>
  <c r="G31" i="43" s="1"/>
  <c r="F30" i="43"/>
  <c r="E30" i="43"/>
  <c r="D30" i="43"/>
  <c r="C30" i="43"/>
  <c r="C29" i="43" s="1"/>
  <c r="D29" i="43"/>
  <c r="F28" i="43"/>
  <c r="E28" i="43"/>
  <c r="D28" i="43"/>
  <c r="C28" i="43"/>
  <c r="G28" i="43" s="1"/>
  <c r="F27" i="43"/>
  <c r="F24" i="43" s="1"/>
  <c r="E27" i="43"/>
  <c r="D27" i="43"/>
  <c r="C27" i="43"/>
  <c r="G27" i="43" s="1"/>
  <c r="F26" i="43"/>
  <c r="E26" i="43"/>
  <c r="D26" i="43"/>
  <c r="C26" i="43"/>
  <c r="C24" i="43" s="1"/>
  <c r="C34" i="43" s="1"/>
  <c r="F25" i="43"/>
  <c r="E25" i="43"/>
  <c r="D25" i="43"/>
  <c r="D24" i="43" s="1"/>
  <c r="C25" i="43"/>
  <c r="E24" i="43"/>
  <c r="F23" i="43"/>
  <c r="E23" i="43"/>
  <c r="D23" i="43"/>
  <c r="C23" i="43"/>
  <c r="G23" i="43" s="1"/>
  <c r="F22" i="43"/>
  <c r="E22" i="43"/>
  <c r="D22" i="43"/>
  <c r="C22" i="43"/>
  <c r="C19" i="43" s="1"/>
  <c r="F21" i="43"/>
  <c r="E21" i="43"/>
  <c r="D21" i="43"/>
  <c r="D19" i="43" s="1"/>
  <c r="C21" i="43"/>
  <c r="F20" i="43"/>
  <c r="E20" i="43"/>
  <c r="E19" i="43" s="1"/>
  <c r="D20" i="43"/>
  <c r="C20" i="43"/>
  <c r="F19" i="43"/>
  <c r="F34" i="43" s="1"/>
  <c r="H11" i="43"/>
  <c r="C11" i="43"/>
  <c r="K10" i="43"/>
  <c r="K11" i="43" s="1"/>
  <c r="J10" i="43"/>
  <c r="J11" i="43" s="1"/>
  <c r="L11" i="43" s="1"/>
  <c r="I10" i="43"/>
  <c r="I11" i="43" s="1"/>
  <c r="H10" i="43"/>
  <c r="F10" i="43"/>
  <c r="F11" i="43" s="1"/>
  <c r="E10" i="43"/>
  <c r="E11" i="43" s="1"/>
  <c r="C10" i="43"/>
  <c r="N140" i="42"/>
  <c r="M140" i="42"/>
  <c r="G137" i="42"/>
  <c r="K122" i="42"/>
  <c r="H122" i="42"/>
  <c r="K121" i="42"/>
  <c r="H121" i="42"/>
  <c r="H119" i="42" s="1"/>
  <c r="E121" i="42"/>
  <c r="E119" i="42" s="1"/>
  <c r="K119" i="42"/>
  <c r="M117" i="42"/>
  <c r="K117" i="42"/>
  <c r="G117" i="42"/>
  <c r="F117" i="42"/>
  <c r="H117" i="42" s="1"/>
  <c r="K116" i="42"/>
  <c r="G116" i="42"/>
  <c r="F116" i="42"/>
  <c r="H116" i="42" s="1"/>
  <c r="K115" i="42"/>
  <c r="G115" i="42"/>
  <c r="F115" i="42"/>
  <c r="H115" i="42" s="1"/>
  <c r="H114" i="42" s="1"/>
  <c r="K114" i="42"/>
  <c r="J114" i="42"/>
  <c r="G114" i="42"/>
  <c r="E114" i="42"/>
  <c r="K113" i="42"/>
  <c r="G113" i="42"/>
  <c r="H113" i="42" s="1"/>
  <c r="K112" i="42"/>
  <c r="H112" i="42"/>
  <c r="G112" i="42"/>
  <c r="K111" i="42"/>
  <c r="K109" i="42" s="1"/>
  <c r="H111" i="42"/>
  <c r="G111" i="42"/>
  <c r="K110" i="42"/>
  <c r="G110" i="42"/>
  <c r="H110" i="42" s="1"/>
  <c r="H109" i="42" s="1"/>
  <c r="J109" i="42"/>
  <c r="G109" i="42"/>
  <c r="E109" i="42"/>
  <c r="D109" i="42"/>
  <c r="K108" i="42"/>
  <c r="H108" i="42"/>
  <c r="G108" i="42"/>
  <c r="K107" i="42"/>
  <c r="G107" i="42"/>
  <c r="H107" i="42" s="1"/>
  <c r="K106" i="42"/>
  <c r="G106" i="42"/>
  <c r="H106" i="42" s="1"/>
  <c r="K105" i="42"/>
  <c r="H105" i="42"/>
  <c r="G105" i="42"/>
  <c r="K104" i="42"/>
  <c r="K103" i="42" s="1"/>
  <c r="H104" i="42"/>
  <c r="G104" i="42"/>
  <c r="J103" i="42"/>
  <c r="J102" i="42" s="1"/>
  <c r="E103" i="42"/>
  <c r="D103" i="42"/>
  <c r="G103" i="42" s="1"/>
  <c r="E102" i="42"/>
  <c r="K101" i="42"/>
  <c r="G101" i="42"/>
  <c r="H101" i="42" s="1"/>
  <c r="K100" i="42"/>
  <c r="G100" i="42"/>
  <c r="H100" i="42" s="1"/>
  <c r="K99" i="42"/>
  <c r="G99" i="42"/>
  <c r="H99" i="42" s="1"/>
  <c r="K98" i="42"/>
  <c r="K97" i="42" s="1"/>
  <c r="K96" i="42" s="1"/>
  <c r="H98" i="42"/>
  <c r="G98" i="42"/>
  <c r="J97" i="42"/>
  <c r="J96" i="42" s="1"/>
  <c r="E97" i="42"/>
  <c r="D97" i="42"/>
  <c r="G97" i="42" s="1"/>
  <c r="E96" i="42"/>
  <c r="K95" i="42"/>
  <c r="G95" i="42"/>
  <c r="H95" i="42" s="1"/>
  <c r="K94" i="42"/>
  <c r="G94" i="42"/>
  <c r="H94" i="42" s="1"/>
  <c r="K93" i="42"/>
  <c r="G93" i="42"/>
  <c r="H93" i="42" s="1"/>
  <c r="K92" i="42"/>
  <c r="K91" i="42" s="1"/>
  <c r="H92" i="42"/>
  <c r="H91" i="42" s="1"/>
  <c r="G92" i="42"/>
  <c r="G91" i="42"/>
  <c r="E91" i="42"/>
  <c r="D91" i="42"/>
  <c r="K90" i="42"/>
  <c r="K86" i="42" s="1"/>
  <c r="H90" i="42"/>
  <c r="G90" i="42"/>
  <c r="K89" i="42"/>
  <c r="G89" i="42"/>
  <c r="H89" i="42" s="1"/>
  <c r="K88" i="42"/>
  <c r="G88" i="42"/>
  <c r="F88" i="42"/>
  <c r="H88" i="42" s="1"/>
  <c r="K87" i="42"/>
  <c r="G87" i="42"/>
  <c r="F87" i="42"/>
  <c r="H87" i="42" s="1"/>
  <c r="J86" i="42"/>
  <c r="G86" i="42"/>
  <c r="E86" i="42"/>
  <c r="D86" i="42"/>
  <c r="K85" i="42"/>
  <c r="H85" i="42"/>
  <c r="G85" i="42"/>
  <c r="F85" i="42"/>
  <c r="K84" i="42"/>
  <c r="H84" i="42"/>
  <c r="G84" i="42"/>
  <c r="F84" i="42"/>
  <c r="K83" i="42"/>
  <c r="H83" i="42"/>
  <c r="G83" i="42"/>
  <c r="F83" i="42"/>
  <c r="K82" i="42"/>
  <c r="H82" i="42"/>
  <c r="G82" i="42"/>
  <c r="F82" i="42"/>
  <c r="K81" i="42"/>
  <c r="H81" i="42"/>
  <c r="H80" i="42" s="1"/>
  <c r="G81" i="42"/>
  <c r="F81" i="42"/>
  <c r="K80" i="42"/>
  <c r="J80" i="42"/>
  <c r="E80" i="42"/>
  <c r="D80" i="42"/>
  <c r="G80" i="42" s="1"/>
  <c r="K79" i="42"/>
  <c r="G79" i="42"/>
  <c r="F79" i="42"/>
  <c r="H79" i="42" s="1"/>
  <c r="K78" i="42"/>
  <c r="G78" i="42"/>
  <c r="F78" i="42"/>
  <c r="H78" i="42" s="1"/>
  <c r="C78" i="42"/>
  <c r="K77" i="42"/>
  <c r="G77" i="42"/>
  <c r="H77" i="42" s="1"/>
  <c r="F77" i="42"/>
  <c r="K76" i="42"/>
  <c r="G76" i="42"/>
  <c r="H76" i="42" s="1"/>
  <c r="F76" i="42"/>
  <c r="K75" i="42"/>
  <c r="G75" i="42"/>
  <c r="H75" i="42" s="1"/>
  <c r="F75" i="42"/>
  <c r="K74" i="42"/>
  <c r="G74" i="42"/>
  <c r="H74" i="42" s="1"/>
  <c r="F74" i="42"/>
  <c r="K73" i="42"/>
  <c r="G73" i="42"/>
  <c r="H73" i="42" s="1"/>
  <c r="F73" i="42"/>
  <c r="K72" i="42"/>
  <c r="G72" i="42"/>
  <c r="H72" i="42" s="1"/>
  <c r="F72" i="42"/>
  <c r="K71" i="42"/>
  <c r="G71" i="42"/>
  <c r="H71" i="42" s="1"/>
  <c r="F71" i="42"/>
  <c r="K70" i="42"/>
  <c r="G70" i="42"/>
  <c r="H70" i="42" s="1"/>
  <c r="F70" i="42"/>
  <c r="C70" i="42"/>
  <c r="K69" i="42"/>
  <c r="H69" i="42"/>
  <c r="G69" i="42"/>
  <c r="F69" i="42"/>
  <c r="C69" i="42"/>
  <c r="K68" i="42"/>
  <c r="K66" i="42" s="1"/>
  <c r="G68" i="42"/>
  <c r="F68" i="42"/>
  <c r="H68" i="42" s="1"/>
  <c r="C68" i="42"/>
  <c r="K67" i="42"/>
  <c r="G67" i="42"/>
  <c r="F67" i="42"/>
  <c r="H67" i="42" s="1"/>
  <c r="H66" i="42" s="1"/>
  <c r="C67" i="42"/>
  <c r="J66" i="42"/>
  <c r="E66" i="42"/>
  <c r="D66" i="42"/>
  <c r="G66" i="42" s="1"/>
  <c r="C66" i="42"/>
  <c r="K65" i="42"/>
  <c r="G65" i="42"/>
  <c r="F65" i="42"/>
  <c r="H65" i="42" s="1"/>
  <c r="C65" i="42"/>
  <c r="K64" i="42"/>
  <c r="G64" i="42"/>
  <c r="H64" i="42" s="1"/>
  <c r="F64" i="42"/>
  <c r="C64" i="42"/>
  <c r="K63" i="42"/>
  <c r="H63" i="42"/>
  <c r="G63" i="42"/>
  <c r="F63" i="42"/>
  <c r="C63" i="42"/>
  <c r="K62" i="42"/>
  <c r="K60" i="42" s="1"/>
  <c r="G62" i="42"/>
  <c r="F62" i="42"/>
  <c r="H62" i="42" s="1"/>
  <c r="C62" i="42"/>
  <c r="K61" i="42"/>
  <c r="G61" i="42"/>
  <c r="F61" i="42"/>
  <c r="H61" i="42" s="1"/>
  <c r="C61" i="42"/>
  <c r="J60" i="42"/>
  <c r="E60" i="42"/>
  <c r="D60" i="42"/>
  <c r="G60" i="42" s="1"/>
  <c r="C60" i="42"/>
  <c r="K59" i="42"/>
  <c r="G59" i="42"/>
  <c r="H59" i="42" s="1"/>
  <c r="K58" i="42"/>
  <c r="G58" i="42"/>
  <c r="F58" i="42"/>
  <c r="H58" i="42" s="1"/>
  <c r="K57" i="42"/>
  <c r="G57" i="42"/>
  <c r="F57" i="42"/>
  <c r="H57" i="42" s="1"/>
  <c r="H55" i="42" s="1"/>
  <c r="K56" i="42"/>
  <c r="K55" i="42" s="1"/>
  <c r="H56" i="42"/>
  <c r="G56" i="42"/>
  <c r="E55" i="42"/>
  <c r="D55" i="42"/>
  <c r="G55" i="42" s="1"/>
  <c r="K54" i="42"/>
  <c r="K52" i="42" s="1"/>
  <c r="H54" i="42"/>
  <c r="G54" i="42"/>
  <c r="K53" i="42"/>
  <c r="H53" i="42"/>
  <c r="G53" i="42"/>
  <c r="F53" i="42"/>
  <c r="H52" i="42"/>
  <c r="E52" i="42"/>
  <c r="D52" i="42"/>
  <c r="G52" i="42" s="1"/>
  <c r="K51" i="42"/>
  <c r="H51" i="42"/>
  <c r="G51" i="42"/>
  <c r="F51" i="42"/>
  <c r="K50" i="42"/>
  <c r="H50" i="42"/>
  <c r="G50" i="42"/>
  <c r="F50" i="42"/>
  <c r="C50" i="42"/>
  <c r="K49" i="42"/>
  <c r="G49" i="42"/>
  <c r="F49" i="42"/>
  <c r="H49" i="42" s="1"/>
  <c r="C49" i="42"/>
  <c r="K48" i="42"/>
  <c r="G48" i="42"/>
  <c r="F48" i="42"/>
  <c r="H48" i="42" s="1"/>
  <c r="K47" i="42"/>
  <c r="G47" i="42"/>
  <c r="F47" i="42"/>
  <c r="H47" i="42" s="1"/>
  <c r="K46" i="42"/>
  <c r="G46" i="42"/>
  <c r="F46" i="42"/>
  <c r="H46" i="42" s="1"/>
  <c r="C46" i="42"/>
  <c r="K45" i="42"/>
  <c r="H45" i="42"/>
  <c r="G45" i="42"/>
  <c r="F45" i="42"/>
  <c r="C45" i="42"/>
  <c r="K44" i="42"/>
  <c r="E44" i="42"/>
  <c r="D44" i="42"/>
  <c r="G44" i="42" s="1"/>
  <c r="K43" i="42"/>
  <c r="G43" i="42"/>
  <c r="F43" i="42"/>
  <c r="H43" i="42" s="1"/>
  <c r="C43" i="42"/>
  <c r="K42" i="42"/>
  <c r="H42" i="42"/>
  <c r="G42" i="42"/>
  <c r="F42" i="42"/>
  <c r="K41" i="42"/>
  <c r="H41" i="42"/>
  <c r="G41" i="42"/>
  <c r="F41" i="42"/>
  <c r="C41" i="42"/>
  <c r="K40" i="42"/>
  <c r="K36" i="42" s="1"/>
  <c r="H40" i="42"/>
  <c r="G40" i="42"/>
  <c r="F40" i="42"/>
  <c r="C40" i="42"/>
  <c r="K39" i="42"/>
  <c r="G39" i="42"/>
  <c r="F39" i="42"/>
  <c r="H39" i="42" s="1"/>
  <c r="C39" i="42"/>
  <c r="K38" i="42"/>
  <c r="G38" i="42"/>
  <c r="F38" i="42"/>
  <c r="H38" i="42" s="1"/>
  <c r="H36" i="42" s="1"/>
  <c r="C38" i="42"/>
  <c r="K37" i="42"/>
  <c r="H37" i="42"/>
  <c r="G37" i="42"/>
  <c r="J36" i="42"/>
  <c r="E36" i="42"/>
  <c r="D36" i="42"/>
  <c r="G36" i="42" s="1"/>
  <c r="C36" i="42"/>
  <c r="J35" i="42"/>
  <c r="G35" i="42"/>
  <c r="E35" i="42"/>
  <c r="C35" i="42" s="1"/>
  <c r="D35" i="42"/>
  <c r="K34" i="42"/>
  <c r="H34" i="42"/>
  <c r="G34" i="42"/>
  <c r="K33" i="42"/>
  <c r="H33" i="42"/>
  <c r="G33" i="42"/>
  <c r="K32" i="42"/>
  <c r="H32" i="42"/>
  <c r="G32" i="42"/>
  <c r="K31" i="42"/>
  <c r="G31" i="42"/>
  <c r="H31" i="42" s="1"/>
  <c r="K30" i="42"/>
  <c r="H30" i="42"/>
  <c r="G30" i="42"/>
  <c r="K29" i="42"/>
  <c r="G29" i="42"/>
  <c r="H29" i="42" s="1"/>
  <c r="K28" i="42"/>
  <c r="H28" i="42"/>
  <c r="G28" i="42"/>
  <c r="K27" i="42"/>
  <c r="G27" i="42"/>
  <c r="H27" i="42" s="1"/>
  <c r="K26" i="42"/>
  <c r="H26" i="42"/>
  <c r="G26" i="42"/>
  <c r="K25" i="42"/>
  <c r="J25" i="42"/>
  <c r="G25" i="42"/>
  <c r="K24" i="42"/>
  <c r="H24" i="42"/>
  <c r="G24" i="42"/>
  <c r="K23" i="42"/>
  <c r="G23" i="42"/>
  <c r="H23" i="42" s="1"/>
  <c r="F23" i="42"/>
  <c r="C23" i="42"/>
  <c r="K22" i="42"/>
  <c r="H22" i="42"/>
  <c r="G22" i="42"/>
  <c r="K21" i="42"/>
  <c r="G21" i="42"/>
  <c r="H21" i="42" s="1"/>
  <c r="F21" i="42"/>
  <c r="C21" i="42"/>
  <c r="K20" i="42"/>
  <c r="H20" i="42"/>
  <c r="G20" i="42"/>
  <c r="F20" i="42"/>
  <c r="C20" i="42"/>
  <c r="K19" i="42"/>
  <c r="K18" i="42" s="1"/>
  <c r="K17" i="42" s="1"/>
  <c r="G19" i="42"/>
  <c r="F19" i="42"/>
  <c r="H19" i="42" s="1"/>
  <c r="C19" i="42"/>
  <c r="J18" i="42"/>
  <c r="E18" i="42"/>
  <c r="D18" i="42"/>
  <c r="G18" i="42" s="1"/>
  <c r="C18" i="42"/>
  <c r="J17" i="42"/>
  <c r="E17" i="42"/>
  <c r="C17" i="42" s="1"/>
  <c r="D17" i="42"/>
  <c r="G17" i="42" s="1"/>
  <c r="D13" i="42"/>
  <c r="D12" i="42"/>
  <c r="D15" i="42" s="1"/>
  <c r="J11" i="42"/>
  <c r="J13" i="42" s="1"/>
  <c r="K13" i="42" s="1"/>
  <c r="I11" i="42"/>
  <c r="K11" i="42" s="1"/>
  <c r="G11" i="42"/>
  <c r="G12" i="42" s="1"/>
  <c r="F11" i="42"/>
  <c r="H11" i="42" s="1"/>
  <c r="E11" i="42"/>
  <c r="D118" i="44" l="1"/>
  <c r="G14" i="44"/>
  <c r="G118" i="44" s="1"/>
  <c r="D13" i="44"/>
  <c r="H119" i="44"/>
  <c r="G122" i="44"/>
  <c r="H18" i="44"/>
  <c r="H122" i="44" s="1"/>
  <c r="C21" i="44"/>
  <c r="C125" i="44" s="1"/>
  <c r="E31" i="44"/>
  <c r="E136" i="44"/>
  <c r="C32" i="44"/>
  <c r="C136" i="44" s="1"/>
  <c r="F145" i="44"/>
  <c r="H41" i="44"/>
  <c r="G150" i="44"/>
  <c r="H46" i="44"/>
  <c r="H150" i="44" s="1"/>
  <c r="G154" i="44"/>
  <c r="H50" i="44"/>
  <c r="H154" i="44" s="1"/>
  <c r="G157" i="44"/>
  <c r="H53" i="44"/>
  <c r="H157" i="44" s="1"/>
  <c r="K56" i="44"/>
  <c r="K160" i="44" s="1"/>
  <c r="H161" i="44"/>
  <c r="G162" i="44"/>
  <c r="H58" i="44"/>
  <c r="H162" i="44" s="1"/>
  <c r="E166" i="44"/>
  <c r="C62" i="44"/>
  <c r="C166" i="44" s="1"/>
  <c r="D197" i="44"/>
  <c r="G93" i="44"/>
  <c r="G197" i="44" s="1"/>
  <c r="D92" i="44"/>
  <c r="G200" i="44"/>
  <c r="H96" i="44"/>
  <c r="H200" i="44" s="1"/>
  <c r="J203" i="44"/>
  <c r="J98" i="44"/>
  <c r="J202" i="44" s="1"/>
  <c r="H105" i="44"/>
  <c r="H209" i="44" s="1"/>
  <c r="F215" i="44"/>
  <c r="H111" i="44"/>
  <c r="E118" i="44"/>
  <c r="E117" i="44" s="1"/>
  <c r="F120" i="44"/>
  <c r="G151" i="44"/>
  <c r="F121" i="44"/>
  <c r="H17" i="44"/>
  <c r="H121" i="44" s="1"/>
  <c r="G124" i="44"/>
  <c r="H20" i="44"/>
  <c r="H124" i="44" s="1"/>
  <c r="D135" i="44"/>
  <c r="G31" i="44"/>
  <c r="G135" i="44" s="1"/>
  <c r="F139" i="44"/>
  <c r="H35" i="44"/>
  <c r="H139" i="44" s="1"/>
  <c r="F153" i="44"/>
  <c r="H49" i="44"/>
  <c r="G156" i="44"/>
  <c r="H52" i="44"/>
  <c r="E160" i="44"/>
  <c r="C56" i="44"/>
  <c r="C160" i="44" s="1"/>
  <c r="G170" i="44"/>
  <c r="H66" i="44"/>
  <c r="H170" i="44" s="1"/>
  <c r="G174" i="44"/>
  <c r="H70" i="44"/>
  <c r="H174" i="44" s="1"/>
  <c r="G178" i="44"/>
  <c r="H74" i="44"/>
  <c r="H178" i="44" s="1"/>
  <c r="K198" i="44"/>
  <c r="K93" i="44"/>
  <c r="G171" i="44"/>
  <c r="J118" i="44"/>
  <c r="J13" i="44"/>
  <c r="F123" i="44"/>
  <c r="H19" i="44"/>
  <c r="H123" i="44" s="1"/>
  <c r="H26" i="44"/>
  <c r="H130" i="44" s="1"/>
  <c r="G130" i="44"/>
  <c r="F138" i="44"/>
  <c r="H34" i="44"/>
  <c r="H138" i="44" s="1"/>
  <c r="E144" i="44"/>
  <c r="C40" i="44"/>
  <c r="C144" i="44" s="1"/>
  <c r="K146" i="44"/>
  <c r="K40" i="44"/>
  <c r="K144" i="44" s="1"/>
  <c r="G169" i="44"/>
  <c r="H65" i="44"/>
  <c r="H169" i="44" s="1"/>
  <c r="G173" i="44"/>
  <c r="H69" i="44"/>
  <c r="H173" i="44" s="1"/>
  <c r="G177" i="44"/>
  <c r="H73" i="44"/>
  <c r="H177" i="44" s="1"/>
  <c r="G188" i="44"/>
  <c r="H84" i="44"/>
  <c r="H188" i="44" s="1"/>
  <c r="G194" i="44"/>
  <c r="H90" i="44"/>
  <c r="H194" i="44" s="1"/>
  <c r="J197" i="44"/>
  <c r="J92" i="44"/>
  <c r="J196" i="44" s="1"/>
  <c r="H199" i="44"/>
  <c r="D203" i="44"/>
  <c r="G99" i="44"/>
  <c r="G203" i="44" s="1"/>
  <c r="D98" i="44"/>
  <c r="G206" i="44"/>
  <c r="H102" i="44"/>
  <c r="H206" i="44" s="1"/>
  <c r="G213" i="44"/>
  <c r="H109" i="44"/>
  <c r="H213" i="44" s="1"/>
  <c r="F217" i="44"/>
  <c r="H113" i="44"/>
  <c r="H217" i="44" s="1"/>
  <c r="D125" i="44"/>
  <c r="G21" i="44"/>
  <c r="G125" i="44" s="1"/>
  <c r="K128" i="44"/>
  <c r="K21" i="44"/>
  <c r="K125" i="44" s="1"/>
  <c r="K117" i="44" s="1"/>
  <c r="H30" i="44"/>
  <c r="H134" i="44" s="1"/>
  <c r="G134" i="44"/>
  <c r="K136" i="44"/>
  <c r="K31" i="44"/>
  <c r="K135" i="44" s="1"/>
  <c r="G158" i="44"/>
  <c r="H54" i="44"/>
  <c r="H158" i="44" s="1"/>
  <c r="F163" i="44"/>
  <c r="H59" i="44"/>
  <c r="H163" i="44" s="1"/>
  <c r="K62" i="44"/>
  <c r="K166" i="44" s="1"/>
  <c r="G172" i="44"/>
  <c r="H68" i="44"/>
  <c r="H172" i="44" s="1"/>
  <c r="G176" i="44"/>
  <c r="H72" i="44"/>
  <c r="H176" i="44" s="1"/>
  <c r="G187" i="44"/>
  <c r="H83" i="44"/>
  <c r="K192" i="44"/>
  <c r="K87" i="44"/>
  <c r="K191" i="44" s="1"/>
  <c r="K204" i="44"/>
  <c r="K99" i="44"/>
  <c r="F216" i="44"/>
  <c r="H112" i="44"/>
  <c r="H216" i="44" s="1"/>
  <c r="H25" i="44"/>
  <c r="H129" i="44" s="1"/>
  <c r="H29" i="44"/>
  <c r="H133" i="44" s="1"/>
  <c r="H33" i="44"/>
  <c r="K82" i="44"/>
  <c r="K186" i="44" s="1"/>
  <c r="H89" i="44"/>
  <c r="H101" i="44"/>
  <c r="K105" i="44"/>
  <c r="K209" i="44" s="1"/>
  <c r="H108" i="44"/>
  <c r="H212" i="44" s="1"/>
  <c r="D186" i="44"/>
  <c r="E197" i="44"/>
  <c r="H24" i="44"/>
  <c r="H128" i="44" s="1"/>
  <c r="H28" i="44"/>
  <c r="H132" i="44" s="1"/>
  <c r="H42" i="44"/>
  <c r="H146" i="44" s="1"/>
  <c r="H43" i="44"/>
  <c r="H147" i="44" s="1"/>
  <c r="H44" i="44"/>
  <c r="H148" i="44" s="1"/>
  <c r="K51" i="44"/>
  <c r="K155" i="44" s="1"/>
  <c r="H63" i="44"/>
  <c r="H77" i="44"/>
  <c r="H78" i="44"/>
  <c r="H182" i="44" s="1"/>
  <c r="H79" i="44"/>
  <c r="H183" i="44" s="1"/>
  <c r="H80" i="44"/>
  <c r="H184" i="44" s="1"/>
  <c r="H81" i="44"/>
  <c r="H185" i="44" s="1"/>
  <c r="G87" i="44"/>
  <c r="G191" i="44" s="1"/>
  <c r="E98" i="44"/>
  <c r="E202" i="44" s="1"/>
  <c r="G105" i="44"/>
  <c r="G209" i="44" s="1"/>
  <c r="G73" i="43"/>
  <c r="L10" i="43"/>
  <c r="G11" i="43"/>
  <c r="G20" i="43"/>
  <c r="G21" i="43"/>
  <c r="G22" i="43"/>
  <c r="G30" i="43"/>
  <c r="E60" i="43"/>
  <c r="G46" i="43"/>
  <c r="G47" i="43"/>
  <c r="G48" i="43"/>
  <c r="G56" i="43"/>
  <c r="G55" i="43" s="1"/>
  <c r="G57" i="43"/>
  <c r="D87" i="43"/>
  <c r="G74" i="43"/>
  <c r="G75" i="43"/>
  <c r="G76" i="43"/>
  <c r="F109" i="43"/>
  <c r="G138" i="43"/>
  <c r="E158" i="43"/>
  <c r="G10" i="43"/>
  <c r="D34" i="43"/>
  <c r="G32" i="43"/>
  <c r="G33" i="43"/>
  <c r="F60" i="43"/>
  <c r="F87" i="43"/>
  <c r="E72" i="43"/>
  <c r="E87" i="43" s="1"/>
  <c r="D131" i="43"/>
  <c r="E34" i="43"/>
  <c r="G25" i="43"/>
  <c r="G26" i="43"/>
  <c r="G44" i="43"/>
  <c r="G50" i="43"/>
  <c r="G52" i="43"/>
  <c r="G53" i="43"/>
  <c r="G80" i="43"/>
  <c r="G77" i="43" s="1"/>
  <c r="D109" i="43"/>
  <c r="F183" i="43"/>
  <c r="G127" i="43"/>
  <c r="G126" i="43" s="1"/>
  <c r="G166" i="43"/>
  <c r="G163" i="43" s="1"/>
  <c r="G174" i="43"/>
  <c r="C60" i="43"/>
  <c r="C148" i="43"/>
  <c r="D183" i="43"/>
  <c r="G171" i="43"/>
  <c r="G172" i="43"/>
  <c r="G179" i="43"/>
  <c r="G178" i="43" s="1"/>
  <c r="C208" i="43"/>
  <c r="G191" i="43"/>
  <c r="G188" i="43" s="1"/>
  <c r="G199" i="43"/>
  <c r="G198" i="43" s="1"/>
  <c r="J208" i="43" s="1"/>
  <c r="G218" i="43"/>
  <c r="G224" i="43"/>
  <c r="J234" i="43" s="1"/>
  <c r="G226" i="43"/>
  <c r="G241" i="43"/>
  <c r="G239" i="43" s="1"/>
  <c r="D358" i="43"/>
  <c r="G417" i="43"/>
  <c r="G145" i="43"/>
  <c r="G143" i="43" s="1"/>
  <c r="C67" i="43"/>
  <c r="C82" i="43"/>
  <c r="C99" i="43"/>
  <c r="C109" i="43" s="1"/>
  <c r="C116" i="43"/>
  <c r="C131" i="43" s="1"/>
  <c r="C138" i="43"/>
  <c r="C158" i="43" s="1"/>
  <c r="G167" i="43"/>
  <c r="F168" i="43"/>
  <c r="G175" i="43"/>
  <c r="G177" i="43"/>
  <c r="E208" i="43"/>
  <c r="G194" i="43"/>
  <c r="G195" i="43"/>
  <c r="E198" i="43"/>
  <c r="E234" i="43"/>
  <c r="G220" i="43"/>
  <c r="G221" i="43"/>
  <c r="G222" i="43"/>
  <c r="G230" i="43"/>
  <c r="G229" i="43" s="1"/>
  <c r="K234" i="43" s="1"/>
  <c r="G231" i="43"/>
  <c r="E239" i="43"/>
  <c r="E259" i="43" s="1"/>
  <c r="E311" i="43"/>
  <c r="F311" i="43"/>
  <c r="G442" i="43"/>
  <c r="J457" i="43" s="1"/>
  <c r="G444" i="43"/>
  <c r="G106" i="43"/>
  <c r="G104" i="43" s="1"/>
  <c r="G109" i="43" s="1"/>
  <c r="H114" i="43" s="1"/>
  <c r="G123" i="43"/>
  <c r="G121" i="43" s="1"/>
  <c r="G131" i="43" s="1"/>
  <c r="G244" i="43"/>
  <c r="G168" i="43"/>
  <c r="G170" i="43"/>
  <c r="G197" i="43"/>
  <c r="G205" i="43"/>
  <c r="G203" i="43" s="1"/>
  <c r="K208" i="43" s="1"/>
  <c r="F234" i="43"/>
  <c r="D259" i="43"/>
  <c r="E244" i="43"/>
  <c r="G247" i="43"/>
  <c r="C249" i="43"/>
  <c r="C259" i="43" s="1"/>
  <c r="E457" i="43"/>
  <c r="C244" i="43"/>
  <c r="G265" i="43"/>
  <c r="G269" i="43"/>
  <c r="G277" i="43"/>
  <c r="G278" i="43"/>
  <c r="G275" i="43" s="1"/>
  <c r="J285" i="43" s="1"/>
  <c r="D311" i="43"/>
  <c r="G297" i="43"/>
  <c r="G296" i="43" s="1"/>
  <c r="G298" i="43"/>
  <c r="D332" i="43"/>
  <c r="G321" i="43"/>
  <c r="G329" i="43"/>
  <c r="G331" i="43"/>
  <c r="G340" i="43"/>
  <c r="G338" i="43" s="1"/>
  <c r="G342" i="43"/>
  <c r="G350" i="43"/>
  <c r="G348" i="43" s="1"/>
  <c r="D384" i="43"/>
  <c r="E384" i="43"/>
  <c r="G371" i="43"/>
  <c r="G369" i="43" s="1"/>
  <c r="J384" i="43" s="1"/>
  <c r="G380" i="43"/>
  <c r="G379" i="43" s="1"/>
  <c r="L384" i="43" s="1"/>
  <c r="E405" i="43"/>
  <c r="G396" i="43"/>
  <c r="G397" i="43"/>
  <c r="G422" i="43"/>
  <c r="G421" i="43" s="1"/>
  <c r="K431" i="43" s="1"/>
  <c r="G424" i="43"/>
  <c r="G425" i="43"/>
  <c r="G441" i="43"/>
  <c r="F442" i="43"/>
  <c r="F457" i="43" s="1"/>
  <c r="G449" i="43"/>
  <c r="G451" i="43"/>
  <c r="C214" i="43"/>
  <c r="C224" i="43"/>
  <c r="C285" i="43"/>
  <c r="E285" i="43"/>
  <c r="G271" i="43"/>
  <c r="G272" i="43"/>
  <c r="G273" i="43"/>
  <c r="C311" i="43"/>
  <c r="G294" i="43"/>
  <c r="G291" i="43" s="1"/>
  <c r="G302" i="43"/>
  <c r="G301" i="43" s="1"/>
  <c r="J311" i="43" s="1"/>
  <c r="G307" i="43"/>
  <c r="G308" i="43"/>
  <c r="G325" i="43"/>
  <c r="G326" i="43"/>
  <c r="G322" i="43" s="1"/>
  <c r="J332" i="43" s="1"/>
  <c r="F327" i="43"/>
  <c r="F332" i="43" s="1"/>
  <c r="E358" i="43"/>
  <c r="G344" i="43"/>
  <c r="G345" i="43"/>
  <c r="G346" i="43"/>
  <c r="G368" i="43"/>
  <c r="G364" i="43" s="1"/>
  <c r="G375" i="43"/>
  <c r="G374" i="43" s="1"/>
  <c r="K384" i="43" s="1"/>
  <c r="G376" i="43"/>
  <c r="E379" i="43"/>
  <c r="G391" i="43"/>
  <c r="G392" i="43"/>
  <c r="G393" i="43"/>
  <c r="G401" i="43"/>
  <c r="G400" i="43" s="1"/>
  <c r="L405" i="43" s="1"/>
  <c r="D431" i="43"/>
  <c r="G418" i="43"/>
  <c r="G419" i="43"/>
  <c r="G420" i="43"/>
  <c r="G427" i="43"/>
  <c r="G428" i="43"/>
  <c r="D457" i="43"/>
  <c r="G445" i="43"/>
  <c r="G446" i="43"/>
  <c r="G453" i="43"/>
  <c r="G452" i="43" s="1"/>
  <c r="L457" i="43" s="1"/>
  <c r="G454" i="43"/>
  <c r="F285" i="43"/>
  <c r="G282" i="43"/>
  <c r="G280" i="43" s="1"/>
  <c r="K285" i="43" s="1"/>
  <c r="G304" i="43"/>
  <c r="G318" i="43"/>
  <c r="G317" i="43" s="1"/>
  <c r="G320" i="43"/>
  <c r="G328" i="43"/>
  <c r="G327" i="43" s="1"/>
  <c r="K332" i="43" s="1"/>
  <c r="F343" i="43"/>
  <c r="F358" i="43" s="1"/>
  <c r="G378" i="43"/>
  <c r="D405" i="43"/>
  <c r="G403" i="43"/>
  <c r="F431" i="43"/>
  <c r="C457" i="43"/>
  <c r="G440" i="43"/>
  <c r="G437" i="43" s="1"/>
  <c r="G457" i="43" s="1"/>
  <c r="I457" i="43" s="1"/>
  <c r="G448" i="43"/>
  <c r="G447" i="43" s="1"/>
  <c r="K457" i="43" s="1"/>
  <c r="C348" i="43"/>
  <c r="C358" i="43" s="1"/>
  <c r="C369" i="43"/>
  <c r="C384" i="43" s="1"/>
  <c r="C411" i="43"/>
  <c r="C431" i="43" s="1"/>
  <c r="C426" i="43"/>
  <c r="C322" i="43"/>
  <c r="C332" i="43" s="1"/>
  <c r="H18" i="42"/>
  <c r="H17" i="42" s="1"/>
  <c r="H25" i="42"/>
  <c r="K35" i="42"/>
  <c r="H44" i="42"/>
  <c r="H35" i="42" s="1"/>
  <c r="H97" i="42"/>
  <c r="H96" i="42" s="1"/>
  <c r="K102" i="42"/>
  <c r="H103" i="42"/>
  <c r="H102" i="42" s="1"/>
  <c r="E123" i="42"/>
  <c r="H60" i="42"/>
  <c r="K16" i="42"/>
  <c r="K123" i="42" s="1"/>
  <c r="H86" i="42"/>
  <c r="H12" i="42"/>
  <c r="G14" i="42"/>
  <c r="H14" i="42" s="1"/>
  <c r="J12" i="42"/>
  <c r="K12" i="42" s="1"/>
  <c r="E13" i="42"/>
  <c r="C13" i="42" s="1"/>
  <c r="E16" i="42"/>
  <c r="C44" i="42"/>
  <c r="D96" i="42"/>
  <c r="G96" i="42" s="1"/>
  <c r="D102" i="42"/>
  <c r="G102" i="42" s="1"/>
  <c r="E12" i="42"/>
  <c r="C12" i="42" s="1"/>
  <c r="G13" i="42"/>
  <c r="E15" i="42"/>
  <c r="C15" i="42" s="1"/>
  <c r="M141" i="42"/>
  <c r="C11" i="42"/>
  <c r="H181" i="44" l="1"/>
  <c r="H76" i="44"/>
  <c r="H180" i="44" s="1"/>
  <c r="H205" i="44"/>
  <c r="H99" i="44"/>
  <c r="K13" i="44"/>
  <c r="H56" i="44"/>
  <c r="H160" i="44" s="1"/>
  <c r="H167" i="44"/>
  <c r="H62" i="44"/>
  <c r="H166" i="44" s="1"/>
  <c r="H193" i="44"/>
  <c r="H87" i="44"/>
  <c r="H191" i="44" s="1"/>
  <c r="K203" i="44"/>
  <c r="K98" i="44"/>
  <c r="K202" i="44" s="1"/>
  <c r="H187" i="44"/>
  <c r="H82" i="44"/>
  <c r="H186" i="44" s="1"/>
  <c r="K197" i="44"/>
  <c r="K92" i="44"/>
  <c r="K196" i="44" s="1"/>
  <c r="K116" i="44" s="1"/>
  <c r="H153" i="44"/>
  <c r="H48" i="44"/>
  <c r="H152" i="44" s="1"/>
  <c r="E116" i="44"/>
  <c r="E220" i="44" s="1"/>
  <c r="D196" i="44"/>
  <c r="G92" i="44"/>
  <c r="G196" i="44" s="1"/>
  <c r="H145" i="44"/>
  <c r="H40" i="44"/>
  <c r="H144" i="44" s="1"/>
  <c r="C31" i="44"/>
  <c r="C135" i="44" s="1"/>
  <c r="E135" i="44"/>
  <c r="G13" i="44"/>
  <c r="C13" i="44"/>
  <c r="H93" i="44"/>
  <c r="H215" i="44"/>
  <c r="H110" i="44"/>
  <c r="H214" i="44" s="1"/>
  <c r="H21" i="44"/>
  <c r="H125" i="44" s="1"/>
  <c r="H14" i="44"/>
  <c r="H137" i="44"/>
  <c r="H32" i="44"/>
  <c r="D202" i="44"/>
  <c r="G98" i="44"/>
  <c r="G202" i="44" s="1"/>
  <c r="H156" i="44"/>
  <c r="H51" i="44"/>
  <c r="H155" i="44" s="1"/>
  <c r="G332" i="43"/>
  <c r="I332" i="43" s="1"/>
  <c r="G306" i="43"/>
  <c r="K311" i="43" s="1"/>
  <c r="K459" i="43" s="1"/>
  <c r="D463" i="43" s="1"/>
  <c r="G395" i="43"/>
  <c r="K405" i="43" s="1"/>
  <c r="G343" i="43"/>
  <c r="J358" i="43" s="1"/>
  <c r="C87" i="43"/>
  <c r="G173" i="43"/>
  <c r="G183" i="43" s="1"/>
  <c r="G24" i="43"/>
  <c r="G29" i="43"/>
  <c r="G358" i="43"/>
  <c r="I358" i="43" s="1"/>
  <c r="G158" i="43"/>
  <c r="I158" i="43" s="1"/>
  <c r="G72" i="43"/>
  <c r="G87" i="43" s="1"/>
  <c r="H87" i="43" s="1"/>
  <c r="G426" i="43"/>
  <c r="L431" i="43" s="1"/>
  <c r="L459" i="43" s="1"/>
  <c r="D464" i="43" s="1"/>
  <c r="G390" i="43"/>
  <c r="G384" i="43"/>
  <c r="I384" i="43" s="1"/>
  <c r="G270" i="43"/>
  <c r="G285" i="43" s="1"/>
  <c r="I285" i="43" s="1"/>
  <c r="G214" i="43"/>
  <c r="G234" i="43" s="1"/>
  <c r="I234" i="43" s="1"/>
  <c r="C234" i="43"/>
  <c r="G219" i="43"/>
  <c r="G193" i="43"/>
  <c r="G208" i="43" s="1"/>
  <c r="I208" i="43" s="1"/>
  <c r="G259" i="43"/>
  <c r="I259" i="43" s="1"/>
  <c r="G45" i="43"/>
  <c r="G60" i="43" s="1"/>
  <c r="H60" i="43" s="1"/>
  <c r="G416" i="43"/>
  <c r="G19" i="43"/>
  <c r="G34" i="43" s="1"/>
  <c r="H34" i="43" s="1"/>
  <c r="G15" i="42"/>
  <c r="H15" i="42" s="1"/>
  <c r="H13" i="42"/>
  <c r="H16" i="42"/>
  <c r="H123" i="42" s="1"/>
  <c r="H118" i="44" l="1"/>
  <c r="H117" i="44" s="1"/>
  <c r="H13" i="44"/>
  <c r="H31" i="44"/>
  <c r="H135" i="44" s="1"/>
  <c r="H136" i="44"/>
  <c r="H197" i="44"/>
  <c r="H92" i="44"/>
  <c r="H196" i="44" s="1"/>
  <c r="K12" i="44"/>
  <c r="K220" i="44" s="1"/>
  <c r="H203" i="44"/>
  <c r="H98" i="44"/>
  <c r="H202" i="44" s="1"/>
  <c r="H475" i="43"/>
  <c r="H478" i="43" s="1"/>
  <c r="I183" i="43"/>
  <c r="J405" i="43"/>
  <c r="G405" i="43"/>
  <c r="I405" i="43" s="1"/>
  <c r="J431" i="43"/>
  <c r="G431" i="43"/>
  <c r="I431" i="43" s="1"/>
  <c r="G311" i="43"/>
  <c r="I311" i="43" s="1"/>
  <c r="I459" i="43"/>
  <c r="D460" i="43" s="1"/>
  <c r="H12" i="44" l="1"/>
  <c r="H220" i="44" s="1"/>
  <c r="H116" i="44"/>
  <c r="J459" i="43"/>
  <c r="D462" i="43" s="1"/>
  <c r="D27" i="16" l="1"/>
  <c r="F34" i="40" l="1"/>
  <c r="E34" i="40"/>
  <c r="F33" i="40"/>
  <c r="E33" i="40"/>
  <c r="F156" i="39"/>
  <c r="E156" i="39"/>
  <c r="F101" i="39"/>
  <c r="E101" i="39"/>
  <c r="F93" i="39"/>
  <c r="E93" i="39"/>
  <c r="F42" i="39"/>
  <c r="F38" i="39"/>
  <c r="E38" i="39"/>
  <c r="F36" i="39"/>
  <c r="F18" i="39" s="1"/>
  <c r="E35" i="39"/>
  <c r="E23" i="39" s="1"/>
  <c r="F29" i="39"/>
  <c r="E29" i="39"/>
  <c r="F28" i="39"/>
  <c r="E28" i="39"/>
  <c r="F23" i="39"/>
  <c r="F22" i="39"/>
  <c r="E22" i="39"/>
  <c r="F20" i="39"/>
  <c r="E20" i="39"/>
  <c r="F19" i="39"/>
  <c r="E19" i="39"/>
  <c r="E18" i="39"/>
  <c r="F17" i="39"/>
  <c r="E17" i="39"/>
  <c r="F156" i="38"/>
  <c r="E156" i="38"/>
  <c r="F101" i="38"/>
  <c r="E101" i="38"/>
  <c r="F94" i="38"/>
  <c r="E94" i="38"/>
  <c r="F44" i="38"/>
  <c r="E44" i="38"/>
  <c r="F42" i="38"/>
  <c r="F30" i="38" s="1"/>
  <c r="F37" i="38"/>
  <c r="F34" i="38"/>
  <c r="F28" i="38" s="1"/>
  <c r="E30" i="38"/>
  <c r="F29" i="38"/>
  <c r="E29" i="38"/>
  <c r="E28" i="38"/>
  <c r="F23" i="38"/>
  <c r="E23" i="38"/>
  <c r="F22" i="38"/>
  <c r="E22" i="38"/>
  <c r="F20" i="38"/>
  <c r="E20" i="38"/>
  <c r="F18" i="38"/>
  <c r="E18" i="38"/>
  <c r="F172" i="37"/>
  <c r="E172" i="37"/>
  <c r="F171" i="37"/>
  <c r="E171" i="37"/>
  <c r="F46" i="37"/>
  <c r="E46" i="37"/>
  <c r="F45" i="37"/>
  <c r="E45" i="37"/>
  <c r="F19" i="37"/>
  <c r="E19" i="37"/>
  <c r="F18" i="37"/>
  <c r="E18" i="37"/>
  <c r="F166" i="36"/>
  <c r="F165" i="36"/>
  <c r="E165" i="36"/>
  <c r="F162" i="36"/>
  <c r="E161" i="36"/>
  <c r="F156" i="36"/>
  <c r="E156" i="36"/>
  <c r="F113" i="36"/>
  <c r="E113" i="36"/>
  <c r="F101" i="36"/>
  <c r="E101" i="36"/>
  <c r="F98" i="36"/>
  <c r="E98" i="36"/>
  <c r="F60" i="36"/>
  <c r="E60" i="36"/>
  <c r="F36" i="36"/>
  <c r="F35" i="36"/>
  <c r="F23" i="36"/>
  <c r="E23" i="36"/>
  <c r="F18" i="36"/>
  <c r="E18" i="36"/>
  <c r="F86" i="35"/>
  <c r="E86" i="35"/>
  <c r="G251" i="32" l="1"/>
  <c r="G249" i="32"/>
  <c r="G267" i="32"/>
  <c r="G266" i="32"/>
  <c r="G201" i="32" l="1"/>
  <c r="F201" i="32"/>
  <c r="G190" i="32"/>
  <c r="F190" i="32"/>
  <c r="E102" i="32"/>
  <c r="G38" i="32"/>
  <c r="F38" i="32"/>
  <c r="E38" i="32"/>
  <c r="G37" i="32"/>
  <c r="F37" i="32"/>
  <c r="E37" i="32"/>
  <c r="E20" i="32"/>
  <c r="E17" i="29"/>
  <c r="F17" i="29"/>
  <c r="E18" i="29"/>
  <c r="G18" i="29"/>
  <c r="E19" i="29"/>
  <c r="F19" i="29"/>
  <c r="E20" i="29"/>
  <c r="F20" i="29"/>
  <c r="E22" i="29"/>
  <c r="F22" i="29"/>
  <c r="E23" i="29"/>
  <c r="F23" i="29"/>
  <c r="E28" i="29"/>
  <c r="F28" i="29"/>
  <c r="E29" i="29"/>
  <c r="F29" i="29"/>
  <c r="G34" i="29"/>
  <c r="G19" i="29" s="1"/>
  <c r="E35" i="29"/>
  <c r="G35" i="29"/>
  <c r="G23" i="29" s="1"/>
  <c r="F36" i="29"/>
  <c r="F18" i="29" s="1"/>
  <c r="E38" i="29"/>
  <c r="F38" i="29"/>
  <c r="G38" i="29"/>
  <c r="G28" i="29" s="1"/>
  <c r="F42" i="29"/>
  <c r="E93" i="29"/>
  <c r="F93" i="29"/>
  <c r="G93" i="29"/>
  <c r="E101" i="29"/>
  <c r="F101" i="29"/>
  <c r="G101" i="29"/>
  <c r="E156" i="29"/>
  <c r="F156" i="29"/>
  <c r="G156" i="29"/>
  <c r="F173" i="29"/>
  <c r="G173" i="29"/>
  <c r="G188" i="29"/>
  <c r="G189" i="29"/>
  <c r="F190" i="29"/>
  <c r="G190" i="29"/>
  <c r="G201" i="29"/>
  <c r="F203" i="29"/>
  <c r="F189" i="29" s="1"/>
  <c r="F204" i="29"/>
  <c r="F188" i="29" s="1"/>
  <c r="F205" i="29"/>
  <c r="G245" i="29"/>
  <c r="F262" i="29"/>
  <c r="F245" i="29" s="1"/>
  <c r="G262" i="29"/>
  <c r="E18" i="28"/>
  <c r="F18" i="28"/>
  <c r="E20" i="28"/>
  <c r="F20" i="28"/>
  <c r="G20" i="28"/>
  <c r="E22" i="28"/>
  <c r="F22" i="28"/>
  <c r="G22" i="28"/>
  <c r="E23" i="28"/>
  <c r="F23" i="28"/>
  <c r="E28" i="28"/>
  <c r="G28" i="28"/>
  <c r="E29" i="28"/>
  <c r="F29" i="28"/>
  <c r="G29" i="28"/>
  <c r="E30" i="28"/>
  <c r="G30" i="28"/>
  <c r="F34" i="28"/>
  <c r="F28" i="28" s="1"/>
  <c r="G36" i="28"/>
  <c r="G18" i="28" s="1"/>
  <c r="F37" i="28"/>
  <c r="G37" i="28"/>
  <c r="G23" i="28" s="1"/>
  <c r="G39" i="28"/>
  <c r="F42" i="28"/>
  <c r="F30" i="28" s="1"/>
  <c r="E44" i="28"/>
  <c r="F44" i="28"/>
  <c r="G44" i="28"/>
  <c r="E94" i="28"/>
  <c r="F94" i="28"/>
  <c r="G94" i="28"/>
  <c r="E101" i="28"/>
  <c r="F101" i="28"/>
  <c r="G101" i="28"/>
  <c r="E156" i="28"/>
  <c r="F156" i="28"/>
  <c r="G156" i="28"/>
  <c r="G161" i="28"/>
  <c r="G189" i="28"/>
  <c r="F190" i="28"/>
  <c r="F201" i="28"/>
  <c r="G201" i="28"/>
  <c r="G190" i="28" s="1"/>
  <c r="F203" i="28"/>
  <c r="F189" i="28" s="1"/>
  <c r="G204" i="28"/>
  <c r="G220" i="26"/>
  <c r="F220" i="26"/>
  <c r="F212" i="26"/>
  <c r="F207" i="26"/>
  <c r="F201" i="26"/>
  <c r="F200" i="26"/>
  <c r="G199" i="26"/>
  <c r="F199" i="26"/>
  <c r="F198" i="26"/>
  <c r="F194" i="26"/>
  <c r="F193" i="26"/>
  <c r="F192" i="26"/>
  <c r="G172" i="26"/>
  <c r="F172" i="26"/>
  <c r="E172" i="26"/>
  <c r="G171" i="26"/>
  <c r="F171" i="26"/>
  <c r="E171" i="26"/>
  <c r="F90" i="26"/>
  <c r="F89" i="26"/>
  <c r="G46" i="26"/>
  <c r="F46" i="26"/>
  <c r="E46" i="26"/>
  <c r="G45" i="26"/>
  <c r="F45" i="26"/>
  <c r="E45" i="26"/>
  <c r="G30" i="26"/>
  <c r="F30" i="26"/>
  <c r="G19" i="26"/>
  <c r="F19" i="26"/>
  <c r="E19" i="26"/>
  <c r="G18" i="26"/>
  <c r="F18" i="26"/>
  <c r="E18" i="26"/>
  <c r="G204" i="25"/>
  <c r="G188" i="25" s="1"/>
  <c r="F204" i="25"/>
  <c r="G203" i="25"/>
  <c r="G190" i="25" s="1"/>
  <c r="G202" i="25"/>
  <c r="F201" i="25"/>
  <c r="G196" i="25"/>
  <c r="F196" i="25"/>
  <c r="G195" i="25"/>
  <c r="F195" i="25"/>
  <c r="F190" i="25"/>
  <c r="F188" i="25"/>
  <c r="G179" i="25"/>
  <c r="G176" i="25" s="1"/>
  <c r="F179" i="25"/>
  <c r="F176" i="25" s="1"/>
  <c r="G175" i="25"/>
  <c r="F175" i="25"/>
  <c r="F167" i="25"/>
  <c r="G166" i="25"/>
  <c r="F166" i="25"/>
  <c r="E166" i="25"/>
  <c r="G163" i="25"/>
  <c r="F163" i="25"/>
  <c r="G162" i="25"/>
  <c r="E162" i="25"/>
  <c r="E113" i="25" s="1"/>
  <c r="G156" i="25"/>
  <c r="F156" i="25"/>
  <c r="E156" i="25"/>
  <c r="G114" i="25"/>
  <c r="F114" i="25"/>
  <c r="E114" i="25"/>
  <c r="G113" i="25"/>
  <c r="F113" i="25"/>
  <c r="G101" i="25"/>
  <c r="F101" i="25"/>
  <c r="E101" i="25"/>
  <c r="G98" i="25"/>
  <c r="F98" i="25"/>
  <c r="E98" i="25"/>
  <c r="G60" i="25"/>
  <c r="F60" i="25"/>
  <c r="E60" i="25"/>
  <c r="F36" i="25"/>
  <c r="F35" i="25"/>
  <c r="F18" i="25" s="1"/>
  <c r="G23" i="25"/>
  <c r="F23" i="25"/>
  <c r="E23" i="25"/>
  <c r="G18" i="25"/>
  <c r="E18" i="25"/>
  <c r="G201" i="24"/>
  <c r="G190" i="24"/>
  <c r="F190" i="24"/>
  <c r="G164" i="24"/>
  <c r="G163" i="24"/>
  <c r="G154" i="24"/>
  <c r="F154" i="24"/>
  <c r="E154" i="24"/>
  <c r="G114" i="24"/>
  <c r="F114" i="24"/>
  <c r="E114" i="24"/>
  <c r="G86" i="24"/>
  <c r="F86" i="24"/>
  <c r="E86" i="24"/>
  <c r="G29" i="29" l="1"/>
  <c r="G20" i="29"/>
  <c r="G22" i="29"/>
  <c r="G17" i="29"/>
  <c r="G92" i="23" l="1"/>
  <c r="G93" i="23"/>
  <c r="G89" i="23"/>
  <c r="G87" i="23"/>
  <c r="G85" i="23"/>
  <c r="G84" i="23"/>
  <c r="G77" i="23"/>
  <c r="G76" i="23"/>
  <c r="G75" i="23"/>
  <c r="G74" i="23"/>
  <c r="G73" i="23"/>
  <c r="G68" i="23"/>
  <c r="G65" i="23"/>
  <c r="G54" i="23"/>
  <c r="G53" i="23"/>
  <c r="G52" i="23"/>
  <c r="G51" i="23"/>
  <c r="G49" i="23"/>
  <c r="G48" i="23"/>
  <c r="G47" i="23"/>
  <c r="G41" i="23"/>
  <c r="G40" i="23"/>
  <c r="G39" i="23"/>
  <c r="G36" i="23"/>
  <c r="G35" i="23"/>
  <c r="G33" i="23"/>
  <c r="G32" i="23"/>
  <c r="G31" i="23"/>
  <c r="G30" i="23"/>
  <c r="G26" i="23"/>
  <c r="G25" i="23"/>
  <c r="G24" i="23"/>
  <c r="F188" i="21"/>
  <c r="G183" i="21"/>
  <c r="G177" i="21"/>
  <c r="G176" i="21"/>
  <c r="G175" i="21"/>
  <c r="G174" i="21"/>
  <c r="G170" i="21"/>
  <c r="G169" i="21"/>
  <c r="G168" i="21"/>
  <c r="G167" i="21"/>
  <c r="G166" i="21"/>
  <c r="G161" i="21"/>
  <c r="G160" i="21"/>
  <c r="G152" i="21"/>
  <c r="G150" i="21"/>
  <c r="G110" i="21"/>
  <c r="G109" i="21"/>
  <c r="G97" i="21"/>
  <c r="G94" i="21"/>
  <c r="G93" i="21"/>
  <c r="G90" i="21"/>
  <c r="G89" i="21"/>
  <c r="G86" i="21"/>
  <c r="G85" i="21"/>
  <c r="G82" i="21"/>
  <c r="G81" i="21"/>
  <c r="G80" i="21"/>
  <c r="G79" i="21"/>
  <c r="G76" i="21"/>
  <c r="G75" i="21"/>
  <c r="G72" i="21"/>
  <c r="G71" i="21"/>
  <c r="G67" i="21"/>
  <c r="G53" i="21"/>
  <c r="G38" i="21"/>
  <c r="G37" i="21"/>
  <c r="G32" i="21"/>
  <c r="G29" i="21"/>
  <c r="G28" i="21"/>
  <c r="G27" i="21"/>
  <c r="G26" i="21"/>
  <c r="D27" i="6" l="1"/>
  <c r="H19" i="6"/>
  <c r="H18" i="6"/>
  <c r="H17" i="6"/>
  <c r="H16" i="6"/>
  <c r="H15" i="6"/>
  <c r="H14" i="6"/>
  <c r="D14" i="6"/>
  <c r="G18" i="6"/>
  <c r="G17" i="6"/>
  <c r="G16" i="6"/>
  <c r="G15" i="6"/>
  <c r="G9" i="6"/>
  <c r="G19" i="6" s="1"/>
  <c r="D9" i="6"/>
  <c r="D20" i="6" s="1"/>
  <c r="E9" i="6" s="1"/>
  <c r="F9" i="6" s="1"/>
  <c r="D14" i="7"/>
  <c r="D27" i="7"/>
  <c r="H19" i="7"/>
  <c r="G19" i="7"/>
  <c r="G18" i="7"/>
  <c r="G17" i="7"/>
  <c r="G16" i="7"/>
  <c r="G15" i="7"/>
  <c r="G14" i="7"/>
  <c r="H18" i="7"/>
  <c r="H17" i="7"/>
  <c r="H16" i="7"/>
  <c r="H15" i="7"/>
  <c r="H14" i="7" s="1"/>
  <c r="G9" i="7"/>
  <c r="D9" i="7"/>
  <c r="D27" i="5"/>
  <c r="H18" i="5"/>
  <c r="G18" i="5"/>
  <c r="H17" i="5"/>
  <c r="G17" i="5"/>
  <c r="H16" i="5"/>
  <c r="G16" i="5"/>
  <c r="G15" i="5"/>
  <c r="G14" i="5" s="1"/>
  <c r="D14" i="5"/>
  <c r="H15" i="5"/>
  <c r="H9" i="5"/>
  <c r="G9" i="5"/>
  <c r="H19" i="5" l="1"/>
  <c r="F12" i="34"/>
  <c r="G20" i="5"/>
  <c r="E12" i="34"/>
  <c r="E10" i="34" s="1"/>
  <c r="G19" i="5"/>
  <c r="H14" i="5"/>
  <c r="I9" i="6"/>
  <c r="I10" i="6" s="1"/>
  <c r="G14" i="6"/>
  <c r="E14" i="34" s="1"/>
  <c r="E14" i="6"/>
  <c r="F14" i="6" s="1"/>
  <c r="F20" i="6" s="1"/>
  <c r="I20" i="6" s="1"/>
  <c r="D20" i="7"/>
  <c r="E9" i="7" s="1"/>
  <c r="F9" i="7" s="1"/>
  <c r="D9" i="5"/>
  <c r="F14" i="34" l="1"/>
  <c r="F10" i="34"/>
  <c r="I11" i="6"/>
  <c r="F10" i="6"/>
  <c r="I14" i="6"/>
  <c r="I15" i="6" s="1"/>
  <c r="F19" i="6"/>
  <c r="I19" i="6" s="1"/>
  <c r="F19" i="7"/>
  <c r="I19" i="7" s="1"/>
  <c r="I9" i="7"/>
  <c r="I10" i="7" s="1"/>
  <c r="E14" i="7"/>
  <c r="F14" i="7" s="1"/>
  <c r="I14" i="7" s="1"/>
  <c r="I15" i="7" s="1"/>
  <c r="E9" i="5"/>
  <c r="F9" i="5" s="1"/>
  <c r="D20" i="5"/>
  <c r="E14" i="5" s="1"/>
  <c r="F14" i="5" s="1"/>
  <c r="F98" i="23"/>
  <c r="F97" i="23"/>
  <c r="F101" i="23" s="1"/>
  <c r="F96" i="23"/>
  <c r="F100" i="23" s="1"/>
  <c r="F16" i="23"/>
  <c r="F15" i="23"/>
  <c r="F14" i="23"/>
  <c r="F196" i="21"/>
  <c r="F194" i="21"/>
  <c r="F16" i="21"/>
  <c r="F15" i="21"/>
  <c r="F14" i="21"/>
  <c r="F20" i="7" l="1"/>
  <c r="I20" i="7" s="1"/>
  <c r="D12" i="34"/>
  <c r="I14" i="5"/>
  <c r="I15" i="5" s="1"/>
  <c r="I16" i="5" s="1"/>
  <c r="D14" i="34"/>
  <c r="I14" i="34" s="1"/>
  <c r="I16" i="6"/>
  <c r="F15" i="6"/>
  <c r="F11" i="6"/>
  <c r="I12" i="6"/>
  <c r="I11" i="7"/>
  <c r="F10" i="7"/>
  <c r="I16" i="7"/>
  <c r="F15" i="7"/>
  <c r="F20" i="5"/>
  <c r="I20" i="5" s="1"/>
  <c r="F19" i="5"/>
  <c r="I19" i="5" s="1"/>
  <c r="I9" i="5"/>
  <c r="I10" i="5" s="1"/>
  <c r="F102" i="23"/>
  <c r="F195" i="21"/>
  <c r="I12" i="34" l="1"/>
  <c r="D10" i="34"/>
  <c r="F15" i="5"/>
  <c r="J14" i="34"/>
  <c r="M14" i="34" s="1"/>
  <c r="L14" i="34"/>
  <c r="K14" i="34"/>
  <c r="N14" i="34" s="1"/>
  <c r="I17" i="6"/>
  <c r="F16" i="6"/>
  <c r="F12" i="6"/>
  <c r="I13" i="6"/>
  <c r="F13" i="6" s="1"/>
  <c r="I17" i="7"/>
  <c r="F16" i="7"/>
  <c r="I12" i="7"/>
  <c r="F11" i="7"/>
  <c r="I17" i="5"/>
  <c r="F16" i="5"/>
  <c r="I11" i="5"/>
  <c r="F10" i="5"/>
  <c r="AI18" i="20"/>
  <c r="CP17" i="19"/>
  <c r="CG17" i="19"/>
  <c r="BX17" i="19"/>
  <c r="BO17" i="19"/>
  <c r="BF17" i="19"/>
  <c r="AW17" i="19"/>
  <c r="AN17" i="19"/>
  <c r="AE17" i="19"/>
  <c r="V17" i="19"/>
  <c r="E25" i="16"/>
  <c r="E21" i="16" s="1"/>
  <c r="D25" i="16"/>
  <c r="D21" i="16"/>
  <c r="E19" i="16"/>
  <c r="D19" i="16"/>
  <c r="E18" i="16"/>
  <c r="D18" i="16"/>
  <c r="E17" i="16"/>
  <c r="D17" i="16"/>
  <c r="E13" i="16"/>
  <c r="D13" i="16"/>
  <c r="E11" i="16"/>
  <c r="D11" i="16"/>
  <c r="E10" i="16"/>
  <c r="D10" i="16"/>
  <c r="E9" i="16"/>
  <c r="D9" i="16"/>
  <c r="D8" i="16" s="1"/>
  <c r="E8" i="16"/>
  <c r="K12" i="34" l="1"/>
  <c r="J12" i="34"/>
  <c r="L12" i="34"/>
  <c r="L10" i="34" s="1"/>
  <c r="I10" i="34"/>
  <c r="I18" i="6"/>
  <c r="F18" i="6" s="1"/>
  <c r="F17" i="6"/>
  <c r="I13" i="7"/>
  <c r="F13" i="7" s="1"/>
  <c r="F12" i="7"/>
  <c r="I18" i="7"/>
  <c r="F18" i="7" s="1"/>
  <c r="F17" i="7"/>
  <c r="I12" i="5"/>
  <c r="F11" i="5"/>
  <c r="I18" i="5"/>
  <c r="F18" i="5" s="1"/>
  <c r="F17" i="5"/>
  <c r="D20" i="16"/>
  <c r="D15" i="16"/>
  <c r="D12" i="16" s="1"/>
  <c r="D7" i="16" s="1"/>
  <c r="D28" i="16" s="1"/>
  <c r="E20" i="16"/>
  <c r="E15" i="16" s="1"/>
  <c r="E12" i="16" s="1"/>
  <c r="E7" i="16" s="1"/>
  <c r="E28" i="16" s="1"/>
  <c r="M12" i="34" l="1"/>
  <c r="M10" i="34" s="1"/>
  <c r="J10" i="34"/>
  <c r="N12" i="34"/>
  <c r="N10" i="34" s="1"/>
  <c r="K10" i="34"/>
  <c r="I13" i="5"/>
  <c r="F13" i="5" s="1"/>
  <c r="F12" i="5"/>
  <c r="I12" i="12"/>
  <c r="K14" i="12"/>
  <c r="G98" i="23" s="1"/>
  <c r="G102" i="23" s="1"/>
  <c r="J14" i="12"/>
  <c r="G97" i="23" s="1"/>
  <c r="G101" i="23" s="1"/>
  <c r="I14" i="12"/>
  <c r="G96" i="23" s="1"/>
  <c r="G100" i="23" s="1"/>
  <c r="F14" i="12"/>
  <c r="E14" i="12"/>
  <c r="D14" i="12"/>
  <c r="F14" i="13"/>
  <c r="E14" i="13"/>
  <c r="D14" i="13"/>
  <c r="K12" i="12" l="1"/>
  <c r="G12" i="23" s="1"/>
  <c r="G12" i="21"/>
  <c r="G16" i="21" s="1"/>
  <c r="G192" i="21"/>
  <c r="E192" i="21" s="1"/>
  <c r="E196" i="21" s="1"/>
  <c r="G10" i="21"/>
  <c r="E10" i="21" s="1"/>
  <c r="E14" i="21" s="1"/>
  <c r="G10" i="23"/>
  <c r="G190" i="21"/>
  <c r="E190" i="21" s="1"/>
  <c r="E194" i="21" s="1"/>
  <c r="E188" i="21"/>
  <c r="E94" i="23"/>
  <c r="G191" i="21"/>
  <c r="E191" i="21" s="1"/>
  <c r="E195" i="21" s="1"/>
  <c r="F12" i="13"/>
  <c r="E12" i="13"/>
  <c r="E10" i="13" s="1"/>
  <c r="G194" i="21" l="1"/>
  <c r="G196" i="21"/>
  <c r="G195" i="21"/>
  <c r="G14" i="21"/>
  <c r="E12" i="21"/>
  <c r="E16" i="21" s="1"/>
  <c r="G14" i="23"/>
  <c r="E10" i="23"/>
  <c r="E14" i="23" s="1"/>
  <c r="G16" i="23"/>
  <c r="E12" i="23"/>
  <c r="E16" i="23" s="1"/>
  <c r="T28" i="4" l="1"/>
  <c r="T27" i="4"/>
  <c r="Q28" i="4"/>
  <c r="Q10" i="4" s="1"/>
  <c r="Q27" i="4"/>
  <c r="Q9" i="4"/>
  <c r="F12" i="12"/>
  <c r="F10" i="12" s="1"/>
  <c r="F8" i="21" l="1"/>
  <c r="F8" i="23"/>
  <c r="E12" i="12"/>
  <c r="E10" i="12" s="1"/>
  <c r="S23" i="4" l="1"/>
  <c r="T23" i="4"/>
  <c r="R23" i="4"/>
  <c r="R21" i="4" s="1"/>
  <c r="S22" i="4"/>
  <c r="T22" i="4"/>
  <c r="R22" i="4"/>
  <c r="S27" i="4"/>
  <c r="S28" i="4"/>
  <c r="R28" i="4"/>
  <c r="R27" i="4"/>
  <c r="R15" i="4"/>
  <c r="S15" i="4"/>
  <c r="Q15" i="4" s="1"/>
  <c r="T15" i="4"/>
  <c r="U15" i="4"/>
  <c r="S14" i="4"/>
  <c r="T14" i="4"/>
  <c r="T25" i="4" s="1"/>
  <c r="U14" i="4"/>
  <c r="Q14" i="4" s="1"/>
  <c r="R14" i="4"/>
  <c r="K24" i="4"/>
  <c r="F24" i="4"/>
  <c r="S25" i="4"/>
  <c r="R25" i="4"/>
  <c r="S24" i="4"/>
  <c r="R24" i="4"/>
  <c r="U8" i="4"/>
  <c r="T8" i="4"/>
  <c r="S8" i="4"/>
  <c r="R8" i="4"/>
  <c r="S21" i="4" l="1"/>
  <c r="Q25" i="4"/>
  <c r="Q23" i="4"/>
  <c r="T24" i="4"/>
  <c r="Q24" i="4" l="1"/>
  <c r="T21" i="4"/>
  <c r="Q22" i="4"/>
  <c r="Q21" i="4" l="1"/>
  <c r="I73" i="8" l="1"/>
  <c r="I74" i="8" s="1"/>
  <c r="D66" i="8"/>
  <c r="D73" i="8"/>
  <c r="D53" i="8"/>
  <c r="D48" i="8" s="1"/>
  <c r="D37" i="8"/>
  <c r="D20" i="8"/>
  <c r="D19" i="8" s="1"/>
  <c r="D10" i="8"/>
  <c r="D9" i="8" s="1"/>
  <c r="D43" i="8" l="1"/>
  <c r="D18" i="8" s="1"/>
  <c r="D8" i="8" s="1"/>
  <c r="D97" i="8" s="1"/>
  <c r="E76" i="8"/>
  <c r="F76" i="8"/>
  <c r="G76" i="8"/>
  <c r="G80" i="8" s="1"/>
  <c r="D101" i="8" l="1"/>
  <c r="D103" i="8" s="1"/>
  <c r="K8" i="8"/>
  <c r="E73" i="8" l="1"/>
  <c r="L15" i="4"/>
  <c r="L14" i="4"/>
  <c r="G15" i="4"/>
  <c r="G14" i="4"/>
  <c r="P25" i="4"/>
  <c r="O25" i="4"/>
  <c r="N25" i="4"/>
  <c r="M25" i="4"/>
  <c r="P24" i="4"/>
  <c r="O24" i="4"/>
  <c r="N24" i="4"/>
  <c r="M24" i="4"/>
  <c r="L24" i="4" s="1"/>
  <c r="P23" i="4"/>
  <c r="O23" i="4"/>
  <c r="N23" i="4"/>
  <c r="M23" i="4"/>
  <c r="P22" i="4"/>
  <c r="O22" i="4"/>
  <c r="N22" i="4"/>
  <c r="N21" i="4" s="1"/>
  <c r="M22" i="4"/>
  <c r="O21" i="4"/>
  <c r="K25" i="4"/>
  <c r="J25" i="4"/>
  <c r="I25" i="4"/>
  <c r="H25" i="4"/>
  <c r="J24" i="4"/>
  <c r="I24" i="4"/>
  <c r="H24" i="4"/>
  <c r="G24" i="4" s="1"/>
  <c r="K23" i="4"/>
  <c r="J23" i="4"/>
  <c r="I23" i="4"/>
  <c r="H23" i="4"/>
  <c r="K22" i="4"/>
  <c r="J22" i="4"/>
  <c r="J21" i="4" s="1"/>
  <c r="I22" i="4"/>
  <c r="H22" i="4"/>
  <c r="I21" i="4"/>
  <c r="F25" i="4"/>
  <c r="F23" i="4"/>
  <c r="F22" i="4"/>
  <c r="E25" i="4"/>
  <c r="E24" i="4"/>
  <c r="D24" i="4" s="1"/>
  <c r="E23" i="4"/>
  <c r="D23" i="4" s="1"/>
  <c r="D10" i="4" s="1"/>
  <c r="E22" i="4"/>
  <c r="D22" i="4" s="1"/>
  <c r="P8" i="4"/>
  <c r="O8" i="4"/>
  <c r="N8" i="4"/>
  <c r="M8" i="4"/>
  <c r="K8" i="4"/>
  <c r="J8" i="4"/>
  <c r="I8" i="4"/>
  <c r="H8" i="4"/>
  <c r="F8" i="4"/>
  <c r="E8" i="4"/>
  <c r="L28" i="4"/>
  <c r="G28" i="4"/>
  <c r="D28" i="4"/>
  <c r="L27" i="4"/>
  <c r="G27" i="4"/>
  <c r="D27" i="4"/>
  <c r="D15" i="4"/>
  <c r="D14" i="4"/>
  <c r="F73" i="8"/>
  <c r="G73" i="8"/>
  <c r="E66" i="8"/>
  <c r="F66" i="8"/>
  <c r="G66" i="8"/>
  <c r="E53" i="8"/>
  <c r="E48" i="8" s="1"/>
  <c r="F53" i="8"/>
  <c r="F48" i="8" s="1"/>
  <c r="G53" i="8"/>
  <c r="G48" i="8" s="1"/>
  <c r="E37" i="8"/>
  <c r="F37" i="8"/>
  <c r="G37" i="8"/>
  <c r="E20" i="8"/>
  <c r="E19" i="8" s="1"/>
  <c r="F20" i="8"/>
  <c r="F19" i="8" s="1"/>
  <c r="G20" i="8"/>
  <c r="G19" i="8" s="1"/>
  <c r="E10" i="8"/>
  <c r="E9" i="8" s="1"/>
  <c r="F10" i="8"/>
  <c r="F9" i="8" s="1"/>
  <c r="G10" i="8"/>
  <c r="G9" i="8" s="1"/>
  <c r="G11" i="4" l="1"/>
  <c r="F21" i="4"/>
  <c r="D25" i="4"/>
  <c r="D12" i="4" s="1"/>
  <c r="G22" i="4"/>
  <c r="G9" i="4" s="1"/>
  <c r="G23" i="4"/>
  <c r="G25" i="4"/>
  <c r="K21" i="4"/>
  <c r="L11" i="4"/>
  <c r="D11" i="4"/>
  <c r="D8" i="4" s="1"/>
  <c r="D9" i="4"/>
  <c r="L25" i="4"/>
  <c r="P21" i="4"/>
  <c r="L22" i="4"/>
  <c r="L23" i="4"/>
  <c r="L10" i="4" s="1"/>
  <c r="L12" i="4"/>
  <c r="G12" i="4"/>
  <c r="M21" i="4"/>
  <c r="H21" i="4"/>
  <c r="E21" i="4"/>
  <c r="E43" i="8"/>
  <c r="E18" i="8" s="1"/>
  <c r="E8" i="8" s="1"/>
  <c r="E97" i="8" s="1"/>
  <c r="G43" i="8"/>
  <c r="G18" i="8" s="1"/>
  <c r="G8" i="8" s="1"/>
  <c r="F43" i="8"/>
  <c r="F18" i="8" s="1"/>
  <c r="F8" i="8" s="1"/>
  <c r="F97" i="8" s="1"/>
  <c r="G10" i="4" l="1"/>
  <c r="G21" i="4"/>
  <c r="D21" i="4"/>
  <c r="G8" i="4"/>
  <c r="L21" i="4"/>
  <c r="L9" i="4"/>
  <c r="L8" i="4" s="1"/>
  <c r="F101" i="8"/>
  <c r="F103" i="8" s="1"/>
  <c r="E101" i="8"/>
  <c r="E103" i="8" s="1"/>
  <c r="G101" i="8"/>
  <c r="G103" i="8" s="1"/>
  <c r="D12" i="12" l="1"/>
  <c r="D12" i="13"/>
  <c r="J14" i="13"/>
  <c r="J12" i="13" l="1"/>
  <c r="E8" i="21"/>
  <c r="E8" i="23"/>
  <c r="D10" i="12"/>
  <c r="L14" i="13"/>
  <c r="K14" i="13"/>
  <c r="M14" i="13"/>
  <c r="L12" i="13"/>
  <c r="K12" i="13"/>
  <c r="L14" i="12"/>
  <c r="D10" i="13"/>
  <c r="J12" i="12"/>
  <c r="E211" i="21" l="1"/>
  <c r="G11" i="21"/>
  <c r="E11" i="21" s="1"/>
  <c r="E15" i="21" s="1"/>
  <c r="G11" i="23"/>
  <c r="N14" i="13"/>
  <c r="M14" i="12"/>
  <c r="N14" i="12"/>
  <c r="O14" i="13"/>
  <c r="N12" i="13"/>
  <c r="K10" i="13"/>
  <c r="M12" i="13"/>
  <c r="M10" i="13" s="1"/>
  <c r="J10" i="13"/>
  <c r="L12" i="12"/>
  <c r="L10" i="12" s="1"/>
  <c r="I10" i="12"/>
  <c r="G15" i="21" l="1"/>
  <c r="G15" i="23"/>
  <c r="E11" i="23"/>
  <c r="E15" i="23" s="1"/>
  <c r="N10" i="13"/>
  <c r="O12" i="13"/>
  <c r="O10" i="13" s="1"/>
  <c r="L10" i="13"/>
  <c r="M12" i="12"/>
  <c r="M10" i="12" s="1"/>
  <c r="J10" i="12"/>
  <c r="N12" i="12" l="1"/>
  <c r="N10" i="12" s="1"/>
  <c r="K10" i="12"/>
  <c r="E97" i="23" l="1"/>
  <c r="E101" i="23" s="1"/>
  <c r="E98" i="23"/>
  <c r="E102" i="23" s="1"/>
  <c r="E96" i="23"/>
  <c r="E100" i="23" s="1"/>
</calcChain>
</file>

<file path=xl/comments1.xml><?xml version="1.0" encoding="utf-8"?>
<comments xmlns="http://schemas.openxmlformats.org/spreadsheetml/2006/main">
  <authors>
    <author>Стрельцова Виктория Валерьевна</author>
  </authors>
  <commentList>
    <comment ref="D25" authorId="0">
      <text>
        <r>
          <rPr>
            <b/>
            <sz val="9"/>
            <color indexed="81"/>
            <rFont val="Tahoma"/>
            <family val="2"/>
            <charset val="204"/>
          </rPr>
          <t>Стрельцова Виктория Валерьевна:</t>
        </r>
        <r>
          <rPr>
            <sz val="9"/>
            <color indexed="81"/>
            <rFont val="Tahoma"/>
            <family val="2"/>
            <charset val="204"/>
          </rPr>
          <t xml:space="preserve">
факт 2017 проиндексирован на 4%</t>
        </r>
      </text>
    </comment>
    <comment ref="D26" authorId="0">
      <text>
        <r>
          <rPr>
            <b/>
            <sz val="9"/>
            <color indexed="81"/>
            <rFont val="Tahoma"/>
            <family val="2"/>
            <charset val="204"/>
          </rPr>
          <t>Стрельцова Виктория Валерьевна:</t>
        </r>
        <r>
          <rPr>
            <sz val="9"/>
            <color indexed="81"/>
            <rFont val="Tahoma"/>
            <family val="2"/>
            <charset val="204"/>
          </rPr>
          <t xml:space="preserve">
по инвест.программе
</t>
        </r>
      </text>
    </comment>
    <comment ref="E26" authorId="0">
      <text>
        <r>
          <rPr>
            <b/>
            <sz val="9"/>
            <color indexed="81"/>
            <rFont val="Tahoma"/>
            <family val="2"/>
            <charset val="204"/>
          </rPr>
          <t>Стрельцова Виктория Валерьевна:</t>
        </r>
        <r>
          <rPr>
            <sz val="9"/>
            <color indexed="81"/>
            <rFont val="Tahoma"/>
            <family val="2"/>
            <charset val="204"/>
          </rPr>
          <t xml:space="preserve">
по инвест.программе</t>
        </r>
      </text>
    </comment>
    <comment ref="D27" authorId="0">
      <text>
        <r>
          <rPr>
            <b/>
            <sz val="9"/>
            <color indexed="81"/>
            <rFont val="Tahoma"/>
            <family val="2"/>
            <charset val="204"/>
          </rPr>
          <t>Стрельцова Виктория Валерьевна:</t>
        </r>
        <r>
          <rPr>
            <sz val="9"/>
            <color indexed="81"/>
            <rFont val="Tahoma"/>
            <family val="2"/>
            <charset val="204"/>
          </rPr>
          <t xml:space="preserve">
подано в тариф 2018 по факту 2017г с индекс.1,04
 и департ.энергетики
</t>
        </r>
      </text>
    </comment>
  </commentList>
</comments>
</file>

<file path=xl/sharedStrings.xml><?xml version="1.0" encoding="utf-8"?>
<sst xmlns="http://schemas.openxmlformats.org/spreadsheetml/2006/main" count="11218" uniqueCount="1147">
  <si>
    <t>7.7.2. Плата за землю</t>
  </si>
  <si>
    <t>7.7.3. Транспортный налог</t>
  </si>
  <si>
    <t>7.7.4. Налог на имущество</t>
  </si>
  <si>
    <t>7.7.5. Экологические платежи</t>
  </si>
  <si>
    <t>7.7.7. Прочие налоги, относимые на с/с</t>
  </si>
  <si>
    <t>Общесистемные расходы</t>
  </si>
  <si>
    <t>Прочие расходы</t>
  </si>
  <si>
    <t xml:space="preserve">к Методическим указаниям по определению размера платы за технологическое присоединение к электрическим сетям
</t>
  </si>
  <si>
    <t>№ п/п</t>
  </si>
  <si>
    <t>Показатели</t>
  </si>
  <si>
    <t>Единица измерения</t>
  </si>
  <si>
    <t>Факт 2014г.</t>
  </si>
  <si>
    <t>Факт 2015г.</t>
  </si>
  <si>
    <t>Факт 2016г.</t>
  </si>
  <si>
    <t>1.</t>
  </si>
  <si>
    <t>Расходы по выполнению мероприятий по технологическому присоединению,всего</t>
  </si>
  <si>
    <t>тыс.руб.</t>
  </si>
  <si>
    <t>1.1</t>
  </si>
  <si>
    <t>Вспомогательные материалы</t>
  </si>
  <si>
    <t>1.2</t>
  </si>
  <si>
    <t>Энергия на хозяйственные нужды</t>
  </si>
  <si>
    <t>1.3.</t>
  </si>
  <si>
    <t xml:space="preserve">Оплата труда ППП </t>
  </si>
  <si>
    <t>1.4.</t>
  </si>
  <si>
    <t>Отчисления на страховые взносы</t>
  </si>
  <si>
    <t>1.5.</t>
  </si>
  <si>
    <t>Прочие расходы,всего, в том числе:</t>
  </si>
  <si>
    <t>1.5.1.</t>
  </si>
  <si>
    <t>работы и услуги производственного характера</t>
  </si>
  <si>
    <t>1.5.1.1</t>
  </si>
  <si>
    <t>1.5.1.1.1</t>
  </si>
  <si>
    <t>1.5.1.1.2</t>
  </si>
  <si>
    <t>1.5.1.1.3</t>
  </si>
  <si>
    <t>1.5.1.1.4</t>
  </si>
  <si>
    <t>1.5.1.1.5</t>
  </si>
  <si>
    <t>1.5.1.1.6</t>
  </si>
  <si>
    <t>1.5.1.1.7</t>
  </si>
  <si>
    <t>1.5.1.1.8</t>
  </si>
  <si>
    <t>1.5.1.1.9</t>
  </si>
  <si>
    <t>1.5.1.1.10</t>
  </si>
  <si>
    <t>1.5.1.1.11</t>
  </si>
  <si>
    <t>1.5.1.1.12</t>
  </si>
  <si>
    <t>1.5.1.1.13</t>
  </si>
  <si>
    <t>1.5.1.1.14</t>
  </si>
  <si>
    <t>1.5.1.1.15</t>
  </si>
  <si>
    <t>1.5.1.1.16</t>
  </si>
  <si>
    <t>1.5.2.</t>
  </si>
  <si>
    <t>налоги и сборы, уменьшающие налогооблагаемую базу на прибыль организаций,всего</t>
  </si>
  <si>
    <t xml:space="preserve"> </t>
  </si>
  <si>
    <t>1.5.3.</t>
  </si>
  <si>
    <t>работы и услуги непроизводственного характера в т.ч.:</t>
  </si>
  <si>
    <t>1.5.3.1.</t>
  </si>
  <si>
    <t>услуги связи</t>
  </si>
  <si>
    <t>1.5.3.2.</t>
  </si>
  <si>
    <t>расходы на охрану и пожарную безопасность</t>
  </si>
  <si>
    <t>1.5.3.3.</t>
  </si>
  <si>
    <t>расходы на информационное обслуживание, консультационные и юридические услуги</t>
  </si>
  <si>
    <t>1.5.3.4.</t>
  </si>
  <si>
    <t>плата за аренду имущества</t>
  </si>
  <si>
    <t>1.5.3.5.</t>
  </si>
  <si>
    <t xml:space="preserve">другие прочие расходы, связанные с производством и реализацией </t>
  </si>
  <si>
    <t>1.5.3.5.1</t>
  </si>
  <si>
    <t>1.5.3.5.2</t>
  </si>
  <si>
    <t>1.5.3.5.3</t>
  </si>
  <si>
    <t>1.5.3.5.4</t>
  </si>
  <si>
    <t>1.5.3.5.5</t>
  </si>
  <si>
    <t>1.5.3.5.5.1</t>
  </si>
  <si>
    <t>1.5.3.5.5.2</t>
  </si>
  <si>
    <t>1.5.3.5.5.3</t>
  </si>
  <si>
    <t>1.5.3.5.5.8</t>
  </si>
  <si>
    <t>1.5.3.5.6</t>
  </si>
  <si>
    <t>1.5.3.5.7</t>
  </si>
  <si>
    <t>1.5.3.5.9</t>
  </si>
  <si>
    <t>1.5.3.5.10</t>
  </si>
  <si>
    <t>1.6.</t>
  </si>
  <si>
    <t>Внереализационные расходы,всего</t>
  </si>
  <si>
    <t>1.6.1.</t>
  </si>
  <si>
    <t>расходы на услуги банков</t>
  </si>
  <si>
    <t>1.6.2.</t>
  </si>
  <si>
    <t>% за пользованием кредитом</t>
  </si>
  <si>
    <t>1.6.3.</t>
  </si>
  <si>
    <t>прочие обоснованные расходы</t>
  </si>
  <si>
    <t>1.6.3.1</t>
  </si>
  <si>
    <t>Налог на прибыль и иные аналогичные обязательные платжи</t>
  </si>
  <si>
    <t>1.6.3.2</t>
  </si>
  <si>
    <t>1.6.4.</t>
  </si>
  <si>
    <t xml:space="preserve">денежные выплаты социального характера (по Коллективному договору) </t>
  </si>
  <si>
    <t xml:space="preserve">Зам.директора по экономике и финансам  </t>
  </si>
  <si>
    <t>филиала АО"ДРСК" "Приморские электрические сети"</t>
  </si>
  <si>
    <t>Стрельцова В.В.</t>
  </si>
  <si>
    <t xml:space="preserve">          (423) 2-211-356, 43-56</t>
  </si>
  <si>
    <t xml:space="preserve"> e-mail: streltsovav@prim.drsk.ru
</t>
  </si>
  <si>
    <t>выручка</t>
  </si>
  <si>
    <t>доходы</t>
  </si>
  <si>
    <t>чистая прибыль</t>
  </si>
  <si>
    <t>585 пр</t>
  </si>
  <si>
    <t>Наименование мероприятия</t>
  </si>
  <si>
    <t>Информация для расчета стандартизированной тарифной ставки С1</t>
  </si>
  <si>
    <t xml:space="preserve">Расходы на одно присоединение (руб. на одно ТП)
</t>
  </si>
  <si>
    <t>Расходы по каждому мероприятию  (руб.)</t>
  </si>
  <si>
    <t xml:space="preserve">
Количество технологических присоединений (шт.)
</t>
  </si>
  <si>
    <t>Объем максимальной мощности, (кВт)</t>
  </si>
  <si>
    <t>1.              </t>
  </si>
  <si>
    <t>Подготовка сетевой организацией технических условий Заявителю ( ТУ)</t>
  </si>
  <si>
    <t>2.              </t>
  </si>
  <si>
    <t>Разработка сетевой организацией проектной документации по строительству «последней мили»</t>
  </si>
  <si>
    <t>3.              </t>
  </si>
  <si>
    <t>Выполнение  сетевой организацией (с инвестиционной составляющей) мероприятий, связанных со строительством «последней мили»</t>
  </si>
  <si>
    <t>4.              </t>
  </si>
  <si>
    <t>Проверка сетевой организацией выполнения заявителем ТУ</t>
  </si>
  <si>
    <t>5.              </t>
  </si>
  <si>
    <t>Участие в осмотре должностным лицом Ростехнадзора присоединяемых энергопринимающих устройств</t>
  </si>
  <si>
    <t>6.              </t>
  </si>
  <si>
    <t>Фактические действия по присоединению и обеспечению работы энергопринимающих устройств в электрической сети</t>
  </si>
  <si>
    <t>Итого</t>
  </si>
  <si>
    <t>1.5.3.5.9.1</t>
  </si>
  <si>
    <t>1.5.3.5.9.2</t>
  </si>
  <si>
    <t>1.5.3.5.9.3</t>
  </si>
  <si>
    <t>1.5.3.5.9.4</t>
  </si>
  <si>
    <t>1.5.3.5.9.5</t>
  </si>
  <si>
    <t>Подготовка и выдача сетевой организацией технических условий Заявителю</t>
  </si>
  <si>
    <t>Проверка сетевой организацией выполнения Заявителем</t>
  </si>
  <si>
    <t>Расходы на страхование</t>
  </si>
  <si>
    <t>коммунальные услуги</t>
  </si>
  <si>
    <t>повышение квалификации и проф.переподготовка</t>
  </si>
  <si>
    <t>IT-услуги</t>
  </si>
  <si>
    <t>Прочие работы и услуги сторонних организаций</t>
  </si>
  <si>
    <t>Командировочные и представительские расходы</t>
  </si>
  <si>
    <t>Расходы на негосударственное пенсионное обеспечение</t>
  </si>
  <si>
    <t>Амортизация основных средств и НМА</t>
  </si>
  <si>
    <t>в том числе амортизация основных средств</t>
  </si>
  <si>
    <t>1.5.3.5.8.1</t>
  </si>
  <si>
    <t>1.5.3.5.8.</t>
  </si>
  <si>
    <t>налог на прибыль</t>
  </si>
  <si>
    <t>уд.вес</t>
  </si>
  <si>
    <t>2.</t>
  </si>
  <si>
    <t>Наименование ставки платы</t>
  </si>
  <si>
    <t>Единицы измерения</t>
  </si>
  <si>
    <t>С1</t>
  </si>
  <si>
    <t>до 15 кВт включительно</t>
  </si>
  <si>
    <t>от 16 кВт до 150 кВт</t>
  </si>
  <si>
    <t>от 151 кВт до 670 кВт</t>
  </si>
  <si>
    <t>от 671 кВт  и выше</t>
  </si>
  <si>
    <t>Ставка платы за технологическое присоединение за исключением мероприятий "последней мили" (стандартизированная ставка платы С1), в том числе:</t>
  </si>
  <si>
    <t>руб./кВт</t>
  </si>
  <si>
    <t>Ставка платы за подготовку сетевой организацией технических условий и их согласование</t>
  </si>
  <si>
    <t>Ставка платы за проверку сетевой организацией выполнения заявителем ТУ</t>
  </si>
  <si>
    <t xml:space="preserve">Ставка платы за участие сетевой организации в обследовании (осмотре) присоединяемых энергопринимающих устройств должностным лицом федерального органа исполнительной власти по технологическому надзору </t>
  </si>
  <si>
    <t>Ставка платы за фактические действия по присоединению</t>
  </si>
  <si>
    <t>Планируемая максимальная мощность</t>
  </si>
  <si>
    <t>Планируемое количество присоединений</t>
  </si>
  <si>
    <t>свыше 15 кВт до 8900 кВт</t>
  </si>
  <si>
    <t>ЗАТРАТЫ за технологическое присоединение за исключением мероприятий "последней мили" (стандартизированная ставка платы С1), в том числе:</t>
  </si>
  <si>
    <t>за проверку сетевой организацией выполнения заявителем ТУ</t>
  </si>
  <si>
    <t xml:space="preserve">за участие сетевой организации в обследовании (осмотре) присоединяемых энергопринимающих устройств должностным лицом федерального органа исполнительной власти по технологическому надзору </t>
  </si>
  <si>
    <t>за фактические действия по присоединению</t>
  </si>
  <si>
    <t>за подготовку сетевой организацией технических условий и их согласование</t>
  </si>
  <si>
    <t xml:space="preserve">ПЛАТА по каждому мероприятию </t>
  </si>
  <si>
    <t xml:space="preserve">Наименование </t>
  </si>
  <si>
    <t>руб.</t>
  </si>
  <si>
    <t>кВт</t>
  </si>
  <si>
    <t>шт.</t>
  </si>
  <si>
    <t xml:space="preserve">УТВЕРЖДЕННЫЕ Ставки для расчета платы по каждому мероприятию </t>
  </si>
  <si>
    <t>Плата по каждому мероприятию, (руб.)</t>
  </si>
  <si>
    <t xml:space="preserve"> более 15 кВт до 150 кВт включительно</t>
  </si>
  <si>
    <t>более 150 кВт до 670 кВт включительно</t>
  </si>
  <si>
    <t>более 670 кВт</t>
  </si>
  <si>
    <t>2.1.</t>
  </si>
  <si>
    <t>2.1.1.</t>
  </si>
  <si>
    <t>2.1.1.1.</t>
  </si>
  <si>
    <t>2.1.2.</t>
  </si>
  <si>
    <t>2.1.2.1.</t>
  </si>
  <si>
    <t>2.1.2.2.</t>
  </si>
  <si>
    <t>2.2.</t>
  </si>
  <si>
    <t>2.2.1.</t>
  </si>
  <si>
    <t>2.2.1.1.</t>
  </si>
  <si>
    <t>2.2.1.2.</t>
  </si>
  <si>
    <t>2.2.2.</t>
  </si>
  <si>
    <t>2.2.2.1.</t>
  </si>
  <si>
    <t>2.2.2.2.</t>
  </si>
  <si>
    <t>2.3.</t>
  </si>
  <si>
    <t>2.3.1.</t>
  </si>
  <si>
    <t>2.4.</t>
  </si>
  <si>
    <t>2.4.1.</t>
  </si>
  <si>
    <t>2.4.2.</t>
  </si>
  <si>
    <t>2.4.4.</t>
  </si>
  <si>
    <t>2.4.6.</t>
  </si>
  <si>
    <t>2.4.7.</t>
  </si>
  <si>
    <t>2.4.8.</t>
  </si>
  <si>
    <t>2.4.9.</t>
  </si>
  <si>
    <t>2.4.10.</t>
  </si>
  <si>
    <t>3.</t>
  </si>
  <si>
    <t>3.1.</t>
  </si>
  <si>
    <t>3.1.1.</t>
  </si>
  <si>
    <t>3.1.2.</t>
  </si>
  <si>
    <t>3.2.</t>
  </si>
  <si>
    <t>3.2.1.</t>
  </si>
  <si>
    <t>3.2.2.</t>
  </si>
  <si>
    <t>4.</t>
  </si>
  <si>
    <t>4.1.</t>
  </si>
  <si>
    <t>Начальник службы исполнения договоров технологического присоединения</t>
  </si>
  <si>
    <t>ИТОГО</t>
  </si>
  <si>
    <t>Справочно:</t>
  </si>
  <si>
    <t>1.6.3.3</t>
  </si>
  <si>
    <t>Отчисления электропрофсоюзу 0,3% от ФОТ</t>
  </si>
  <si>
    <t>Расходы на обеспечение нормальных условий труда</t>
  </si>
  <si>
    <t>Ритуальные услуги</t>
  </si>
  <si>
    <t>(п. 20 в ред. Постановления Правительства РФ от 11.06.2014 N 542)</t>
  </si>
  <si>
    <t>гл. III п.20 При установлении платы за технологическое присоединение к электрическим сетям не учитывается налог на прибыль организаций.(п. 20 в ред. Постановления Правительства РФ от 11.06.2014 N 542)</t>
  </si>
  <si>
    <t>Отчисления в оценочные резервы: по сомнительным долгам, под обесценение вложений в ценные бумаги и другие</t>
  </si>
  <si>
    <t>Обслуживание оргтехники</t>
  </si>
  <si>
    <t>СМИ, тех.литература, почтовые услуги</t>
  </si>
  <si>
    <t xml:space="preserve"> Природоохранные мероприятия</t>
  </si>
  <si>
    <t>Прочие работы и услуги сторонних организаций (благоустройство территории, границ, межевание)</t>
  </si>
  <si>
    <t>Услуги здравоохранения, медосмотр</t>
  </si>
  <si>
    <t>Услуги архива</t>
  </si>
  <si>
    <t>Услуги PR</t>
  </si>
  <si>
    <t>Прочие услуги</t>
  </si>
  <si>
    <t>1.5.3.5.5.4</t>
  </si>
  <si>
    <t>1.5.3.5.5.5</t>
  </si>
  <si>
    <t>1.5.3.5.5.6</t>
  </si>
  <si>
    <t>1.5.3.5.5.7</t>
  </si>
  <si>
    <t>Cырье и материалы</t>
  </si>
  <si>
    <t>Материалы на ремонт (без ГСМ)</t>
  </si>
  <si>
    <t>ГСМ на ремонт</t>
  </si>
  <si>
    <t>Материалы на эксплуатацию (без ГСМ)</t>
  </si>
  <si>
    <t>ГСМ на эксплуатацию</t>
  </si>
  <si>
    <t>Прочие услуги производственного характера</t>
  </si>
  <si>
    <t>Транспортные услуги</t>
  </si>
  <si>
    <t>Услуги по испытанию и поверке приборов</t>
  </si>
  <si>
    <t>Пуско-наладочные работы</t>
  </si>
  <si>
    <t xml:space="preserve"> Услуги по обеспечению пожарной безопасности, обслуживание сигнализаций</t>
  </si>
  <si>
    <t>Прохождение тех. осмотра, перерегистрация, услуги ГИБДД и т.п.</t>
  </si>
  <si>
    <t>Аттестация рабочих мест</t>
  </si>
  <si>
    <t>Услуги энергоналадки</t>
  </si>
  <si>
    <t>Сервисное обслуживание кондиционеров</t>
  </si>
  <si>
    <t xml:space="preserve"> Услуги по зарядке огнетушителей</t>
  </si>
  <si>
    <t>Проверка РЗА на ПС</t>
  </si>
  <si>
    <t>Тех. обслуживание автотранспорта</t>
  </si>
  <si>
    <t>Услуги по обеспечению безопасности зданий, соружений, грузоподъемных механизмов (экспертиза, установка)</t>
  </si>
  <si>
    <t>Тех. обслуживание оборудования, приборов и механизмов</t>
  </si>
  <si>
    <t>Гидро-, метеообслуживание</t>
  </si>
  <si>
    <t>Разработка схем развития эл.сетей</t>
  </si>
  <si>
    <t>Прочие услуги произв. характера</t>
  </si>
  <si>
    <t>Больничный лист</t>
  </si>
  <si>
    <t>Плата в счет возмещения вреда, причиняемого федеральным автодорогам</t>
  </si>
  <si>
    <t>Ж/д пути, подача вагонов, разрешение на перевозку грузов и т.п.</t>
  </si>
  <si>
    <t>Гос. пошлина (в т.ч. по регистрации прав собственности)</t>
  </si>
  <si>
    <t xml:space="preserve">Расходы на выполнение мероприятий по технологическому присоединению по филиалу АО "ДРСК" "Приморские электрические сети" за  2016 год
</t>
  </si>
  <si>
    <t xml:space="preserve">Расходы на выполнение мероприятий по технологическому присоединению по филиалу АО "ДРСК" "Приморские электрические сети" за  2015 год
</t>
  </si>
  <si>
    <t>Приложение № 1</t>
  </si>
  <si>
    <t>Приложение № 4</t>
  </si>
  <si>
    <t>И.А. Погоришная</t>
  </si>
  <si>
    <t>Факт 2017г.</t>
  </si>
  <si>
    <t>стр.205  585</t>
  </si>
  <si>
    <t xml:space="preserve">Прямым счетом:       Дт 91.02.1 - Кт 63.01 - Передача по распределительным сетям;                 Дт 91.02.1 - Кт 63.02 - Техприсоединение;                  Дт 91.02.1 - Кт 63.03 - Прочие виды деятельности (в основном по актам бездоговорного потребления э/э). </t>
  </si>
  <si>
    <t>Убытки прошлых лет, выявленные в отчетном году, не уменьшающие налогооблагаемую базу</t>
  </si>
  <si>
    <t>пр.585</t>
  </si>
  <si>
    <t>Расчет фактических расходов на выполнение мероприятий по технологическому присоединению по филиалу АО "ДРСК" "Приморские электрические сети" за  2015-2017 годы</t>
  </si>
  <si>
    <t>от 151 кВт и выше</t>
  </si>
  <si>
    <t xml:space="preserve">Расходы на выполнение мероприятий по технологическому присоединению по филиалу АО "ДРСК" "Приморские электрические сети" за  2017 год
</t>
  </si>
  <si>
    <t>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 объектов  электросетевого  хозяйства, принадлежащих сетевым организациям  и  иным  лицам,  по 
мероприятиям,  не  включающим  в себя строительство     объектов электросетевого  хозяйства,  в  том числе  в  разбивке  по  следующим ставкам:</t>
  </si>
  <si>
    <t>для постоянной схемы электроснабжения</t>
  </si>
  <si>
    <t>2017 за 1 присоединение</t>
  </si>
  <si>
    <t>Обозначение</t>
  </si>
  <si>
    <t xml:space="preserve">для территорий городских населенных пунктов и для территорий, не относящихся к городским населенным пунктам </t>
  </si>
  <si>
    <t>до 15 кВт</t>
  </si>
  <si>
    <t xml:space="preserve"> более 15 кВт до 150 кВт </t>
  </si>
  <si>
    <t xml:space="preserve"> более 150 кВт </t>
  </si>
  <si>
    <t xml:space="preserve">руб./кВт
</t>
  </si>
  <si>
    <t>Ставка за единицу максимальной мощности С1max (руб./кВт) для определения платы за технологическое присоединение к электрическим сетям энергопринимающих устройств потребителей электрической энергии максимальной мощностью менее 8900 кВт и на уровне напряжения ниже 35 кВ для мероприятий, не включающих в себя строительство объектов электросетевого хозяйства на 2019 год</t>
  </si>
  <si>
    <t>С1max</t>
  </si>
  <si>
    <r>
      <t>С</t>
    </r>
    <r>
      <rPr>
        <b/>
        <sz val="6"/>
        <color theme="1"/>
        <rFont val="Times New Roman"/>
        <family val="1"/>
        <charset val="204"/>
      </rPr>
      <t>1.1max</t>
    </r>
  </si>
  <si>
    <r>
      <t>С</t>
    </r>
    <r>
      <rPr>
        <b/>
        <sz val="6"/>
        <color theme="1"/>
        <rFont val="Times New Roman"/>
        <family val="1"/>
        <charset val="204"/>
      </rPr>
      <t>1.2max</t>
    </r>
  </si>
  <si>
    <t>для временной схемы электроснабжения</t>
  </si>
  <si>
    <t>В соответствие с Прогнозом показателей инфляции и системы цен до 2020 года, сформированным Минэкономразвития России по состоянию на октябрь 2017 г.</t>
  </si>
  <si>
    <t>Размер ставки (среднее значение фактических данных за 2015-2017гг, с учетом индекса потребительских цен*)</t>
  </si>
  <si>
    <t>*</t>
  </si>
  <si>
    <r>
      <t>С</t>
    </r>
    <r>
      <rPr>
        <b/>
        <sz val="6"/>
        <color theme="1"/>
        <rFont val="Times New Roman"/>
        <family val="1"/>
        <charset val="204"/>
      </rPr>
      <t>1.1</t>
    </r>
  </si>
  <si>
    <r>
      <t>С</t>
    </r>
    <r>
      <rPr>
        <b/>
        <sz val="6"/>
        <color theme="1"/>
        <rFont val="Times New Roman"/>
        <family val="1"/>
        <charset val="204"/>
      </rPr>
      <t>1.2</t>
    </r>
  </si>
  <si>
    <t>руб. за одно присоединение</t>
  </si>
  <si>
    <t>к стандартам раскрытия информации субъектами оптового и розничных рынков электрической энергии</t>
  </si>
  <si>
    <t>ПРОГНОЗНЫЕ СВЕДЕНИЯ</t>
  </si>
  <si>
    <t>о расходах за технологическое присоединение</t>
  </si>
  <si>
    <r>
      <rPr>
        <u/>
        <sz val="13"/>
        <color indexed="8"/>
        <rFont val="Times New Roman"/>
        <family val="1"/>
        <charset val="204"/>
      </rPr>
      <t xml:space="preserve">  АО "ДРСК" (филиал </t>
    </r>
    <r>
      <rPr>
        <b/>
        <u/>
        <sz val="13"/>
        <color indexed="8"/>
        <rFont val="Times New Roman"/>
        <family val="1"/>
        <charset val="204"/>
      </rPr>
      <t>"Приморские электрические сети")</t>
    </r>
    <r>
      <rPr>
        <u/>
        <sz val="13"/>
        <color indexed="8"/>
        <rFont val="Times New Roman"/>
        <family val="1"/>
        <charset val="204"/>
      </rPr>
      <t xml:space="preserve">  </t>
    </r>
    <r>
      <rPr>
        <sz val="13"/>
        <color indexed="8"/>
        <rFont val="Times New Roman"/>
        <family val="1"/>
        <charset val="204"/>
      </rPr>
      <t xml:space="preserve"> на </t>
    </r>
    <r>
      <rPr>
        <u/>
        <sz val="13"/>
        <color indexed="8"/>
        <rFont val="Times New Roman"/>
        <family val="1"/>
        <charset val="204"/>
      </rPr>
      <t xml:space="preserve"> 2019 </t>
    </r>
    <r>
      <rPr>
        <sz val="13"/>
        <color indexed="8"/>
        <rFont val="Times New Roman"/>
        <family val="1"/>
        <charset val="204"/>
      </rPr>
      <t xml:space="preserve"> год</t>
    </r>
  </si>
  <si>
    <t xml:space="preserve">              (наименование сетевой организации)</t>
  </si>
  <si>
    <t>1. Полное наименование:</t>
  </si>
  <si>
    <t>Акционерное общество "Дальневосточная распределительная сетевая компания"          Joint Stock Company "Far-Eastern Distribution Company"</t>
  </si>
  <si>
    <t>2. Сокращенное наименование:</t>
  </si>
  <si>
    <t xml:space="preserve"> АО "ДРСК"  JSC "FEDC" </t>
  </si>
  <si>
    <t>3. Место нахождения:</t>
  </si>
  <si>
    <t>690080, Российская Федерация, Приморский край, г.Владивосток, ул.Командорская, 13-а</t>
  </si>
  <si>
    <t>4. Адрес юридического лица:</t>
  </si>
  <si>
    <t>675000, Российская Федерация, Амурская область, г. Благовещенск, ул. Шевченко, 28</t>
  </si>
  <si>
    <t>5. ИНН:</t>
  </si>
  <si>
    <t>2801108200</t>
  </si>
  <si>
    <t>6. КПП:</t>
  </si>
  <si>
    <t>253731001</t>
  </si>
  <si>
    <t>7. Ф.И.О. руководителя:</t>
  </si>
  <si>
    <t>Чутенко Сергей Иванович</t>
  </si>
  <si>
    <t>8. Адрес электронной почты:</t>
  </si>
  <si>
    <t xml:space="preserve">doc@prim.drsk.ru </t>
  </si>
  <si>
    <t>9. Контактный телефон:</t>
  </si>
  <si>
    <t>(4232) 22-32-12</t>
  </si>
  <si>
    <t>10. Факс:</t>
  </si>
  <si>
    <t>(4232) 26-45-05</t>
  </si>
  <si>
    <t>Расчёт необходимой валовой выручки по технологическому присоединению    по филиалу АО "ДРСК"- "Приморские электрические сети" на  2019 год</t>
  </si>
  <si>
    <t>Ожидаемые данные 2018г.</t>
  </si>
  <si>
    <t>Плановые показатели 2019г.</t>
  </si>
  <si>
    <t>Оплата труда ППП (без ЕСН)</t>
  </si>
  <si>
    <t>-работы и услуги производственного характера</t>
  </si>
  <si>
    <t>Расходы на строительство объектов электросетевого хозяйства - от существующих объектов электросетевого хозяйства до присоединяемых энергопринимающих устройств и (или) объектов электроэнергетики</t>
  </si>
  <si>
    <t>Выпадающие доходы/ экономия средства (согласно Методических указаний по определению выпадающих доходов, связанных с осуществлением технологического присоединения к электрическим сетям, утвержденных приказом ФСТ России от 11.09.2014г. № 215-э/1)</t>
  </si>
  <si>
    <t>Необходимая валовая выручка (сумма п.1-3)</t>
  </si>
  <si>
    <t>Приложение № 6</t>
  </si>
  <si>
    <t>(в ред. Постановления Правительства РФ</t>
  </si>
  <si>
    <t>от 17.09.2015 № 987)</t>
  </si>
  <si>
    <t>ФАКТИЧЕСКИЕ СРЕДНИЕ ДАННЫЕ</t>
  </si>
  <si>
    <t>о присоединенных объемах максимальной мощности
за 3 предыдущих года по каждому мероприятию</t>
  </si>
  <si>
    <t>Наименование 
мероприятий</t>
  </si>
  <si>
    <t>Фактические расходы на строительство подстанций 
за 2015-2017 гг 
(тыс. рублей)</t>
  </si>
  <si>
    <t>Объем мощности, 
введенной в основные фонды за 2015-2017 гг (кВт)</t>
  </si>
  <si>
    <t>Строительство пунктов секционирования (распределенных пунктов)</t>
  </si>
  <si>
    <t>Строительство комплектных трансформаторных подстанций и распределительных трансформаторных подстанций с уровнем напряжения до 35 кВ</t>
  </si>
  <si>
    <t>Строительство центров питания и подстанций уровнем напряжения 35 кВ и выше</t>
  </si>
  <si>
    <t>Приложение № 7</t>
  </si>
  <si>
    <t>о длине линий электропередачи и об объемах максимальной
мощности построенных объектов за 3 предыдущих года
по каждому мероприятию</t>
  </si>
  <si>
    <t>Расходы на строительство воздушных и кабельных линий электропередачи 
на i-м уровне напряжения, фактически построенных за за 2015-2017 гг (тыс. рублей)</t>
  </si>
  <si>
    <t>Длина воздушных 
и кабельных линий электропередачи 
на i-м уровне напряжения, фактически построенных за 2015-2017 гг
(км)</t>
  </si>
  <si>
    <t>Объем 
максимальной мощности, присоединенной путем 
строительства воздушных или кабельных линий 
2015-2017 гг (кВт)</t>
  </si>
  <si>
    <t>Строительство кабельных линий электропередачи:</t>
  </si>
  <si>
    <t>0,4 кВ</t>
  </si>
  <si>
    <t>1 - 20 кВ</t>
  </si>
  <si>
    <t>35 кВ</t>
  </si>
  <si>
    <t>Строительство воздушных линий электропередачи:</t>
  </si>
  <si>
    <t>Приложение № 8</t>
  </si>
  <si>
    <t>И Н Ф О Р М А Ц И Я</t>
  </si>
  <si>
    <t>об осуществлении технологического присоединения по договорам, заключенным за 2018 год</t>
  </si>
  <si>
    <t>Категория 
заявителей</t>
  </si>
  <si>
    <t>Количество договоров (штук)</t>
  </si>
  <si>
    <t>Максимальная мощность (кВт)</t>
  </si>
  <si>
    <t>Стоимость договоров 
(без НДС) (тыс. рублей)</t>
  </si>
  <si>
    <t>35 кВ
и выше</t>
  </si>
  <si>
    <t>До 15 кВт - всего</t>
  </si>
  <si>
    <t>в том числе</t>
  </si>
  <si>
    <t>льготная категория *</t>
  </si>
  <si>
    <t>От 15 до 
150 кВт - всего</t>
  </si>
  <si>
    <t>льготная категория **</t>
  </si>
  <si>
    <t>От 150 кВт 
до 670 кВт - всего</t>
  </si>
  <si>
    <t>по индиви-дуальному проекту</t>
  </si>
  <si>
    <t>От 670 кВт 
до 8900 кВт - всего</t>
  </si>
  <si>
    <t>5.</t>
  </si>
  <si>
    <t>От 8900 кВт - всего</t>
  </si>
  <si>
    <t>6.</t>
  </si>
  <si>
    <t>Объекты 
генерации</t>
  </si>
  <si>
    <r>
      <t>_____</t>
    </r>
    <r>
      <rPr>
        <sz val="10"/>
        <rFont val="Times New Roman"/>
        <family val="1"/>
        <charset val="204"/>
      </rPr>
      <t>*</t>
    </r>
    <r>
      <rPr>
        <sz val="10"/>
        <color indexed="9"/>
        <rFont val="Times New Roman"/>
        <family val="1"/>
        <charset val="204"/>
      </rPr>
      <t>_</t>
    </r>
    <r>
      <rPr>
        <sz val="10"/>
        <rFont val="Times New Roman"/>
        <family val="1"/>
        <charset val="204"/>
      </rPr>
      <t>Заявители, оплачивающие технологическое присоединение своих энергопринимающих устройств в размере не более 550 рублей.</t>
    </r>
  </si>
  <si>
    <r>
      <t>_____</t>
    </r>
    <r>
      <rPr>
        <sz val="10"/>
        <rFont val="Times New Roman"/>
        <family val="1"/>
        <charset val="204"/>
      </rPr>
      <t>**</t>
    </r>
    <r>
      <rPr>
        <sz val="10"/>
        <color indexed="9"/>
        <rFont val="Times New Roman"/>
        <family val="1"/>
        <charset val="204"/>
      </rPr>
      <t>_</t>
    </r>
    <r>
      <rPr>
        <sz val="10"/>
        <rFont val="Times New Roman"/>
        <family val="1"/>
        <charset val="204"/>
      </rPr>
      <t>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(с учетом ранее присоединенных энергопринимающих устройств),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t>
    </r>
  </si>
  <si>
    <t>Приложение № 9</t>
  </si>
  <si>
    <t>о поданных заявках на технологическое присоединение 
за 2018 год</t>
  </si>
  <si>
    <t>Категория заявителей</t>
  </si>
  <si>
    <t>Количество заявок (штук)</t>
  </si>
  <si>
    <t>От 15 до 150 кВт - 
всего</t>
  </si>
  <si>
    <t>по индивидуальному проекту</t>
  </si>
  <si>
    <t>Объекты генерации</t>
  </si>
  <si>
    <t>Расходы на мероприятия, осуществляемые при технологическом присоединении</t>
  </si>
  <si>
    <t>п/п</t>
  </si>
  <si>
    <t>Наименование мероприятий</t>
  </si>
  <si>
    <t>Распределение НВВ (руб.)</t>
  </si>
  <si>
    <t>Объем максимальной мощности (кВт)</t>
  </si>
  <si>
    <t>Подготовка и выдача сетевой организацией технических условий заявителю (ТУ)</t>
  </si>
  <si>
    <t>по постоянной схеме</t>
  </si>
  <si>
    <t>по временной схеме</t>
  </si>
  <si>
    <t>Разработка сетевой организацией проектной документации по строительству "последней мили"</t>
  </si>
  <si>
    <t xml:space="preserve">Выполнение сетевой организацией мероприятий, связанных со строительством "последней мили" </t>
  </si>
  <si>
    <t>Участие в осмотре должностным лицом Ростехнадзора  присоединяемых Устройств заявителя</t>
  </si>
  <si>
    <t>Фактические действия по присоединению и обеспечению работы Устройств в электрической сети</t>
  </si>
  <si>
    <t>Ставки для расчета платы по каждому мероприятию (руб./кВт) (без учета НДС) в ценах 2019 года</t>
  </si>
  <si>
    <t xml:space="preserve">АО «Дальневосточная распределительная сетевая компания» на территории Приморского края  на 2019 год
</t>
  </si>
  <si>
    <t>более 150 кВт</t>
  </si>
  <si>
    <t>Строительство воздушных линий</t>
  </si>
  <si>
    <t>-</t>
  </si>
  <si>
    <t>1.1.</t>
  </si>
  <si>
    <t>Материал опоры - металлические</t>
  </si>
  <si>
    <t>1.1.1.</t>
  </si>
  <si>
    <t>Тип провода - неизолированный провод</t>
  </si>
  <si>
    <t>1.1.1.1.</t>
  </si>
  <si>
    <t>Материал провода - алюминиевый</t>
  </si>
  <si>
    <t>Сечение провода от 50 до 100 квадратных мм включительно</t>
  </si>
  <si>
    <t>1.1.1.1.2.</t>
  </si>
  <si>
    <t>Сечение провода от 100 до 200 квадратных мм включительно</t>
  </si>
  <si>
    <t>1.1.1.1.3.</t>
  </si>
  <si>
    <t>1.1.1.1.4.</t>
  </si>
  <si>
    <t>Сечение провода от 200 до 500 квадратных мм включительно</t>
  </si>
  <si>
    <t>1.2.</t>
  </si>
  <si>
    <t>Материал опоры - железобетонные</t>
  </si>
  <si>
    <t>1.2.1.</t>
  </si>
  <si>
    <t>Тип провода - изолированный провод</t>
  </si>
  <si>
    <t>1.2.1.1.</t>
  </si>
  <si>
    <t>1.2.1.1.1.</t>
  </si>
  <si>
    <t xml:space="preserve">Сечение провода до 50 квадратных мм включительно </t>
  </si>
  <si>
    <t>1.2.1.1.2.</t>
  </si>
  <si>
    <t>6(10)</t>
  </si>
  <si>
    <t>1.2.1.1.3.</t>
  </si>
  <si>
    <t>1.2.1.1.4.</t>
  </si>
  <si>
    <t>1.2.1.1.5.</t>
  </si>
  <si>
    <t>1.2.1.1.6.</t>
  </si>
  <si>
    <t>1.2.1.1.7.</t>
  </si>
  <si>
    <t>1.2.1.1.8.</t>
  </si>
  <si>
    <t>1.2.2.</t>
  </si>
  <si>
    <t>1.2.2.1.</t>
  </si>
  <si>
    <t>1.2.2.1.1.</t>
  </si>
  <si>
    <t>1.2.2.1.2.</t>
  </si>
  <si>
    <t>1.2.2.1.3.</t>
  </si>
  <si>
    <t>1.2.2.1.4.</t>
  </si>
  <si>
    <t>Строительство кабельных линий</t>
  </si>
  <si>
    <t>Способ прокладки кабельных линий - в траншеях</t>
  </si>
  <si>
    <t>Одножильные</t>
  </si>
  <si>
    <t>Кабели с резиновой и пластмассовой изоляцией</t>
  </si>
  <si>
    <t>2.1.1.1.1.</t>
  </si>
  <si>
    <t>2.1.1.1.2.</t>
  </si>
  <si>
    <t>2.1.1.1.3.</t>
  </si>
  <si>
    <t>2.1.1.1.4.</t>
  </si>
  <si>
    <t>2.1.1.1.5.</t>
  </si>
  <si>
    <t>2.1.1.1.6.</t>
  </si>
  <si>
    <t>2.1.1.1.7.</t>
  </si>
  <si>
    <t>2.1.1.1.8.</t>
  </si>
  <si>
    <t>2.1.1.1.9.</t>
  </si>
  <si>
    <t>2.1.1.1.10.</t>
  </si>
  <si>
    <t>2.1.1.2.</t>
  </si>
  <si>
    <t>Кабели с бумажной изоляцией</t>
  </si>
  <si>
    <t>2.1.1.2.1.</t>
  </si>
  <si>
    <t>2.1.1.2.2.</t>
  </si>
  <si>
    <t>2.1.1.2.3.</t>
  </si>
  <si>
    <t>2.1.1.2.4.</t>
  </si>
  <si>
    <t>2.1.1.2.5.</t>
  </si>
  <si>
    <t>2.1.1.2.6.</t>
  </si>
  <si>
    <t>2.1.1.2.7.</t>
  </si>
  <si>
    <t>2.1.1.2.8.</t>
  </si>
  <si>
    <t>2.1.1.2.9.</t>
  </si>
  <si>
    <t>2.1.1.2.10.</t>
  </si>
  <si>
    <t>Многожильные</t>
  </si>
  <si>
    <t>2.1.2.1.1.</t>
  </si>
  <si>
    <t>2.1.2.1.2.</t>
  </si>
  <si>
    <t>2.1.2.1.3.</t>
  </si>
  <si>
    <t>2.1.2.1.4.</t>
  </si>
  <si>
    <t>2.1.2.1.5.</t>
  </si>
  <si>
    <t>2.1.2.1.6.</t>
  </si>
  <si>
    <t>2.1.2.1.7.</t>
  </si>
  <si>
    <t>2.1.2.1.8.</t>
  </si>
  <si>
    <t>2.1.2.1.9.</t>
  </si>
  <si>
    <t>2.1.2.1.10.</t>
  </si>
  <si>
    <t>2.1.2.1.11.</t>
  </si>
  <si>
    <t>2.1.2.1.12.</t>
  </si>
  <si>
    <t>2.1.2.1.13.</t>
  </si>
  <si>
    <t>2.1.2.1.14.</t>
  </si>
  <si>
    <t>2.1.2.2.1.</t>
  </si>
  <si>
    <t>2.1.2.2.2.</t>
  </si>
  <si>
    <t>2.1.2.2.3.</t>
  </si>
  <si>
    <t>2.1.2.2.4.</t>
  </si>
  <si>
    <t>2.1.2.2.5.</t>
  </si>
  <si>
    <t>2.1.2.2.6.</t>
  </si>
  <si>
    <t>2.1.2.2.7.</t>
  </si>
  <si>
    <t>2.1.2.2.8.</t>
  </si>
  <si>
    <t>2.1.2.2.9.</t>
  </si>
  <si>
    <t>2.1.2.2.10.</t>
  </si>
  <si>
    <t>2.1.2.2.11.</t>
  </si>
  <si>
    <t>2.1.2.2.12.</t>
  </si>
  <si>
    <t>2.1.2.2.13.</t>
  </si>
  <si>
    <t>Способ прокладки кабельных линий -  в блоках (лотках)</t>
  </si>
  <si>
    <t>2.2.1.1.1.</t>
  </si>
  <si>
    <t>2.2.1.1.2.</t>
  </si>
  <si>
    <t>2.2.1.1.3.</t>
  </si>
  <si>
    <t>2.2.1.1.4.</t>
  </si>
  <si>
    <t>2.2.1.1.5.</t>
  </si>
  <si>
    <t>2.2.1.1.6.</t>
  </si>
  <si>
    <t>2.2.1.1.7.</t>
  </si>
  <si>
    <t>2.2.1.1.8.</t>
  </si>
  <si>
    <t>2.2.1.1.9.</t>
  </si>
  <si>
    <t>2.2.1.1.10.</t>
  </si>
  <si>
    <t>Сечение провода от 500 до 800 квадратных мм включительно</t>
  </si>
  <si>
    <t>2.2.1.2.1.</t>
  </si>
  <si>
    <t>2.2.1.2.2.</t>
  </si>
  <si>
    <t>2.2.1.2.3.</t>
  </si>
  <si>
    <t>2.2.1.2.4.</t>
  </si>
  <si>
    <t>2.2.1.2.5.</t>
  </si>
  <si>
    <t>2.2.1.2.6.</t>
  </si>
  <si>
    <t>2.2.1.2.7.</t>
  </si>
  <si>
    <t>2.2.1.2.8.</t>
  </si>
  <si>
    <t>2.2.1.2.9.</t>
  </si>
  <si>
    <t>2.2.1.2.10.</t>
  </si>
  <si>
    <t>2.2.2.1.1.</t>
  </si>
  <si>
    <t>2.2.2.1.2.</t>
  </si>
  <si>
    <t>2.2.2.1.3.</t>
  </si>
  <si>
    <t>2.2.2.1.4.</t>
  </si>
  <si>
    <t>2.2.2.1.5.</t>
  </si>
  <si>
    <t>2.2.2.1.6.</t>
  </si>
  <si>
    <t>2.2.2.1.7.</t>
  </si>
  <si>
    <t>2.2.2.1.8.</t>
  </si>
  <si>
    <t>2.2.2.1.9.</t>
  </si>
  <si>
    <t>2.2.2.1.10.</t>
  </si>
  <si>
    <t>2.2.2.2.1.</t>
  </si>
  <si>
    <t>2.2.2.2.2.</t>
  </si>
  <si>
    <t>2.2.2.2.3.</t>
  </si>
  <si>
    <t>2.2.2.2.4.</t>
  </si>
  <si>
    <t>2.2.2.2.5.</t>
  </si>
  <si>
    <t>2.2.2.2.6.</t>
  </si>
  <si>
    <t>2.2.2.2.7.</t>
  </si>
  <si>
    <t>2.2.2.2.8.</t>
  </si>
  <si>
    <t>2.2.2.2.9.</t>
  </si>
  <si>
    <t>2.2.2.2.10.</t>
  </si>
  <si>
    <t xml:space="preserve">Способ прокладки кабельных линий -   горизонтальное наклонное бурение </t>
  </si>
  <si>
    <t>2.3.1.1.</t>
  </si>
  <si>
    <t>2.3.1.1.1.</t>
  </si>
  <si>
    <t>2.3.1.1.2.</t>
  </si>
  <si>
    <t>2.3.1.1.3.</t>
  </si>
  <si>
    <t>2.3.1.2.</t>
  </si>
  <si>
    <t>2.3.1.2.1.</t>
  </si>
  <si>
    <t>2.3.1.2.2.</t>
  </si>
  <si>
    <t>2.3.1.2.3.</t>
  </si>
  <si>
    <t>Строительство пунктов секционирования</t>
  </si>
  <si>
    <t>Реклоузеры</t>
  </si>
  <si>
    <t>Номинальный ток до 100 А включительно</t>
  </si>
  <si>
    <t>Распределительные пункты (РП)</t>
  </si>
  <si>
    <t>Номинальный ток от 250 до 500 А включительно</t>
  </si>
  <si>
    <t>Номинальный ток от 500 А до 1 000 А включительно</t>
  </si>
  <si>
    <t>Строительство трансформаторных подстанций (ТП), за исключением распределительных трансформаторных подстанций (РТП), с уровнем напряжения до 35 кВ</t>
  </si>
  <si>
    <t>Трансформаторные подстанции (ТП), за исключением распределительных трансформаторных подстанций (РТП)</t>
  </si>
  <si>
    <t>4.1.1.</t>
  </si>
  <si>
    <t>Однотрансформаторные</t>
  </si>
  <si>
    <t>4.1.1.1.</t>
  </si>
  <si>
    <t>Трансформаторная мощность до 25 кВА включительно</t>
  </si>
  <si>
    <t>6(10)/0,4</t>
  </si>
  <si>
    <t>4.1.1.2.</t>
  </si>
  <si>
    <t>Трансформаторная мощность от 25 до 100 кВА включительно</t>
  </si>
  <si>
    <t>4.1.1.3.</t>
  </si>
  <si>
    <t>Трансформаторная мощность от 100 до 250 кВА включительно</t>
  </si>
  <si>
    <t>4.1.1.4.</t>
  </si>
  <si>
    <t>Трансформаторная мощность от 250 до 500 кВА</t>
  </si>
  <si>
    <t>4.1.1.5.</t>
  </si>
  <si>
    <t>Трансформаторная мощность от 500 до 900 кВА включительно</t>
  </si>
  <si>
    <t>4.1.1.6.</t>
  </si>
  <si>
    <t>Трансформаторная мощность свыше 1000 кВА</t>
  </si>
  <si>
    <t>4.1.2.</t>
  </si>
  <si>
    <t>Двухтрансформаторные и более</t>
  </si>
  <si>
    <t>4.1.2.1.</t>
  </si>
  <si>
    <t>4.1.2.2.</t>
  </si>
  <si>
    <t>4.1.2.3.</t>
  </si>
  <si>
    <t>4.1.2.4.</t>
  </si>
  <si>
    <t>4.1.2.5.</t>
  </si>
  <si>
    <t>4.1.2.6.</t>
  </si>
  <si>
    <t>Строительство распределительных трансформаторных подстанций (РТП) с уровнем напряжения до 35 кВ</t>
  </si>
  <si>
    <t>5.1.</t>
  </si>
  <si>
    <t>Распределительные трансформаторные подстанции (РТП)</t>
  </si>
  <si>
    <t>5.1.1.</t>
  </si>
  <si>
    <t>5.1.1.1.</t>
  </si>
  <si>
    <t>5.1.1.2.</t>
  </si>
  <si>
    <t>5.1.1.3.</t>
  </si>
  <si>
    <t>5.1.1.4.</t>
  </si>
  <si>
    <t>5.1.1.5.</t>
  </si>
  <si>
    <t>5.1.1.6.</t>
  </si>
  <si>
    <t>Строительство центров питания, подстанций уровнем напряжения 35 кВ и выше (ПС)</t>
  </si>
  <si>
    <t>6.1.</t>
  </si>
  <si>
    <t>ПС 35 кВ</t>
  </si>
  <si>
    <t>35/0,4</t>
  </si>
  <si>
    <t>6.1.3.</t>
  </si>
  <si>
    <t>Трансформаторная мощность 400 кВА</t>
  </si>
  <si>
    <t>6.1.4.</t>
  </si>
  <si>
    <t>Трансформаторная мощность 630 кВА</t>
  </si>
  <si>
    <t>6.2.</t>
  </si>
  <si>
    <t>35/6(10)</t>
  </si>
  <si>
    <t>6.2.2.</t>
  </si>
  <si>
    <t>Трансформаторная мощность 2х6300 кВА</t>
  </si>
  <si>
    <t>6.2.3.</t>
  </si>
  <si>
    <t>Трансформаторная мощность 2х10000 кВА</t>
  </si>
  <si>
    <t>6.2.4.</t>
  </si>
  <si>
    <t>Трансформаторная мощность 2х16000 кВА</t>
  </si>
  <si>
    <t>кВ</t>
  </si>
  <si>
    <t xml:space="preserve">для территорий городских населенных пунктов </t>
  </si>
  <si>
    <t>для территорий, не относящихсяк городским населенным пунктам</t>
  </si>
  <si>
    <t>1.1.1.1.1.</t>
  </si>
  <si>
    <t>ПС 110 кВ</t>
  </si>
  <si>
    <t>6.3</t>
  </si>
  <si>
    <t>6.3.7.</t>
  </si>
  <si>
    <t>110/6(10)</t>
  </si>
  <si>
    <t>6.3.8.</t>
  </si>
  <si>
    <t>Трансформаторная мощность 2х25000 кВА</t>
  </si>
  <si>
    <t>6.3.9.</t>
  </si>
  <si>
    <t>Трансформаторная мощность 2х40000 кВА</t>
  </si>
  <si>
    <t xml:space="preserve"> Приложение № 5 к стандартам раскрытия информации субъектами оптового и розничного рынков электрической энергии (в ред. Постановления Правительства РФ от 17.09.2015 № 987) </t>
  </si>
  <si>
    <t xml:space="preserve"> Приложение № 4 к стандартам раскрытия информации субъектами оптового и розничного рынков электрической энергии (в ред. Постановления Правительства РФ от 17.09.2015 № 987) </t>
  </si>
  <si>
    <t xml:space="preserve"> Приложение № 2 к стандартам раскрытия информации субъектами оптового и розничного рынков электрической энергии (в ред. Постановления Правительства РФ от 17.09.2015 № 987) </t>
  </si>
  <si>
    <t xml:space="preserve"> Приложение № 3 к стандартам раскрытия информации субъектами оптового и розничного рынков электрической энергии (в ред. Постановления Правительства РФ от 17.09.2015 № 987) </t>
  </si>
  <si>
    <t>Приложение № 2-1</t>
  </si>
  <si>
    <t>Приложение № 2-2</t>
  </si>
  <si>
    <t>Приложение № 2-3</t>
  </si>
  <si>
    <t>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t>
  </si>
  <si>
    <t>2015 г. - для территорий городских населенных пунктов и территорий</t>
  </si>
  <si>
    <t>N п/п</t>
  </si>
  <si>
    <t>Объект электросетевого хозяйства</t>
  </si>
  <si>
    <t>Год ввода объекта</t>
  </si>
  <si>
    <t>Уровень напряжения, кВ</t>
  </si>
  <si>
    <t>Протяженность (для линий электропередачи), м</t>
  </si>
  <si>
    <t>Пропускная способность, кВт/Максимальная мощность, кВт</t>
  </si>
  <si>
    <t>Расходы на строительство объекта, тыс. руб.</t>
  </si>
  <si>
    <t>&lt;пообъектная расшифровка&gt;</t>
  </si>
  <si>
    <t>1.3.1.</t>
  </si>
  <si>
    <t>Строительство ВЛ 0,4 кВ для заявителей до 150 кВт</t>
  </si>
  <si>
    <t>1.3.2.</t>
  </si>
  <si>
    <t>Строительство ВЛ 6(10) кВ для заявителей до 150 кВт</t>
  </si>
  <si>
    <t>1.3.3.</t>
  </si>
  <si>
    <t>1.3.4.</t>
  </si>
  <si>
    <t>1.3.5.</t>
  </si>
  <si>
    <t>1.3.6.</t>
  </si>
  <si>
    <t>1.3.7.</t>
  </si>
  <si>
    <t>1.3.8.</t>
  </si>
  <si>
    <t>1.3.9.</t>
  </si>
  <si>
    <t>1.3.10.</t>
  </si>
  <si>
    <t>1.3.11.</t>
  </si>
  <si>
    <t>1.3.12.</t>
  </si>
  <si>
    <t>1.3.13.</t>
  </si>
  <si>
    <t>1.3.14.</t>
  </si>
  <si>
    <t>1.3.15.</t>
  </si>
  <si>
    <t>Строительство КЛ 0,4 кВ для заявителей до 150 кВт</t>
  </si>
  <si>
    <t>Строительство КЛ 6(10) кВ для заявителей до 150 кВт</t>
  </si>
  <si>
    <t>2.4..3.</t>
  </si>
  <si>
    <t>Строительство КЛ 110 кВ для технологического присоединения ТЭЦ Восточная</t>
  </si>
  <si>
    <t>ГНБ АПвПу2Г 1*630</t>
  </si>
  <si>
    <t>Лоток АПвПу2Г 1*630</t>
  </si>
  <si>
    <t>2.4..5.</t>
  </si>
  <si>
    <t>Строительство КЛ 6 кВ для МКУ СЕЗЗ БК (г.Большой Камень)</t>
  </si>
  <si>
    <t>Траншея АВБбШв 3*240</t>
  </si>
  <si>
    <t>3.3.</t>
  </si>
  <si>
    <t>3.3.1.</t>
  </si>
  <si>
    <t>3.3.2.</t>
  </si>
  <si>
    <t>3.3.3.</t>
  </si>
  <si>
    <t>3.3.4.</t>
  </si>
  <si>
    <t>3.3.5.</t>
  </si>
  <si>
    <t>4.2.</t>
  </si>
  <si>
    <t>4.2.1.</t>
  </si>
  <si>
    <t>Строительство трансформаторных подстанций для заявителей до 150 кВт</t>
  </si>
  <si>
    <t>4.2.2.</t>
  </si>
  <si>
    <t>Строительство КТПН 630 кВА для МКУ СЕЗЗ БК (г.Большой Камень)</t>
  </si>
  <si>
    <t>6/0,4</t>
  </si>
  <si>
    <t>4.2.3.</t>
  </si>
  <si>
    <t>4.2.4.</t>
  </si>
  <si>
    <t>4.2.5.</t>
  </si>
  <si>
    <t>4.2.6.</t>
  </si>
  <si>
    <t>4.2.7.</t>
  </si>
  <si>
    <t>4.2.8.</t>
  </si>
  <si>
    <t>4.2.9.</t>
  </si>
  <si>
    <t>4.2.10.</t>
  </si>
  <si>
    <t>4.2.11.</t>
  </si>
  <si>
    <t>4.2.12.</t>
  </si>
  <si>
    <t>4.2.13.</t>
  </si>
  <si>
    <t>4.2.14.</t>
  </si>
  <si>
    <t>4.2.15.</t>
  </si>
  <si>
    <t>5.2.</t>
  </si>
  <si>
    <t>5.2.1.</t>
  </si>
  <si>
    <t>5.2.2.</t>
  </si>
  <si>
    <t>5.2.3.</t>
  </si>
  <si>
    <t>5.2.4.</t>
  </si>
  <si>
    <t>5.2.5.</t>
  </si>
  <si>
    <t>5.2.6.</t>
  </si>
  <si>
    <t>5.2.7.</t>
  </si>
  <si>
    <t>5.2.8.</t>
  </si>
  <si>
    <t>5.2.9.</t>
  </si>
  <si>
    <t>5.2.10.</t>
  </si>
  <si>
    <t>5.2.11.</t>
  </si>
  <si>
    <t>5.2.12.</t>
  </si>
  <si>
    <t>5.2.13.</t>
  </si>
  <si>
    <t>5.2.14.</t>
  </si>
  <si>
    <t>5.2.15.</t>
  </si>
  <si>
    <t>6.1.1.</t>
  </si>
  <si>
    <t>Трансформаторная мощность 100 кВА</t>
  </si>
  <si>
    <t>6.1.2.</t>
  </si>
  <si>
    <t>Трансформаторная мощность 250 кВА</t>
  </si>
  <si>
    <t>6.2.1.</t>
  </si>
  <si>
    <t>Трансформаторная мощность 2х4000 кВА</t>
  </si>
  <si>
    <t>6.3.</t>
  </si>
  <si>
    <t>6.3.1.</t>
  </si>
  <si>
    <t>Трансформаторная мощность 4000 кВА</t>
  </si>
  <si>
    <t>6.3.2.</t>
  </si>
  <si>
    <t>Трансформаторная мощность 10000 кВА</t>
  </si>
  <si>
    <t>6.3.3.</t>
  </si>
  <si>
    <t>Трансформаторная мощность 16000 кВА</t>
  </si>
  <si>
    <t>6.3.4.</t>
  </si>
  <si>
    <t>Трансформаторная мощность 25000 кВА</t>
  </si>
  <si>
    <t>6.3.5.</t>
  </si>
  <si>
    <t>Трансформаторная мощность 40000 кВА</t>
  </si>
  <si>
    <t>6.3.6.</t>
  </si>
  <si>
    <t>6.4.</t>
  </si>
  <si>
    <t>6.4.1.</t>
  </si>
  <si>
    <t>6.4.2.</t>
  </si>
  <si>
    <t>6.4.3.</t>
  </si>
  <si>
    <t>6.4.4.</t>
  </si>
  <si>
    <t>6.4.5.</t>
  </si>
  <si>
    <t>6.4.6.</t>
  </si>
  <si>
    <t>6.4.7.</t>
  </si>
  <si>
    <t>6.4.8.</t>
  </si>
  <si>
    <t>6.4.9.</t>
  </si>
  <si>
    <t>6.4.10.</t>
  </si>
  <si>
    <t>6.4.11.</t>
  </si>
  <si>
    <t>6.4.12.</t>
  </si>
  <si>
    <t>6.4.13.</t>
  </si>
  <si>
    <t>6.4.14.</t>
  </si>
  <si>
    <t>6.4.15.</t>
  </si>
  <si>
    <t>Шамшур А.А.</t>
  </si>
  <si>
    <t>2016 г. - для территорий городских населенных пунктов и территорий</t>
  </si>
  <si>
    <t>Строительство ВЛ 6 кВ для ООО "ДЮК Авеста" (г.Артем)</t>
  </si>
  <si>
    <t>Строительство ВЛ 6 кВ для Голубь Д.Н. (г.Артем)</t>
  </si>
  <si>
    <t>Строительство ВЛ 6 кВ для ООО "Невский Хладокомбинат", ООО "ВЛ-Парк" и ООО "ДВ Монолит" (г.Артем)</t>
  </si>
  <si>
    <t>Строительство ВЛ 6 кВ для ООО "ГАЛФ Востока" (г.Артем)</t>
  </si>
  <si>
    <t>Строительство КЛ 10 кВ для ЖСК Остров (о.Русский)</t>
  </si>
  <si>
    <t>Строительство КЛ 6 кВ для ООО ИК "Восточные Ворота" (Большой Камень)</t>
  </si>
  <si>
    <t>Строительство КЛ 10 кВ  для Управления жилищно-коммунального хозяйства, благоустройства, градостроительной деятельности,строительства и архитектуры Администрации ГО ЗАТО г.Фокино</t>
  </si>
  <si>
    <t>Строительство КЛ 6 кВ для ООО ИК "Восточные Ворота" (г.Артем)</t>
  </si>
  <si>
    <t>Строительство КЛ 6 кВ для ООО "Невский Хладокомбинат", ООО "ВЛ-Парк" и ООО "ДВ Монолит" (г.Артем)</t>
  </si>
  <si>
    <t>Строительство КЛ 6 кВ (ГНБ) для ООО "Невский Хладокомбинат", ООО "ВЛ-Парк" и ООО "ДВ Монолит" (г.Артем)</t>
  </si>
  <si>
    <t>Строительство КЛ 6 кВ для Управления делами Президента РФ (Владивосток)</t>
  </si>
  <si>
    <t>Строительство РП 10 кВ для ЖСК Остров (о.Русский)</t>
  </si>
  <si>
    <t>Строительство РП 6 кВ для ООО "Невский Хладокомбинат", ООО "ВЛ-Парк" и ООО "ДВ Монолит" (г.Артем)</t>
  </si>
  <si>
    <t>Строительство ТП 2*400 кВА  для ООО ИК "Восточные Ворота" (Большой Камень)</t>
  </si>
  <si>
    <t>Строительство ТП 2*250 кВА  для Управления жилищно-коммунального хозяйства, благоустройства, градостроительной деятельности,строительства и архитектуры Администрации ГО ЗАТО г.Фокино</t>
  </si>
  <si>
    <t>10/0,4</t>
  </si>
  <si>
    <t>Строительство ТП 630 кВА для ООО "Большекаменский Хлебокомбинат" (Большой Камень)</t>
  </si>
  <si>
    <t>Строительство ТП 250 кВА для Голубь Д.Н. (г.Артем)</t>
  </si>
  <si>
    <t>2017 г. - для территорий городских населенных пунктов и территорий</t>
  </si>
  <si>
    <t>Строительство ЛЭП 6 кВ для АртемКарьерСтрой</t>
  </si>
  <si>
    <t>Строительство ЛЭП 6 кВ для ООО СтеклоМаг</t>
  </si>
  <si>
    <t>Строительство ЛЭП 10 кВ для ООО Ольгамортранс</t>
  </si>
  <si>
    <t>Строительство ЛЭП 0,4 кВ для СЕЗ м-он Морской</t>
  </si>
  <si>
    <t>Строительство ЛЭП 0,4 кВ для СЕЗ м-он Северный</t>
  </si>
  <si>
    <t>Строительство ЛЭП 10 кВ для СЕЗ м-он Морской</t>
  </si>
  <si>
    <t>Строительство ЛЭП 6 кВ для АО Газпром</t>
  </si>
  <si>
    <t>Строительство ЛЭП 6 кВ для ООО Молоко Приморья</t>
  </si>
  <si>
    <t>Строительство ЛЭП 10 кВ для Ступак А.М.</t>
  </si>
  <si>
    <t>Строительство ЛЭП 6 кВ для Иванова А.А.</t>
  </si>
  <si>
    <t>Строительство ЛЭП 10 кВ для СЕЗ м-он Северный</t>
  </si>
  <si>
    <t>Строительство ВЛ для заявителей до 150 кВт</t>
  </si>
  <si>
    <t>Строительство ЛЭП 0,4 кВ для МСЧ 100 ФМБА России</t>
  </si>
  <si>
    <t>Строительство ЛЭП 10 кВ для МСЧ 100 ФМБА России</t>
  </si>
  <si>
    <t>Строительство ЛЭП 0,4 кВ для ООО ИК Восточные ворота (УК БЛОК)</t>
  </si>
  <si>
    <t>Строительство ЛЭП 10 кВ для ООО ИК Восточные ворота (УК БЛОК)</t>
  </si>
  <si>
    <t>Строительство ЛЭП 6 кВ для ОАО Хасанкоммунэнерго</t>
  </si>
  <si>
    <t>Строительство ЛЭП 6 кВ для ИП Точилин П.И.</t>
  </si>
  <si>
    <t>Строительство ЛЭП 10 кВ для ЖСК Остров</t>
  </si>
  <si>
    <t>Строительство ЛЭП 6 кВ для КРДВ м-он Шестой</t>
  </si>
  <si>
    <t>Строительство КЛ для заявителей до 150 кВт</t>
  </si>
  <si>
    <t>Строительство ТП 10/0,4 кВ 400 кВА для СНТ Дубки-2Э</t>
  </si>
  <si>
    <t>Строительство ТП 6/0,4 кВ 400 кВА для СНТ Черемушки-1</t>
  </si>
  <si>
    <t>Строительство ТП 10/0,4 кВ 400 кВА для СЕЗ м-он Морской</t>
  </si>
  <si>
    <t>Строительство ТП 6/0,4 кВ 630 кВА для СЕЗ м-он Северный</t>
  </si>
  <si>
    <t>Строительство ТП 6/0,4 кВ 1000 кВА для ООО Молоко Приморья</t>
  </si>
  <si>
    <t>Строительство ТП 10/0,4 кВ 1000 кВА для Ступак А.М.</t>
  </si>
  <si>
    <t>Строительство ТП 6/0,4 кВ 2х250 для КРДВ м-он Шестой</t>
  </si>
  <si>
    <t>Строительство ТП 10/0,4 кВ 2х250 для ЖСК Остров</t>
  </si>
  <si>
    <t>Строительство ТП 10/0,4 кВ 2х160 для ЖСК Остров</t>
  </si>
  <si>
    <t>Строительство ТП 6/0,4 кВ 2х400 для АО Газпром</t>
  </si>
  <si>
    <t>Строительство ТП 10/0,4 кВ 2х400 для ЖСК Остров</t>
  </si>
  <si>
    <t>Строительство ТП 6/0,4 кВ 2х630 для ООО СтеклоМаг</t>
  </si>
  <si>
    <t>Строительство ТП 6/0,4 кВ 2х630 для ООО ДВ Монолит</t>
  </si>
  <si>
    <t>Строительство ТП 10/0,4 кВ 2х630 для ООО ИК Восточные ворота (УК БЛОК)</t>
  </si>
  <si>
    <t>Строительство ТП 6/0,4 кВ 2х630 для КРДВ м-он Шестой</t>
  </si>
  <si>
    <t>4.2.16.</t>
  </si>
  <si>
    <t>Строительство ТП 10/0,4 кВ 2х1000 для МСЧ ФМБА России</t>
  </si>
  <si>
    <t>4.2.17.</t>
  </si>
  <si>
    <t>Строительство ТП 6/0,4 кВ 2х1250 для КРДВ м-он Шестой</t>
  </si>
  <si>
    <t>4.2.18.</t>
  </si>
  <si>
    <t>Строительство ТП 6(10)/0,4 кВ для заявителей до 150 кВт</t>
  </si>
  <si>
    <t>4.2.19.</t>
  </si>
  <si>
    <t>Строительство РТП для ЖСК Остров</t>
  </si>
  <si>
    <t>Строительство КТПН 630 кВА для ООО "Новая Дружба" (с.Сиваковка)</t>
  </si>
  <si>
    <t>Строительство КТПН 630 кВА  для ОАО "ЦЭТ" (д.Лукъяновка)</t>
  </si>
  <si>
    <t>Строительство КТПН 400 кВА для КГУП Примтеплоэнерго (п.Углекаменск)</t>
  </si>
  <si>
    <t>Строительство КТПН 630 кВА для ООО "Техносервис" (п.Новоникольск)</t>
  </si>
  <si>
    <t>Строительство КТПН 630 кВА для ООО "Золотой Орел" (п.Кировка)</t>
  </si>
  <si>
    <t>Строительство КЛ 6 кВ для ОАО "Надеждинское"</t>
  </si>
  <si>
    <t>Строительство КЛ 10 кВ для МКУ СЕЗЗ УГО (с.Корсаковка)</t>
  </si>
  <si>
    <t>Строительство КЛ 6 кВ для Лысенко Н.В. (с.Шмидтовка)</t>
  </si>
  <si>
    <t>Строительство ВЛ 10 кВ для ООО "Новая Дружба" (с.Сиваковка)</t>
  </si>
  <si>
    <t>Строительство ВЛ 10 кВ для Администрации Октябрьского МР (с.Покровка)</t>
  </si>
  <si>
    <t>Строительство ВЛ 35 кВ для Администрации Чугуевского МР (с.Чугуевка)</t>
  </si>
  <si>
    <t>Строительство ВЛ 0,4 кВ для ОАО "ЦЭТ" (д.Лукъяновка)</t>
  </si>
  <si>
    <t>Строительство ВЛ 10 кВ для ОАО "ЦЭТ" (д.Лукъяновка)</t>
  </si>
  <si>
    <t>Строительство ВЛ 10 кВ для в/ч 2430 (п.Приморский)</t>
  </si>
  <si>
    <t>Строительство ВЛ 6 кВ для КГУП Примтеплоэнерго (п.Углекаменск)</t>
  </si>
  <si>
    <t>Строительство ВЛ 6 кВ для ОАО "Надеждинское"</t>
  </si>
  <si>
    <t>Строительство ВЛ 10 кВ для МКУ СЕЗЗ УГО (с.Корсаковка)</t>
  </si>
  <si>
    <t>Строительство ВЛ 6 кВ для Лысенко Н.В. (с.Шмидтовка)</t>
  </si>
  <si>
    <t>Строительство ВЛ 10 кВ для ООО "Золотой Орел" (п.Кировка)</t>
  </si>
  <si>
    <t>2015 г. - для территорий, не относящихсяк городским населенным пунктам</t>
  </si>
  <si>
    <t>Строительство ПС 35/0,4 кВ для Администрации Чугуевского МР (с.Чугуевка)</t>
  </si>
  <si>
    <t>Строительство ТП 400 кВА для СНТ "Тихоокеанец-2"</t>
  </si>
  <si>
    <t>Строительство ТП 250 кВА для ИП Виштак (с.Корсаковка)</t>
  </si>
  <si>
    <t>Строительство ТП 400 кВА для СНТ Калипсо</t>
  </si>
  <si>
    <t>Строительство ТП 630 кВА для КППК "Приморкрайстрой" (с.Покровка)</t>
  </si>
  <si>
    <t>Строительство ТП 630 кВА для ООО "Стройсервис" (п.Штыково)</t>
  </si>
  <si>
    <t>Строительство реклоузера 35 кВ для Администрации Чугуевского МР (с.Чугуевка)</t>
  </si>
  <si>
    <t>ААБл 4*240</t>
  </si>
  <si>
    <t>Строительство КЛ 0,4 кВ для ООО "ДВ Монолит" (п.Смоляниново)</t>
  </si>
  <si>
    <t>АВБбШв 4*70</t>
  </si>
  <si>
    <t>Строительство КЛ 0,4 кВ для КППК "Приморкрайстрой" (с.Покровка)</t>
  </si>
  <si>
    <t>ГНБ - ААБЛлГУ 3*240</t>
  </si>
  <si>
    <t>Строительство КЛ 6 кВ(ГНБ) для Лысенко Н.В. (с.Шмидтовка)</t>
  </si>
  <si>
    <t>АС 50</t>
  </si>
  <si>
    <t>Строительство ВЛ 10 кВ для ООО "Турмалин ДВ" (с.Гвоздево)</t>
  </si>
  <si>
    <t>СИП 50</t>
  </si>
  <si>
    <t>Строительство ВЛ 10 кВ для СНТ "Тихоокеанец-2"</t>
  </si>
  <si>
    <t>СИП 120</t>
  </si>
  <si>
    <t>Строительство ВЛ 0,4 кВ для ИП Виштак (с.Корсаковка)</t>
  </si>
  <si>
    <t>АС-70</t>
  </si>
  <si>
    <t>Строительство ВЛ 10 кВ для ИП Виштак (с.Корсаковка)</t>
  </si>
  <si>
    <t>Строительство ВЛ 6 кВ для СНТ Кирказон</t>
  </si>
  <si>
    <t>АС50-47м (20 кВт), АС95-4077м (160 кВт), СИП70-95 - 176м+2017м (80 кВт)</t>
  </si>
  <si>
    <t>Строительство ВЛ 10 кВ для КППК "Приморкрайстрой" (с.Покровка)</t>
  </si>
  <si>
    <t>СИП 70</t>
  </si>
  <si>
    <t>Строительство ВЛ 0,4 кВ для КППК "Приморкрайстрой" (с.Покровка)</t>
  </si>
  <si>
    <t>Строительство ВЛ 6 кВ для СНТ Калипсо</t>
  </si>
  <si>
    <t>СИП 120 - 2,26 (50 кВт); СИП 70-95 - 1,87 (30 кВт); СИП 35-50 - 0,422 (20 кВт)</t>
  </si>
  <si>
    <t>Строительство ВЛ 0,4 кВ для Администрации Чугуевского МР (с.Чугуевка)</t>
  </si>
  <si>
    <t>2016 г. - для территорий, не относящихсяк городским населенным пунктам</t>
  </si>
  <si>
    <t>ЛЭП 35 кВ Агрокомплекс-Дубки-Ленинское</t>
  </si>
  <si>
    <t>ЛЭП 110 кВ на ПС Ключи</t>
  </si>
  <si>
    <t>ЛЭП 110 кВ на ПС Агрокомплекс</t>
  </si>
  <si>
    <t>РС 10 кВ ТОР Михайловский</t>
  </si>
  <si>
    <t>110/35/10</t>
  </si>
  <si>
    <t>ПС 35 кВ Ленинское</t>
  </si>
  <si>
    <t>35/10</t>
  </si>
  <si>
    <t>ПС 35 кВ Дубки</t>
  </si>
  <si>
    <t>ПС 110 кВ Ключи</t>
  </si>
  <si>
    <t>110/10</t>
  </si>
  <si>
    <t>ПС 110 кВ Агрокомплекс</t>
  </si>
  <si>
    <t>2017 г. - для территорий, не относящихсяк городским населенным пунктам</t>
  </si>
  <si>
    <t>Строительство двух ТП 400 кВа для Чугуевской ЦРБ</t>
  </si>
  <si>
    <t>Строительство ПС 400 кВА для Преображенской БТФ</t>
  </si>
  <si>
    <t>наименование тарифных ставок</t>
  </si>
  <si>
    <t>\</t>
  </si>
  <si>
    <t>110/35/6(10)</t>
  </si>
  <si>
    <t xml:space="preserve">ПС 35/0,4 кВ </t>
  </si>
  <si>
    <t>ПС 35/0,4 кВ</t>
  </si>
  <si>
    <t xml:space="preserve">Сведения о строительстве линий электропередачи при технологическом присоединении энергопринимающих устройств максимальной мощностью менее 8 900 кВт и на уровне напряжения ниже 35 кВ
</t>
  </si>
  <si>
    <t>Зам. главного инженера по перспективному развитию и технологическому присоединению</t>
  </si>
  <si>
    <t>А.С. Боровский</t>
  </si>
  <si>
    <t xml:space="preserve">          (423) 2-211-394, 43-94</t>
  </si>
  <si>
    <t xml:space="preserve"> e-mail: ashamshur@prim.drsk.ru
</t>
  </si>
  <si>
    <t>Начальник ПЭО</t>
  </si>
  <si>
    <t>Н.М. Гелемей</t>
  </si>
  <si>
    <t>Гелемей Н.М.</t>
  </si>
  <si>
    <t>для территорий не относящихсяк городским населенным пунктам</t>
  </si>
  <si>
    <t xml:space="preserve">Распределение необходимой валовой выручки (рублей) </t>
  </si>
  <si>
    <t xml:space="preserve">Ставки для расчета платы по каждому мероприятию (рублей/км) (без учета НДС) в ценах 2019г.
</t>
  </si>
  <si>
    <t xml:space="preserve">Ставки для расчета платы по каждому мероприятию (рублей/км) (без учета НДС) в ценах 2019г
</t>
  </si>
  <si>
    <t>Стандартизированная тарифная ставка платы на покрытие расходов на строительство воздушных линий электропередач в расчете на 1 км линий, С2</t>
  </si>
  <si>
    <t>Стандартизированная тарифная ставка на покрытие расходов на строительство кабельных линий электропередач в расчете на 1 км линий, С3</t>
  </si>
  <si>
    <t xml:space="preserve">Стандартизированные тарифные ставка платы на покрытие расходов на строительство воздушных (С2) и кабельных (С3) линий электропередач в расчете на 1 км линий по филиалу АО "ДРСК" "Приморские электрические сети" на  2019 год
 </t>
  </si>
  <si>
    <t xml:space="preserve"> Приложение 1 </t>
  </si>
  <si>
    <t>Расчет размера расходов, связанных с осуществлением технологического присоединения энергопринимающих устройств максимальной мощностью, не превышающей 15 кВт включительно, не включаемых состав  платы за технологическое присоединение филиала АО "ДРСК " "Приморские электрические сети"</t>
  </si>
  <si>
    <t>(без НДС)</t>
  </si>
  <si>
    <t>инфляция</t>
  </si>
  <si>
    <t>индекс КЛ</t>
  </si>
  <si>
    <t>индекс ВЛ</t>
  </si>
  <si>
    <t>индекс прочие</t>
  </si>
  <si>
    <t xml:space="preserve">№ п/п    </t>
  </si>
  <si>
    <r>
      <t xml:space="preserve">Фактические данные за предыдущий период регулирования 2017 год </t>
    </r>
    <r>
      <rPr>
        <b/>
        <i/>
        <sz val="12"/>
        <rFont val="Times New Roman"/>
        <family val="1"/>
        <charset val="204"/>
      </rPr>
      <t>до 15 кВт</t>
    </r>
  </si>
  <si>
    <r>
      <t xml:space="preserve">Расчетные (фактические) данные за предыдущий период регулирования 2017 год </t>
    </r>
    <r>
      <rPr>
        <b/>
        <i/>
        <sz val="12"/>
        <rFont val="Times New Roman"/>
        <family val="1"/>
        <charset val="204"/>
      </rPr>
      <t>до 15 кВт</t>
    </r>
  </si>
  <si>
    <r>
      <t>Плановые показатели на следующий период регулирования 2019 год</t>
    </r>
    <r>
      <rPr>
        <b/>
        <i/>
        <sz val="12"/>
        <rFont val="Times New Roman"/>
        <family val="1"/>
        <charset val="204"/>
      </rPr>
      <t xml:space="preserve"> до 15 кВт</t>
    </r>
  </si>
  <si>
    <t>ставка платы</t>
  </si>
  <si>
    <t>мощность, длина линий (кВт, км)</t>
  </si>
  <si>
    <t>Сумма</t>
  </si>
  <si>
    <t>стандарт. тариф. ставка (руб./кВт, руб./км)*</t>
  </si>
  <si>
    <t>сумма (тыс. руб.)</t>
  </si>
  <si>
    <t>стандарт. тариф. ставка (руб./кВт, руб./км) **</t>
  </si>
  <si>
    <t>(руб./кВт, руб./км)</t>
  </si>
  <si>
    <t>(в соответствии с актами приемки выполненных работ) (тыс. руб.)</t>
  </si>
  <si>
    <t>Расходы на выполнение организационно-технических мероприятий, связанные с осуществлением технологического присоединения</t>
  </si>
  <si>
    <t>подготовка и выдача сетевой организацией технических условий (ТУ) Заявителю, на уровне напряжения i и (или) диапазоне мощности j</t>
  </si>
  <si>
    <t xml:space="preserve">проверка сетевой организацией выполнения Заявителем ТУ, на уровне напряжения i и (или) диапазоне мощности j </t>
  </si>
  <si>
    <t xml:space="preserve">участие в осмотре должностным лицом органа федерального государственного энергетического надзора при участии сетевой организации и собственника присоединяемых Устройств Заявителя, на уровне напряжения i и (или) диапазоне мощности j </t>
  </si>
  <si>
    <t xml:space="preserve">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положение «включено»), на уровне напряжения i и (или) диапазоне мощности j </t>
  </si>
  <si>
    <t>Расходы по мероприятиям "последней мили", связанные с осуществлением технологического присоединения</t>
  </si>
  <si>
    <t>км</t>
  </si>
  <si>
    <t xml:space="preserve">Строительство кабельных линий электропередач </t>
  </si>
  <si>
    <t xml:space="preserve">КЛ-0,4 кВ  </t>
  </si>
  <si>
    <t>АВБбШв 4х50 - 0,66</t>
  </si>
  <si>
    <t>АВБбШв 4х70 - 0,66</t>
  </si>
  <si>
    <t>АВБбШв 4х95 - 0,66</t>
  </si>
  <si>
    <t>АВБбШв 4х120 - 0,66</t>
  </si>
  <si>
    <t>АВБбШв 4х185 - 0,66</t>
  </si>
  <si>
    <t>АВБбШв 4х240 - 0,66</t>
  </si>
  <si>
    <t xml:space="preserve">КЛ-6(10) кВ </t>
  </si>
  <si>
    <t>АВБбШв 3*50</t>
  </si>
  <si>
    <t>АВБбШв 3*70</t>
  </si>
  <si>
    <t>АВБбШв 3*95</t>
  </si>
  <si>
    <t>АВБбШв 3*120</t>
  </si>
  <si>
    <t>АВБбШв 3*240</t>
  </si>
  <si>
    <t>КЛ-35 кВ 3х120</t>
  </si>
  <si>
    <t>КЛ-110 кВ  3х240</t>
  </si>
  <si>
    <t>Специальный переход, методом ГНБ (КЛ 6 (10) кВ) с кабелем 3*240</t>
  </si>
  <si>
    <t>Специальный переход, методом ГНБ (КЛ 110 кВ) с кабелем 3*240</t>
  </si>
  <si>
    <t xml:space="preserve">Строительство воздушных линий электропередач </t>
  </si>
  <si>
    <t xml:space="preserve"> ВЛ-0,4 кВ</t>
  </si>
  <si>
    <t>АС-35</t>
  </si>
  <si>
    <t>АС-50</t>
  </si>
  <si>
    <t>СИП-2 3х35+1х50</t>
  </si>
  <si>
    <t>СИП-2 3х50+1х70</t>
  </si>
  <si>
    <t>СИП-2 3х70+1х95</t>
  </si>
  <si>
    <t>СИП-2 3х95+1х95</t>
  </si>
  <si>
    <t>СИП-2 3х120+1х95</t>
  </si>
  <si>
    <t xml:space="preserve">ВЛ-6(10) кВ </t>
  </si>
  <si>
    <t>АС-35/6,2</t>
  </si>
  <si>
    <t>АС-50/8</t>
  </si>
  <si>
    <t>АС-70/11</t>
  </si>
  <si>
    <t>АС-95/16</t>
  </si>
  <si>
    <t>СИП-3 1х50</t>
  </si>
  <si>
    <t>СИП-3 1х70</t>
  </si>
  <si>
    <t>СИП-3 1х95</t>
  </si>
  <si>
    <t xml:space="preserve">ВЛ-35 кВ </t>
  </si>
  <si>
    <t>АС-120</t>
  </si>
  <si>
    <t>АС-150</t>
  </si>
  <si>
    <t xml:space="preserve">ВЛ-110 кВ  </t>
  </si>
  <si>
    <t>АС-185</t>
  </si>
  <si>
    <t>АС-240</t>
  </si>
  <si>
    <t>Реклоузер на ВЛ 10 (6) кВ</t>
  </si>
  <si>
    <t>Реклоузер на ВЛ 35  кВ</t>
  </si>
  <si>
    <t>Строительство подстанций ТП 10(6)/0,4 кВ наружной установки мачтового, столбового типов, с мощностью трансформаторов:</t>
  </si>
  <si>
    <t>1х 25 кВА</t>
  </si>
  <si>
    <t>1х 40 кВА</t>
  </si>
  <si>
    <t>1х 63 кВА</t>
  </si>
  <si>
    <t>1х 100 кВА</t>
  </si>
  <si>
    <t>1х160 кВА</t>
  </si>
  <si>
    <t>Строительство подстанций ТП 10(6)/0,4 кВ киоскового типа, с мощностью трансформаторов:</t>
  </si>
  <si>
    <t>1х 160 кВА</t>
  </si>
  <si>
    <t>1х 250 кВА</t>
  </si>
  <si>
    <t>1х 400 кВА</t>
  </si>
  <si>
    <t>1х 630 кВА</t>
  </si>
  <si>
    <t>1х 1000 кВА</t>
  </si>
  <si>
    <t>2х 160 кВА</t>
  </si>
  <si>
    <t>2х 250 кВА</t>
  </si>
  <si>
    <t>2х 400 кВА</t>
  </si>
  <si>
    <t>2х 630 кВА</t>
  </si>
  <si>
    <t>2х 1000 кВА</t>
  </si>
  <si>
    <t>2х 1250 кВА</t>
  </si>
  <si>
    <t>Строительство подстанций ТП 10(6)/0,4 кВ блочного типа (бетонные, сэндвич-панели), с мощностью трансформаторов:</t>
  </si>
  <si>
    <t>2х 1600 кВА</t>
  </si>
  <si>
    <t>2х 2500 кВА</t>
  </si>
  <si>
    <t>Строительство распределительных трансформаторных пунктов 10 (6) кВ</t>
  </si>
  <si>
    <t>2х250 кВА</t>
  </si>
  <si>
    <t>Строительство комплектных подстанций ПС 35/0,4 кВ, с мощностью трансформаторов:</t>
  </si>
  <si>
    <t xml:space="preserve">Строительство открытых подстанций ПС 35/10(6) кВ </t>
  </si>
  <si>
    <t xml:space="preserve">Схема РУ 35 кВ - Мостик с выключателями в цепях линий (трансформаторов) и ремонтной перемычкой (35-5(А)Н), с мощностью трансформаторов  </t>
  </si>
  <si>
    <t>2 х 4 МВА</t>
  </si>
  <si>
    <t>2 х 6,3 МВА</t>
  </si>
  <si>
    <t>2 х 10 МВА</t>
  </si>
  <si>
    <t>2 х 16 МВА</t>
  </si>
  <si>
    <t xml:space="preserve">Строительство открытых подстанций ПС 110/10(6) кВ </t>
  </si>
  <si>
    <t>Схема РУ 110 кВ – Блок линия-трансформатор с выключателем (110-3Н), с мощностью трансформаторов:</t>
  </si>
  <si>
    <t>1 х 10 МВА</t>
  </si>
  <si>
    <t>1 х 16 МВА</t>
  </si>
  <si>
    <t>1 х 25 МВА</t>
  </si>
  <si>
    <t>1 х 40 МВА</t>
  </si>
  <si>
    <t>1 х 4 МВА</t>
  </si>
  <si>
    <t>Схема РУ-110 кВ - Мостик с выключателями в цепях  линий (трансформаторов) и ремонтной перемычкой (110-5(А)Н) / Два блока с выключателем и неавтоматической перемычкой со стороны линии, с мощностью трансформаторов:</t>
  </si>
  <si>
    <t>2 х 16 МВА</t>
  </si>
  <si>
    <t>2 х 25 МВА</t>
  </si>
  <si>
    <t>2 х 40 МВА</t>
  </si>
  <si>
    <t>Строительство распределительных  пунктов 10 (6) кВ</t>
  </si>
  <si>
    <r>
      <rPr>
        <sz val="12"/>
        <rFont val="Times New Roman"/>
        <family val="1"/>
        <charset val="204"/>
      </rPr>
      <t xml:space="preserve">3 МВА     </t>
    </r>
    <r>
      <rPr>
        <sz val="12"/>
        <color indexed="10"/>
        <rFont val="Times New Roman"/>
        <family val="1"/>
        <charset val="204"/>
      </rPr>
      <t xml:space="preserve">                      7 ячеек</t>
    </r>
  </si>
  <si>
    <r>
      <rPr>
        <sz val="12"/>
        <rFont val="Times New Roman"/>
        <family val="1"/>
        <charset val="204"/>
      </rPr>
      <t xml:space="preserve">5 МВА     </t>
    </r>
    <r>
      <rPr>
        <sz val="12"/>
        <color indexed="10"/>
        <rFont val="Times New Roman"/>
        <family val="1"/>
        <charset val="204"/>
      </rPr>
      <t xml:space="preserve">                      14 ячеек</t>
    </r>
  </si>
  <si>
    <r>
      <rPr>
        <sz val="12"/>
        <rFont val="Times New Roman"/>
        <family val="1"/>
        <charset val="204"/>
      </rPr>
      <t xml:space="preserve">7 МВА     </t>
    </r>
    <r>
      <rPr>
        <sz val="12"/>
        <color indexed="10"/>
        <rFont val="Times New Roman"/>
        <family val="1"/>
        <charset val="204"/>
      </rPr>
      <t xml:space="preserve">                      28 ячеек</t>
    </r>
  </si>
  <si>
    <t xml:space="preserve">Суммарный размер платы за технологическое присоединение </t>
  </si>
  <si>
    <r>
      <t>[п.3.1 * п.3.2 / 1000]</t>
    </r>
    <r>
      <rPr>
        <b/>
        <sz val="10"/>
        <rFont val="Times New Roman"/>
        <family val="1"/>
        <charset val="204"/>
      </rPr>
      <t>:</t>
    </r>
  </si>
  <si>
    <t>Размер платы за технологическое присоединение (руб. без НДС)</t>
  </si>
  <si>
    <t xml:space="preserve">Плановое количество договоров на осуществление технологическое присоединение к электрическим сетям (плановое количество членов объединений (организаций), указанных в п.18 Методических указаний по определению размера платы за технологическое присоединение, утвержденных приказом ФСТ России от 11 сентября 2012 г. № 209-э/1) (шт.) </t>
  </si>
  <si>
    <r>
      <t>Размер расходов, связанных с осуществлением технологического присоединения</t>
    </r>
    <r>
      <rPr>
        <b/>
        <sz val="14"/>
        <rFont val="Times New Roman"/>
        <family val="1"/>
        <charset val="204"/>
      </rPr>
      <t xml:space="preserve"> </t>
    </r>
    <r>
      <rPr>
        <b/>
        <sz val="12"/>
        <rFont val="Times New Roman"/>
        <family val="1"/>
        <charset val="204"/>
      </rPr>
      <t>к электрическим сетям, не включаемых в состав платы за технологическое присоединение                                     (п.1 + п.2 – п.3)</t>
    </r>
  </si>
  <si>
    <t xml:space="preserve">&lt;Письмо&gt; Минстроя России от 05.12.2017 N 45082-ХМ/09
(с изм. от 26.12.2017)
&lt;Об индексах изменения сметной стоимости строительства в IV квартале 2017 года&gt;
</t>
  </si>
  <si>
    <t>стало</t>
  </si>
  <si>
    <t>было</t>
  </si>
  <si>
    <t>Начальник службы технологического присоединения</t>
  </si>
  <si>
    <t>Чернов С.В.</t>
  </si>
  <si>
    <t>Н.М.Гелемей</t>
  </si>
  <si>
    <r>
      <t>Примечание:</t>
    </r>
    <r>
      <rPr>
        <sz val="12"/>
        <rFont val="Times New Roman"/>
        <family val="1"/>
        <charset val="204"/>
      </rPr>
      <t xml:space="preserve"> </t>
    </r>
  </si>
  <si>
    <r>
      <t>1)</t>
    </r>
    <r>
      <rPr>
        <sz val="7"/>
        <rFont val="Times New Roman"/>
        <family val="1"/>
        <charset val="204"/>
      </rPr>
      <t xml:space="preserve">                       </t>
    </r>
    <r>
      <rPr>
        <sz val="12"/>
        <rFont val="Times New Roman"/>
        <family val="1"/>
        <charset val="204"/>
      </rPr>
      <t xml:space="preserve">Для расчета плановых показателей на следующий период регулирования используются значения стандартизированных тарифных ставок, утвержденных органом исполнительной власти субъекта Российской Федерации в области государственного регулирования тарифов; </t>
    </r>
  </si>
  <si>
    <t>Для определения фактических данных за предыдущий период регулирования используются значения объема максимальной мощности и длины линий (ст. 4) и суммы (ст. 5) на основании фактических данных за предыдущий период регулирования на основании выполненных договоров и актов приемки выполненных работ на технологическое присоединение;</t>
  </si>
  <si>
    <t xml:space="preserve">2) Для определения расчетных (фактических) показателей за предыдущий период регулирования  используются значения стандартизированных тарифных ставок, утвержденных органом исполнительной власти субъекта Российской Федерации в области государственного регулирования тарифов, и объема максимальной мощности и длины линий (ст. 4), определенных на основании фактических данных за предыдущий год на основании выполненных договоров на технологическое присоединение в предыдущем периоде регулирования; </t>
  </si>
  <si>
    <t>3) Плановое количество договоров об осуществлении технологического присоединения к электрическим сетям (п. 3.2) определяется на основании фактических средних данных по выполненным договорам об осуществлении технологического присоединения к электрическим сетям за три предыдущих года, но не ниже документально подтвержденного количества заявок на технологическое присоединение, поданных на следующий период регулирования. Сетевые организации указывают в виде примечания к представляемой в регулирующий орган таблице информацию о всех фактических параметрах за каждый год трехлетнего периода, которые были использованы для расчета планового количества договоров об осуществлении технологического присоединения к электрическим сетям на следующий период регулирования. В случае если фактические средние данные за три предыдущих года отсутствуют, плановое количество договоров об осуществлении технологического присоединения к электрическим сетям (п. 3.2) определяется на основании фактических средних данных по выполненным договорам об осуществлении технологического присоединения к электрическим сетям  за два предыдущих года, а в случае отсутствия данных за два года - за предыдущий год;</t>
  </si>
  <si>
    <t>4) При расчете плановой величины суммарного размера платы за технологическое присоединение (п. 3) в отношении объединений (организаций) в п. 3.2 указывается плановое количество членов объединений (организаций), указанных в п.18 Методических указаний по определению размера платы за технологическое присоединение, утвержденных приказом ФСТ России от 11 сентября 2012 г. № 209-э/1, которое определяется на основании фактических средних данных по заключенным договорам об осуществлении технологического присоединения к электрическим сетям за три предыдущих года с указанными заявителями (при отсутствии фактических средних данных за три предыдущих года – за два предыдущих года, а в случае отсутствия данных за два года - за предыдущий год), но не ниже количества членов объединений (организаций), определенных на основании документально подтвержденных заявок на технологическое присоединение, поступивших на следующий период регулирования. Сетевые организации указывают в виде примечания к представляемой в регулирующий орган таблице информацию о всех фактических параметрах за каждый год трехлетнего периода, которые были использованы для расчета планового количества договоров об осуществлении технологического присоединения к электрическим сетям на следующий период регулирования;</t>
  </si>
  <si>
    <t>5) Плановые значения объема максимальной мощности и длины линий (ст. 10) определяются на основании фактических средних данных за три предыдущих года (при отсутствии фактических средних данных за три предыдущих года – за два предыдущих года, а в случае отсутствия данных за два года - за предыдущий год), но не ниже документально подтвержденной величины объема максимальной мощности и длины линий, определенной на основании заявок на технологическое присоединение, поданных на следующий период регулирования. Сетевые организации указывают в виде примечания к представляемой в регулирующий орган таблице информацию о фактических параметрах за каждый год трехлетнего периода, которые были использованы для расчета планового значения объема максимальной мощности и длины линий на следующий период регулирования;</t>
  </si>
  <si>
    <t>6) Расходы по мероприятиям "последней мили", связанные с осуществлением технологического присоединения (п. 2.1-2.5), включают в себя расходы на разработку сетевой организацией проектной документации по мероприятиям "последней мили";</t>
  </si>
  <si>
    <r>
      <t>7</t>
    </r>
    <r>
      <rPr>
        <sz val="12"/>
        <rFont val="Times New Roman"/>
        <family val="1"/>
        <charset val="204"/>
      </rPr>
      <t xml:space="preserve">) При расчете размера расходов по мероприятиям "последней мили", связанных с осуществлением технологического присоединения: </t>
    </r>
  </si>
  <si>
    <t xml:space="preserve">ст. 3 (п. 2.1-2.5) применяется в качестве делителя тот индекс изменения сметной стоимости по строительно-монтажным работам для субъекта Российской Федерации (Zизм.ст), который использовался  при определении размера платы за технологическое присоединение, в отношении которого определяется размер выпадающих доходов; </t>
  </si>
  <si>
    <t>ст. 8 (п. 2.1-2.5) применяется в качестве множителя тот индекс изменения сметной стоимости по строительно-монтажным работам для субъекта Российской Федерации (Zизм.ст), который использовался при определении размера платы за технологическое присоединение, в отношении которого определяется размер выпадающих доходов;</t>
  </si>
  <si>
    <t>ст. 11 (п. 2.1-2.5) применяется в качестве множителя индекс изменения сметной стоимости по строительно-монтажным работам для субъекта Российской Федерации за последний отчетный квартал (Zизм.ст);</t>
  </si>
  <si>
    <t>8) В п. 3.1 заполняется без НДС величина платы, утвержденная органом исполнительной власти субъекта Российской Федерации в области государственного регулирования тарифов в отношении заявителей, подавших заявку в целях технологического присоединения энергопринимающих устройств максимальной мощности, не превышающей 15 кВт включительно, при присоединении объектов, отнесенных к третьей категории надежности при условии, что расстояние от границ участка заявителя до объектов электросетевого хозяйства необходимого заявителю уровня напряжения сетевой организации, в которую подана заявка, составляет не более 300 метров в городах и поселка городского типа и не более 500 метров в сельской местности;</t>
  </si>
  <si>
    <t>9) В случае если органом исполнительной власти субъекта Российской Федерации в области государственного регулирования тарифов утверждены стандартизированные тарифные ставки с разбивкой по категориям потребителей, уровням напряжения электрических сетей, к которым осуществляется технологическое присоединение, и (или) объемам присоединенной максимальной мощности, то указанная таблица расширяется с учетом такой дифференциации;</t>
  </si>
  <si>
    <t xml:space="preserve">10) При представлении сетевой организацией в орган исполнительной власти субъекта Российской Федерации в области государственного регулирования тарифов расчета планируемого размера расходов, связанных с осуществлением технологического присоединения, не включаемых в состав платы за технологическое присоединение, одновременно с материалами, необходимыми для расчета размера платы за технологическое присоединение, в указанной таблице подлежат заполнению столбцы с фактическими данными за предыдущий период регулирования (ст. 3, 4, 5), расчетными (фактическими) данными за предыдущий период регулирования (ст. 6, 7, 8) и плановыми показателями на следующий период регулирования (ст. 9, 10, 11). </t>
  </si>
  <si>
    <t xml:space="preserve">11) В случае если расходы сетевой организации за предыдущий период регулирования, связанные с осуществлением технологического присоединения энергопринимающих устройств максимальной мощности, не превышающей 15 кВт включительно, при присоединении объектов, отнесенных к третьей категории надежности при условии, что расстояние от границ участка заявителя до объектов электросетевого хозяйства необходимого заявителю уровня напряжения сетевой организации, в которую подана заявка, составляет не более 300 метров в городах и поселка городского типа и не более 500 метров в сельской местности (п. 4, ст.8), превышают размер средств, рассчитанный с применением  стандартизированных тарифных ставок, утвержденных органом исполнительной власти субъекта Российской Федерации в области государственного регулирования тарифов (п.4 , ст. 5), величина превышения подлежит исключению из размера расходов, связанных с осуществлением технологического присоединения к электрическим сетям, не включаемых в состав платы за технологическое присоединение (п.4, ст. 11). </t>
  </si>
  <si>
    <t>&lt;Письмо&gt; Минстроя России от 13.08.2015 N 25760-ЮР/08</t>
  </si>
  <si>
    <t>(с изм. от 10.09.2015)</t>
  </si>
  <si>
    <t>&lt;Об индексах изменения сметной стоимости строительно-монтажных работ, индексах изменения сметной стоимости проектных и изыскательских работ и иных индексах на III квартал 2015 года&gt;</t>
  </si>
  <si>
    <t xml:space="preserve"> Приложение 2 </t>
  </si>
  <si>
    <t>Расчет размера расходов, связанных с предоставлением беспроцентной рассрочки филиала АО "ДРСК " "Приморские электрические сети"</t>
  </si>
  <si>
    <t>Таблица 1. Расчет суммарного размера платы за технологическое присоединение, подлежащего беспроцентной рассрочке</t>
  </si>
  <si>
    <t>Показатель</t>
  </si>
  <si>
    <t>Фактические данные за предыдущий период регулирования (2017), с НДС</t>
  </si>
  <si>
    <t>Ожидаемые данные за текущий период регулирования (2018г.), с НДС</t>
  </si>
  <si>
    <t>Плановые показатели на следующий период регулирования (2019г.), с НДС</t>
  </si>
  <si>
    <t>1кв.</t>
  </si>
  <si>
    <t>2кв.</t>
  </si>
  <si>
    <t>3кв.</t>
  </si>
  <si>
    <t>4кв.</t>
  </si>
  <si>
    <t>всего за год</t>
  </si>
  <si>
    <t>Суммарный размер платы за технологическое присоединение, тыс.руб., в т.ч.:</t>
  </si>
  <si>
    <t xml:space="preserve">Суммарный размер платы за технологическое присоединение, подлежащий беспроцентной рассрочке </t>
  </si>
  <si>
    <t>Таблица 2. Расчет размера расходов, связанных с предоставлением беспроцентной рассрочки (для конкретного заявителя)</t>
  </si>
  <si>
    <t>Ставка ЦБ на 30.03.18</t>
  </si>
  <si>
    <t>Уссурийская центральная городская больница КГБУЗ, дог. 14-4378</t>
  </si>
  <si>
    <t>Сумма по договору 156,40462 тыс.руб.</t>
  </si>
  <si>
    <t>Подключение 30.09.2015</t>
  </si>
  <si>
    <t xml:space="preserve">№ п/п </t>
  </si>
  <si>
    <t>Квартал, на который рассчитывается размер расходов, связанных с предоставлением беспроцентной рассрочки</t>
  </si>
  <si>
    <t>Расходы, связанные с предоставлением беспроцентной рассрочки, тыс.руб. (с НДС)</t>
  </si>
  <si>
    <t>в отношении суммарного размера платы за ТП в 1 квартале</t>
  </si>
  <si>
    <t>в отношении суммарного размера платы за ТП во 2 квартале</t>
  </si>
  <si>
    <t>в отношении суммарного размера платы за ТП в 3 квартале</t>
  </si>
  <si>
    <t>в отношении суммарного размера платы за ТП в 4 квартале</t>
  </si>
  <si>
    <t>Всего в год</t>
  </si>
  <si>
    <t xml:space="preserve"> 1 год (2016 г.)</t>
  </si>
  <si>
    <t>1 квартал</t>
  </si>
  <si>
    <t>2 квартал</t>
  </si>
  <si>
    <t>3 квартал</t>
  </si>
  <si>
    <t>4 квартал</t>
  </si>
  <si>
    <t>2 год (2017 г.)</t>
  </si>
  <si>
    <t>5 квартал</t>
  </si>
  <si>
    <t>6 квартал</t>
  </si>
  <si>
    <t>7 квартал</t>
  </si>
  <si>
    <t>8 квартал</t>
  </si>
  <si>
    <t>3 год (2018 г.)</t>
  </si>
  <si>
    <t>9 квартал</t>
  </si>
  <si>
    <t>10 квартал</t>
  </si>
  <si>
    <t>11 квартал</t>
  </si>
  <si>
    <t>3.4.</t>
  </si>
  <si>
    <t>12 квартал</t>
  </si>
  <si>
    <t>без НДС, тыс.руб.</t>
  </si>
  <si>
    <t>Кировская ЦРБ КГБУЗ, дог. 15-3503</t>
  </si>
  <si>
    <t>Сумма по договору 201,60927 тыс.руб.</t>
  </si>
  <si>
    <t>Подключение 25.04.2016</t>
  </si>
  <si>
    <t xml:space="preserve"> 1 год (2015 г.)</t>
  </si>
  <si>
    <t>2 год (2016 г.)</t>
  </si>
  <si>
    <t>3 год (2017 г.)</t>
  </si>
  <si>
    <t>4 год (2018 г.)</t>
  </si>
  <si>
    <t>4.3.</t>
  </si>
  <si>
    <t>4.4.</t>
  </si>
  <si>
    <t>Кировская ЦРБ КГБУЗ, дог. 15-3504</t>
  </si>
  <si>
    <t>Сумма по договору 341,42742 тыс.руб.</t>
  </si>
  <si>
    <t>Столбоушкин О.Б. ИП, дог. 15-1018</t>
  </si>
  <si>
    <t>Сумма по договору 993,82542 тыс.руб.</t>
  </si>
  <si>
    <t>Подключение 23.06.2016</t>
  </si>
  <si>
    <t>1 год (2016 г.)</t>
  </si>
  <si>
    <t>Беликов А.В. ИП, дог. 15-5179</t>
  </si>
  <si>
    <t>Сумма по договору 393,94052 тыс.руб.</t>
  </si>
  <si>
    <t>ТП 22.01.18</t>
  </si>
  <si>
    <t>Павлюк П.В. ИП, дог. 16-794</t>
  </si>
  <si>
    <t>Сумма по договору 137,34643 тыс.руб.</t>
  </si>
  <si>
    <t>Подключение 10.08.2016</t>
  </si>
  <si>
    <t>4 год (2019 г.)</t>
  </si>
  <si>
    <t>Детский сад № 12 Лесозаводского городского округа МДОБУ, дог. 16-248</t>
  </si>
  <si>
    <t>Сумма по договору 531,04087 тыс.руб.</t>
  </si>
  <si>
    <t>Подключение 22.08.2016</t>
  </si>
  <si>
    <t>КФХ Спиридогова Юлия Ильфатовна, дог. 16-1343ц</t>
  </si>
  <si>
    <t>Сумма по договору 211,2978 тыс.руб.</t>
  </si>
  <si>
    <t>Подключение 03.07.2017</t>
  </si>
  <si>
    <t>1 год (2017 г.)</t>
  </si>
  <si>
    <t>2 год (2018 г.)</t>
  </si>
  <si>
    <t>3 год (2019 г.)</t>
  </si>
  <si>
    <t>4 год (2020 г.)</t>
  </si>
  <si>
    <t xml:space="preserve">Керимов Т.М.О.КФХ, дог. 16-1663ц </t>
  </si>
  <si>
    <t>Сумма по договору 303,80477 тыс.руб.</t>
  </si>
  <si>
    <t>Подключение 06.09.2017</t>
  </si>
  <si>
    <t>Шамрай А.Г. КФХ, дог. 16-2106</t>
  </si>
  <si>
    <t>Сумма по договору 663,71118 тыс.руб.</t>
  </si>
  <si>
    <t>Подключение 24.03.2017</t>
  </si>
  <si>
    <t>Шуляпченко В.Б., дог. 16-2679</t>
  </si>
  <si>
    <t>Сумма по договору 473,73999 тыс.руб.</t>
  </si>
  <si>
    <t>Подключение 10.07.2017</t>
  </si>
  <si>
    <t>Алиаббасова К.А.К., дог. 16-1321</t>
  </si>
  <si>
    <t>Сумма по договору 802,31118 тыс.руб.</t>
  </si>
  <si>
    <t>Маковкин В.М. ИП, дог. 17-1183</t>
  </si>
  <si>
    <t>Сумма по договору 853,05354 тыс.руб.</t>
  </si>
  <si>
    <t>ТП 12.03.18</t>
  </si>
  <si>
    <t>1 год (2018 г.)</t>
  </si>
  <si>
    <t>2 год (2019 г.)</t>
  </si>
  <si>
    <t>3 год (2020 г.)</t>
  </si>
  <si>
    <t>Рябинина Е.С.ИП, дог. 17-3660</t>
  </si>
  <si>
    <t>Сумма по договору 27,85307 тыс.руб.</t>
  </si>
  <si>
    <t>ТП 25.12.17</t>
  </si>
  <si>
    <t>4 год (2021 г.)</t>
  </si>
  <si>
    <t>Кудря В.С.КФХ, дог. 17-2421</t>
  </si>
  <si>
    <t>Сумма по договору 663,16046 тыс.руб.</t>
  </si>
  <si>
    <t>ожидаемое ТП 12.09.18</t>
  </si>
  <si>
    <t xml:space="preserve"> 1 год (2018 г.)</t>
  </si>
  <si>
    <t>Аббасов И.Г.О. КФХ, дог. 17-2526</t>
  </si>
  <si>
    <t>Сумма по договору 354,96588 тыс.руб.</t>
  </si>
  <si>
    <t>ожидаемое ТП 02.10.18</t>
  </si>
  <si>
    <t>1 год (2019 г.)</t>
  </si>
  <si>
    <t>2 год (2020 г.)</t>
  </si>
  <si>
    <t>3 год (2021 г.)</t>
  </si>
  <si>
    <t>Новик ДВ ООО, дог. 17-2423</t>
  </si>
  <si>
    <t>Сумма по договору 1224,55345 тыс.руб.</t>
  </si>
  <si>
    <t>ожидаемое ТП 13.07.18</t>
  </si>
  <si>
    <t>Качмар ЮСКФХ, дог. 17-1265</t>
  </si>
  <si>
    <t>Сумма по договору 482,45002 тыс.руб.</t>
  </si>
  <si>
    <t>ожидаемое ТП 16.06.18</t>
  </si>
  <si>
    <t>Итого без НДС, в том числе:</t>
  </si>
  <si>
    <t>на 2019г.</t>
  </si>
  <si>
    <t>на 2020г.</t>
  </si>
  <si>
    <t>на 2021г.</t>
  </si>
  <si>
    <t>Начальник ФО</t>
  </si>
  <si>
    <t>Е.М. Зацепилина</t>
  </si>
  <si>
    <t>Булгакова И.М.</t>
  </si>
  <si>
    <t xml:space="preserve">          (423) 2-211-387, 43-87</t>
  </si>
  <si>
    <t xml:space="preserve"> e-mail: bulgakova@prim.drsk.ru
</t>
  </si>
  <si>
    <t xml:space="preserve"> Приложение 3</t>
  </si>
  <si>
    <t>Расчет размера расходов, связанных с осуществлением</t>
  </si>
  <si>
    <t>технологического присоединения к электрическим сетям</t>
  </si>
  <si>
    <t>энергопринимающих устройств максимальной мощностью</t>
  </si>
  <si>
    <t>от 15 кВт до 150 кВт включительно, не включаемых в состав</t>
  </si>
  <si>
    <t>платы за технологическое присоединение</t>
  </si>
  <si>
    <t>филиала АО "ДРСК " "Приморские электрические сети"</t>
  </si>
  <si>
    <t>Расчетные (фактические) данные за предыдущий период регулирования 2017г.</t>
  </si>
  <si>
    <t>ставка платы (руб./кВт, руб./км)</t>
  </si>
  <si>
    <t>Сумма (в соответствии с актами приемки выполненных работ) (тыс. руб.)</t>
  </si>
  <si>
    <t>стандарт, тариф, ставка (руб./кВт, руб./км)*</t>
  </si>
  <si>
    <t>стандарт, тариф, ставка (руб./кВт, руб./км)**</t>
  </si>
  <si>
    <t>3 МВА                           7 ячеек</t>
  </si>
  <si>
    <t>5 МВА                           14 ячеек</t>
  </si>
  <si>
    <t>7 МВА                           28 ячеек</t>
  </si>
  <si>
    <r>
      <t>Суммарный размер платы за технологическое присоединение в части мероприятий "последней мили"</t>
    </r>
    <r>
      <rPr>
        <b/>
        <sz val="10"/>
        <rFont val="Arial"/>
        <family val="2"/>
        <charset val="204"/>
      </rPr>
      <t>:</t>
    </r>
  </si>
  <si>
    <t>х</t>
  </si>
  <si>
    <t>С 1 октября 2017 г. в состав платы за технологическое присоединение энергопринимающих устройств максимальной мощностью не более чем 150 кВт не включаются расходы, связанные со строительством объектов электросетевого хозяйства от существующих объектов электросетевого хозяйства до присоединяемых энергопринимающих устройств и (или) объектов электроэнергетики.</t>
  </si>
  <si>
    <r>
      <t>Размер расходов по мероприятиям "последней мили", связанных с осуществлением технологического присоединения к электрическим сетям, не включаемых в плату за технологическое присоединение [</t>
    </r>
    <r>
      <rPr>
        <b/>
        <sz val="10"/>
        <color indexed="12"/>
        <rFont val="Arial"/>
        <family val="2"/>
        <charset val="204"/>
      </rPr>
      <t>п. 1</t>
    </r>
    <r>
      <rPr>
        <b/>
        <sz val="10"/>
        <rFont val="Arial"/>
        <family val="2"/>
        <charset val="204"/>
      </rPr>
      <t xml:space="preserve"> - </t>
    </r>
    <r>
      <rPr>
        <b/>
        <sz val="10"/>
        <color indexed="12"/>
        <rFont val="Arial"/>
        <family val="2"/>
        <charset val="204"/>
      </rPr>
      <t>п. 2</t>
    </r>
    <r>
      <rPr>
        <b/>
        <sz val="10"/>
        <rFont val="Arial"/>
        <family val="2"/>
        <charset val="204"/>
      </rPr>
      <t>]</t>
    </r>
  </si>
  <si>
    <t>x</t>
  </si>
  <si>
    <t>* Письмо Минстроя России от 09.12.2016 № 41695-ХМ/09 "Об индексах изменения сметной стоимости строительно-монтажных и пусконаладочных работ, индексах изменения сметной стоимости проектных и изыскательских работ и иных индексах на IV квартал 2016 года"</t>
  </si>
  <si>
    <t xml:space="preserve">** Письмо Минстроя России от 05.10.2017 № 35948-ХМ/09 "О рекомендуемой величине прогнозных индексов изменения сметной стоимости строительства в III квартале 2017 года"
</t>
  </si>
  <si>
    <t>Стрельцова В.В.   (423) 2-211-356, 43-56</t>
  </si>
  <si>
    <t>Фактические данные за предыдущий период регулирования 2017г.</t>
  </si>
  <si>
    <t>Плановые показатели на следующий период регулирования 2019г.</t>
  </si>
  <si>
    <t>для постоянной (временной) схемы электроснабжения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</si>
</sst>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3" formatCode="_-* #,##0.00\ _₽_-;\-* #,##0.00\ _₽_-;_-* &quot;-&quot;??\ _₽_-;_-@_-"/>
    <numFmt numFmtId="164" formatCode="_-* #,##0.00&quot;р.&quot;_-;\-* #,##0.00&quot;р.&quot;_-;_-* &quot;-&quot;??&quot;р.&quot;_-;_-@_-"/>
    <numFmt numFmtId="165" formatCode="_-* #,##0.00_р_._-;\-* #,##0.00_р_._-;_-* &quot;-&quot;??_р_._-;_-@_-"/>
    <numFmt numFmtId="166" formatCode="General_)"/>
    <numFmt numFmtId="167" formatCode="_(&quot;р.&quot;* #,##0.00_);_(&quot;р.&quot;* \(#,##0.00\);_(&quot;р.&quot;* &quot;-&quot;??_);_(@_)"/>
    <numFmt numFmtId="168" formatCode="_(* #,##0.00_);_(* \(#,##0.00\);_(* &quot;-&quot;??_);_(@_)"/>
    <numFmt numFmtId="169" formatCode="&quot;$&quot;#,##0_);[Red]\(&quot;$&quot;#,##0\)"/>
    <numFmt numFmtId="170" formatCode="#,##0_);[Red]\(#,##0\)"/>
    <numFmt numFmtId="171" formatCode="#,##0_);\(#,##0\)"/>
    <numFmt numFmtId="172" formatCode="[&lt;=9999999]###\-####;\+#_ \(###\)\ ###\-####"/>
    <numFmt numFmtId="173" formatCode="#,##0.0"/>
    <numFmt numFmtId="174" formatCode="0.0"/>
    <numFmt numFmtId="175" formatCode="_-* #,##0.00[$€-1]_-;\-* #,##0.00[$€-1]_-;_-* &quot;-&quot;??[$€-1]_-"/>
    <numFmt numFmtId="176" formatCode="0.0%"/>
    <numFmt numFmtId="177" formatCode="0.0%_);\(0.0%\)"/>
    <numFmt numFmtId="178" formatCode="#.##0\.00"/>
    <numFmt numFmtId="179" formatCode="#\.00"/>
    <numFmt numFmtId="180" formatCode="_-* #,##0.00_-;_-* #,##0.00\-;_-* &quot;-&quot;??_-;_-@_-"/>
    <numFmt numFmtId="181" formatCode="#\."/>
    <numFmt numFmtId="182" formatCode="_-* #,##0&quot;đ.&quot;_-;\-* #,##0&quot;đ.&quot;_-;_-* &quot;-&quot;&quot;đ.&quot;_-;_-@_-"/>
    <numFmt numFmtId="183" formatCode="_-* #,##0.00&quot;đ.&quot;_-;\-* #,##0.00&quot;đ.&quot;_-;_-* &quot;-&quot;??&quot;đ.&quot;_-;_-@_-"/>
    <numFmt numFmtId="184" formatCode="\$#,##0\ ;\(\$#,##0\)"/>
    <numFmt numFmtId="185" formatCode="&quot; &quot;#,##0.00&quot;    &quot;;&quot;-&quot;#,##0.00&quot;    &quot;;&quot; -&quot;#&quot;    &quot;;@&quot; &quot;"/>
    <numFmt numFmtId="186" formatCode="#,##0_);[Blue]\(#,##0\)"/>
    <numFmt numFmtId="187" formatCode="_-* #,##0_đ_._-;\-* #,##0_đ_._-;_-* &quot;-&quot;_đ_._-;_-@_-"/>
    <numFmt numFmtId="188" formatCode="_-* #,##0.00_đ_._-;\-* #,##0.00_đ_._-;_-* &quot;-&quot;??_đ_._-;_-@_-"/>
    <numFmt numFmtId="189" formatCode="#,##0.000"/>
    <numFmt numFmtId="190" formatCode="_-* #,##0\ _р_._-;\-* #,##0\ _р_._-;_-* &quot;-&quot;\ _р_._-;_-@_-"/>
    <numFmt numFmtId="191" formatCode="_-* #,##0.00\ _р_._-;\-* #,##0.00\ _р_._-;_-* &quot;-&quot;??\ _р_._-;_-@_-"/>
    <numFmt numFmtId="192" formatCode="_-* #,##0.00_р_._-;\-* #,##0.00_р_._-;_-* \-??_р_._-;_-@_-"/>
    <numFmt numFmtId="193" formatCode="#,##0_ ;\-#,##0\ "/>
    <numFmt numFmtId="194" formatCode="_-* #,##0.00\ _S_I_T_-;\-* #,##0.00\ _S_I_T_-;_-* &quot;-&quot;??\ _S_I_T_-;_-@_-"/>
    <numFmt numFmtId="195" formatCode="_-* #,##0.00&quot;р.&quot;_-;\-* #,##0.00&quot;р.&quot;_-;_-* \-??&quot;р.&quot;_-;_-@_-"/>
    <numFmt numFmtId="196" formatCode="_-* #,##0_-;\-* #,##0_-;_-* \-_-;_-@_-"/>
    <numFmt numFmtId="197" formatCode="_-* #,##0.00_-;\-* #,##0.00_-;_-* \-??_-;_-@_-"/>
    <numFmt numFmtId="198" formatCode="\$#,##0_);[Red]&quot;($&quot;#,##0\)"/>
    <numFmt numFmtId="199" formatCode="_-\$* #,##0.00_-;&quot;-$&quot;* #,##0.00_-;_-\$* \-??_-;_-@_-"/>
    <numFmt numFmtId="200" formatCode="_-* #,##0\ _₽_-;\-* #,##0\ _₽_-;_-* &quot;-&quot;??\ _₽_-;_-@_-"/>
    <numFmt numFmtId="201" formatCode="#,##0.00000"/>
    <numFmt numFmtId="206" formatCode="0.00000"/>
  </numFmts>
  <fonts count="25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1"/>
      <color indexed="8"/>
      <name val="Calibri"/>
      <family val="2"/>
      <charset val="204"/>
    </font>
    <font>
      <sz val="10"/>
      <name val="Arial"/>
      <family val="2"/>
      <charset val="204"/>
    </font>
    <font>
      <sz val="1"/>
      <color indexed="8"/>
      <name val="Courier"/>
      <family val="1"/>
      <charset val="204"/>
    </font>
    <font>
      <b/>
      <sz val="1"/>
      <color indexed="8"/>
      <name val="Courier"/>
      <family val="1"/>
      <charset val="204"/>
    </font>
    <font>
      <sz val="10"/>
      <name val="Arial Cyr"/>
      <charset val="204"/>
    </font>
    <font>
      <sz val="8"/>
      <name val="Helv"/>
      <charset val="204"/>
    </font>
    <font>
      <sz val="8"/>
      <name val="Helv"/>
    </font>
    <font>
      <sz val="10"/>
      <name val="Arial Cyr"/>
      <family val="2"/>
      <charset val="204"/>
    </font>
    <font>
      <b/>
      <sz val="10"/>
      <color indexed="12"/>
      <name val="Arial Cyr"/>
      <family val="2"/>
      <charset val="204"/>
    </font>
    <font>
      <sz val="10"/>
      <name val="Helv"/>
    </font>
    <font>
      <sz val="10"/>
      <name val="Times New Roman"/>
      <family val="1"/>
      <charset val="204"/>
    </font>
    <font>
      <sz val="12"/>
      <name val="Times New Roman"/>
      <family val="1"/>
      <charset val="204"/>
    </font>
    <font>
      <sz val="8"/>
      <name val="Arial"/>
      <family val="2"/>
      <charset val="204"/>
    </font>
    <font>
      <b/>
      <sz val="8"/>
      <name val="Arial Cyr"/>
      <charset val="204"/>
    </font>
    <font>
      <sz val="8"/>
      <name val="Arial Cyr"/>
      <charset val="204"/>
    </font>
    <font>
      <sz val="11"/>
      <color indexed="8"/>
      <name val="Calibri"/>
      <family val="2"/>
    </font>
    <font>
      <u/>
      <sz val="11"/>
      <color theme="10"/>
      <name val="Calibri"/>
      <family val="2"/>
      <scheme val="minor"/>
    </font>
    <font>
      <sz val="12"/>
      <name val="Times New Roman CYR"/>
      <charset val="204"/>
    </font>
    <font>
      <sz val="10"/>
      <name val="MS Sans Serif"/>
      <family val="2"/>
      <charset val="204"/>
    </font>
    <font>
      <sz val="10"/>
      <name val="Helv"/>
      <charset val="204"/>
    </font>
    <font>
      <b/>
      <sz val="18"/>
      <color indexed="56"/>
      <name val="Cambria"/>
      <family val="2"/>
      <charset val="204"/>
    </font>
    <font>
      <b/>
      <sz val="14"/>
      <name val="Franklin Gothic Medium"/>
      <family val="2"/>
      <charset val="204"/>
    </font>
    <font>
      <b/>
      <sz val="9"/>
      <name val="Tahoma"/>
      <family val="2"/>
      <charset val="204"/>
    </font>
    <font>
      <sz val="9"/>
      <name val="Tahoma"/>
      <family val="2"/>
      <charset val="204"/>
    </font>
    <font>
      <sz val="11"/>
      <color indexed="9"/>
      <name val="Calibri"/>
      <family val="2"/>
      <charset val="204"/>
    </font>
    <font>
      <sz val="8"/>
      <color indexed="12"/>
      <name val="Arial Cyr"/>
      <charset val="204"/>
    </font>
    <font>
      <u/>
      <sz val="8"/>
      <color indexed="12"/>
      <name val="Arial Cyr"/>
      <charset val="204"/>
    </font>
    <font>
      <b/>
      <sz val="10"/>
      <color indexed="18"/>
      <name val="Arial Cyr"/>
      <charset val="204"/>
    </font>
    <font>
      <b/>
      <sz val="8"/>
      <color indexed="9"/>
      <name val="Arial Cyr"/>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rgb="FF000000"/>
      <name val="SimSun"/>
      <family val="2"/>
      <charset val="204"/>
    </font>
    <font>
      <sz val="11"/>
      <color indexed="50"/>
      <name val="Calibri"/>
      <family val="2"/>
      <charset val="204"/>
    </font>
    <font>
      <b/>
      <sz val="11"/>
      <color indexed="10"/>
      <name val="Calibri"/>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color indexed="45"/>
      <name val="Cambria"/>
      <family val="2"/>
      <charset val="204"/>
    </font>
    <font>
      <sz val="11"/>
      <color indexed="18"/>
      <name val="Calibri"/>
      <family val="2"/>
      <charset val="204"/>
    </font>
    <font>
      <i/>
      <sz val="11"/>
      <color indexed="22"/>
      <name val="Calibri"/>
      <family val="2"/>
      <charset val="204"/>
    </font>
    <font>
      <sz val="11"/>
      <color indexed="46"/>
      <name val="Calibri"/>
      <family val="2"/>
      <charset val="204"/>
    </font>
    <font>
      <u/>
      <sz val="10"/>
      <color indexed="12"/>
      <name val="Arial Cyr"/>
      <charset val="204"/>
    </font>
    <font>
      <sz val="8"/>
      <name val="Arial"/>
      <family val="2"/>
    </font>
    <font>
      <sz val="16"/>
      <color theme="1"/>
      <name val="Calibri"/>
      <family val="2"/>
      <charset val="204"/>
      <scheme val="minor"/>
    </font>
    <font>
      <sz val="10"/>
      <name val="Arial"/>
      <family val="2"/>
      <charset val="204"/>
    </font>
    <font>
      <sz val="11"/>
      <color theme="9" tint="-0.499984740745262"/>
      <name val="Calibri"/>
      <family val="2"/>
      <charset val="204"/>
      <scheme val="minor"/>
    </font>
    <font>
      <sz val="11"/>
      <name val="Calibri"/>
      <family val="2"/>
      <charset val="204"/>
      <scheme val="minor"/>
    </font>
    <font>
      <b/>
      <sz val="12"/>
      <color theme="1"/>
      <name val="Calibri"/>
      <family val="2"/>
      <charset val="204"/>
      <scheme val="minor"/>
    </font>
    <font>
      <b/>
      <sz val="11"/>
      <color theme="1"/>
      <name val="Times New Roman"/>
      <family val="1"/>
      <charset val="204"/>
    </font>
    <font>
      <sz val="11"/>
      <color theme="1"/>
      <name val="Times New Roman"/>
      <family val="1"/>
      <charset val="204"/>
    </font>
    <font>
      <b/>
      <sz val="12"/>
      <color theme="1"/>
      <name val="Times New Roman"/>
      <family val="1"/>
      <charset val="204"/>
    </font>
    <font>
      <b/>
      <i/>
      <sz val="11"/>
      <color theme="1"/>
      <name val="Calibri"/>
      <family val="2"/>
      <charset val="204"/>
      <scheme val="minor"/>
    </font>
    <font>
      <i/>
      <sz val="11"/>
      <color theme="1"/>
      <name val="Calibri"/>
      <family val="2"/>
      <charset val="204"/>
      <scheme val="minor"/>
    </font>
    <font>
      <i/>
      <sz val="11"/>
      <color theme="9" tint="-0.499984740745262"/>
      <name val="Calibri"/>
      <family val="2"/>
      <charset val="204"/>
      <scheme val="minor"/>
    </font>
    <font>
      <sz val="11"/>
      <name val="Times New Roman"/>
      <family val="1"/>
      <charset val="204"/>
    </font>
    <font>
      <b/>
      <i/>
      <sz val="10"/>
      <name val="Times New Roman"/>
      <family val="1"/>
      <charset val="204"/>
    </font>
    <font>
      <b/>
      <sz val="11"/>
      <name val="Times New Roman"/>
      <family val="1"/>
      <charset val="204"/>
    </font>
    <font>
      <b/>
      <i/>
      <sz val="11"/>
      <name val="Times New Roman"/>
      <family val="1"/>
      <charset val="204"/>
    </font>
    <font>
      <i/>
      <sz val="11"/>
      <name val="Times New Roman"/>
      <family val="1"/>
      <charset val="204"/>
    </font>
    <font>
      <sz val="11"/>
      <color rgb="FFFF0000"/>
      <name val="Calibri"/>
      <family val="2"/>
      <charset val="204"/>
      <scheme val="minor"/>
    </font>
    <font>
      <sz val="11"/>
      <color rgb="FFFF0000"/>
      <name val="Times New Roman"/>
      <family val="1"/>
      <charset val="204"/>
    </font>
    <font>
      <i/>
      <sz val="12"/>
      <name val="Times New Roman"/>
      <family val="1"/>
    </font>
    <font>
      <i/>
      <sz val="11"/>
      <color theme="1"/>
      <name val="Times New Roman"/>
      <family val="1"/>
      <charset val="204"/>
    </font>
    <font>
      <b/>
      <i/>
      <sz val="11"/>
      <color theme="1"/>
      <name val="Times New Roman"/>
      <family val="1"/>
      <charset val="204"/>
    </font>
    <font>
      <sz val="12"/>
      <name val="Times New Roman"/>
      <family val="1"/>
    </font>
    <font>
      <b/>
      <sz val="12"/>
      <name val="Times New Roman"/>
      <family val="1"/>
    </font>
    <font>
      <b/>
      <sz val="12"/>
      <name val="Times New Roman"/>
      <family val="1"/>
      <charset val="204"/>
    </font>
    <font>
      <b/>
      <sz val="14"/>
      <name val="Times New Roman"/>
      <family val="1"/>
    </font>
    <font>
      <b/>
      <i/>
      <sz val="12"/>
      <name val="Times New Roman"/>
      <family val="1"/>
    </font>
    <font>
      <b/>
      <i/>
      <sz val="12"/>
      <name val="Times New Roman"/>
      <family val="1"/>
      <charset val="204"/>
    </font>
    <font>
      <i/>
      <sz val="12"/>
      <name val="Times New Roman"/>
      <family val="1"/>
      <charset val="204"/>
    </font>
    <font>
      <b/>
      <sz val="12"/>
      <color indexed="8"/>
      <name val="Times New Roman"/>
      <family val="1"/>
      <charset val="204"/>
    </font>
    <font>
      <b/>
      <i/>
      <sz val="14"/>
      <name val="Times New Roman"/>
      <family val="1"/>
    </font>
    <font>
      <sz val="14"/>
      <name val="Times New Roman"/>
      <family val="1"/>
    </font>
    <font>
      <b/>
      <i/>
      <sz val="14"/>
      <name val="Times New Roman"/>
      <family val="1"/>
      <charset val="204"/>
    </font>
    <font>
      <sz val="10"/>
      <name val="Times New Roman"/>
      <family val="1"/>
    </font>
    <font>
      <sz val="11"/>
      <name val="Times New Roman"/>
      <family val="1"/>
    </font>
    <font>
      <sz val="8"/>
      <color indexed="12"/>
      <name val="Arial"/>
      <family val="2"/>
      <charset val="204"/>
    </font>
    <font>
      <sz val="10"/>
      <color indexed="8"/>
      <name val="Arial"/>
      <family val="2"/>
      <charset val="204"/>
    </font>
    <font>
      <sz val="10"/>
      <color indexed="8"/>
      <name val="Verdana"/>
      <family val="2"/>
      <charset val="204"/>
    </font>
    <font>
      <sz val="10"/>
      <name val="Arial"/>
      <family val="2"/>
    </font>
    <font>
      <b/>
      <sz val="1"/>
      <color indexed="8"/>
      <name val="Courier"/>
      <family val="3"/>
    </font>
    <font>
      <sz val="1"/>
      <color indexed="8"/>
      <name val="Courier"/>
      <family val="3"/>
    </font>
    <font>
      <u/>
      <sz val="10"/>
      <color indexed="12"/>
      <name val="Courier"/>
      <family val="3"/>
    </font>
    <font>
      <sz val="10"/>
      <name val="Tahoma"/>
      <family val="2"/>
      <charset val="204"/>
    </font>
    <font>
      <sz val="10"/>
      <color indexed="24"/>
      <name val="Arial"/>
      <family val="2"/>
      <charset val="204"/>
    </font>
    <font>
      <sz val="8"/>
      <name val="Palatino"/>
      <family val="1"/>
    </font>
    <font>
      <sz val="11"/>
      <color rgb="FF000000"/>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36"/>
      <name val="Arial Cyr"/>
      <charset val="204"/>
    </font>
    <font>
      <sz val="10"/>
      <name val="Courier"/>
      <family val="3"/>
    </font>
    <font>
      <u/>
      <sz val="10"/>
      <color indexed="36"/>
      <name val="Courier"/>
      <family val="3"/>
    </font>
    <font>
      <sz val="12"/>
      <name val="Arial"/>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10"/>
      <color indexed="9"/>
      <name val="Verdana"/>
      <family val="2"/>
      <charset val="204"/>
    </font>
    <font>
      <sz val="10"/>
      <color indexed="9"/>
      <name val="Arial"/>
      <family val="2"/>
      <charset val="204"/>
    </font>
    <font>
      <sz val="11"/>
      <color rgb="FF008000"/>
      <name val="Calibri"/>
      <family val="2"/>
      <charset val="204"/>
    </font>
    <font>
      <sz val="11"/>
      <name val="Tahoma"/>
      <family val="2"/>
      <charset val="204"/>
    </font>
    <font>
      <u/>
      <sz val="9"/>
      <color indexed="12"/>
      <name val="Tahoma"/>
      <family val="2"/>
      <charset val="204"/>
    </font>
    <font>
      <u/>
      <sz val="10"/>
      <color indexed="12"/>
      <name val="Arial Cyr"/>
      <family val="2"/>
      <charset val="204"/>
    </font>
    <font>
      <b/>
      <u/>
      <sz val="9"/>
      <color indexed="12"/>
      <name val="Tahoma"/>
      <family val="2"/>
      <charset val="204"/>
    </font>
    <font>
      <u/>
      <sz val="11"/>
      <color theme="10"/>
      <name val="Calibri"/>
      <family val="2"/>
      <charset val="204"/>
      <scheme val="minor"/>
    </font>
    <font>
      <b/>
      <sz val="15"/>
      <color indexed="62"/>
      <name val="Calibri"/>
      <family val="2"/>
      <charset val="204"/>
    </font>
    <font>
      <b/>
      <sz val="13"/>
      <color indexed="62"/>
      <name val="Calibri"/>
      <family val="2"/>
      <charset val="204"/>
    </font>
    <font>
      <b/>
      <sz val="11"/>
      <color indexed="62"/>
      <name val="Calibri"/>
      <family val="2"/>
      <charset val="204"/>
    </font>
    <font>
      <b/>
      <sz val="18"/>
      <name val="Arial"/>
      <family val="2"/>
      <charset val="204"/>
    </font>
    <font>
      <b/>
      <sz val="12"/>
      <name val="Arial"/>
      <family val="2"/>
      <charset val="204"/>
    </font>
    <font>
      <b/>
      <sz val="14"/>
      <name val="Arial Cyr"/>
      <family val="2"/>
      <charset val="204"/>
    </font>
    <font>
      <b/>
      <sz val="14"/>
      <name val="Arial"/>
      <family val="2"/>
      <charset val="204"/>
    </font>
    <font>
      <b/>
      <sz val="10"/>
      <name val="Arial Cyr"/>
      <charset val="204"/>
    </font>
    <font>
      <b/>
      <sz val="18"/>
      <color indexed="62"/>
      <name val="Cambria"/>
      <family val="2"/>
      <charset val="204"/>
    </font>
    <font>
      <sz val="10"/>
      <name val="Arial"/>
      <family val="2"/>
      <charset val="1"/>
    </font>
    <font>
      <sz val="11"/>
      <name val="Times New Roman Cyr"/>
      <family val="1"/>
      <charset val="204"/>
    </font>
    <font>
      <sz val="10"/>
      <name val="Courier"/>
      <family val="1"/>
      <charset val="204"/>
    </font>
    <font>
      <b/>
      <sz val="11"/>
      <name val="Calibri"/>
      <family val="2"/>
      <charset val="204"/>
      <scheme val="minor"/>
    </font>
    <font>
      <i/>
      <sz val="11"/>
      <name val="Calibri"/>
      <family val="2"/>
      <charset val="204"/>
      <scheme val="minor"/>
    </font>
    <font>
      <b/>
      <i/>
      <sz val="11"/>
      <name val="Calibri"/>
      <family val="2"/>
      <charset val="204"/>
      <scheme val="minor"/>
    </font>
    <font>
      <sz val="9"/>
      <color theme="1"/>
      <name val="Calibri"/>
      <family val="2"/>
      <charset val="204"/>
      <scheme val="minor"/>
    </font>
    <font>
      <b/>
      <sz val="18"/>
      <color theme="3"/>
      <name val="Cambria"/>
      <family val="2"/>
      <charset val="204"/>
      <scheme val="major"/>
    </font>
    <font>
      <sz val="10"/>
      <name val="Helv"/>
      <family val="2"/>
    </font>
    <font>
      <sz val="10"/>
      <name val="Helv"/>
      <family val="2"/>
      <charset val="204"/>
    </font>
    <font>
      <sz val="1"/>
      <color indexed="8"/>
      <name val="Courier New"/>
      <family val="3"/>
    </font>
    <font>
      <b/>
      <sz val="1"/>
      <color indexed="8"/>
      <name val="Courier New"/>
      <family val="3"/>
    </font>
    <font>
      <sz val="10"/>
      <name val="PragmaticaCTT"/>
      <charset val="204"/>
    </font>
    <font>
      <sz val="8"/>
      <name val="Helv"/>
      <family val="2"/>
      <charset val="204"/>
    </font>
    <font>
      <sz val="10"/>
      <color indexed="8"/>
      <name val="Arial Cyr"/>
      <family val="2"/>
      <charset val="204"/>
    </font>
    <font>
      <sz val="10"/>
      <color indexed="9"/>
      <name val="Arial Cyr"/>
      <family val="2"/>
      <charset val="204"/>
    </font>
    <font>
      <sz val="10"/>
      <color indexed="62"/>
      <name val="Arial Cyr"/>
      <family val="2"/>
      <charset val="204"/>
    </font>
    <font>
      <b/>
      <sz val="10"/>
      <color indexed="63"/>
      <name val="Arial Cyr"/>
      <family val="2"/>
      <charset val="204"/>
    </font>
    <font>
      <b/>
      <sz val="10"/>
      <color indexed="52"/>
      <name val="Arial Cyr"/>
      <family val="2"/>
      <charset val="204"/>
    </font>
    <font>
      <u/>
      <sz val="7.5"/>
      <color indexed="12"/>
      <name val="Arial Cyr"/>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sz val="10"/>
      <color indexed="60"/>
      <name val="Arial Cyr"/>
      <family val="2"/>
      <charset val="204"/>
    </font>
    <font>
      <sz val="10"/>
      <name val="Arial Cyr"/>
    </font>
    <font>
      <sz val="10"/>
      <color indexed="20"/>
      <name val="Arial Cyr"/>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sz val="10"/>
      <color theme="1"/>
      <name val="Arial Cyr"/>
      <family val="2"/>
      <charset val="204"/>
    </font>
    <font>
      <sz val="10"/>
      <color theme="0"/>
      <name val="Arial Cyr"/>
      <family val="2"/>
      <charset val="204"/>
    </font>
    <font>
      <b/>
      <sz val="10"/>
      <color rgb="FF3F3F3F"/>
      <name val="Arial Cyr"/>
      <family val="2"/>
      <charset val="204"/>
    </font>
    <font>
      <b/>
      <sz val="10"/>
      <color rgb="FFFA7D00"/>
      <name val="Arial Cyr"/>
      <family val="2"/>
      <charset val="204"/>
    </font>
    <font>
      <b/>
      <sz val="15"/>
      <color theme="3"/>
      <name val="Arial Cyr"/>
      <family val="2"/>
      <charset val="204"/>
    </font>
    <font>
      <b/>
      <sz val="13"/>
      <color theme="3"/>
      <name val="Arial Cyr"/>
      <family val="2"/>
      <charset val="204"/>
    </font>
    <font>
      <b/>
      <sz val="11"/>
      <color theme="3"/>
      <name val="Arial Cyr"/>
      <family val="2"/>
      <charset val="204"/>
    </font>
    <font>
      <b/>
      <sz val="10"/>
      <color theme="1"/>
      <name val="Arial Cyr"/>
      <family val="2"/>
      <charset val="204"/>
    </font>
    <font>
      <b/>
      <sz val="10"/>
      <color theme="0"/>
      <name val="Arial Cyr"/>
      <family val="2"/>
      <charset val="204"/>
    </font>
    <font>
      <sz val="10"/>
      <color rgb="FF9C6500"/>
      <name val="Arial Cyr"/>
      <family val="2"/>
      <charset val="204"/>
    </font>
    <font>
      <sz val="10"/>
      <color rgb="FF9C0006"/>
      <name val="Arial Cyr"/>
      <family val="2"/>
      <charset val="204"/>
    </font>
    <font>
      <i/>
      <sz val="10"/>
      <color rgb="FF7F7F7F"/>
      <name val="Arial Cyr"/>
      <family val="2"/>
      <charset val="204"/>
    </font>
    <font>
      <sz val="10"/>
      <color rgb="FFFA7D00"/>
      <name val="Arial Cyr"/>
      <family val="2"/>
      <charset val="204"/>
    </font>
    <font>
      <sz val="10"/>
      <color rgb="FFFF0000"/>
      <name val="Arial Cyr"/>
      <family val="2"/>
      <charset val="204"/>
    </font>
    <font>
      <sz val="10"/>
      <color rgb="FF006100"/>
      <name val="Arial Cyr"/>
      <family val="2"/>
      <charset val="204"/>
    </font>
    <font>
      <sz val="12"/>
      <color theme="1"/>
      <name val="Calibri"/>
      <family val="2"/>
      <charset val="204"/>
      <scheme val="minor"/>
    </font>
    <font>
      <b/>
      <sz val="6"/>
      <color theme="1"/>
      <name val="Times New Roman"/>
      <family val="1"/>
      <charset val="204"/>
    </font>
    <font>
      <i/>
      <sz val="11"/>
      <color theme="2" tint="-0.499984740745262"/>
      <name val="Calibri"/>
      <family val="2"/>
      <charset val="204"/>
      <scheme val="minor"/>
    </font>
    <font>
      <sz val="13"/>
      <color theme="1"/>
      <name val="Times New Roman"/>
      <family val="1"/>
      <charset val="204"/>
    </font>
    <font>
      <sz val="13"/>
      <color indexed="8"/>
      <name val="Times New Roman"/>
      <family val="1"/>
      <charset val="204"/>
    </font>
    <font>
      <u/>
      <sz val="13"/>
      <color indexed="8"/>
      <name val="Times New Roman"/>
      <family val="1"/>
      <charset val="204"/>
    </font>
    <font>
      <b/>
      <u/>
      <sz val="13"/>
      <color indexed="8"/>
      <name val="Times New Roman"/>
      <family val="1"/>
      <charset val="204"/>
    </font>
    <font>
      <u/>
      <sz val="10"/>
      <color theme="10"/>
      <name val="Arial Cyr"/>
      <charset val="204"/>
    </font>
    <font>
      <b/>
      <sz val="14"/>
      <name val="Times New Roman"/>
      <family val="1"/>
      <charset val="204"/>
    </font>
    <font>
      <sz val="14"/>
      <name val="Times New Roman"/>
      <family val="1"/>
      <charset val="204"/>
    </font>
    <font>
      <sz val="12"/>
      <color indexed="8"/>
      <name val="Times New Roman"/>
      <family val="1"/>
      <charset val="204"/>
    </font>
    <font>
      <sz val="12"/>
      <color theme="1"/>
      <name val="Times New Roman"/>
      <family val="1"/>
      <charset val="204"/>
    </font>
    <font>
      <sz val="12"/>
      <color rgb="FFFF0000"/>
      <name val="Times New Roman"/>
      <family val="1"/>
      <charset val="204"/>
    </font>
    <font>
      <i/>
      <sz val="12"/>
      <color indexed="8"/>
      <name val="Times New Roman"/>
      <family val="1"/>
      <charset val="204"/>
    </font>
    <font>
      <sz val="12"/>
      <color theme="1"/>
      <name val="Times New Roman Cyr"/>
      <family val="1"/>
      <charset val="204"/>
    </font>
    <font>
      <b/>
      <sz val="9"/>
      <color indexed="81"/>
      <name val="Tahoma"/>
      <family val="2"/>
      <charset val="204"/>
    </font>
    <font>
      <sz val="9"/>
      <color indexed="81"/>
      <name val="Tahoma"/>
      <family val="2"/>
      <charset val="204"/>
    </font>
    <font>
      <sz val="9"/>
      <name val="Times New Roman"/>
      <family val="1"/>
      <charset val="204"/>
    </font>
    <font>
      <sz val="13"/>
      <name val="Times New Roman"/>
      <family val="1"/>
      <charset val="204"/>
    </font>
    <font>
      <sz val="10"/>
      <color indexed="9"/>
      <name val="Times New Roman"/>
      <family val="1"/>
      <charset val="204"/>
    </font>
    <font>
      <i/>
      <sz val="14"/>
      <name val="Times New Roman"/>
      <family val="1"/>
    </font>
    <font>
      <b/>
      <i/>
      <sz val="20"/>
      <name val="Times New Roman"/>
      <family val="1"/>
    </font>
    <font>
      <i/>
      <sz val="10"/>
      <name val="Times New Roman"/>
      <family val="1"/>
    </font>
    <font>
      <i/>
      <sz val="14"/>
      <name val="Times New Roman"/>
      <family val="1"/>
      <charset val="204"/>
    </font>
    <font>
      <b/>
      <sz val="14"/>
      <color rgb="FFFF0000"/>
      <name val="Times New Roman"/>
      <family val="1"/>
      <charset val="204"/>
    </font>
    <font>
      <b/>
      <i/>
      <u/>
      <sz val="14"/>
      <name val="Times New Roman"/>
      <family val="1"/>
      <charset val="204"/>
    </font>
    <font>
      <b/>
      <sz val="12"/>
      <name val="Arial Cyr"/>
      <charset val="204"/>
    </font>
    <font>
      <b/>
      <u/>
      <sz val="11"/>
      <name val="Arial Cyr"/>
      <charset val="204"/>
    </font>
    <font>
      <b/>
      <sz val="11"/>
      <name val="Calibri"/>
      <family val="2"/>
      <charset val="204"/>
    </font>
    <font>
      <sz val="11"/>
      <name val="Calibri"/>
      <family val="2"/>
      <charset val="204"/>
    </font>
    <font>
      <b/>
      <sz val="12"/>
      <color rgb="FF7030A0"/>
      <name val="Times New Roman"/>
      <family val="1"/>
      <charset val="204"/>
    </font>
    <font>
      <sz val="12"/>
      <color rgb="FF7030A0"/>
      <name val="Times New Roman"/>
      <family val="1"/>
      <charset val="204"/>
    </font>
    <font>
      <i/>
      <sz val="9"/>
      <name val="Times New Roman"/>
      <family val="1"/>
      <charset val="204"/>
    </font>
    <font>
      <sz val="12"/>
      <name val="Arial Cyr"/>
      <charset val="204"/>
    </font>
    <font>
      <b/>
      <sz val="12"/>
      <color theme="1"/>
      <name val="Arial Cyr"/>
      <charset val="204"/>
    </font>
    <font>
      <sz val="10"/>
      <color theme="1"/>
      <name val="Arial Cyr"/>
      <charset val="204"/>
    </font>
    <font>
      <b/>
      <u/>
      <sz val="11"/>
      <color theme="1"/>
      <name val="Arial Cyr"/>
      <charset val="204"/>
    </font>
    <font>
      <b/>
      <sz val="11"/>
      <color theme="1"/>
      <name val="Calibri"/>
      <family val="2"/>
      <charset val="204"/>
    </font>
    <font>
      <sz val="11"/>
      <color theme="1"/>
      <name val="Calibri"/>
      <family val="2"/>
      <charset val="204"/>
    </font>
    <font>
      <b/>
      <sz val="10"/>
      <color theme="1"/>
      <name val="Arial Cyr"/>
      <charset val="204"/>
    </font>
    <font>
      <b/>
      <i/>
      <sz val="14"/>
      <color theme="1"/>
      <name val="Times New Roman"/>
      <family val="1"/>
    </font>
    <font>
      <b/>
      <i/>
      <sz val="12"/>
      <color theme="1"/>
      <name val="Times New Roman"/>
      <family val="1"/>
      <charset val="204"/>
    </font>
    <font>
      <sz val="12"/>
      <color theme="1"/>
      <name val="Arial Cyr"/>
      <charset val="204"/>
    </font>
    <font>
      <sz val="9"/>
      <color theme="1"/>
      <name val="Times New Roman"/>
      <family val="1"/>
      <charset val="204"/>
    </font>
    <font>
      <i/>
      <sz val="9"/>
      <color theme="1"/>
      <name val="Times New Roman"/>
      <family val="1"/>
      <charset val="204"/>
    </font>
    <font>
      <b/>
      <sz val="14"/>
      <name val="Calibri"/>
      <family val="2"/>
      <charset val="204"/>
    </font>
    <font>
      <b/>
      <sz val="12"/>
      <name val="Calibri"/>
      <family val="2"/>
      <charset val="204"/>
    </font>
    <font>
      <b/>
      <i/>
      <sz val="11"/>
      <name val="Times New Roman"/>
      <family val="1"/>
    </font>
    <font>
      <b/>
      <sz val="12"/>
      <color theme="0" tint="-0.499984740745262"/>
      <name val="Times New Roman"/>
      <family val="1"/>
      <charset val="204"/>
    </font>
    <font>
      <sz val="12"/>
      <color indexed="10"/>
      <name val="Times New Roman"/>
      <family val="1"/>
      <charset val="204"/>
    </font>
    <font>
      <i/>
      <sz val="10"/>
      <name val="Times New Roman"/>
      <family val="1"/>
      <charset val="204"/>
    </font>
    <font>
      <b/>
      <sz val="10"/>
      <name val="Times New Roman"/>
      <family val="1"/>
      <charset val="204"/>
    </font>
    <font>
      <b/>
      <sz val="10"/>
      <color rgb="FFFF0000"/>
      <name val="Arial Cyr"/>
      <charset val="204"/>
    </font>
    <font>
      <b/>
      <sz val="14"/>
      <color indexed="8"/>
      <name val="Calibri"/>
      <family val="2"/>
      <charset val="204"/>
    </font>
    <font>
      <sz val="7"/>
      <name val="Times New Roman"/>
      <family val="1"/>
      <charset val="204"/>
    </font>
    <font>
      <b/>
      <i/>
      <sz val="10"/>
      <name val="Arial Cyr"/>
      <charset val="204"/>
    </font>
    <font>
      <b/>
      <sz val="10"/>
      <color theme="0"/>
      <name val="Arial Cyr"/>
      <charset val="204"/>
    </font>
    <font>
      <sz val="10"/>
      <color theme="0"/>
      <name val="Arial Cyr"/>
      <charset val="204"/>
    </font>
    <font>
      <b/>
      <i/>
      <sz val="12"/>
      <name val="Arial Cyr"/>
      <charset val="204"/>
    </font>
    <font>
      <sz val="9"/>
      <color indexed="8"/>
      <name val="Times New Roman"/>
      <family val="1"/>
      <charset val="204"/>
    </font>
    <font>
      <sz val="8"/>
      <color indexed="8"/>
      <name val="Times New Roman"/>
      <family val="1"/>
      <charset val="204"/>
    </font>
    <font>
      <i/>
      <sz val="8"/>
      <color indexed="8"/>
      <name val="Times New Roman"/>
      <family val="1"/>
      <charset val="204"/>
    </font>
    <font>
      <i/>
      <sz val="9"/>
      <color indexed="8"/>
      <name val="Times New Roman"/>
      <family val="1"/>
      <charset val="204"/>
    </font>
    <font>
      <b/>
      <sz val="12"/>
      <color indexed="10"/>
      <name val="Times New Roman"/>
      <family val="1"/>
      <charset val="204"/>
    </font>
    <font>
      <b/>
      <sz val="10"/>
      <name val="Arial"/>
      <family val="2"/>
      <charset val="204"/>
    </font>
    <font>
      <b/>
      <sz val="10"/>
      <color indexed="12"/>
      <name val="Arial"/>
      <family val="2"/>
      <charset val="204"/>
    </font>
    <font>
      <sz val="11"/>
      <name val="Arial Cyr"/>
      <charset val="204"/>
    </font>
  </fonts>
  <fills count="111">
    <fill>
      <patternFill patternType="none"/>
    </fill>
    <fill>
      <patternFill patternType="gray125"/>
    </fill>
    <fill>
      <patternFill patternType="solid">
        <fgColor rgb="FFFFFFCC"/>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43"/>
      </patternFill>
    </fill>
    <fill>
      <patternFill patternType="solid">
        <fgColor indexed="36"/>
      </patternFill>
    </fill>
    <fill>
      <patternFill patternType="solid">
        <fgColor indexed="22"/>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6"/>
      </patternFill>
    </fill>
    <fill>
      <patternFill patternType="solid">
        <fgColor indexed="60"/>
      </patternFill>
    </fill>
    <fill>
      <patternFill patternType="solid">
        <fgColor indexed="63"/>
      </patternFill>
    </fill>
    <fill>
      <patternFill patternType="solid">
        <fgColor indexed="23"/>
      </patternFill>
    </fill>
    <fill>
      <patternFill patternType="solid">
        <fgColor indexed="61"/>
      </patternFill>
    </fill>
    <fill>
      <patternFill patternType="solid">
        <fgColor indexed="38"/>
      </patternFill>
    </fill>
    <fill>
      <patternFill patternType="solid">
        <fgColor indexed="40"/>
      </patternFill>
    </fill>
    <fill>
      <patternFill patternType="solid">
        <fgColor indexed="35"/>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lightGray">
        <fgColor indexed="2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2"/>
        <bgColor indexed="64"/>
      </patternFill>
    </fill>
    <fill>
      <patternFill patternType="solid">
        <fgColor indexed="61"/>
        <bgColor indexed="64"/>
      </patternFill>
    </fill>
    <fill>
      <patternFill patternType="solid">
        <fgColor indexed="63"/>
        <bgColor indexed="64"/>
      </patternFill>
    </fill>
    <fill>
      <patternFill patternType="solid">
        <fgColor indexed="60"/>
        <bgColor indexed="64"/>
      </patternFill>
    </fill>
    <fill>
      <patternFill patternType="solid">
        <fgColor rgb="FFCCFFCC"/>
        <bgColor rgb="FFCCFFFF"/>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bgColor indexed="41"/>
      </patternFill>
    </fill>
    <fill>
      <patternFill patternType="solid">
        <fgColor rgb="FF92D050"/>
        <bgColor indexed="64"/>
      </patternFill>
    </fill>
    <fill>
      <patternFill patternType="solid">
        <fgColor rgb="FFCCFFCC"/>
        <bgColor indexed="64"/>
      </patternFill>
    </fill>
    <fill>
      <patternFill patternType="solid">
        <fgColor indexed="13"/>
        <bgColor indexed="64"/>
      </patternFill>
    </fill>
    <fill>
      <patternFill patternType="solid">
        <fgColor rgb="FF99FF99"/>
        <bgColor indexed="64"/>
      </patternFill>
    </fill>
    <fill>
      <patternFill patternType="solid">
        <fgColor rgb="FFCCFF66"/>
        <bgColor indexed="64"/>
      </patternFill>
    </fill>
    <fill>
      <patternFill patternType="solid">
        <fgColor theme="6" tint="0.79998168889431442"/>
        <bgColor indexed="64"/>
      </patternFill>
    </fill>
    <fill>
      <patternFill patternType="solid">
        <fgColor rgb="FF99FF33"/>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66FF"/>
        <bgColor indexed="64"/>
      </patternFill>
    </fill>
  </fills>
  <borders count="133">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38"/>
      </bottom>
      <diagonal/>
    </border>
    <border>
      <left/>
      <right/>
      <top/>
      <bottom style="thick">
        <color indexed="27"/>
      </bottom>
      <diagonal/>
    </border>
    <border>
      <left/>
      <right/>
      <top/>
      <bottom style="medium">
        <color indexed="27"/>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top/>
      <bottom style="double">
        <color indexed="1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4"/>
      </top>
      <bottom style="thin">
        <color indexed="63"/>
      </bottom>
      <diagonal/>
    </border>
    <border>
      <left style="thin">
        <color indexed="9"/>
      </left>
      <right style="thin">
        <color indexed="9"/>
      </right>
      <top style="thin">
        <color indexed="9"/>
      </top>
      <bottom style="thin">
        <color indexed="9"/>
      </bottom>
      <diagonal/>
    </border>
    <border>
      <left style="thick">
        <color indexed="23"/>
      </left>
      <right style="thick">
        <color indexed="23"/>
      </right>
      <top style="thick">
        <color indexed="23"/>
      </top>
      <bottom style="thick">
        <color indexed="23"/>
      </bottom>
      <diagonal/>
    </border>
    <border>
      <left/>
      <right/>
      <top/>
      <bottom style="thick">
        <color indexed="49"/>
      </bottom>
      <diagonal/>
    </border>
    <border>
      <left/>
      <right/>
      <top/>
      <bottom style="medium">
        <color indexed="49"/>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8"/>
      </top>
      <bottom style="double">
        <color indexed="8"/>
      </bottom>
      <diagonal/>
    </border>
    <border>
      <left style="hair">
        <color indexed="8"/>
      </left>
      <right/>
      <top style="hair">
        <color indexed="8"/>
      </top>
      <bottom style="hair">
        <color indexed="9"/>
      </bottom>
      <diagonal/>
    </border>
    <border>
      <left style="thin">
        <color auto="1"/>
      </left>
      <right style="thin">
        <color auto="1"/>
      </right>
      <top style="thin">
        <color auto="1"/>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s>
  <cellStyleXfs count="46930">
    <xf numFmtId="0" fontId="0" fillId="0" borderId="0"/>
    <xf numFmtId="0" fontId="3" fillId="0" borderId="0"/>
    <xf numFmtId="164" fontId="6" fillId="0" borderId="0">
      <protection locked="0"/>
    </xf>
    <xf numFmtId="164" fontId="6" fillId="0" borderId="0">
      <protection locked="0"/>
    </xf>
    <xf numFmtId="164" fontId="6" fillId="0" borderId="0">
      <protection locked="0"/>
    </xf>
    <xf numFmtId="0" fontId="7" fillId="0" borderId="0">
      <protection locked="0"/>
    </xf>
    <xf numFmtId="0" fontId="7" fillId="0" borderId="0">
      <protection locked="0"/>
    </xf>
    <xf numFmtId="0" fontId="6" fillId="0" borderId="2">
      <protection locked="0"/>
    </xf>
    <xf numFmtId="0" fontId="8" fillId="0" borderId="0"/>
    <xf numFmtId="0" fontId="9" fillId="0" borderId="0"/>
    <xf numFmtId="0" fontId="10" fillId="0" borderId="0" applyNumberFormat="0">
      <alignment horizontal="left"/>
    </xf>
    <xf numFmtId="166" fontId="11" fillId="0" borderId="3">
      <protection locked="0"/>
    </xf>
    <xf numFmtId="166" fontId="12" fillId="3" borderId="3"/>
    <xf numFmtId="0" fontId="8" fillId="0" borderId="0"/>
    <xf numFmtId="0" fontId="5" fillId="0" borderId="0">
      <alignment vertical="top"/>
    </xf>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6" fillId="0" borderId="0"/>
    <xf numFmtId="0" fontId="1" fillId="0" borderId="0"/>
    <xf numFmtId="0" fontId="4" fillId="2" borderId="1" applyNumberFormat="0" applyFont="0" applyAlignment="0" applyProtection="0"/>
    <xf numFmtId="0" fontId="4" fillId="2" borderId="1" applyNumberFormat="0" applyFont="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0" fontId="13" fillId="0" borderId="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6" fillId="0" borderId="0">
      <protection locked="0"/>
    </xf>
    <xf numFmtId="0" fontId="8" fillId="0" borderId="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34" fillId="22" borderId="10"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28" fillId="36" borderId="0" applyNumberFormat="0" applyBorder="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1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170" fontId="16" fillId="0" borderId="0">
      <alignment vertical="top"/>
    </xf>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23" fillId="0" borderId="0"/>
    <xf numFmtId="170" fontId="16" fillId="0" borderId="0">
      <alignment vertical="top"/>
    </xf>
    <xf numFmtId="0" fontId="13" fillId="0" borderId="0"/>
    <xf numFmtId="170" fontId="16"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170" fontId="16" fillId="0" borderId="0">
      <alignment vertical="top"/>
    </xf>
    <xf numFmtId="0" fontId="13" fillId="0" borderId="0"/>
    <xf numFmtId="164" fontId="6" fillId="0" borderId="0">
      <protection locked="0"/>
    </xf>
    <xf numFmtId="167" fontId="6" fillId="0" borderId="0">
      <protection locked="0"/>
    </xf>
    <xf numFmtId="164" fontId="6" fillId="0" borderId="0">
      <protection locked="0"/>
    </xf>
    <xf numFmtId="167" fontId="6" fillId="0" borderId="0">
      <protection locked="0"/>
    </xf>
    <xf numFmtId="164" fontId="6" fillId="0" borderId="0">
      <protection locked="0"/>
    </xf>
    <xf numFmtId="167" fontId="6" fillId="0" borderId="0">
      <protection locked="0"/>
    </xf>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13" borderId="0" applyNumberFormat="0" applyBorder="0" applyAlignment="0" applyProtection="0"/>
    <xf numFmtId="170" fontId="29" fillId="5" borderId="0">
      <alignment vertical="top"/>
    </xf>
    <xf numFmtId="169" fontId="22" fillId="0" borderId="0" applyFont="0" applyFill="0" applyBorder="0" applyAlignment="0" applyProtection="0"/>
    <xf numFmtId="14" fontId="18" fillId="0" borderId="0">
      <alignment vertical="top"/>
    </xf>
    <xf numFmtId="170" fontId="30" fillId="0" borderId="0">
      <alignment vertical="top"/>
    </xf>
    <xf numFmtId="0" fontId="31" fillId="0" borderId="0">
      <alignment vertical="top"/>
    </xf>
    <xf numFmtId="170" fontId="17" fillId="0" borderId="0">
      <alignment vertical="top"/>
    </xf>
    <xf numFmtId="171" fontId="29" fillId="0" borderId="0">
      <alignment vertical="top"/>
    </xf>
    <xf numFmtId="170" fontId="32" fillId="24" borderId="0">
      <alignment horizontal="right" vertical="top"/>
    </xf>
    <xf numFmtId="172" fontId="18" fillId="0" borderId="0">
      <alignment vertical="top"/>
    </xf>
    <xf numFmtId="0" fontId="28" fillId="25" borderId="0" applyNumberFormat="0" applyBorder="0" applyAlignment="0" applyProtection="0"/>
    <xf numFmtId="0" fontId="28" fillId="19"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1" borderId="0" applyNumberFormat="0" applyBorder="0" applyAlignment="0" applyProtection="0"/>
    <xf numFmtId="0" fontId="28" fillId="2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25" fillId="0" borderId="0" applyBorder="0">
      <alignment horizontal="center" vertical="center" wrapText="1"/>
    </xf>
    <xf numFmtId="0" fontId="36" fillId="0" borderId="11"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0" applyNumberFormat="0" applyFill="0" applyBorder="0" applyAlignment="0" applyProtection="0"/>
    <xf numFmtId="0" fontId="26" fillId="0" borderId="6" applyBorder="0">
      <alignment horizontal="center" vertical="center" wrapText="1"/>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4" fontId="27" fillId="6" borderId="5" applyBorder="0">
      <alignment horizontal="right"/>
    </xf>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0" fillId="31" borderId="16" applyNumberFormat="0" applyAlignment="0" applyProtection="0"/>
    <xf numFmtId="0" fontId="40" fillId="31" borderId="16" applyNumberFormat="0" applyAlignment="0" applyProtection="0"/>
    <xf numFmtId="0" fontId="24"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15" fillId="0" borderId="0"/>
    <xf numFmtId="0" fontId="1" fillId="0" borderId="0"/>
    <xf numFmtId="0" fontId="15" fillId="0" borderId="0"/>
    <xf numFmtId="0" fontId="1" fillId="0" borderId="0"/>
    <xf numFmtId="0" fontId="5" fillId="0" borderId="0"/>
    <xf numFmtId="0" fontId="4" fillId="0" borderId="0"/>
    <xf numFmtId="0" fontId="47" fillId="0" borderId="0"/>
    <xf numFmtId="0" fontId="15" fillId="0" borderId="0"/>
    <xf numFmtId="0" fontId="5" fillId="0" borderId="0"/>
    <xf numFmtId="0" fontId="15" fillId="0" borderId="0"/>
    <xf numFmtId="0" fontId="15" fillId="0" borderId="0"/>
    <xf numFmtId="0" fontId="15" fillId="0" borderId="0"/>
    <xf numFmtId="0" fontId="5" fillId="0" borderId="0"/>
    <xf numFmtId="0" fontId="5" fillId="0" borderId="0"/>
    <xf numFmtId="0" fontId="8" fillId="0" borderId="0"/>
    <xf numFmtId="0" fontId="8" fillId="0" borderId="0"/>
    <xf numFmtId="0" fontId="3" fillId="0" borderId="0"/>
    <xf numFmtId="0" fontId="8" fillId="0" borderId="0"/>
    <xf numFmtId="0" fontId="1" fillId="0" borderId="0"/>
    <xf numFmtId="0" fontId="8" fillId="0" borderId="0"/>
    <xf numFmtId="0" fontId="8" fillId="0" borderId="0"/>
    <xf numFmtId="0" fontId="15" fillId="0" borderId="0"/>
    <xf numFmtId="0" fontId="8" fillId="0" borderId="0"/>
    <xf numFmtId="0" fontId="1" fillId="0" borderId="0"/>
    <xf numFmtId="0" fontId="5" fillId="0" borderId="0"/>
    <xf numFmtId="0" fontId="15" fillId="0" borderId="0"/>
    <xf numFmtId="0" fontId="15" fillId="0" borderId="0"/>
    <xf numFmtId="170" fontId="8" fillId="0" borderId="0">
      <alignment vertical="top"/>
    </xf>
    <xf numFmtId="0" fontId="8" fillId="0" borderId="0"/>
    <xf numFmtId="0" fontId="8" fillId="0" borderId="0"/>
    <xf numFmtId="0" fontId="8" fillId="0" borderId="0"/>
    <xf numFmtId="0" fontId="21" fillId="0" borderId="0"/>
    <xf numFmtId="0" fontId="15" fillId="0" borderId="0"/>
    <xf numFmtId="0" fontId="1" fillId="0" borderId="0"/>
    <xf numFmtId="0" fontId="8" fillId="0" borderId="0"/>
    <xf numFmtId="0" fontId="21" fillId="0" borderId="0"/>
    <xf numFmtId="0" fontId="1" fillId="0" borderId="0"/>
    <xf numFmtId="0" fontId="8" fillId="0" borderId="0"/>
    <xf numFmtId="0" fontId="5" fillId="0" borderId="0"/>
    <xf numFmtId="0" fontId="14" fillId="0" borderId="0"/>
    <xf numFmtId="0" fontId="8" fillId="0" borderId="0"/>
    <xf numFmtId="0" fontId="15" fillId="0" borderId="0"/>
    <xf numFmtId="0" fontId="15" fillId="0" borderId="0"/>
    <xf numFmtId="0" fontId="1" fillId="0" borderId="0"/>
    <xf numFmtId="0" fontId="4" fillId="0" borderId="0"/>
    <xf numFmtId="0" fontId="15" fillId="0" borderId="0"/>
    <xf numFmtId="0" fontId="15" fillId="0" borderId="0"/>
    <xf numFmtId="0" fontId="4" fillId="0" borderId="0"/>
    <xf numFmtId="0" fontId="4" fillId="0" borderId="0"/>
    <xf numFmtId="0" fontId="5" fillId="0" borderId="0"/>
    <xf numFmtId="0" fontId="8" fillId="0" borderId="0"/>
    <xf numFmtId="0" fontId="42" fillId="9" borderId="0" applyNumberFormat="0" applyBorder="0" applyAlignment="0" applyProtection="0"/>
    <xf numFmtId="0" fontId="42" fillId="9" borderId="0" applyNumberFormat="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2" borderId="1"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4" fillId="0" borderId="18" applyNumberFormat="0" applyFill="0" applyAlignment="0" applyProtection="0"/>
    <xf numFmtId="0" fontId="44" fillId="0" borderId="18" applyNumberFormat="0" applyFill="0" applyAlignment="0" applyProtection="0"/>
    <xf numFmtId="170" fontId="16" fillId="0" borderId="0">
      <alignment vertical="top"/>
    </xf>
    <xf numFmtId="0" fontId="13" fillId="0" borderId="0"/>
    <xf numFmtId="0" fontId="23" fillId="0" borderId="0"/>
    <xf numFmtId="0" fontId="23" fillId="0" borderId="0"/>
    <xf numFmtId="0" fontId="13" fillId="0" borderId="0"/>
    <xf numFmtId="0" fontId="13" fillId="0" borderId="0"/>
    <xf numFmtId="0" fontId="23" fillId="0" borderId="0"/>
    <xf numFmtId="0" fontId="45" fillId="0" borderId="0" applyNumberFormat="0" applyFill="0" applyBorder="0" applyAlignment="0" applyProtection="0"/>
    <xf numFmtId="0" fontId="45" fillId="0" borderId="0" applyNumberFormat="0" applyFill="0" applyBorder="0" applyAlignment="0" applyProtection="0"/>
    <xf numFmtId="0" fontId="35" fillId="30" borderId="9" applyNumberFormat="0" applyAlignment="0" applyProtection="0"/>
    <xf numFmtId="168" fontId="8" fillId="0" borderId="0" applyFont="0" applyFill="0" applyBorder="0" applyAlignment="0" applyProtection="0"/>
    <xf numFmtId="0" fontId="35" fillId="30" borderId="9" applyNumberFormat="0" applyAlignment="0" applyProtection="0"/>
    <xf numFmtId="165" fontId="15"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168" fontId="8"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8" fillId="0" borderId="0" applyFont="0" applyFill="0" applyBorder="0" applyAlignment="0" applyProtection="0"/>
    <xf numFmtId="165" fontId="15" fillId="0" borderId="0" applyFont="0" applyFill="0" applyBorder="0" applyAlignment="0" applyProtection="0"/>
    <xf numFmtId="4" fontId="27" fillId="4" borderId="0" applyBorder="0">
      <alignment horizontal="right"/>
    </xf>
    <xf numFmtId="0" fontId="46" fillId="10" borderId="0" applyNumberFormat="0" applyBorder="0" applyAlignment="0" applyProtection="0"/>
    <xf numFmtId="0" fontId="46" fillId="10" borderId="0" applyNumberFormat="0" applyBorder="0" applyAlignment="0" applyProtection="0"/>
    <xf numFmtId="0" fontId="35" fillId="30" borderId="9" applyNumberFormat="0" applyAlignment="0" applyProtection="0"/>
    <xf numFmtId="164" fontId="6" fillId="0" borderId="0">
      <protection locked="0"/>
    </xf>
    <xf numFmtId="167" fontId="6" fillId="0" borderId="0">
      <protection locked="0"/>
    </xf>
    <xf numFmtId="0" fontId="5" fillId="0" borderId="0"/>
    <xf numFmtId="0" fontId="5" fillId="0" borderId="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28" fillId="27" borderId="0" applyNumberFormat="0" applyBorder="0" applyAlignment="0" applyProtection="0"/>
    <xf numFmtId="0" fontId="4" fillId="14" borderId="0" applyNumberFormat="0" applyBorder="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28" fillId="23" borderId="0" applyNumberFormat="0" applyBorder="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4" fillId="16" borderId="0" applyNumberFormat="0" applyBorder="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51" fillId="0" borderId="20" applyNumberFormat="0" applyFill="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28" fillId="19" borderId="0" applyNumberFormat="0" applyBorder="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28" fillId="26" borderId="0" applyNumberFormat="0" applyBorder="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0" applyNumberFormat="0" applyBorder="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17" borderId="0" applyNumberFormat="0" applyBorder="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28" fillId="17" borderId="0" applyNumberFormat="0" applyBorder="0" applyAlignment="0" applyProtection="0"/>
    <xf numFmtId="0" fontId="34" fillId="30" borderId="10"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28" fillId="19" borderId="0" applyNumberFormat="0" applyBorder="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3" borderId="0" applyNumberFormat="0" applyBorder="0" applyAlignment="0" applyProtection="0"/>
    <xf numFmtId="0" fontId="34" fillId="30" borderId="10" applyNumberFormat="0" applyAlignment="0" applyProtection="0"/>
    <xf numFmtId="0" fontId="39" fillId="0" borderId="14" applyNumberFormat="0" applyFill="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28" fillId="29" borderId="0" applyNumberFormat="0" applyBorder="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28" fillId="18" borderId="0" applyNumberFormat="0" applyBorder="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9" fillId="0" borderId="15" applyNumberFormat="0" applyFill="0" applyAlignment="0" applyProtection="0"/>
    <xf numFmtId="0" fontId="50" fillId="0" borderId="19" applyNumberFormat="0" applyFill="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4" fillId="12" borderId="0" applyNumberFormat="0" applyBorder="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9" fillId="0" borderId="14" applyNumberFormat="0" applyFill="0" applyAlignment="0" applyProtection="0"/>
    <xf numFmtId="0" fontId="4" fillId="34" borderId="0" applyNumberFormat="0" applyBorder="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4" fillId="35" borderId="0" applyNumberFormat="0" applyBorder="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0" borderId="0" applyNumberFormat="0" applyBorder="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28" fillId="34" borderId="0" applyNumberFormat="0" applyBorder="0" applyAlignment="0" applyProtection="0"/>
    <xf numFmtId="0" fontId="4"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4" fillId="8" borderId="0" applyNumberFormat="0" applyBorder="0" applyAlignment="0" applyProtection="0"/>
    <xf numFmtId="0" fontId="28" fillId="37" borderId="0" applyNumberFormat="0" applyBorder="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9" borderId="0" applyNumberFormat="0" applyBorder="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9" fillId="30" borderId="17"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57" fillId="0" borderId="0" applyNumberFormat="0" applyFill="0" applyBorder="0" applyAlignment="0" applyProtection="0">
      <alignment vertical="top"/>
      <protection locked="0"/>
    </xf>
    <xf numFmtId="0" fontId="52" fillId="0" borderId="21" applyNumberFormat="0" applyFill="0" applyAlignment="0" applyProtection="0"/>
    <xf numFmtId="0" fontId="52" fillId="0" borderId="0" applyNumberFormat="0" applyFill="0" applyBorder="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22"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30" borderId="4"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20" fillId="0" borderId="0" applyNumberFormat="0" applyFill="0" applyBorder="0" applyAlignment="0" applyProtection="0"/>
    <xf numFmtId="0" fontId="36" fillId="0" borderId="11" applyNumberFormat="0" applyFill="0" applyAlignment="0" applyProtection="0"/>
    <xf numFmtId="0" fontId="38" fillId="0" borderId="13"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4" fillId="15" borderId="0" applyNumberFormat="0" applyBorder="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14" borderId="0" applyNumberFormat="0" applyBorder="0" applyAlignment="0" applyProtection="0"/>
    <xf numFmtId="0" fontId="39" fillId="0" borderId="14"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8" fillId="0" borderId="0" applyNumberFormat="0" applyFill="0" applyBorder="0" applyAlignment="0" applyProtection="0"/>
    <xf numFmtId="0" fontId="37" fillId="0" borderId="12"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8" fillId="15" borderId="17" applyNumberFormat="0" applyAlignment="0" applyProtection="0"/>
    <xf numFmtId="0" fontId="28" fillId="34" borderId="0" applyNumberFormat="0" applyBorder="0" applyAlignment="0" applyProtection="0"/>
    <xf numFmtId="0" fontId="28" fillId="21" borderId="0" applyNumberFormat="0" applyBorder="0" applyAlignment="0" applyProtection="0"/>
    <xf numFmtId="0" fontId="28" fillId="38" borderId="0" applyNumberFormat="0" applyBorder="0" applyAlignment="0" applyProtection="0"/>
    <xf numFmtId="0" fontId="28" fillId="25" borderId="0" applyNumberFormat="0" applyBorder="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28" fillId="12"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39" fillId="0" borderId="15" applyNumberFormat="0" applyFill="0" applyAlignment="0" applyProtection="0"/>
    <xf numFmtId="0" fontId="4" fillId="17" borderId="0" applyNumberFormat="0" applyBorder="0" applyAlignment="0" applyProtection="0"/>
    <xf numFmtId="0" fontId="39" fillId="0" borderId="14" applyNumberFormat="0" applyFill="0" applyAlignment="0" applyProtection="0"/>
    <xf numFmtId="0" fontId="4" fillId="11" borderId="0" applyNumberFormat="0" applyBorder="0" applyAlignment="0" applyProtection="0"/>
    <xf numFmtId="0" fontId="39" fillId="0" borderId="15" applyNumberFormat="0" applyFill="0" applyAlignment="0" applyProtection="0"/>
    <xf numFmtId="0" fontId="35" fillId="22" borderId="9" applyNumberFormat="0" applyAlignment="0" applyProtection="0"/>
    <xf numFmtId="0" fontId="4" fillId="11" borderId="0" applyNumberFormat="0" applyBorder="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4" fillId="23" borderId="0" applyNumberFormat="0" applyBorder="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10" borderId="0" applyNumberFormat="0" applyBorder="0" applyAlignment="0" applyProtection="0"/>
    <xf numFmtId="0" fontId="35" fillId="22" borderId="9" applyNumberFormat="0" applyAlignment="0" applyProtection="0"/>
    <xf numFmtId="0" fontId="35" fillId="22" borderId="9" applyNumberFormat="0" applyAlignment="0" applyProtection="0"/>
    <xf numFmtId="0" fontId="4" fillId="13" borderId="0" applyNumberFormat="0" applyBorder="0" applyAlignment="0" applyProtection="0"/>
    <xf numFmtId="0" fontId="39" fillId="0" borderId="14" applyNumberFormat="0" applyFill="0" applyAlignment="0" applyProtection="0"/>
    <xf numFmtId="0" fontId="4" fillId="17" borderId="0" applyNumberFormat="0" applyBorder="0" applyAlignment="0" applyProtection="0"/>
    <xf numFmtId="0" fontId="39" fillId="0" borderId="14" applyNumberFormat="0" applyFill="0" applyAlignment="0" applyProtection="0"/>
    <xf numFmtId="0" fontId="4" fillId="32" borderId="17" applyNumberFormat="0" applyFont="0" applyAlignment="0" applyProtection="0"/>
    <xf numFmtId="0" fontId="4" fillId="12" borderId="0" applyNumberFormat="0" applyBorder="0" applyAlignment="0" applyProtection="0"/>
    <xf numFmtId="0" fontId="39" fillId="0" borderId="14" applyNumberFormat="0" applyFill="0" applyAlignment="0" applyProtection="0"/>
    <xf numFmtId="0" fontId="28" fillId="12" borderId="0" applyNumberFormat="0" applyBorder="0" applyAlignment="0" applyProtection="0"/>
    <xf numFmtId="0" fontId="39" fillId="0" borderId="15" applyNumberFormat="0" applyFill="0" applyAlignment="0" applyProtection="0"/>
    <xf numFmtId="0" fontId="39" fillId="0" borderId="15" applyNumberFormat="0" applyFill="0" applyAlignment="0" applyProtection="0"/>
    <xf numFmtId="0" fontId="28" fillId="21" borderId="0" applyNumberFormat="0" applyBorder="0" applyAlignment="0" applyProtection="0"/>
    <xf numFmtId="0" fontId="28" fillId="15" borderId="0" applyNumberFormat="0" applyBorder="0" applyAlignment="0" applyProtection="0"/>
    <xf numFmtId="0" fontId="39" fillId="0" borderId="15" applyNumberFormat="0" applyFill="0" applyAlignment="0" applyProtection="0"/>
    <xf numFmtId="0" fontId="39" fillId="0" borderId="15" applyNumberFormat="0" applyFill="0" applyAlignment="0" applyProtection="0"/>
    <xf numFmtId="0" fontId="4" fillId="15" borderId="0" applyNumberFormat="0" applyBorder="0" applyAlignment="0" applyProtection="0"/>
    <xf numFmtId="0" fontId="34" fillId="30" borderId="10" applyNumberFormat="0" applyAlignment="0" applyProtection="0"/>
    <xf numFmtId="0" fontId="39" fillId="0" borderId="14" applyNumberFormat="0" applyFill="0" applyAlignment="0" applyProtection="0"/>
    <xf numFmtId="0" fontId="28" fillId="34" borderId="0" applyNumberFormat="0" applyBorder="0" applyAlignment="0" applyProtection="0"/>
    <xf numFmtId="0" fontId="39" fillId="0" borderId="14" applyNumberFormat="0" applyFill="0" applyAlignment="0" applyProtection="0"/>
    <xf numFmtId="0" fontId="28" fillId="37" borderId="0" applyNumberFormat="0" applyBorder="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28" fillId="20" borderId="0" applyNumberFormat="0" applyBorder="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0" fillId="36" borderId="23" applyNumberFormat="0" applyAlignment="0" applyProtection="0"/>
    <xf numFmtId="0" fontId="39" fillId="0" borderId="14" applyNumberFormat="0" applyFill="0" applyAlignment="0" applyProtection="0"/>
    <xf numFmtId="0" fontId="40" fillId="31" borderId="16" applyNumberFormat="0" applyAlignment="0" applyProtection="0"/>
    <xf numFmtId="0" fontId="53" fillId="0" borderId="0" applyNumberFormat="0" applyFill="0" applyBorder="0" applyAlignment="0" applyProtection="0"/>
    <xf numFmtId="0" fontId="24" fillId="0" borderId="0" applyNumberFormat="0" applyFill="0" applyBorder="0" applyAlignment="0" applyProtection="0"/>
    <xf numFmtId="0" fontId="54" fillId="32" borderId="0" applyNumberFormat="0" applyBorder="0" applyAlignment="0" applyProtection="0"/>
    <xf numFmtId="0" fontId="39" fillId="0" borderId="14" applyNumberFormat="0" applyFill="0" applyAlignment="0" applyProtection="0"/>
    <xf numFmtId="0" fontId="41" fillId="20" borderId="0" applyNumberFormat="0" applyBorder="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 fillId="0" borderId="0"/>
    <xf numFmtId="0" fontId="34" fillId="22" borderId="10" applyNumberFormat="0" applyAlignment="0" applyProtection="0"/>
    <xf numFmtId="0" fontId="5" fillId="0" borderId="0"/>
    <xf numFmtId="0" fontId="42" fillId="39" borderId="0" applyNumberFormat="0" applyBorder="0" applyAlignment="0" applyProtection="0"/>
    <xf numFmtId="0" fontId="34" fillId="22" borderId="10" applyNumberFormat="0" applyAlignment="0" applyProtection="0"/>
    <xf numFmtId="0" fontId="42" fillId="9" borderId="0" applyNumberFormat="0" applyBorder="0" applyAlignment="0" applyProtection="0"/>
    <xf numFmtId="0" fontId="55" fillId="0" borderId="0" applyNumberFormat="0" applyFill="0" applyBorder="0" applyAlignment="0" applyProtection="0"/>
    <xf numFmtId="0" fontId="34" fillId="22" borderId="10" applyNumberFormat="0" applyAlignment="0" applyProtection="0"/>
    <xf numFmtId="0" fontId="43" fillId="0" borderId="0" applyNumberFormat="0" applyFill="0" applyBorder="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4" fillId="2" borderId="1" applyNumberFormat="0" applyFont="0" applyAlignment="0" applyProtection="0"/>
    <xf numFmtId="0" fontId="16" fillId="32" borderId="9"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9" fontId="4" fillId="0" borderId="0" applyFont="0" applyFill="0" applyBorder="0" applyAlignment="0" applyProtection="0"/>
    <xf numFmtId="0" fontId="35" fillId="22" borderId="9" applyNumberFormat="0" applyAlignment="0" applyProtection="0"/>
    <xf numFmtId="0" fontId="4" fillId="32" borderId="17" applyNumberFormat="0" applyFont="0" applyAlignment="0" applyProtection="0"/>
    <xf numFmtId="9" fontId="19" fillId="0" borderId="0" applyFont="0" applyFill="0" applyBorder="0" applyAlignment="0" applyProtection="0"/>
    <xf numFmtId="0" fontId="45" fillId="0" borderId="24" applyNumberFormat="0" applyFill="0" applyAlignment="0" applyProtection="0"/>
    <xf numFmtId="0" fontId="4" fillId="32" borderId="17" applyNumberFormat="0" applyFont="0" applyAlignment="0" applyProtection="0"/>
    <xf numFmtId="0" fontId="44" fillId="0" borderId="18"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165" fontId="19" fillId="0" borderId="0" applyFont="0" applyFill="0" applyBorder="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56" fillId="17" borderId="0" applyNumberFormat="0" applyBorder="0" applyAlignment="0" applyProtection="0"/>
    <xf numFmtId="0" fontId="34" fillId="30" borderId="10" applyNumberFormat="0" applyAlignment="0" applyProtection="0"/>
    <xf numFmtId="0" fontId="46" fillId="10" borderId="0" applyNumberFormat="0" applyBorder="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3" fillId="13"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48" fillId="15" borderId="17"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9" fillId="30" borderId="17"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16" fillId="32" borderId="9"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58" fillId="0" borderId="0"/>
    <xf numFmtId="0" fontId="58" fillId="0" borderId="0"/>
    <xf numFmtId="0" fontId="34" fillId="22" borderId="10"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4" applyNumberFormat="0" applyFill="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9" fillId="30" borderId="17"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22"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30" borderId="4"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8" fillId="15" borderId="17"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16" fillId="32" borderId="9"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3" fillId="13"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1" fillId="0" borderId="0"/>
    <xf numFmtId="0" fontId="48" fillId="15" borderId="17"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9" fillId="30" borderId="17"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16" fillId="32" borderId="9"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22" borderId="9" applyNumberForma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9" fillId="30" borderId="17"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22"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30" borderId="4"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39" fillId="0" borderId="14"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8" fillId="15" borderId="17"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4" fillId="22" borderId="10" applyNumberFormat="0" applyAlignment="0" applyProtection="0"/>
    <xf numFmtId="0" fontId="39" fillId="0" borderId="14" applyNumberFormat="0" applyFill="0" applyAlignment="0" applyProtection="0"/>
    <xf numFmtId="0" fontId="34" fillId="30" borderId="10" applyNumberFormat="0" applyAlignment="0" applyProtection="0"/>
    <xf numFmtId="0" fontId="39" fillId="0" borderId="15" applyNumberFormat="0" applyFill="0" applyAlignment="0" applyProtection="0"/>
    <xf numFmtId="0" fontId="35" fillId="22" borderId="9" applyNumberFormat="0" applyAlignment="0" applyProtection="0"/>
    <xf numFmtId="0" fontId="34" fillId="22" borderId="10"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4" fillId="30"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4" fillId="22" borderId="10" applyNumberFormat="0" applyAlignment="0" applyProtection="0"/>
    <xf numFmtId="0" fontId="34" fillId="30" borderId="10"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16" fillId="32" borderId="9"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3" fillId="13"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48" fillId="15" borderId="17"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9" fillId="30" borderId="17"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16" fillId="32" borderId="9"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4" fillId="22"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4" fillId="22"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8"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35" fillId="22"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34" fillId="30" borderId="10"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4" fillId="30" borderId="10"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 fillId="2" borderId="1" applyNumberFormat="0" applyFont="0" applyAlignment="0" applyProtection="0"/>
    <xf numFmtId="9" fontId="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9" fillId="30" borderId="17"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22"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30" borderId="4"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39" fillId="0" borderId="14"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8" fillId="15" borderId="17"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4" fillId="22" borderId="10" applyNumberFormat="0" applyAlignment="0" applyProtection="0"/>
    <xf numFmtId="0" fontId="39" fillId="0" borderId="14" applyNumberFormat="0" applyFill="0" applyAlignment="0" applyProtection="0"/>
    <xf numFmtId="0" fontId="34" fillId="30" borderId="10" applyNumberFormat="0" applyAlignment="0" applyProtection="0"/>
    <xf numFmtId="0" fontId="39" fillId="0" borderId="15" applyNumberFormat="0" applyFill="0" applyAlignment="0" applyProtection="0"/>
    <xf numFmtId="0" fontId="35" fillId="22" borderId="9" applyNumberFormat="0" applyAlignment="0" applyProtection="0"/>
    <xf numFmtId="0" fontId="34" fillId="22" borderId="10"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4" fillId="30"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4" fillId="22" borderId="10" applyNumberFormat="0" applyAlignment="0" applyProtection="0"/>
    <xf numFmtId="0" fontId="34" fillId="30" borderId="10"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16" fillId="32" borderId="9"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3" fillId="13"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48" fillId="15" borderId="17"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9" fillId="30" borderId="17"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16" fillId="32" borderId="9"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4" applyNumberFormat="0" applyFill="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9" fillId="30" borderId="17"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22"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30" borderId="4"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8" fillId="15" borderId="17"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16" fillId="32" borderId="9"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3" fillId="13"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48" fillId="15" borderId="17"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9" fillId="30" borderId="17"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16" fillId="32" borderId="9"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4" applyNumberFormat="0" applyFill="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9" fillId="30" borderId="17"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22"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30" borderId="4"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8" fillId="15" borderId="17"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16" fillId="32" borderId="9"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3" fillId="13"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48" fillId="15" borderId="17"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9" fillId="30" borderId="17"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16" fillId="32" borderId="9"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4" fillId="22"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4" fillId="22"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8"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35" fillId="22"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34" fillId="30" borderId="10"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4" fillId="30" borderId="10"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9" fillId="30" borderId="17"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22"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30" borderId="4"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39" fillId="0" borderId="14"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8" fillId="15" borderId="17"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4" fillId="22" borderId="10" applyNumberFormat="0" applyAlignment="0" applyProtection="0"/>
    <xf numFmtId="0" fontId="39" fillId="0" borderId="14" applyNumberFormat="0" applyFill="0" applyAlignment="0" applyProtection="0"/>
    <xf numFmtId="0" fontId="34" fillId="30" borderId="10" applyNumberFormat="0" applyAlignment="0" applyProtection="0"/>
    <xf numFmtId="0" fontId="39" fillId="0" borderId="15" applyNumberFormat="0" applyFill="0" applyAlignment="0" applyProtection="0"/>
    <xf numFmtId="0" fontId="35" fillId="22" borderId="9" applyNumberFormat="0" applyAlignment="0" applyProtection="0"/>
    <xf numFmtId="0" fontId="34" fillId="22" borderId="10"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4" fillId="30"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4" fillId="22" borderId="10" applyNumberFormat="0" applyAlignment="0" applyProtection="0"/>
    <xf numFmtId="0" fontId="34" fillId="30" borderId="10"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16" fillId="32" borderId="9"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3" fillId="13"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48" fillId="15" borderId="17"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9" fillId="30" borderId="17"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16" fillId="32" borderId="9"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22" borderId="9"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8"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4" fillId="22" borderId="10"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4" applyNumberFormat="0" applyFill="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9" fillId="0" borderId="14" applyNumberFormat="0" applyFill="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9" fillId="0" borderId="15" applyNumberFormat="0" applyFill="0" applyAlignment="0" applyProtection="0"/>
    <xf numFmtId="0" fontId="8" fillId="32" borderId="17" applyNumberFormat="0" applyFont="0" applyAlignment="0" applyProtection="0"/>
    <xf numFmtId="0" fontId="39" fillId="0" borderId="15" applyNumberFormat="0" applyFill="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22" borderId="9" applyNumberFormat="0" applyAlignment="0" applyProtection="0"/>
    <xf numFmtId="0" fontId="35" fillId="30"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3" fillId="13" borderId="9" applyNumberFormat="0" applyAlignment="0" applyProtection="0"/>
    <xf numFmtId="0" fontId="39" fillId="0" borderId="15" applyNumberFormat="0" applyFill="0" applyAlignment="0" applyProtection="0"/>
    <xf numFmtId="0" fontId="35" fillId="22" borderId="9" applyNumberFormat="0" applyAlignment="0" applyProtection="0"/>
    <xf numFmtId="0" fontId="39" fillId="0" borderId="15" applyNumberFormat="0" applyFill="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5" fillId="30" borderId="9" applyNumberFormat="0" applyAlignment="0" applyProtection="0"/>
    <xf numFmtId="0" fontId="34" fillId="22" borderId="10" applyNumberFormat="0" applyAlignment="0" applyProtection="0"/>
    <xf numFmtId="0" fontId="33" fillId="13" borderId="9" applyNumberFormat="0" applyAlignment="0" applyProtection="0"/>
    <xf numFmtId="0" fontId="34" fillId="22" borderId="10" applyNumberFormat="0" applyAlignment="0" applyProtection="0"/>
    <xf numFmtId="0" fontId="35" fillId="30" borderId="9" applyNumberFormat="0" applyAlignment="0" applyProtection="0"/>
    <xf numFmtId="0" fontId="33" fillId="13" borderId="9" applyNumberFormat="0" applyAlignment="0" applyProtection="0"/>
    <xf numFmtId="0" fontId="39" fillId="0" borderId="14"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5" fillId="22"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5" fillId="30" borderId="9"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9" fillId="0" borderId="14" applyNumberFormat="0" applyFill="0" applyAlignment="0" applyProtection="0"/>
    <xf numFmtId="0" fontId="35" fillId="30"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4" fillId="30"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3" fillId="13"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9" fillId="30" borderId="17"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9" fillId="0" borderId="22"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30"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3" fillId="13" borderId="9" applyNumberFormat="0" applyAlignment="0" applyProtection="0"/>
    <xf numFmtId="0" fontId="8"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30"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39" fillId="30" borderId="4"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30" borderId="9" applyNumberFormat="0" applyAlignment="0" applyProtection="0"/>
    <xf numFmtId="0" fontId="35" fillId="30"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9" fillId="0" borderId="14" applyNumberFormat="0" applyFill="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5"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8" fillId="32" borderId="17" applyNumberFormat="0" applyFon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8" fillId="15" borderId="17"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4" fillId="30"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8" fillId="32" borderId="17" applyNumberFormat="0" applyFont="0" applyAlignment="0" applyProtection="0"/>
    <xf numFmtId="0" fontId="8" fillId="32" borderId="17" applyNumberFormat="0" applyFont="0" applyAlignment="0" applyProtection="0"/>
    <xf numFmtId="0" fontId="33" fillId="13" borderId="9" applyNumberFormat="0" applyAlignment="0" applyProtection="0"/>
    <xf numFmtId="0" fontId="16" fillId="32" borderId="9"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4" fillId="22" borderId="10"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22" borderId="10"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5" fillId="22" borderId="9" applyNumberFormat="0" applyAlignment="0" applyProtection="0"/>
    <xf numFmtId="0" fontId="34" fillId="22" borderId="10" applyNumberFormat="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3" fillId="13"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5" fillId="30" borderId="9"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9" fillId="0" borderId="14" applyNumberFormat="0" applyFill="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34" fillId="30" borderId="10"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4" fillId="32" borderId="17" applyNumberFormat="0" applyFon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5" fillId="30"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3" fillId="13" borderId="9" applyNumberFormat="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9" fillId="0" borderId="15" applyNumberFormat="0" applyFill="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5"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5" fillId="30" borderId="9" applyNumberForma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39" fillId="0" borderId="14" applyNumberFormat="0" applyFill="0" applyAlignment="0" applyProtection="0"/>
    <xf numFmtId="0" fontId="4" fillId="32" borderId="17" applyNumberFormat="0" applyFon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8" fillId="32" borderId="17" applyNumberFormat="0" applyFont="0" applyAlignment="0" applyProtection="0"/>
    <xf numFmtId="0" fontId="4" fillId="32" borderId="17" applyNumberFormat="0" applyFont="0" applyAlignment="0" applyProtection="0"/>
    <xf numFmtId="0" fontId="48" fillId="15" borderId="17"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49" fillId="30" borderId="17"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16" fillId="32" borderId="9"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59"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60" fillId="0" borderId="0"/>
    <xf numFmtId="0" fontId="8" fillId="0" borderId="0"/>
    <xf numFmtId="0" fontId="5" fillId="0" borderId="0"/>
    <xf numFmtId="0" fontId="8" fillId="0" borderId="0"/>
    <xf numFmtId="175" fontId="13" fillId="0" borderId="0"/>
    <xf numFmtId="0" fontId="23" fillId="0" borderId="0"/>
    <xf numFmtId="0" fontId="13" fillId="0" borderId="0"/>
    <xf numFmtId="0" fontId="13" fillId="0" borderId="0"/>
    <xf numFmtId="0" fontId="23" fillId="0" borderId="0"/>
    <xf numFmtId="176" fontId="16" fillId="0" borderId="0">
      <alignment vertical="top"/>
    </xf>
    <xf numFmtId="176" fontId="93" fillId="0" borderId="0">
      <alignment vertical="top"/>
    </xf>
    <xf numFmtId="177" fontId="93" fillId="47" borderId="0">
      <alignment vertical="top"/>
    </xf>
    <xf numFmtId="176" fontId="93" fillId="4" borderId="0">
      <alignment vertical="top"/>
    </xf>
    <xf numFmtId="0" fontId="94" fillId="0" borderId="0"/>
    <xf numFmtId="0" fontId="94" fillId="0" borderId="0">
      <alignment vertical="top"/>
    </xf>
    <xf numFmtId="0" fontId="13" fillId="0" borderId="0"/>
    <xf numFmtId="170"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170"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0" fontId="95" fillId="48" borderId="9" applyNumberFormat="0">
      <alignment readingOrder="1"/>
      <protection locked="0"/>
    </xf>
    <xf numFmtId="0" fontId="11" fillId="0" borderId="0"/>
    <xf numFmtId="0" fontId="23" fillId="0" borderId="0"/>
    <xf numFmtId="0" fontId="23" fillId="0" borderId="0"/>
    <xf numFmtId="0" fontId="23" fillId="0" borderId="0"/>
    <xf numFmtId="0" fontId="23" fillId="0" borderId="0"/>
    <xf numFmtId="0" fontId="23" fillId="0" borderId="0"/>
    <xf numFmtId="0" fontId="96" fillId="0" borderId="0"/>
    <xf numFmtId="0" fontId="23" fillId="0" borderId="0"/>
    <xf numFmtId="0" fontId="13" fillId="0" borderId="0"/>
    <xf numFmtId="0" fontId="13" fillId="0" borderId="0"/>
    <xf numFmtId="0" fontId="23" fillId="0" borderId="0"/>
    <xf numFmtId="0" fontId="23" fillId="0" borderId="0"/>
    <xf numFmtId="0" fontId="23" fillId="0" borderId="0"/>
    <xf numFmtId="0" fontId="96" fillId="0" borderId="0"/>
    <xf numFmtId="0" fontId="13" fillId="0" borderId="0"/>
    <xf numFmtId="0" fontId="13" fillId="0" borderId="0"/>
    <xf numFmtId="0" fontId="23" fillId="0" borderId="0"/>
    <xf numFmtId="0" fontId="13" fillId="0" borderId="0"/>
    <xf numFmtId="170"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0" fontId="13" fillId="0" borderId="0"/>
    <xf numFmtId="0" fontId="13" fillId="0" borderId="0"/>
    <xf numFmtId="0" fontId="23" fillId="0" borderId="0"/>
    <xf numFmtId="0" fontId="23" fillId="0" borderId="0"/>
    <xf numFmtId="170"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0" fontId="23" fillId="0" borderId="0"/>
    <xf numFmtId="0" fontId="23" fillId="0" borderId="0"/>
    <xf numFmtId="0" fontId="23" fillId="0" borderId="0"/>
    <xf numFmtId="0" fontId="23" fillId="0" borderId="0"/>
    <xf numFmtId="0" fontId="23" fillId="0" borderId="0"/>
    <xf numFmtId="170"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170"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0" fontId="23" fillId="0" borderId="0"/>
    <xf numFmtId="0" fontId="13" fillId="0" borderId="0"/>
    <xf numFmtId="0" fontId="23" fillId="0" borderId="0"/>
    <xf numFmtId="0" fontId="13" fillId="0" borderId="0"/>
    <xf numFmtId="0" fontId="23" fillId="0" borderId="0"/>
    <xf numFmtId="0" fontId="23" fillId="0" borderId="0"/>
    <xf numFmtId="0" fontId="23" fillId="0" borderId="0"/>
    <xf numFmtId="0" fontId="13" fillId="0" borderId="0"/>
    <xf numFmtId="0" fontId="13" fillId="0" borderId="0"/>
    <xf numFmtId="0" fontId="23" fillId="0" borderId="0"/>
    <xf numFmtId="0" fontId="23" fillId="0" borderId="0"/>
    <xf numFmtId="0" fontId="96" fillId="0" borderId="0"/>
    <xf numFmtId="0" fontId="96" fillId="0" borderId="0"/>
    <xf numFmtId="0" fontId="96" fillId="0" borderId="0"/>
    <xf numFmtId="0" fontId="96" fillId="0" borderId="0"/>
    <xf numFmtId="0" fontId="23" fillId="0" borderId="0"/>
    <xf numFmtId="0" fontId="13" fillId="0" borderId="0"/>
    <xf numFmtId="0" fontId="13" fillId="0" borderId="0"/>
    <xf numFmtId="0" fontId="23" fillId="0" borderId="0"/>
    <xf numFmtId="0" fontId="23" fillId="0" borderId="0"/>
    <xf numFmtId="178" fontId="6" fillId="0" borderId="0">
      <protection locked="0"/>
    </xf>
    <xf numFmtId="179" fontId="6" fillId="0" borderId="0">
      <protection locked="0"/>
    </xf>
    <xf numFmtId="180" fontId="8" fillId="0" borderId="0">
      <protection locked="0"/>
    </xf>
    <xf numFmtId="181" fontId="6" fillId="0" borderId="2">
      <protection locked="0"/>
    </xf>
    <xf numFmtId="0" fontId="5" fillId="0" borderId="0"/>
    <xf numFmtId="0" fontId="11" fillId="0" borderId="0"/>
    <xf numFmtId="0" fontId="96" fillId="0" borderId="0"/>
    <xf numFmtId="0" fontId="97" fillId="0" borderId="0">
      <protection locked="0"/>
    </xf>
    <xf numFmtId="0" fontId="97" fillId="0" borderId="0">
      <protection locked="0"/>
    </xf>
    <xf numFmtId="0" fontId="98" fillId="0" borderId="2">
      <protection locked="0"/>
    </xf>
    <xf numFmtId="0" fontId="22" fillId="49"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8" fillId="18"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9" borderId="0" applyNumberFormat="0" applyBorder="0" applyAlignment="0" applyProtection="0"/>
    <xf numFmtId="0" fontId="99" fillId="0" borderId="0" applyNumberFormat="0" applyFill="0" applyBorder="0" applyAlignment="0" applyProtection="0">
      <alignment vertical="top"/>
      <protection locked="0"/>
    </xf>
    <xf numFmtId="166" fontId="11" fillId="0" borderId="3">
      <protection locked="0"/>
    </xf>
    <xf numFmtId="182" fontId="8" fillId="0" borderId="0" applyFont="0" applyFill="0" applyBorder="0" applyAlignment="0" applyProtection="0"/>
    <xf numFmtId="183" fontId="8" fillId="0" borderId="0" applyFont="0" applyFill="0" applyBorder="0" applyAlignment="0" applyProtection="0"/>
    <xf numFmtId="0" fontId="42" fillId="9" borderId="0" applyNumberFormat="0" applyBorder="0" applyAlignment="0" applyProtection="0"/>
    <xf numFmtId="0" fontId="35" fillId="22" borderId="9" applyNumberFormat="0" applyAlignment="0" applyProtection="0"/>
    <xf numFmtId="0" fontId="100" fillId="0" borderId="9" applyNumberFormat="0" applyAlignment="0">
      <protection locked="0"/>
    </xf>
    <xf numFmtId="0" fontId="40" fillId="31" borderId="16" applyNumberFormat="0" applyAlignment="0" applyProtection="0"/>
    <xf numFmtId="3" fontId="101" fillId="0" borderId="0" applyFont="0" applyFill="0" applyBorder="0" applyAlignment="0" applyProtection="0"/>
    <xf numFmtId="166" fontId="12" fillId="3" borderId="3"/>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84" fontId="101" fillId="0" borderId="0" applyFont="0" applyFill="0" applyBorder="0" applyAlignment="0" applyProtection="0"/>
    <xf numFmtId="0" fontId="102" fillId="0" borderId="0" applyFill="0" applyBorder="0" applyProtection="0">
      <alignment vertical="center"/>
    </xf>
    <xf numFmtId="0" fontId="101" fillId="0" borderId="0" applyFont="0" applyFill="0" applyBorder="0" applyAlignment="0" applyProtection="0"/>
    <xf numFmtId="0" fontId="14" fillId="0" borderId="0" applyFont="0" applyFill="0" applyBorder="0" applyAlignment="0" applyProtection="0"/>
    <xf numFmtId="175" fontId="13" fillId="0" borderId="0" applyFont="0" applyFill="0" applyBorder="0" applyAlignment="0" applyProtection="0"/>
    <xf numFmtId="185" fontId="103" fillId="0" borderId="0"/>
    <xf numFmtId="0" fontId="43" fillId="0" borderId="0" applyNumberFormat="0" applyFill="0" applyBorder="0" applyAlignment="0" applyProtection="0"/>
    <xf numFmtId="174" fontId="104" fillId="0" borderId="0" applyFill="0" applyBorder="0" applyAlignment="0" applyProtection="0"/>
    <xf numFmtId="174" fontId="16" fillId="0" borderId="0" applyFill="0" applyBorder="0" applyAlignment="0" applyProtection="0"/>
    <xf numFmtId="174" fontId="105" fillId="0" borderId="0" applyFill="0" applyBorder="0" applyAlignment="0" applyProtection="0"/>
    <xf numFmtId="174" fontId="106" fillId="0" borderId="0" applyFill="0" applyBorder="0" applyAlignment="0" applyProtection="0"/>
    <xf numFmtId="174" fontId="107" fillId="0" borderId="0" applyFill="0" applyBorder="0" applyAlignment="0" applyProtection="0"/>
    <xf numFmtId="174" fontId="108" fillId="0" borderId="0" applyFill="0" applyBorder="0" applyAlignment="0" applyProtection="0"/>
    <xf numFmtId="174" fontId="109" fillId="0" borderId="0" applyFill="0" applyBorder="0" applyAlignment="0" applyProtection="0"/>
    <xf numFmtId="2" fontId="101" fillId="0" borderId="0" applyFont="0" applyFill="0" applyBorder="0" applyAlignment="0" applyProtection="0"/>
    <xf numFmtId="0" fontId="110" fillId="0" borderId="0" applyNumberFormat="0" applyFill="0" applyBorder="0" applyAlignment="0" applyProtection="0">
      <alignment vertical="top"/>
      <protection locked="0"/>
    </xf>
    <xf numFmtId="0" fontId="46" fillId="10" borderId="0" applyNumberFormat="0" applyBorder="0" applyAlignment="0" applyProtection="0"/>
    <xf numFmtId="0" fontId="100" fillId="22" borderId="9" applyNumberFormat="0" applyAlignment="0"/>
    <xf numFmtId="0" fontId="36" fillId="0" borderId="11"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0" applyNumberFormat="0" applyFill="0" applyBorder="0" applyAlignment="0" applyProtection="0"/>
    <xf numFmtId="0" fontId="57" fillId="0" borderId="0" applyNumberFormat="0" applyFill="0" applyBorder="0" applyAlignment="0" applyProtection="0">
      <alignment vertical="top"/>
      <protection locked="0"/>
    </xf>
    <xf numFmtId="166" fontId="111" fillId="0" borderId="0"/>
    <xf numFmtId="0" fontId="112" fillId="0" borderId="0" applyNumberFormat="0" applyFill="0" applyBorder="0" applyAlignment="0" applyProtection="0">
      <alignment vertical="top"/>
      <protection locked="0"/>
    </xf>
    <xf numFmtId="0" fontId="33" fillId="13" borderId="9" applyNumberFormat="0" applyAlignment="0" applyProtection="0"/>
    <xf numFmtId="170" fontId="93" fillId="47" borderId="0">
      <alignment vertical="top"/>
    </xf>
    <xf numFmtId="186" fontId="93" fillId="4" borderId="0">
      <alignment vertical="top"/>
    </xf>
    <xf numFmtId="38" fontId="93" fillId="0" borderId="0">
      <alignment vertical="top"/>
    </xf>
    <xf numFmtId="0" fontId="44" fillId="0" borderId="18" applyNumberFormat="0" applyFill="0" applyAlignment="0" applyProtection="0"/>
    <xf numFmtId="0" fontId="41" fillId="20" borderId="0" applyNumberFormat="0" applyBorder="0" applyAlignment="0" applyProtection="0"/>
    <xf numFmtId="0" fontId="22" fillId="0" borderId="64"/>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02" fillId="0" borderId="0" applyFill="0" applyBorder="0" applyProtection="0">
      <alignment vertical="center"/>
    </xf>
    <xf numFmtId="0" fontId="13" fillId="0" borderId="0"/>
    <xf numFmtId="0" fontId="27" fillId="32" borderId="17" applyNumberFormat="0" applyFont="0" applyAlignment="0" applyProtection="0"/>
    <xf numFmtId="0" fontId="4" fillId="32" borderId="17" applyNumberFormat="0" applyFont="0" applyAlignment="0" applyProtection="0"/>
    <xf numFmtId="187" fontId="8" fillId="0" borderId="0" applyFont="0" applyFill="0" applyBorder="0" applyAlignment="0" applyProtection="0"/>
    <xf numFmtId="188" fontId="8" fillId="0" borderId="0" applyFont="0" applyFill="0" applyBorder="0" applyAlignment="0" applyProtection="0"/>
    <xf numFmtId="0" fontId="34" fillId="22" borderId="10" applyNumberFormat="0" applyAlignment="0" applyProtection="0"/>
    <xf numFmtId="0" fontId="102" fillId="0" borderId="0" applyFill="0" applyBorder="0" applyProtection="0">
      <alignment vertical="center"/>
    </xf>
    <xf numFmtId="4" fontId="114" fillId="6" borderId="10" applyNumberFormat="0" applyProtection="0">
      <alignment vertical="center"/>
    </xf>
    <xf numFmtId="4" fontId="115" fillId="6" borderId="10" applyNumberFormat="0" applyProtection="0">
      <alignment vertical="center"/>
    </xf>
    <xf numFmtId="4" fontId="114" fillId="6" borderId="10" applyNumberFormat="0" applyProtection="0">
      <alignment horizontal="left" vertical="center" indent="1"/>
    </xf>
    <xf numFmtId="4" fontId="114" fillId="6" borderId="10" applyNumberFormat="0" applyProtection="0">
      <alignment horizontal="left" vertical="center" indent="1"/>
    </xf>
    <xf numFmtId="0" fontId="5" fillId="48" borderId="10" applyNumberFormat="0" applyProtection="0">
      <alignment horizontal="left" vertical="center" indent="1"/>
    </xf>
    <xf numFmtId="4" fontId="114" fillId="50" borderId="10" applyNumberFormat="0" applyProtection="0">
      <alignment horizontal="right" vertical="center"/>
    </xf>
    <xf numFmtId="4" fontId="114" fillId="46" borderId="10" applyNumberFormat="0" applyProtection="0">
      <alignment horizontal="right" vertical="center"/>
    </xf>
    <xf numFmtId="4" fontId="114" fillId="51" borderId="10" applyNumberFormat="0" applyProtection="0">
      <alignment horizontal="right" vertical="center"/>
    </xf>
    <xf numFmtId="4" fontId="114" fillId="52" borderId="10" applyNumberFormat="0" applyProtection="0">
      <alignment horizontal="right" vertical="center"/>
    </xf>
    <xf numFmtId="4" fontId="114" fillId="53" borderId="10" applyNumberFormat="0" applyProtection="0">
      <alignment horizontal="right" vertical="center"/>
    </xf>
    <xf numFmtId="4" fontId="114" fillId="54" borderId="10" applyNumberFormat="0" applyProtection="0">
      <alignment horizontal="right" vertical="center"/>
    </xf>
    <xf numFmtId="4" fontId="114" fillId="55" borderId="10" applyNumberFormat="0" applyProtection="0">
      <alignment horizontal="right" vertical="center"/>
    </xf>
    <xf numFmtId="4" fontId="114" fillId="56" borderId="10" applyNumberFormat="0" applyProtection="0">
      <alignment horizontal="right" vertical="center"/>
    </xf>
    <xf numFmtId="4" fontId="114" fillId="57" borderId="10" applyNumberFormat="0" applyProtection="0">
      <alignment horizontal="right" vertical="center"/>
    </xf>
    <xf numFmtId="4" fontId="116" fillId="58" borderId="10" applyNumberFormat="0" applyProtection="0">
      <alignment horizontal="left" vertical="center" indent="1"/>
    </xf>
    <xf numFmtId="4" fontId="114" fillId="59" borderId="65" applyNumberFormat="0" applyProtection="0">
      <alignment horizontal="left" vertical="center" indent="1"/>
    </xf>
    <xf numFmtId="4" fontId="117" fillId="60" borderId="0" applyNumberFormat="0" applyProtection="0">
      <alignment horizontal="left" vertical="center" indent="1"/>
    </xf>
    <xf numFmtId="0" fontId="5" fillId="48" borderId="10" applyNumberFormat="0" applyProtection="0">
      <alignment horizontal="left" vertical="center" indent="1"/>
    </xf>
    <xf numFmtId="4" fontId="94" fillId="59" borderId="10" applyNumberFormat="0" applyProtection="0">
      <alignment horizontal="left" vertical="center" indent="1"/>
    </xf>
    <xf numFmtId="4" fontId="94"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8" fillId="0" borderId="0"/>
    <xf numFmtId="4" fontId="114" fillId="45" borderId="10" applyNumberFormat="0" applyProtection="0">
      <alignment vertical="center"/>
    </xf>
    <xf numFmtId="4" fontId="115" fillId="45" borderId="10" applyNumberFormat="0" applyProtection="0">
      <alignment vertical="center"/>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59" borderId="10" applyNumberFormat="0" applyProtection="0">
      <alignment horizontal="right" vertical="center"/>
    </xf>
    <xf numFmtId="4" fontId="115" fillId="59" borderId="10" applyNumberFormat="0" applyProtection="0">
      <alignment horizontal="right" vertical="center"/>
    </xf>
    <xf numFmtId="0" fontId="5" fillId="48" borderId="10" applyNumberFormat="0" applyProtection="0">
      <alignment horizontal="left" vertical="center" indent="1"/>
    </xf>
    <xf numFmtId="0" fontId="5" fillId="48" borderId="10" applyNumberFormat="0" applyProtection="0">
      <alignment horizontal="left" vertical="center" indent="1"/>
    </xf>
    <xf numFmtId="0" fontId="118" fillId="0" borderId="0"/>
    <xf numFmtId="4" fontId="119" fillId="59" borderId="10" applyNumberFormat="0" applyProtection="0">
      <alignment horizontal="right" vertical="center"/>
    </xf>
    <xf numFmtId="0" fontId="13" fillId="0" borderId="0"/>
    <xf numFmtId="2" fontId="120" fillId="63" borderId="66" applyProtection="0"/>
    <xf numFmtId="2" fontId="120" fillId="63" borderId="66" applyProtection="0"/>
    <xf numFmtId="2" fontId="121" fillId="0" borderId="0" applyFill="0" applyBorder="0" applyProtection="0"/>
    <xf numFmtId="2" fontId="95" fillId="0" borderId="0" applyFill="0" applyBorder="0" applyProtection="0"/>
    <xf numFmtId="2" fontId="95" fillId="64" borderId="66" applyProtection="0"/>
    <xf numFmtId="2" fontId="95" fillId="65" borderId="66" applyProtection="0"/>
    <xf numFmtId="2" fontId="95" fillId="66" borderId="66" applyProtection="0"/>
    <xf numFmtId="2" fontId="95" fillId="66" borderId="66" applyProtection="0">
      <alignment horizontal="center"/>
    </xf>
    <xf numFmtId="2" fontId="95" fillId="65" borderId="66" applyProtection="0">
      <alignment horizontal="center"/>
    </xf>
    <xf numFmtId="0" fontId="5" fillId="0" borderId="0"/>
    <xf numFmtId="0" fontId="5" fillId="0" borderId="0"/>
    <xf numFmtId="0" fontId="122" fillId="67" borderId="0"/>
    <xf numFmtId="0" fontId="24" fillId="0" borderId="0" applyNumberFormat="0" applyFill="0" applyBorder="0" applyAlignment="0" applyProtection="0"/>
    <xf numFmtId="49" fontId="123" fillId="62" borderId="67" applyNumberFormat="0">
      <alignment horizontal="center" vertical="center"/>
    </xf>
    <xf numFmtId="0" fontId="39" fillId="0" borderId="14" applyNumberFormat="0" applyFill="0" applyAlignment="0" applyProtection="0"/>
    <xf numFmtId="0" fontId="45" fillId="0" borderId="0" applyNumberFormat="0" applyFill="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64"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28" fillId="0" borderId="68"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129"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130" fillId="0" borderId="69"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13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4" fontId="27" fillId="6" borderId="5" applyBorder="0">
      <alignment horizontal="right"/>
    </xf>
    <xf numFmtId="49" fontId="133" fillId="0" borderId="0" applyBorder="0">
      <alignment vertical="center"/>
    </xf>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3" fontId="12" fillId="0" borderId="5" applyBorder="0">
      <alignment vertical="center"/>
    </xf>
    <xf numFmtId="0" fontId="113" fillId="0" borderId="2" applyNumberFormat="0" applyFill="0" applyAlignment="0" applyProtection="0"/>
    <xf numFmtId="0" fontId="113" fillId="0" borderId="2" applyNumberFormat="0" applyFill="0" applyAlignment="0" applyProtection="0"/>
    <xf numFmtId="0" fontId="113" fillId="0" borderId="2" applyNumberFormat="0" applyFill="0" applyAlignment="0" applyProtection="0"/>
    <xf numFmtId="0" fontId="113" fillId="0" borderId="2" applyNumberFormat="0" applyFill="0" applyAlignment="0" applyProtection="0"/>
    <xf numFmtId="0" fontId="113" fillId="0" borderId="2" applyNumberFormat="0" applyFill="0" applyAlignment="0" applyProtection="0"/>
    <xf numFmtId="0" fontId="113" fillId="0" borderId="2" applyNumberFormat="0" applyFill="0" applyAlignment="0" applyProtection="0"/>
    <xf numFmtId="0" fontId="113" fillId="0" borderId="2" applyNumberFormat="0" applyFill="0" applyAlignment="0" applyProtection="0"/>
    <xf numFmtId="0" fontId="113" fillId="0" borderId="2" applyNumberFormat="0" applyFill="0" applyAlignment="0" applyProtection="0"/>
    <xf numFmtId="0" fontId="113" fillId="0" borderId="2" applyNumberFormat="0" applyFill="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40" fillId="31" borderId="16" applyNumberFormat="0" applyAlignment="0" applyProtection="0"/>
    <xf numFmtId="0" fontId="132" fillId="0" borderId="0">
      <alignment horizontal="center" vertical="top" wrapText="1"/>
    </xf>
    <xf numFmtId="0" fontId="134" fillId="0" borderId="0">
      <alignment horizontal="centerContinuous" vertical="center"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0" fontId="113" fillId="4" borderId="0" applyFill="0">
      <alignment wrapText="1"/>
    </xf>
    <xf numFmtId="189" fontId="135" fillId="4" borderId="5">
      <alignment wrapText="1"/>
    </xf>
    <xf numFmtId="0" fontId="136"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47" fillId="0" borderId="0"/>
    <xf numFmtId="0" fontId="47"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5" fillId="0" borderId="0"/>
    <xf numFmtId="0" fontId="5" fillId="0" borderId="0"/>
    <xf numFmtId="0" fontId="1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5" fillId="0" borderId="0">
      <alignment vertical="top"/>
    </xf>
    <xf numFmtId="0" fontId="5" fillId="0" borderId="0"/>
    <xf numFmtId="0" fontId="5" fillId="0" borderId="0"/>
    <xf numFmtId="0" fontId="4" fillId="0" borderId="0"/>
    <xf numFmtId="0" fontId="15" fillId="0" borderId="0"/>
    <xf numFmtId="0" fontId="15" fillId="0" borderId="0"/>
    <xf numFmtId="0" fontId="137"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5" fillId="0" borderId="0"/>
    <xf numFmtId="0" fontId="5"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8" fillId="0" borderId="0"/>
    <xf numFmtId="0" fontId="8" fillId="0" borderId="0"/>
    <xf numFmtId="0" fontId="1" fillId="0" borderId="0"/>
    <xf numFmtId="0" fontId="15" fillId="0" borderId="0"/>
    <xf numFmtId="0" fontId="15"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4" fillId="0" borderId="0"/>
    <xf numFmtId="0" fontId="5" fillId="0" borderId="0"/>
    <xf numFmtId="0" fontId="15" fillId="0" borderId="0"/>
    <xf numFmtId="0" fontId="1" fillId="0" borderId="0"/>
    <xf numFmtId="0" fontId="1" fillId="0" borderId="0"/>
    <xf numFmtId="0" fontId="1" fillId="0" borderId="0"/>
    <xf numFmtId="0" fontId="15"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8" fillId="0" borderId="0" applyFont="0" applyFill="0" applyBorder="0" applyProtection="0">
      <alignment horizontal="center" vertical="center" wrapText="1"/>
    </xf>
    <xf numFmtId="0" fontId="8" fillId="0" borderId="0" applyNumberFormat="0" applyFont="0" applyFill="0" applyBorder="0" applyProtection="0">
      <alignment horizontal="justify" vertical="center" wrapText="1"/>
    </xf>
    <xf numFmtId="174" fontId="138" fillId="6" borderId="70" applyNumberFormat="0" applyBorder="0" applyAlignment="0">
      <alignment vertical="center"/>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4" fillId="32" borderId="17" applyNumberFormat="0" applyFont="0" applyAlignment="0" applyProtection="0"/>
    <xf numFmtId="0" fontId="5" fillId="32" borderId="17" applyNumberFormat="0" applyFont="0" applyAlignment="0" applyProtection="0"/>
    <xf numFmtId="0" fontId="4"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139" fillId="32" borderId="17" applyNumberFormat="0" applyFont="0" applyAlignment="0" applyProtection="0"/>
    <xf numFmtId="0" fontId="5" fillId="32" borderId="17" applyNumberFormat="0" applyFont="0" applyAlignment="0" applyProtection="0"/>
    <xf numFmtId="0" fontId="4"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4"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4"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170" fontId="16" fillId="0" borderId="0">
      <alignment vertical="top"/>
    </xf>
    <xf numFmtId="0" fontId="23" fillId="0" borderId="0"/>
    <xf numFmtId="174" fontId="113" fillId="0" borderId="0" applyFill="0" applyBorder="0" applyAlignment="0" applyProtection="0"/>
    <xf numFmtId="174" fontId="113" fillId="0" borderId="0" applyFill="0" applyBorder="0" applyAlignment="0" applyProtection="0"/>
    <xf numFmtId="174" fontId="113" fillId="0" borderId="0" applyFill="0" applyBorder="0" applyAlignment="0" applyProtection="0"/>
    <xf numFmtId="174" fontId="113" fillId="0" borderId="0" applyFill="0" applyBorder="0" applyAlignment="0" applyProtection="0"/>
    <xf numFmtId="174" fontId="113" fillId="0" borderId="0" applyFill="0" applyBorder="0" applyAlignment="0" applyProtection="0"/>
    <xf numFmtId="174" fontId="113" fillId="0" borderId="0" applyFill="0" applyBorder="0" applyAlignment="0" applyProtection="0"/>
    <xf numFmtId="174" fontId="113" fillId="0" borderId="0" applyFill="0" applyBorder="0" applyAlignment="0" applyProtection="0"/>
    <xf numFmtId="174" fontId="113" fillId="0" borderId="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49" fontId="113" fillId="0" borderId="0">
      <alignment horizontal="center"/>
    </xf>
    <xf numFmtId="49" fontId="113" fillId="0" borderId="0">
      <alignment horizontal="center"/>
    </xf>
    <xf numFmtId="49" fontId="113" fillId="0" borderId="0">
      <alignment horizontal="center"/>
    </xf>
    <xf numFmtId="49" fontId="113" fillId="0" borderId="0">
      <alignment horizontal="center"/>
    </xf>
    <xf numFmtId="49" fontId="113" fillId="0" borderId="0">
      <alignment horizontal="center"/>
    </xf>
    <xf numFmtId="49" fontId="113" fillId="0" borderId="0">
      <alignment horizontal="center"/>
    </xf>
    <xf numFmtId="49" fontId="113" fillId="0" borderId="0">
      <alignment horizontal="center"/>
    </xf>
    <xf numFmtId="49" fontId="113" fillId="0" borderId="0">
      <alignment horizontal="center"/>
    </xf>
    <xf numFmtId="49" fontId="113" fillId="0" borderId="0">
      <alignment horizontal="center"/>
    </xf>
    <xf numFmtId="190" fontId="8" fillId="0" borderId="0" applyFont="0" applyFill="0" applyBorder="0" applyAlignment="0" applyProtection="0"/>
    <xf numFmtId="191" fontId="8" fillId="0" borderId="0" applyFont="0" applyFill="0" applyBorder="0" applyAlignment="0" applyProtection="0"/>
    <xf numFmtId="2" fontId="113" fillId="0" borderId="0" applyFill="0" applyBorder="0" applyAlignment="0" applyProtection="0"/>
    <xf numFmtId="2" fontId="113" fillId="0" borderId="0" applyFill="0" applyBorder="0" applyAlignment="0" applyProtection="0"/>
    <xf numFmtId="2" fontId="113" fillId="0" borderId="0" applyFill="0" applyBorder="0" applyAlignment="0" applyProtection="0"/>
    <xf numFmtId="2" fontId="113" fillId="0" borderId="0" applyFill="0" applyBorder="0" applyAlignment="0" applyProtection="0"/>
    <xf numFmtId="2" fontId="113" fillId="0" borderId="0" applyFill="0" applyBorder="0" applyAlignment="0" applyProtection="0"/>
    <xf numFmtId="2" fontId="113" fillId="0" borderId="0" applyFill="0" applyBorder="0" applyAlignment="0" applyProtection="0"/>
    <xf numFmtId="2" fontId="113" fillId="0" borderId="0" applyFill="0" applyBorder="0" applyAlignment="0" applyProtection="0"/>
    <xf numFmtId="2" fontId="113" fillId="0" borderId="0" applyFill="0" applyBorder="0" applyAlignment="0" applyProtection="0"/>
    <xf numFmtId="2" fontId="113" fillId="0" borderId="0" applyFill="0" applyBorder="0" applyAlignment="0" applyProtection="0"/>
    <xf numFmtId="165" fontId="4" fillId="0" borderId="0" applyFont="0" applyFill="0" applyBorder="0" applyAlignment="0" applyProtection="0"/>
    <xf numFmtId="192" fontId="11"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93" fontId="5"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4"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27" fillId="4" borderId="0" applyBorder="0">
      <alignment horizontal="right"/>
    </xf>
    <xf numFmtId="4" fontId="27" fillId="4" borderId="0" applyFont="0" applyBorder="0">
      <alignment horizontal="right"/>
    </xf>
    <xf numFmtId="4" fontId="27" fillId="5" borderId="71" applyBorder="0">
      <alignment horizontal="right"/>
    </xf>
    <xf numFmtId="4" fontId="27" fillId="4" borderId="5" applyFont="0" applyBorder="0">
      <alignment horizontal="right"/>
    </xf>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173" fontId="8" fillId="0" borderId="5" applyFont="0" applyFill="0" applyBorder="0" applyProtection="0">
      <alignment horizontal="center" vertical="center"/>
    </xf>
    <xf numFmtId="0" fontId="11" fillId="0" borderId="5" applyBorder="0">
      <alignment horizontal="center" vertical="center" wrapText="1"/>
    </xf>
    <xf numFmtId="0" fontId="94"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45" fillId="0" borderId="0"/>
    <xf numFmtId="0" fontId="146" fillId="0" borderId="0"/>
    <xf numFmtId="0" fontId="23" fillId="0" borderId="0"/>
    <xf numFmtId="0" fontId="145" fillId="0" borderId="0"/>
    <xf numFmtId="164" fontId="6" fillId="0" borderId="0">
      <protection locked="0"/>
    </xf>
    <xf numFmtId="164" fontId="6" fillId="0" borderId="0">
      <protection locked="0"/>
    </xf>
    <xf numFmtId="195" fontId="147" fillId="0" borderId="0">
      <protection locked="0"/>
    </xf>
    <xf numFmtId="164" fontId="6" fillId="0" borderId="0">
      <protection locked="0"/>
    </xf>
    <xf numFmtId="164" fontId="6" fillId="0" borderId="0">
      <protection locked="0"/>
    </xf>
    <xf numFmtId="164" fontId="6" fillId="0" borderId="0">
      <protection locked="0"/>
    </xf>
    <xf numFmtId="195" fontId="147" fillId="0" borderId="0">
      <protection locked="0"/>
    </xf>
    <xf numFmtId="164" fontId="6" fillId="0" borderId="0">
      <protection locked="0"/>
    </xf>
    <xf numFmtId="0" fontId="147" fillId="0" borderId="80">
      <protection locked="0"/>
    </xf>
    <xf numFmtId="164" fontId="6" fillId="0" borderId="0">
      <protection locked="0"/>
    </xf>
    <xf numFmtId="164" fontId="6" fillId="0" borderId="0">
      <protection locked="0"/>
    </xf>
    <xf numFmtId="195" fontId="147" fillId="0" borderId="0">
      <protection locked="0"/>
    </xf>
    <xf numFmtId="164" fontId="6" fillId="0" borderId="0">
      <protection locked="0"/>
    </xf>
    <xf numFmtId="0" fontId="148" fillId="0" borderId="0">
      <protection locked="0"/>
    </xf>
    <xf numFmtId="0" fontId="148" fillId="0" borderId="0">
      <protection locked="0"/>
    </xf>
    <xf numFmtId="0" fontId="147" fillId="0" borderId="80">
      <protection locked="0"/>
    </xf>
    <xf numFmtId="4" fontId="149" fillId="0" borderId="4">
      <alignment horizontal="right" vertical="top"/>
    </xf>
    <xf numFmtId="4" fontId="149" fillId="0" borderId="4">
      <alignment horizontal="right" vertical="top"/>
    </xf>
    <xf numFmtId="38" fontId="29" fillId="5" borderId="0">
      <alignment vertical="top"/>
    </xf>
    <xf numFmtId="196" fontId="96" fillId="0" borderId="0" applyFill="0" applyBorder="0" applyAlignment="0" applyProtection="0"/>
    <xf numFmtId="197" fontId="96" fillId="0" borderId="0" applyFill="0" applyBorder="0" applyAlignment="0" applyProtection="0"/>
    <xf numFmtId="198" fontId="96" fillId="0" borderId="0" applyFill="0" applyBorder="0" applyAlignment="0" applyProtection="0"/>
    <xf numFmtId="199" fontId="96" fillId="0" borderId="0" applyFill="0" applyBorder="0" applyAlignment="0" applyProtection="0"/>
    <xf numFmtId="38" fontId="30" fillId="0" borderId="0">
      <alignment vertical="top"/>
    </xf>
    <xf numFmtId="38" fontId="17" fillId="0" borderId="0">
      <alignment vertical="top"/>
    </xf>
    <xf numFmtId="37" fontId="29" fillId="0" borderId="0">
      <alignment vertical="top"/>
    </xf>
    <xf numFmtId="0" fontId="150" fillId="0" borderId="0"/>
    <xf numFmtId="0" fontId="146" fillId="0" borderId="0"/>
    <xf numFmtId="38" fontId="32" fillId="24" borderId="0">
      <alignment horizontal="right" vertical="top"/>
    </xf>
    <xf numFmtId="166" fontId="11" fillId="0" borderId="81">
      <protection locked="0"/>
    </xf>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11" fillId="0" borderId="4">
      <alignment horizontal="center" vertical="center" wrapText="1"/>
    </xf>
    <xf numFmtId="166" fontId="12" fillId="98" borderId="81"/>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 fillId="0" borderId="0"/>
    <xf numFmtId="0" fontId="8" fillId="0" borderId="0"/>
    <xf numFmtId="0" fontId="1" fillId="0" borderId="0"/>
    <xf numFmtId="0" fontId="1" fillId="0" borderId="0"/>
    <xf numFmtId="0" fontId="4" fillId="0" borderId="0"/>
    <xf numFmtId="0" fontId="4" fillId="0" borderId="0"/>
    <xf numFmtId="0" fontId="4" fillId="0" borderId="0"/>
    <xf numFmtId="0" fontId="5" fillId="0" borderId="0">
      <alignment vertical="top"/>
    </xf>
    <xf numFmtId="0" fontId="58" fillId="0" borderId="0"/>
    <xf numFmtId="0" fontId="1" fillId="0" borderId="0"/>
    <xf numFmtId="0" fontId="8" fillId="0" borderId="0"/>
    <xf numFmtId="0" fontId="4" fillId="0" borderId="0"/>
    <xf numFmtId="170" fontId="8" fillId="0" borderId="0">
      <alignment vertical="top"/>
    </xf>
    <xf numFmtId="0" fontId="4" fillId="0" borderId="0"/>
    <xf numFmtId="38" fontId="8" fillId="0" borderId="0">
      <alignment vertical="top"/>
    </xf>
    <xf numFmtId="0" fontId="5" fillId="0" borderId="0"/>
    <xf numFmtId="0" fontId="4" fillId="0" borderId="0"/>
    <xf numFmtId="0" fontId="1" fillId="0" borderId="0"/>
    <xf numFmtId="0" fontId="4" fillId="0" borderId="0"/>
    <xf numFmtId="0" fontId="8" fillId="0" borderId="0"/>
    <xf numFmtId="0" fontId="4" fillId="0" borderId="0"/>
    <xf numFmtId="0" fontId="1" fillId="0" borderId="0"/>
    <xf numFmtId="0" fontId="21" fillId="0" borderId="0"/>
    <xf numFmtId="0" fontId="4" fillId="0" borderId="0"/>
    <xf numFmtId="0" fontId="8" fillId="0" borderId="0"/>
    <xf numFmtId="0" fontId="1" fillId="0" borderId="0"/>
    <xf numFmtId="0" fontId="1" fillId="0" borderId="0"/>
    <xf numFmtId="0" fontId="1" fillId="0" borderId="0"/>
    <xf numFmtId="0" fontId="3" fillId="0" borderId="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16" fillId="0" borderId="0">
      <alignment vertical="top"/>
    </xf>
    <xf numFmtId="165" fontId="19" fillId="0" borderId="0" applyFont="0" applyFill="0" applyBorder="0" applyAlignment="0" applyProtection="0"/>
    <xf numFmtId="165" fontId="5" fillId="0" borderId="0" applyFont="0" applyFill="0" applyBorder="0" applyAlignment="0" applyProtection="0"/>
    <xf numFmtId="165" fontId="19"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9"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6" fillId="0" borderId="0">
      <protection locked="0"/>
    </xf>
    <xf numFmtId="164" fontId="6" fillId="0" borderId="0">
      <protection locked="0"/>
    </xf>
    <xf numFmtId="195" fontId="147" fillId="0" borderId="0">
      <protection locked="0"/>
    </xf>
    <xf numFmtId="164" fontId="6" fillId="0" borderId="0">
      <protection locked="0"/>
    </xf>
    <xf numFmtId="0" fontId="5" fillId="0" borderId="0">
      <alignment vertical="top"/>
    </xf>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0" fontId="1" fillId="0" borderId="0"/>
    <xf numFmtId="0" fontId="1" fillId="0" borderId="0"/>
    <xf numFmtId="0" fontId="1" fillId="0" borderId="0"/>
    <xf numFmtId="0" fontId="1" fillId="0" borderId="0"/>
    <xf numFmtId="165" fontId="19" fillId="0" borderId="0" applyFont="0" applyFill="0" applyBorder="0" applyAlignment="0" applyProtection="0"/>
    <xf numFmtId="165" fontId="5" fillId="0" borderId="0" applyFont="0" applyFill="0" applyBorder="0" applyAlignment="0" applyProtection="0"/>
    <xf numFmtId="165" fontId="19"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6"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 fontId="149" fillId="0" borderId="4">
      <alignment horizontal="right" vertical="top"/>
    </xf>
    <xf numFmtId="4" fontId="149" fillId="0" borderId="4">
      <alignment horizontal="right" vertical="top"/>
    </xf>
    <xf numFmtId="4" fontId="114" fillId="6" borderId="10" applyNumberFormat="0" applyProtection="0">
      <alignment vertical="center"/>
    </xf>
    <xf numFmtId="4" fontId="115" fillId="6" borderId="10" applyNumberFormat="0" applyProtection="0">
      <alignment vertical="center"/>
    </xf>
    <xf numFmtId="4" fontId="114" fillId="6" borderId="10" applyNumberFormat="0" applyProtection="0">
      <alignment horizontal="left" vertical="center" indent="1"/>
    </xf>
    <xf numFmtId="4" fontId="114" fillId="6" borderId="10" applyNumberFormat="0" applyProtection="0">
      <alignment horizontal="left" vertical="center" indent="1"/>
    </xf>
    <xf numFmtId="0" fontId="5" fillId="48" borderId="10" applyNumberFormat="0" applyProtection="0">
      <alignment horizontal="left" vertical="center" indent="1"/>
    </xf>
    <xf numFmtId="4" fontId="114" fillId="50" borderId="10" applyNumberFormat="0" applyProtection="0">
      <alignment horizontal="right" vertical="center"/>
    </xf>
    <xf numFmtId="4" fontId="114" fillId="46" borderId="10" applyNumberFormat="0" applyProtection="0">
      <alignment horizontal="right" vertical="center"/>
    </xf>
    <xf numFmtId="4" fontId="114" fillId="51" borderId="10" applyNumberFormat="0" applyProtection="0">
      <alignment horizontal="right" vertical="center"/>
    </xf>
    <xf numFmtId="4" fontId="114" fillId="52" borderId="10" applyNumberFormat="0" applyProtection="0">
      <alignment horizontal="right" vertical="center"/>
    </xf>
    <xf numFmtId="4" fontId="114" fillId="53" borderId="10" applyNumberFormat="0" applyProtection="0">
      <alignment horizontal="right" vertical="center"/>
    </xf>
    <xf numFmtId="4" fontId="114" fillId="54" borderId="10" applyNumberFormat="0" applyProtection="0">
      <alignment horizontal="right" vertical="center"/>
    </xf>
    <xf numFmtId="4" fontId="114" fillId="55" borderId="10" applyNumberFormat="0" applyProtection="0">
      <alignment horizontal="right" vertical="center"/>
    </xf>
    <xf numFmtId="4" fontId="114" fillId="56" borderId="10" applyNumberFormat="0" applyProtection="0">
      <alignment horizontal="right" vertical="center"/>
    </xf>
    <xf numFmtId="4" fontId="114" fillId="57" borderId="10" applyNumberFormat="0" applyProtection="0">
      <alignment horizontal="right" vertical="center"/>
    </xf>
    <xf numFmtId="4" fontId="116" fillId="58" borderId="10" applyNumberFormat="0" applyProtection="0">
      <alignment horizontal="left" vertical="center" indent="1"/>
    </xf>
    <xf numFmtId="4" fontId="114" fillId="59" borderId="65" applyNumberFormat="0" applyProtection="0">
      <alignment horizontal="left" vertical="center" indent="1"/>
    </xf>
    <xf numFmtId="0" fontId="5" fillId="48" borderId="10" applyNumberFormat="0" applyProtection="0">
      <alignment horizontal="left" vertical="center" indent="1"/>
    </xf>
    <xf numFmtId="4" fontId="94" fillId="59" borderId="10" applyNumberFormat="0" applyProtection="0">
      <alignment horizontal="left" vertical="center" indent="1"/>
    </xf>
    <xf numFmtId="4" fontId="94"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4" fontId="114" fillId="45" borderId="10" applyNumberFormat="0" applyProtection="0">
      <alignment vertical="center"/>
    </xf>
    <xf numFmtId="4" fontId="115" fillId="45" borderId="10" applyNumberFormat="0" applyProtection="0">
      <alignment vertical="center"/>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59" borderId="10" applyNumberFormat="0" applyProtection="0">
      <alignment horizontal="right" vertical="center"/>
    </xf>
    <xf numFmtId="4" fontId="115" fillId="59" borderId="10" applyNumberFormat="0" applyProtection="0">
      <alignment horizontal="right" vertical="center"/>
    </xf>
    <xf numFmtId="0" fontId="5" fillId="48" borderId="10" applyNumberFormat="0" applyProtection="0">
      <alignment horizontal="left" vertical="center" indent="1"/>
    </xf>
    <xf numFmtId="0" fontId="5" fillId="48" borderId="10" applyNumberFormat="0" applyProtection="0">
      <alignment horizontal="left" vertical="center" indent="1"/>
    </xf>
    <xf numFmtId="4" fontId="119" fillId="59" borderId="10" applyNumberFormat="0" applyProtection="0">
      <alignment horizontal="right" vertical="center"/>
    </xf>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11" fillId="0" borderId="4">
      <alignment horizontal="center" vertical="center" wrapText="1"/>
    </xf>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165" fontId="19"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4" fillId="2" borderId="1" applyNumberFormat="0" applyFont="0" applyAlignment="0" applyProtection="0"/>
    <xf numFmtId="165" fontId="19" fillId="0" borderId="0" applyFont="0" applyFill="0" applyBorder="0" applyAlignment="0" applyProtection="0"/>
    <xf numFmtId="0" fontId="1" fillId="0" borderId="0"/>
    <xf numFmtId="0" fontId="1" fillId="0" borderId="0"/>
    <xf numFmtId="0" fontId="1" fillId="0" borderId="0"/>
    <xf numFmtId="0" fontId="33" fillId="13" borderId="9" applyNumberFormat="0" applyAlignment="0" applyProtection="0"/>
    <xf numFmtId="0" fontId="34" fillId="22"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15" fillId="0" borderId="0"/>
    <xf numFmtId="0" fontId="15" fillId="0" borderId="0"/>
    <xf numFmtId="0" fontId="15" fillId="0" borderId="0"/>
    <xf numFmtId="0" fontId="5" fillId="0" borderId="0"/>
    <xf numFmtId="0" fontId="3" fillId="0" borderId="0"/>
    <xf numFmtId="0" fontId="1" fillId="0" borderId="0"/>
    <xf numFmtId="0" fontId="15" fillId="0" borderId="0"/>
    <xf numFmtId="0" fontId="8" fillId="0" borderId="0"/>
    <xf numFmtId="0" fontId="21" fillId="0" borderId="0"/>
    <xf numFmtId="0" fontId="15" fillId="0" borderId="0"/>
    <xf numFmtId="0" fontId="15" fillId="0" borderId="0"/>
    <xf numFmtId="0" fontId="1" fillId="0" borderId="0"/>
    <xf numFmtId="0" fontId="4" fillId="0" borderId="0"/>
    <xf numFmtId="0" fontId="4" fillId="32" borderId="1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8" fontId="8"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8" fontId="8"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164" fontId="6" fillId="0" borderId="0">
      <protection locked="0"/>
    </xf>
    <xf numFmtId="164" fontId="6" fillId="0" borderId="0">
      <protection locked="0"/>
    </xf>
    <xf numFmtId="164" fontId="6" fillId="0" borderId="0">
      <protection locked="0"/>
    </xf>
    <xf numFmtId="164" fontId="6" fillId="0" borderId="0">
      <protection locked="0"/>
    </xf>
    <xf numFmtId="164" fontId="1" fillId="0" borderId="0">
      <protection locked="0"/>
    </xf>
    <xf numFmtId="164" fontId="6" fillId="0" borderId="0">
      <protection locked="0"/>
    </xf>
    <xf numFmtId="164" fontId="6" fillId="0" borderId="0">
      <protection locked="0"/>
    </xf>
    <xf numFmtId="167" fontId="6" fillId="0" borderId="0">
      <protection locked="0"/>
    </xf>
    <xf numFmtId="167" fontId="1" fillId="0" borderId="0">
      <protection locked="0"/>
    </xf>
    <xf numFmtId="195" fontId="1"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1"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1" fillId="0" borderId="0">
      <protection locked="0"/>
    </xf>
    <xf numFmtId="164" fontId="6" fillId="0" borderId="0">
      <protection locked="0"/>
    </xf>
    <xf numFmtId="164" fontId="6" fillId="0" borderId="0">
      <protection locked="0"/>
    </xf>
    <xf numFmtId="167" fontId="6" fillId="0" borderId="0">
      <protection locked="0"/>
    </xf>
    <xf numFmtId="167" fontId="1" fillId="0" borderId="0">
      <protection locked="0"/>
    </xf>
    <xf numFmtId="195" fontId="1"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1"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1" fillId="0" borderId="0">
      <protection locked="0"/>
    </xf>
    <xf numFmtId="164" fontId="6" fillId="0" borderId="0">
      <protection locked="0"/>
    </xf>
    <xf numFmtId="164" fontId="6" fillId="0" borderId="0">
      <protection locked="0"/>
    </xf>
    <xf numFmtId="167" fontId="6" fillId="0" borderId="0">
      <protection locked="0"/>
    </xf>
    <xf numFmtId="167" fontId="1" fillId="0" borderId="0">
      <protection locked="0"/>
    </xf>
    <xf numFmtId="195" fontId="1"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1" fillId="0" borderId="0">
      <protection locked="0"/>
    </xf>
    <xf numFmtId="0" fontId="1" fillId="0" borderId="0">
      <protection locked="0"/>
    </xf>
    <xf numFmtId="0" fontId="7" fillId="0" borderId="0">
      <protection locked="0"/>
    </xf>
    <xf numFmtId="0" fontId="1" fillId="0" borderId="0">
      <protection locked="0"/>
    </xf>
    <xf numFmtId="0" fontId="1" fillId="0" borderId="0">
      <protection locked="0"/>
    </xf>
    <xf numFmtId="0" fontId="7" fillId="0" borderId="0">
      <protection locked="0"/>
    </xf>
    <xf numFmtId="0" fontId="1" fillId="0" borderId="0">
      <protection locked="0"/>
    </xf>
    <xf numFmtId="0" fontId="1" fillId="0" borderId="80">
      <protection locked="0"/>
    </xf>
    <xf numFmtId="0" fontId="147" fillId="0" borderId="80">
      <protection locked="0"/>
    </xf>
    <xf numFmtId="0" fontId="1" fillId="0" borderId="80">
      <protection locked="0"/>
    </xf>
    <xf numFmtId="0" fontId="147" fillId="0" borderId="80">
      <protection locked="0"/>
    </xf>
    <xf numFmtId="0" fontId="6" fillId="0" borderId="2">
      <protection locked="0"/>
    </xf>
    <xf numFmtId="0" fontId="1" fillId="0" borderId="2">
      <protection locked="0"/>
    </xf>
    <xf numFmtId="0" fontId="4" fillId="8" borderId="0" applyNumberFormat="0" applyBorder="0" applyAlignment="0" applyProtection="0"/>
    <xf numFmtId="0" fontId="1" fillId="8" borderId="0" applyNumberFormat="0" applyBorder="0" applyAlignment="0" applyProtection="0"/>
    <xf numFmtId="0" fontId="4" fillId="8" borderId="0" applyNumberFormat="0" applyBorder="0" applyAlignment="0" applyProtection="0"/>
    <xf numFmtId="0" fontId="1" fillId="8" borderId="0" applyNumberFormat="0" applyBorder="0" applyAlignment="0" applyProtection="0"/>
    <xf numFmtId="0" fontId="4" fillId="9" borderId="0" applyNumberFormat="0" applyBorder="0" applyAlignment="0" applyProtection="0"/>
    <xf numFmtId="0" fontId="1" fillId="9" borderId="0" applyNumberFormat="0" applyBorder="0" applyAlignment="0" applyProtection="0"/>
    <xf numFmtId="0" fontId="4" fillId="9" borderId="0" applyNumberFormat="0" applyBorder="0" applyAlignment="0" applyProtection="0"/>
    <xf numFmtId="0" fontId="1" fillId="9" borderId="0" applyNumberFormat="0" applyBorder="0" applyAlignment="0" applyProtection="0"/>
    <xf numFmtId="0" fontId="4" fillId="10" borderId="0" applyNumberFormat="0" applyBorder="0" applyAlignment="0" applyProtection="0"/>
    <xf numFmtId="0" fontId="1" fillId="10" borderId="0" applyNumberFormat="0" applyBorder="0" applyAlignment="0" applyProtection="0"/>
    <xf numFmtId="0" fontId="4" fillId="10" borderId="0" applyNumberFormat="0" applyBorder="0" applyAlignment="0" applyProtection="0"/>
    <xf numFmtId="0" fontId="1" fillId="10" borderId="0" applyNumberFormat="0" applyBorder="0" applyAlignment="0" applyProtection="0"/>
    <xf numFmtId="0" fontId="4" fillId="11" borderId="0" applyNumberFormat="0" applyBorder="0" applyAlignment="0" applyProtection="0"/>
    <xf numFmtId="0" fontId="1" fillId="11" borderId="0" applyNumberFormat="0" applyBorder="0" applyAlignment="0" applyProtection="0"/>
    <xf numFmtId="0" fontId="4"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1" fillId="14" borderId="0" applyNumberFormat="0" applyBorder="0" applyAlignment="0" applyProtection="0"/>
    <xf numFmtId="0" fontId="4" fillId="14"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1" fillId="15" borderId="0" applyNumberFormat="0" applyBorder="0" applyAlignment="0" applyProtection="0"/>
    <xf numFmtId="0" fontId="4" fillId="15"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4" fillId="11" borderId="0" applyNumberFormat="0" applyBorder="0" applyAlignment="0" applyProtection="0"/>
    <xf numFmtId="0" fontId="1" fillId="11" borderId="0" applyNumberFormat="0" applyBorder="0" applyAlignment="0" applyProtection="0"/>
    <xf numFmtId="0" fontId="4" fillId="11" borderId="0" applyNumberFormat="0" applyBorder="0" applyAlignment="0" applyProtection="0"/>
    <xf numFmtId="0" fontId="1" fillId="11" borderId="0" applyNumberFormat="0" applyBorder="0" applyAlignment="0" applyProtection="0"/>
    <xf numFmtId="0" fontId="4" fillId="14" borderId="0" applyNumberFormat="0" applyBorder="0" applyAlignment="0" applyProtection="0"/>
    <xf numFmtId="0" fontId="1" fillId="14" borderId="0" applyNumberFormat="0" applyBorder="0" applyAlignment="0" applyProtection="0"/>
    <xf numFmtId="0" fontId="4" fillId="14" borderId="0" applyNumberFormat="0" applyBorder="0" applyAlignment="0" applyProtection="0"/>
    <xf numFmtId="0" fontId="1" fillId="14"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4" fontId="1" fillId="0" borderId="4">
      <alignment horizontal="right" vertical="top"/>
    </xf>
    <xf numFmtId="4" fontId="149" fillId="0" borderId="4">
      <alignment horizontal="right" vertical="top"/>
    </xf>
    <xf numFmtId="4" fontId="1" fillId="0" borderId="4">
      <alignment horizontal="right" vertical="top"/>
    </xf>
    <xf numFmtId="4" fontId="149" fillId="0" borderId="4">
      <alignment horizontal="right" vertical="top"/>
    </xf>
    <xf numFmtId="0" fontId="1" fillId="18"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4" fontId="1" fillId="0" borderId="4">
      <alignment horizontal="right" vertical="top"/>
    </xf>
    <xf numFmtId="4" fontId="149" fillId="0" borderId="4">
      <alignment horizontal="right" vertical="top"/>
    </xf>
    <xf numFmtId="4" fontId="1" fillId="0" borderId="4">
      <alignment horizontal="right" vertical="top"/>
    </xf>
    <xf numFmtId="4" fontId="149" fillId="0" borderId="4">
      <alignment horizontal="right" vertical="top"/>
    </xf>
    <xf numFmtId="38" fontId="1" fillId="5" borderId="0">
      <alignment vertical="top"/>
    </xf>
    <xf numFmtId="170" fontId="29" fillId="5" borderId="0">
      <alignment vertical="top"/>
    </xf>
    <xf numFmtId="170" fontId="1" fillId="5" borderId="0">
      <alignment vertical="top"/>
    </xf>
    <xf numFmtId="198" fontId="1" fillId="0" borderId="0" applyFill="0" applyBorder="0" applyAlignment="0" applyProtection="0"/>
    <xf numFmtId="169" fontId="1" fillId="0" borderId="0" applyFont="0" applyFill="0" applyBorder="0" applyAlignment="0" applyProtection="0"/>
    <xf numFmtId="14" fontId="18" fillId="0" borderId="0">
      <alignment vertical="top"/>
    </xf>
    <xf numFmtId="14" fontId="1" fillId="0" borderId="0">
      <alignment vertical="top"/>
    </xf>
    <xf numFmtId="38" fontId="1" fillId="0" borderId="0">
      <alignment vertical="top"/>
    </xf>
    <xf numFmtId="170" fontId="30" fillId="0" borderId="0">
      <alignment vertical="top"/>
    </xf>
    <xf numFmtId="170" fontId="1" fillId="0" borderId="0">
      <alignment vertical="top"/>
    </xf>
    <xf numFmtId="0" fontId="31" fillId="0" borderId="0">
      <alignment vertical="top"/>
    </xf>
    <xf numFmtId="0" fontId="1" fillId="0" borderId="0">
      <alignment vertical="top"/>
    </xf>
    <xf numFmtId="38" fontId="1" fillId="0" borderId="0">
      <alignment vertical="top"/>
    </xf>
    <xf numFmtId="170" fontId="17" fillId="0" borderId="0">
      <alignment vertical="top"/>
    </xf>
    <xf numFmtId="170" fontId="1" fillId="0" borderId="0">
      <alignment vertical="top"/>
    </xf>
    <xf numFmtId="37" fontId="1" fillId="0" borderId="0">
      <alignment vertical="top"/>
    </xf>
    <xf numFmtId="171" fontId="29" fillId="0" borderId="0">
      <alignment vertical="top"/>
    </xf>
    <xf numFmtId="171" fontId="1" fillId="0" borderId="0">
      <alignment vertical="top"/>
    </xf>
    <xf numFmtId="0" fontId="1" fillId="0" borderId="0"/>
    <xf numFmtId="0" fontId="1" fillId="0" borderId="0"/>
    <xf numFmtId="0" fontId="9" fillId="0" borderId="0"/>
    <xf numFmtId="0" fontId="1" fillId="0" borderId="0"/>
    <xf numFmtId="4" fontId="114" fillId="6" borderId="10" applyNumberFormat="0" applyProtection="0">
      <alignment vertical="center"/>
    </xf>
    <xf numFmtId="4" fontId="114" fillId="6" borderId="10" applyNumberFormat="0" applyProtection="0">
      <alignment vertical="center"/>
    </xf>
    <xf numFmtId="4" fontId="114" fillId="6" borderId="10" applyNumberFormat="0" applyProtection="0">
      <alignment vertical="center"/>
    </xf>
    <xf numFmtId="4" fontId="114" fillId="6" borderId="10" applyNumberFormat="0" applyProtection="0">
      <alignment vertical="center"/>
    </xf>
    <xf numFmtId="4" fontId="115" fillId="6" borderId="10" applyNumberFormat="0" applyProtection="0">
      <alignment vertical="center"/>
    </xf>
    <xf numFmtId="4" fontId="115" fillId="6" borderId="10" applyNumberFormat="0" applyProtection="0">
      <alignment vertical="center"/>
    </xf>
    <xf numFmtId="4" fontId="115" fillId="6" borderId="10" applyNumberFormat="0" applyProtection="0">
      <alignment vertical="center"/>
    </xf>
    <xf numFmtId="4" fontId="115" fillId="6" borderId="10" applyNumberFormat="0" applyProtection="0">
      <alignment vertical="center"/>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4" fontId="114" fillId="50" borderId="10" applyNumberFormat="0" applyProtection="0">
      <alignment horizontal="right" vertical="center"/>
    </xf>
    <xf numFmtId="4" fontId="114" fillId="50" borderId="10" applyNumberFormat="0" applyProtection="0">
      <alignment horizontal="right" vertical="center"/>
    </xf>
    <xf numFmtId="4" fontId="114" fillId="50" borderId="10" applyNumberFormat="0" applyProtection="0">
      <alignment horizontal="right" vertical="center"/>
    </xf>
    <xf numFmtId="4" fontId="114" fillId="50" borderId="10" applyNumberFormat="0" applyProtection="0">
      <alignment horizontal="right" vertical="center"/>
    </xf>
    <xf numFmtId="4" fontId="114" fillId="46" borderId="10" applyNumberFormat="0" applyProtection="0">
      <alignment horizontal="right" vertical="center"/>
    </xf>
    <xf numFmtId="4" fontId="114" fillId="46" borderId="10" applyNumberFormat="0" applyProtection="0">
      <alignment horizontal="right" vertical="center"/>
    </xf>
    <xf numFmtId="4" fontId="114" fillId="46" borderId="10" applyNumberFormat="0" applyProtection="0">
      <alignment horizontal="right" vertical="center"/>
    </xf>
    <xf numFmtId="4" fontId="114" fillId="46" borderId="10" applyNumberFormat="0" applyProtection="0">
      <alignment horizontal="right" vertical="center"/>
    </xf>
    <xf numFmtId="4" fontId="114" fillId="51" borderId="10" applyNumberFormat="0" applyProtection="0">
      <alignment horizontal="right" vertical="center"/>
    </xf>
    <xf numFmtId="4" fontId="114" fillId="51" borderId="10" applyNumberFormat="0" applyProtection="0">
      <alignment horizontal="right" vertical="center"/>
    </xf>
    <xf numFmtId="4" fontId="114" fillId="51" borderId="10" applyNumberFormat="0" applyProtection="0">
      <alignment horizontal="right" vertical="center"/>
    </xf>
    <xf numFmtId="4" fontId="114" fillId="51" borderId="10" applyNumberFormat="0" applyProtection="0">
      <alignment horizontal="right" vertical="center"/>
    </xf>
    <xf numFmtId="4" fontId="114" fillId="52" borderId="10" applyNumberFormat="0" applyProtection="0">
      <alignment horizontal="right" vertical="center"/>
    </xf>
    <xf numFmtId="4" fontId="114" fillId="52" borderId="10" applyNumberFormat="0" applyProtection="0">
      <alignment horizontal="right" vertical="center"/>
    </xf>
    <xf numFmtId="4" fontId="114" fillId="52" borderId="10" applyNumberFormat="0" applyProtection="0">
      <alignment horizontal="right" vertical="center"/>
    </xf>
    <xf numFmtId="4" fontId="114" fillId="52" borderId="10" applyNumberFormat="0" applyProtection="0">
      <alignment horizontal="right" vertical="center"/>
    </xf>
    <xf numFmtId="4" fontId="114" fillId="53" borderId="10" applyNumberFormat="0" applyProtection="0">
      <alignment horizontal="right" vertical="center"/>
    </xf>
    <xf numFmtId="4" fontId="114" fillId="53" borderId="10" applyNumberFormat="0" applyProtection="0">
      <alignment horizontal="right" vertical="center"/>
    </xf>
    <xf numFmtId="4" fontId="114" fillId="53" borderId="10" applyNumberFormat="0" applyProtection="0">
      <alignment horizontal="right" vertical="center"/>
    </xf>
    <xf numFmtId="4" fontId="114" fillId="53" borderId="10" applyNumberFormat="0" applyProtection="0">
      <alignment horizontal="right" vertical="center"/>
    </xf>
    <xf numFmtId="4" fontId="114" fillId="54" borderId="10" applyNumberFormat="0" applyProtection="0">
      <alignment horizontal="right" vertical="center"/>
    </xf>
    <xf numFmtId="4" fontId="114" fillId="54" borderId="10" applyNumberFormat="0" applyProtection="0">
      <alignment horizontal="right" vertical="center"/>
    </xf>
    <xf numFmtId="4" fontId="114" fillId="54" borderId="10" applyNumberFormat="0" applyProtection="0">
      <alignment horizontal="right" vertical="center"/>
    </xf>
    <xf numFmtId="4" fontId="114" fillId="54" borderId="10" applyNumberFormat="0" applyProtection="0">
      <alignment horizontal="right" vertical="center"/>
    </xf>
    <xf numFmtId="4" fontId="114" fillId="55" borderId="10" applyNumberFormat="0" applyProtection="0">
      <alignment horizontal="right" vertical="center"/>
    </xf>
    <xf numFmtId="4" fontId="114" fillId="55" borderId="10" applyNumberFormat="0" applyProtection="0">
      <alignment horizontal="right" vertical="center"/>
    </xf>
    <xf numFmtId="4" fontId="114" fillId="55" borderId="10" applyNumberFormat="0" applyProtection="0">
      <alignment horizontal="right" vertical="center"/>
    </xf>
    <xf numFmtId="4" fontId="114" fillId="55" borderId="10" applyNumberFormat="0" applyProtection="0">
      <alignment horizontal="right" vertical="center"/>
    </xf>
    <xf numFmtId="4" fontId="114" fillId="56" borderId="10" applyNumberFormat="0" applyProtection="0">
      <alignment horizontal="right" vertical="center"/>
    </xf>
    <xf numFmtId="4" fontId="114" fillId="56" borderId="10" applyNumberFormat="0" applyProtection="0">
      <alignment horizontal="right" vertical="center"/>
    </xf>
    <xf numFmtId="4" fontId="114" fillId="56" borderId="10" applyNumberFormat="0" applyProtection="0">
      <alignment horizontal="right" vertical="center"/>
    </xf>
    <xf numFmtId="4" fontId="114" fillId="56" borderId="10" applyNumberFormat="0" applyProtection="0">
      <alignment horizontal="right" vertical="center"/>
    </xf>
    <xf numFmtId="4" fontId="114" fillId="57" borderId="10" applyNumberFormat="0" applyProtection="0">
      <alignment horizontal="right" vertical="center"/>
    </xf>
    <xf numFmtId="4" fontId="114" fillId="57" borderId="10" applyNumberFormat="0" applyProtection="0">
      <alignment horizontal="right" vertical="center"/>
    </xf>
    <xf numFmtId="4" fontId="114" fillId="57" borderId="10" applyNumberFormat="0" applyProtection="0">
      <alignment horizontal="right" vertical="center"/>
    </xf>
    <xf numFmtId="4" fontId="114" fillId="57" borderId="10" applyNumberFormat="0" applyProtection="0">
      <alignment horizontal="right" vertical="center"/>
    </xf>
    <xf numFmtId="4" fontId="116" fillId="58" borderId="10" applyNumberFormat="0" applyProtection="0">
      <alignment horizontal="left" vertical="center" indent="1"/>
    </xf>
    <xf numFmtId="4" fontId="116" fillId="58" borderId="10" applyNumberFormat="0" applyProtection="0">
      <alignment horizontal="left" vertical="center" indent="1"/>
    </xf>
    <xf numFmtId="4" fontId="116" fillId="58" borderId="10" applyNumberFormat="0" applyProtection="0">
      <alignment horizontal="left" vertical="center" indent="1"/>
    </xf>
    <xf numFmtId="4" fontId="116" fillId="58" borderId="10" applyNumberFormat="0" applyProtection="0">
      <alignment horizontal="left" vertical="center" indent="1"/>
    </xf>
    <xf numFmtId="4" fontId="1" fillId="59" borderId="65" applyNumberFormat="0" applyProtection="0">
      <alignment horizontal="left" vertical="center" indent="1"/>
    </xf>
    <xf numFmtId="4" fontId="1" fillId="59" borderId="65" applyNumberFormat="0" applyProtection="0">
      <alignment horizontal="left" vertical="center" indent="1"/>
    </xf>
    <xf numFmtId="4" fontId="1" fillId="60" borderId="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4" fontId="94" fillId="59" borderId="10" applyNumberFormat="0" applyProtection="0">
      <alignment horizontal="left" vertical="center" indent="1"/>
    </xf>
    <xf numFmtId="4" fontId="94" fillId="59" borderId="10" applyNumberFormat="0" applyProtection="0">
      <alignment horizontal="left" vertical="center" indent="1"/>
    </xf>
    <xf numFmtId="4" fontId="94" fillId="59" borderId="10" applyNumberFormat="0" applyProtection="0">
      <alignment horizontal="left" vertical="center" indent="1"/>
    </xf>
    <xf numFmtId="4" fontId="94" fillId="59" borderId="10" applyNumberFormat="0" applyProtection="0">
      <alignment horizontal="left" vertical="center" indent="1"/>
    </xf>
    <xf numFmtId="4" fontId="94" fillId="61" borderId="10" applyNumberFormat="0" applyProtection="0">
      <alignment horizontal="left" vertical="center" indent="1"/>
    </xf>
    <xf numFmtId="4" fontId="94" fillId="61" borderId="10" applyNumberFormat="0" applyProtection="0">
      <alignment horizontal="left" vertical="center" indent="1"/>
    </xf>
    <xf numFmtId="4" fontId="94" fillId="61" borderId="10" applyNumberFormat="0" applyProtection="0">
      <alignment horizontal="left" vertical="center" indent="1"/>
    </xf>
    <xf numFmtId="4" fontId="94"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4" fontId="114" fillId="45" borderId="10" applyNumberFormat="0" applyProtection="0">
      <alignment vertical="center"/>
    </xf>
    <xf numFmtId="4" fontId="114" fillId="45" borderId="10" applyNumberFormat="0" applyProtection="0">
      <alignment vertical="center"/>
    </xf>
    <xf numFmtId="4" fontId="114" fillId="45" borderId="10" applyNumberFormat="0" applyProtection="0">
      <alignment vertical="center"/>
    </xf>
    <xf numFmtId="4" fontId="114" fillId="45" borderId="10" applyNumberFormat="0" applyProtection="0">
      <alignment vertical="center"/>
    </xf>
    <xf numFmtId="4" fontId="115" fillId="45" borderId="10" applyNumberFormat="0" applyProtection="0">
      <alignment vertical="center"/>
    </xf>
    <xf numFmtId="4" fontId="115" fillId="45" borderId="10" applyNumberFormat="0" applyProtection="0">
      <alignment vertical="center"/>
    </xf>
    <xf numFmtId="4" fontId="115" fillId="45" borderId="10" applyNumberFormat="0" applyProtection="0">
      <alignment vertical="center"/>
    </xf>
    <xf numFmtId="4" fontId="115" fillId="45" borderId="10" applyNumberFormat="0" applyProtection="0">
      <alignment vertical="center"/>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59" borderId="10" applyNumberFormat="0" applyProtection="0">
      <alignment horizontal="right" vertical="center"/>
    </xf>
    <xf numFmtId="4" fontId="114" fillId="59" borderId="10" applyNumberFormat="0" applyProtection="0">
      <alignment horizontal="right" vertical="center"/>
    </xf>
    <xf numFmtId="4" fontId="114" fillId="59" borderId="10" applyNumberFormat="0" applyProtection="0">
      <alignment horizontal="right" vertical="center"/>
    </xf>
    <xf numFmtId="4" fontId="114" fillId="59" borderId="10" applyNumberFormat="0" applyProtection="0">
      <alignment horizontal="right" vertical="center"/>
    </xf>
    <xf numFmtId="4" fontId="115" fillId="59" borderId="10" applyNumberFormat="0" applyProtection="0">
      <alignment horizontal="right" vertical="center"/>
    </xf>
    <xf numFmtId="4" fontId="115" fillId="59" borderId="10" applyNumberFormat="0" applyProtection="0">
      <alignment horizontal="right" vertical="center"/>
    </xf>
    <xf numFmtId="4" fontId="115" fillId="59" borderId="10" applyNumberFormat="0" applyProtection="0">
      <alignment horizontal="right" vertical="center"/>
    </xf>
    <xf numFmtId="4" fontId="115" fillId="59" borderId="10" applyNumberFormat="0" applyProtection="0">
      <alignment horizontal="right" vertical="center"/>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1" fillId="0" borderId="0"/>
    <xf numFmtId="4" fontId="119" fillId="59" borderId="10" applyNumberFormat="0" applyProtection="0">
      <alignment horizontal="right" vertical="center"/>
    </xf>
    <xf numFmtId="4" fontId="119" fillId="59" borderId="10" applyNumberFormat="0" applyProtection="0">
      <alignment horizontal="right" vertical="center"/>
    </xf>
    <xf numFmtId="4" fontId="119" fillId="59" borderId="10" applyNumberFormat="0" applyProtection="0">
      <alignment horizontal="right" vertical="center"/>
    </xf>
    <xf numFmtId="4" fontId="119" fillId="59" borderId="10" applyNumberFormat="0" applyProtection="0">
      <alignment horizontal="right" vertical="center"/>
    </xf>
    <xf numFmtId="38" fontId="1" fillId="24" borderId="0">
      <alignment horizontal="right" vertical="top"/>
    </xf>
    <xf numFmtId="170" fontId="32" fillId="24" borderId="0">
      <alignment horizontal="right" vertical="top"/>
    </xf>
    <xf numFmtId="170" fontId="1" fillId="24" borderId="0">
      <alignment horizontal="right" vertical="top"/>
    </xf>
    <xf numFmtId="172" fontId="18" fillId="0" borderId="0">
      <alignment vertical="top"/>
    </xf>
    <xf numFmtId="172" fontId="1" fillId="0" borderId="0">
      <alignment vertical="top"/>
    </xf>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1" borderId="0" applyNumberFormat="0" applyBorder="0" applyAlignment="0" applyProtection="0"/>
    <xf numFmtId="0" fontId="1" fillId="19" borderId="0" applyNumberFormat="0" applyBorder="0" applyAlignment="0" applyProtection="0"/>
    <xf numFmtId="0" fontId="1" fillId="29" borderId="0" applyNumberFormat="0" applyBorder="0" applyAlignment="0" applyProtection="0"/>
    <xf numFmtId="166" fontId="1" fillId="0" borderId="81">
      <protection locked="0"/>
    </xf>
    <xf numFmtId="166" fontId="11" fillId="0" borderId="3">
      <protection locked="0"/>
    </xf>
    <xf numFmtId="166" fontId="1" fillId="0" borderId="3">
      <protection locked="0"/>
    </xf>
    <xf numFmtId="0" fontId="1" fillId="13" borderId="9" applyNumberFormat="0" applyAlignment="0" applyProtection="0"/>
    <xf numFmtId="0" fontId="1" fillId="13" borderId="9" applyNumberFormat="0" applyAlignment="0" applyProtection="0"/>
    <xf numFmtId="0" fontId="1" fillId="13" borderId="9" applyNumberFormat="0" applyAlignment="0" applyProtection="0"/>
    <xf numFmtId="0" fontId="1" fillId="13" borderId="9" applyNumberFormat="0" applyAlignment="0" applyProtection="0"/>
    <xf numFmtId="0" fontId="33" fillId="13" borderId="9" applyNumberFormat="0" applyAlignment="0" applyProtection="0"/>
    <xf numFmtId="0" fontId="1" fillId="13" borderId="9" applyNumberFormat="0" applyAlignment="0" applyProtection="0"/>
    <xf numFmtId="0" fontId="33" fillId="13" borderId="9" applyNumberFormat="0" applyAlignment="0" applyProtection="0"/>
    <xf numFmtId="0" fontId="1" fillId="22" borderId="10" applyNumberFormat="0" applyAlignment="0" applyProtection="0"/>
    <xf numFmtId="0" fontId="1" fillId="22" borderId="10" applyNumberFormat="0" applyAlignment="0" applyProtection="0"/>
    <xf numFmtId="0" fontId="34" fillId="22" borderId="10" applyNumberFormat="0" applyAlignment="0" applyProtection="0"/>
    <xf numFmtId="0" fontId="1"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1" fillId="22" borderId="9" applyNumberFormat="0" applyAlignment="0" applyProtection="0"/>
    <xf numFmtId="0" fontId="35" fillId="22" borderId="9" applyNumberFormat="0" applyAlignment="0" applyProtection="0"/>
    <xf numFmtId="0" fontId="1" fillId="22" borderId="9" applyNumberFormat="0" applyAlignment="0" applyProtection="0"/>
    <xf numFmtId="0" fontId="1" fillId="22" borderId="9" applyNumberFormat="0" applyAlignment="0" applyProtection="0"/>
    <xf numFmtId="0" fontId="1" fillId="22" borderId="9" applyNumberFormat="0" applyAlignment="0" applyProtection="0"/>
    <xf numFmtId="0" fontId="35" fillId="22" borderId="9" applyNumberFormat="0" applyAlignment="0" applyProtection="0"/>
    <xf numFmtId="0" fontId="1" fillId="22" borderId="9" applyNumberFormat="0" applyAlignment="0" applyProtection="0"/>
    <xf numFmtId="0" fontId="35" fillId="22" borderId="9" applyNumberFormat="0" applyAlignment="0" applyProtection="0"/>
    <xf numFmtId="0" fontId="1" fillId="0" borderId="11" applyNumberFormat="0" applyFill="0" applyAlignment="0" applyProtection="0"/>
    <xf numFmtId="0" fontId="1" fillId="0" borderId="12" applyNumberFormat="0" applyFill="0" applyAlignment="0" applyProtection="0"/>
    <xf numFmtId="0" fontId="1" fillId="0" borderId="13" applyNumberFormat="0" applyFill="0" applyAlignment="0" applyProtection="0"/>
    <xf numFmtId="0" fontId="1" fillId="0" borderId="0" applyNumberFormat="0" applyFill="0" applyBorder="0" applyAlignment="0" applyProtection="0"/>
    <xf numFmtId="0" fontId="25" fillId="0" borderId="0" applyBorder="0">
      <alignment horizontal="center" vertical="center" wrapText="1"/>
    </xf>
    <xf numFmtId="0" fontId="1" fillId="0" borderId="0" applyBorder="0">
      <alignment horizontal="center" vertical="center" wrapText="1"/>
    </xf>
    <xf numFmtId="0" fontId="1" fillId="0" borderId="4">
      <alignment horizontal="center" vertical="center" wrapText="1"/>
    </xf>
    <xf numFmtId="0" fontId="11" fillId="0" borderId="4">
      <alignment horizontal="center" vertical="center" wrapText="1"/>
    </xf>
    <xf numFmtId="0" fontId="1" fillId="0" borderId="4">
      <alignment horizontal="center" vertical="center" wrapText="1"/>
    </xf>
    <xf numFmtId="0" fontId="11" fillId="0" borderId="4">
      <alignment horizontal="center" vertical="center" wrapText="1"/>
    </xf>
    <xf numFmtId="0" fontId="26" fillId="0" borderId="6" applyBorder="0">
      <alignment horizontal="center" vertical="center" wrapText="1"/>
    </xf>
    <xf numFmtId="0" fontId="1" fillId="0" borderId="6" applyBorder="0">
      <alignment horizontal="center" vertical="center" wrapText="1"/>
    </xf>
    <xf numFmtId="166" fontId="1" fillId="98" borderId="81"/>
    <xf numFmtId="166" fontId="12" fillId="3" borderId="3"/>
    <xf numFmtId="166" fontId="1" fillId="3" borderId="3"/>
    <xf numFmtId="4" fontId="27" fillId="6" borderId="82" applyBorder="0">
      <alignment horizontal="right"/>
    </xf>
    <xf numFmtId="4" fontId="1" fillId="6" borderId="82" applyBorder="0">
      <alignment horizontal="right"/>
    </xf>
    <xf numFmtId="0" fontId="1" fillId="0" borderId="14" applyNumberFormat="0" applyFill="0" applyAlignment="0" applyProtection="0"/>
    <xf numFmtId="0" fontId="1" fillId="0" borderId="14" applyNumberFormat="0" applyFill="0" applyAlignment="0" applyProtection="0"/>
    <xf numFmtId="0" fontId="39" fillId="0" borderId="14" applyNumberFormat="0" applyFill="0" applyAlignment="0" applyProtection="0"/>
    <xf numFmtId="0" fontId="1" fillId="0" borderId="14" applyNumberFormat="0" applyFill="0" applyAlignment="0" applyProtection="0"/>
    <xf numFmtId="0" fontId="39" fillId="0" borderId="14" applyNumberFormat="0" applyFill="0" applyAlignment="0" applyProtection="0"/>
    <xf numFmtId="0" fontId="1" fillId="31" borderId="16" applyNumberFormat="0" applyAlignment="0" applyProtection="0"/>
    <xf numFmtId="0" fontId="1" fillId="0" borderId="0" applyNumberFormat="0" applyFill="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8"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alignment vertical="top"/>
    </xf>
    <xf numFmtId="0" fontId="1" fillId="0" borderId="0">
      <alignment vertical="top"/>
    </xf>
    <xf numFmtId="0" fontId="1" fillId="0" borderId="0"/>
    <xf numFmtId="0" fontId="5" fillId="0" borderId="0">
      <alignment vertical="top"/>
    </xf>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 fillId="0" borderId="0">
      <alignment vertical="top"/>
    </xf>
    <xf numFmtId="170" fontId="1" fillId="0" borderId="0">
      <alignment vertical="top"/>
    </xf>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0" applyNumberFormat="0" applyBorder="0" applyAlignment="0" applyProtection="0"/>
    <xf numFmtId="0" fontId="1" fillId="0" borderId="0" applyNumberFormat="0" applyFill="0" applyBorder="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1" fillId="32" borderId="17" applyNumberFormat="0" applyFont="0" applyAlignment="0" applyProtection="0"/>
    <xf numFmtId="0" fontId="1" fillId="32" borderId="17" applyNumberFormat="0" applyFont="0" applyAlignment="0" applyProtection="0"/>
    <xf numFmtId="0" fontId="1" fillId="32" borderId="17" applyNumberFormat="0" applyFont="0" applyAlignment="0" applyProtection="0"/>
    <xf numFmtId="0" fontId="1" fillId="32" borderId="17" applyNumberFormat="0" applyFont="0" applyAlignment="0" applyProtection="0"/>
    <xf numFmtId="0" fontId="1" fillId="32" borderId="1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32" borderId="17" applyNumberFormat="0" applyFont="0" applyAlignment="0" applyProtection="0"/>
    <xf numFmtId="0" fontId="4" fillId="32" borderId="17" applyNumberFormat="0" applyFont="0" applyAlignment="0" applyProtection="0"/>
    <xf numFmtId="0" fontId="1" fillId="32" borderId="17" applyNumberFormat="0" applyFont="0" applyAlignment="0" applyProtection="0"/>
    <xf numFmtId="0" fontId="4" fillId="32" borderId="17" applyNumberFormat="0" applyFon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18" applyNumberFormat="0" applyFill="0" applyAlignment="0" applyProtection="0"/>
    <xf numFmtId="0" fontId="1" fillId="0" borderId="0"/>
    <xf numFmtId="38" fontId="1" fillId="0" borderId="0">
      <alignment vertical="top"/>
    </xf>
    <xf numFmtId="170" fontId="16" fillId="0" borderId="0">
      <alignment vertical="top"/>
    </xf>
    <xf numFmtId="170" fontId="1" fillId="0" borderId="0">
      <alignment vertical="top"/>
    </xf>
    <xf numFmtId="0" fontId="13" fillId="0" borderId="0"/>
    <xf numFmtId="0" fontId="1" fillId="0" borderId="0"/>
    <xf numFmtId="0" fontId="1" fillId="0" borderId="0"/>
    <xf numFmtId="0" fontId="1"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8"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 fontId="1" fillId="4" borderId="0" applyBorder="0">
      <alignment horizontal="right"/>
    </xf>
    <xf numFmtId="0" fontId="1" fillId="10" borderId="0" applyNumberFormat="0" applyBorder="0" applyAlignment="0" applyProtection="0"/>
    <xf numFmtId="164" fontId="6" fillId="0" borderId="0">
      <protection locked="0"/>
    </xf>
    <xf numFmtId="164" fontId="6" fillId="0" borderId="0">
      <protection locked="0"/>
    </xf>
    <xf numFmtId="164" fontId="6" fillId="0" borderId="0">
      <protection locked="0"/>
    </xf>
    <xf numFmtId="164" fontId="6" fillId="0" borderId="0">
      <protection locked="0"/>
    </xf>
    <xf numFmtId="164" fontId="1" fillId="0" borderId="0">
      <protection locked="0"/>
    </xf>
    <xf numFmtId="164" fontId="6" fillId="0" borderId="0">
      <protection locked="0"/>
    </xf>
    <xf numFmtId="164" fontId="6" fillId="0" borderId="0">
      <protection locked="0"/>
    </xf>
    <xf numFmtId="167" fontId="6" fillId="0" borderId="0">
      <protection locked="0"/>
    </xf>
    <xf numFmtId="167" fontId="1" fillId="0" borderId="0">
      <protection locked="0"/>
    </xf>
    <xf numFmtId="195" fontId="1" fillId="0" borderId="0">
      <protection locked="0"/>
    </xf>
    <xf numFmtId="164" fontId="6" fillId="0" borderId="0">
      <protection locked="0"/>
    </xf>
    <xf numFmtId="164" fontId="6" fillId="0" borderId="0">
      <protection locked="0"/>
    </xf>
    <xf numFmtId="164" fontId="6" fillId="0" borderId="0">
      <protection locked="0"/>
    </xf>
    <xf numFmtId="164" fontId="6" fillId="0" borderId="0">
      <protection locked="0"/>
    </xf>
    <xf numFmtId="164" fontId="1"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5" fillId="22" borderId="9" applyNumberFormat="0" applyAlignment="0" applyProtection="0"/>
    <xf numFmtId="0" fontId="35" fillId="22" borderId="9" applyNumberFormat="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6" fillId="0" borderId="0">
      <alignment vertical="top"/>
    </xf>
    <xf numFmtId="38" fontId="16" fillId="0" borderId="0">
      <alignment vertical="top"/>
    </xf>
    <xf numFmtId="38" fontId="16" fillId="0" borderId="0">
      <alignment vertical="top"/>
    </xf>
    <xf numFmtId="38" fontId="16" fillId="0" borderId="0">
      <alignment vertical="top"/>
    </xf>
    <xf numFmtId="0" fontId="1" fillId="0" borderId="0"/>
    <xf numFmtId="0" fontId="1" fillId="0" borderId="0"/>
    <xf numFmtId="0" fontId="1" fillId="0" borderId="0"/>
    <xf numFmtId="38" fontId="8" fillId="0" borderId="0">
      <alignment vertical="top"/>
    </xf>
    <xf numFmtId="0" fontId="1" fillId="0" borderId="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165" fontId="1" fillId="0" borderId="0" applyFont="0" applyFill="0" applyBorder="0" applyAlignment="0" applyProtection="0"/>
    <xf numFmtId="0" fontId="147" fillId="0" borderId="80">
      <protection locked="0"/>
    </xf>
    <xf numFmtId="4" fontId="149" fillId="0" borderId="4">
      <alignment horizontal="right" vertical="top"/>
    </xf>
    <xf numFmtId="4" fontId="149" fillId="0" borderId="4">
      <alignment horizontal="right" vertical="top"/>
    </xf>
    <xf numFmtId="4" fontId="114" fillId="6" borderId="10" applyNumberFormat="0" applyProtection="0">
      <alignment vertical="center"/>
    </xf>
    <xf numFmtId="4" fontId="115" fillId="6" borderId="10" applyNumberFormat="0" applyProtection="0">
      <alignment vertical="center"/>
    </xf>
    <xf numFmtId="4" fontId="114" fillId="6" borderId="10" applyNumberFormat="0" applyProtection="0">
      <alignment horizontal="left" vertical="center" indent="1"/>
    </xf>
    <xf numFmtId="4" fontId="114" fillId="6" borderId="10" applyNumberFormat="0" applyProtection="0">
      <alignment horizontal="left" vertical="center" indent="1"/>
    </xf>
    <xf numFmtId="0" fontId="5" fillId="48" borderId="10" applyNumberFormat="0" applyProtection="0">
      <alignment horizontal="left" vertical="center" indent="1"/>
    </xf>
    <xf numFmtId="4" fontId="114" fillId="50" borderId="10" applyNumberFormat="0" applyProtection="0">
      <alignment horizontal="right" vertical="center"/>
    </xf>
    <xf numFmtId="4" fontId="114" fillId="46" borderId="10" applyNumberFormat="0" applyProtection="0">
      <alignment horizontal="right" vertical="center"/>
    </xf>
    <xf numFmtId="4" fontId="114" fillId="51" borderId="10" applyNumberFormat="0" applyProtection="0">
      <alignment horizontal="right" vertical="center"/>
    </xf>
    <xf numFmtId="4" fontId="114" fillId="52" borderId="10" applyNumberFormat="0" applyProtection="0">
      <alignment horizontal="right" vertical="center"/>
    </xf>
    <xf numFmtId="4" fontId="114" fillId="53" borderId="10" applyNumberFormat="0" applyProtection="0">
      <alignment horizontal="right" vertical="center"/>
    </xf>
    <xf numFmtId="4" fontId="114" fillId="54" borderId="10" applyNumberFormat="0" applyProtection="0">
      <alignment horizontal="right" vertical="center"/>
    </xf>
    <xf numFmtId="4" fontId="114" fillId="55" borderId="10" applyNumberFormat="0" applyProtection="0">
      <alignment horizontal="right" vertical="center"/>
    </xf>
    <xf numFmtId="4" fontId="114" fillId="56" borderId="10" applyNumberFormat="0" applyProtection="0">
      <alignment horizontal="right" vertical="center"/>
    </xf>
    <xf numFmtId="4" fontId="114" fillId="57" borderId="10" applyNumberFormat="0" applyProtection="0">
      <alignment horizontal="right" vertical="center"/>
    </xf>
    <xf numFmtId="4" fontId="116" fillId="58" borderId="10" applyNumberFormat="0" applyProtection="0">
      <alignment horizontal="left" vertical="center" indent="1"/>
    </xf>
    <xf numFmtId="4" fontId="114" fillId="59" borderId="65" applyNumberFormat="0" applyProtection="0">
      <alignment horizontal="left" vertical="center" indent="1"/>
    </xf>
    <xf numFmtId="0" fontId="5" fillId="48" borderId="10" applyNumberFormat="0" applyProtection="0">
      <alignment horizontal="left" vertical="center" indent="1"/>
    </xf>
    <xf numFmtId="4" fontId="94" fillId="59" borderId="10" applyNumberFormat="0" applyProtection="0">
      <alignment horizontal="left" vertical="center" indent="1"/>
    </xf>
    <xf numFmtId="4" fontId="94"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4" fontId="114" fillId="45" borderId="10" applyNumberFormat="0" applyProtection="0">
      <alignment vertical="center"/>
    </xf>
    <xf numFmtId="4" fontId="115" fillId="45" borderId="10" applyNumberFormat="0" applyProtection="0">
      <alignment vertical="center"/>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59" borderId="10" applyNumberFormat="0" applyProtection="0">
      <alignment horizontal="right" vertical="center"/>
    </xf>
    <xf numFmtId="4" fontId="115" fillId="59" borderId="10" applyNumberFormat="0" applyProtection="0">
      <alignment horizontal="right" vertical="center"/>
    </xf>
    <xf numFmtId="0" fontId="5" fillId="48" borderId="10" applyNumberFormat="0" applyProtection="0">
      <alignment horizontal="left" vertical="center" indent="1"/>
    </xf>
    <xf numFmtId="0" fontId="5" fillId="48" borderId="10" applyNumberFormat="0" applyProtection="0">
      <alignment horizontal="left" vertical="center" indent="1"/>
    </xf>
    <xf numFmtId="4" fontId="119" fillId="59" borderId="10" applyNumberFormat="0" applyProtection="0">
      <alignment horizontal="right" vertical="center"/>
    </xf>
    <xf numFmtId="0" fontId="11" fillId="0" borderId="4">
      <alignment horizontal="center" vertical="center" wrapText="1"/>
    </xf>
    <xf numFmtId="168" fontId="5" fillId="0" borderId="0" applyFont="0" applyFill="0" applyBorder="0" applyAlignment="0" applyProtection="0"/>
    <xf numFmtId="0" fontId="3" fillId="0" borderId="0"/>
    <xf numFmtId="0" fontId="13" fillId="0" borderId="0"/>
    <xf numFmtId="0" fontId="2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23" fillId="0" borderId="0"/>
    <xf numFmtId="0" fontId="1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98" fillId="0" borderId="0">
      <protection locked="0"/>
    </xf>
    <xf numFmtId="164" fontId="98" fillId="0" borderId="0">
      <protection locked="0"/>
    </xf>
    <xf numFmtId="180" fontId="8" fillId="0" borderId="0">
      <protection locked="0"/>
    </xf>
    <xf numFmtId="180" fontId="8" fillId="0" borderId="0">
      <protection locked="0"/>
    </xf>
    <xf numFmtId="180" fontId="8" fillId="0" borderId="0">
      <protection locked="0"/>
    </xf>
    <xf numFmtId="195" fontId="147" fillId="0" borderId="0">
      <protection locked="0"/>
    </xf>
    <xf numFmtId="180" fontId="8" fillId="0" borderId="0">
      <protection locked="0"/>
    </xf>
    <xf numFmtId="167" fontId="6" fillId="0" borderId="0">
      <protection locked="0"/>
    </xf>
    <xf numFmtId="180" fontId="8" fillId="0" borderId="0">
      <protection locked="0"/>
    </xf>
    <xf numFmtId="180" fontId="8" fillId="0" borderId="0">
      <protection locked="0"/>
    </xf>
    <xf numFmtId="180" fontId="8" fillId="0" borderId="0">
      <protection locked="0"/>
    </xf>
    <xf numFmtId="195" fontId="147" fillId="0" borderId="0">
      <protection locked="0"/>
    </xf>
    <xf numFmtId="180" fontId="8" fillId="0" borderId="0">
      <protection locked="0"/>
    </xf>
    <xf numFmtId="167" fontId="6" fillId="0" borderId="0">
      <protection locked="0"/>
    </xf>
    <xf numFmtId="164" fontId="98" fillId="0" borderId="0">
      <protection locked="0"/>
    </xf>
    <xf numFmtId="195" fontId="147" fillId="0" borderId="0">
      <protection locked="0"/>
    </xf>
    <xf numFmtId="195" fontId="147" fillId="0" borderId="0">
      <protection locked="0"/>
    </xf>
    <xf numFmtId="164" fontId="98" fillId="0" borderId="0">
      <protection locked="0"/>
    </xf>
    <xf numFmtId="167" fontId="6" fillId="0" borderId="0">
      <protection locked="0"/>
    </xf>
    <xf numFmtId="180" fontId="8" fillId="0" borderId="0">
      <protection locked="0"/>
    </xf>
    <xf numFmtId="180" fontId="8" fillId="0" borderId="0">
      <protection locked="0"/>
    </xf>
    <xf numFmtId="180" fontId="8" fillId="0" borderId="0">
      <protection locked="0"/>
    </xf>
    <xf numFmtId="0" fontId="98" fillId="0" borderId="2">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147" fillId="0" borderId="80">
      <protection locked="0"/>
    </xf>
    <xf numFmtId="180" fontId="8" fillId="0" borderId="2">
      <protection locked="0"/>
    </xf>
    <xf numFmtId="0" fontId="147" fillId="0" borderId="80">
      <protection locked="0"/>
    </xf>
    <xf numFmtId="0" fontId="147" fillId="0" borderId="80">
      <protection locked="0"/>
    </xf>
    <xf numFmtId="0" fontId="147" fillId="0" borderId="80">
      <protection locked="0"/>
    </xf>
    <xf numFmtId="0" fontId="147" fillId="0" borderId="80">
      <protection locked="0"/>
    </xf>
    <xf numFmtId="0" fontId="147" fillId="0" borderId="80">
      <protection locked="0"/>
    </xf>
    <xf numFmtId="180" fontId="8" fillId="0" borderId="2">
      <protection locked="0"/>
    </xf>
    <xf numFmtId="180" fontId="8" fillId="0" borderId="2">
      <protection locked="0"/>
    </xf>
    <xf numFmtId="0" fontId="147" fillId="0" borderId="80">
      <protection locked="0"/>
    </xf>
    <xf numFmtId="0" fontId="147" fillId="0" borderId="80">
      <protection locked="0"/>
    </xf>
    <xf numFmtId="0" fontId="147" fillId="0" borderId="80">
      <protection locked="0"/>
    </xf>
    <xf numFmtId="0" fontId="147" fillId="0" borderId="80">
      <protection locked="0"/>
    </xf>
    <xf numFmtId="0" fontId="6" fillId="0" borderId="0">
      <protection locked="0"/>
    </xf>
    <xf numFmtId="0" fontId="6" fillId="0" borderId="2">
      <protection locked="0"/>
    </xf>
    <xf numFmtId="0" fontId="6" fillId="0" borderId="0">
      <protection locked="0"/>
    </xf>
    <xf numFmtId="0" fontId="6" fillId="0" borderId="0">
      <protection locked="0"/>
    </xf>
    <xf numFmtId="0" fontId="6" fillId="0" borderId="0">
      <protection locked="0"/>
    </xf>
    <xf numFmtId="0" fontId="7" fillId="0" borderId="0">
      <protection locked="0"/>
    </xf>
    <xf numFmtId="0" fontId="7" fillId="0" borderId="0">
      <protection locked="0"/>
    </xf>
    <xf numFmtId="0" fontId="151" fillId="8" borderId="0" applyNumberFormat="0" applyBorder="0" applyAlignment="0" applyProtection="0"/>
    <xf numFmtId="0" fontId="151"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69" fillId="75" borderId="0" applyNumberFormat="0" applyBorder="0" applyAlignment="0" applyProtection="0"/>
    <xf numFmtId="0" fontId="151"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51" fillId="9" borderId="0" applyNumberFormat="0" applyBorder="0" applyAlignment="0" applyProtection="0"/>
    <xf numFmtId="0" fontId="151"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69" fillId="79" borderId="0" applyNumberFormat="0" applyBorder="0" applyAlignment="0" applyProtection="0"/>
    <xf numFmtId="0" fontId="151"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69" fillId="83" borderId="0" applyNumberFormat="0" applyBorder="0" applyAlignment="0" applyProtection="0"/>
    <xf numFmtId="0" fontId="151"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51" fillId="11" borderId="0" applyNumberFormat="0" applyBorder="0" applyAlignment="0" applyProtection="0"/>
    <xf numFmtId="0" fontId="151"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69" fillId="87" borderId="0" applyNumberFormat="0" applyBorder="0" applyAlignment="0" applyProtection="0"/>
    <xf numFmtId="0" fontId="151"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51" fillId="12" borderId="0" applyNumberFormat="0" applyBorder="0" applyAlignment="0" applyProtection="0"/>
    <xf numFmtId="0" fontId="15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69" fillId="91" borderId="0" applyNumberFormat="0" applyBorder="0" applyAlignment="0" applyProtection="0"/>
    <xf numFmtId="0" fontId="15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69" fillId="95" borderId="0" applyNumberFormat="0" applyBorder="0" applyAlignment="0" applyProtection="0"/>
    <xf numFmtId="0" fontId="15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69" fillId="76" borderId="0" applyNumberFormat="0" applyBorder="0" applyAlignment="0" applyProtection="0"/>
    <xf numFmtId="0" fontId="151"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51" fillId="15" borderId="0" applyNumberFormat="0" applyBorder="0" applyAlignment="0" applyProtection="0"/>
    <xf numFmtId="0" fontId="15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69" fillId="80" borderId="0" applyNumberFormat="0" applyBorder="0" applyAlignment="0" applyProtection="0"/>
    <xf numFmtId="0" fontId="15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69" fillId="84" borderId="0" applyNumberFormat="0" applyBorder="0" applyAlignment="0" applyProtection="0"/>
    <xf numFmtId="0" fontId="15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51" fillId="11" borderId="0" applyNumberFormat="0" applyBorder="0" applyAlignment="0" applyProtection="0"/>
    <xf numFmtId="0" fontId="151"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69" fillId="88" borderId="0" applyNumberFormat="0" applyBorder="0" applyAlignment="0" applyProtection="0"/>
    <xf numFmtId="0" fontId="151"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69" fillId="92" borderId="0" applyNumberFormat="0" applyBorder="0" applyAlignment="0" applyProtection="0"/>
    <xf numFmtId="0" fontId="151"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69" fillId="96" borderId="0" applyNumberFormat="0" applyBorder="0" applyAlignment="0" applyProtection="0"/>
    <xf numFmtId="0" fontId="15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4" fontId="149" fillId="0" borderId="4">
      <alignment horizontal="right" vertical="top"/>
    </xf>
    <xf numFmtId="4" fontId="149" fillId="0" borderId="4">
      <alignment horizontal="right" vertical="top"/>
    </xf>
    <xf numFmtId="4" fontId="149" fillId="0" borderId="4">
      <alignment horizontal="right" vertical="top"/>
    </xf>
    <xf numFmtId="4" fontId="149" fillId="0" borderId="4">
      <alignment horizontal="right" vertical="top"/>
    </xf>
    <xf numFmtId="4" fontId="149" fillId="0" borderId="4">
      <alignment horizontal="right" vertical="top"/>
    </xf>
    <xf numFmtId="0" fontId="152" fillId="18" borderId="0" applyNumberFormat="0" applyBorder="0" applyAlignment="0" applyProtection="0"/>
    <xf numFmtId="0" fontId="152" fillId="18" borderId="0" applyNumberFormat="0" applyBorder="0" applyAlignment="0" applyProtection="0"/>
    <xf numFmtId="0" fontId="28" fillId="19" borderId="0" applyNumberFormat="0" applyBorder="0" applyAlignment="0" applyProtection="0"/>
    <xf numFmtId="0" fontId="170" fillId="77" borderId="0" applyNumberFormat="0" applyBorder="0" applyAlignment="0" applyProtection="0"/>
    <xf numFmtId="0" fontId="152" fillId="18" borderId="0" applyNumberFormat="0" applyBorder="0" applyAlignment="0" applyProtection="0"/>
    <xf numFmtId="0" fontId="152" fillId="15" borderId="0" applyNumberFormat="0" applyBorder="0" applyAlignment="0" applyProtection="0"/>
    <xf numFmtId="0" fontId="152" fillId="15" borderId="0" applyNumberFormat="0" applyBorder="0" applyAlignment="0" applyProtection="0"/>
    <xf numFmtId="0" fontId="170" fillId="81" borderId="0" applyNumberFormat="0" applyBorder="0" applyAlignment="0" applyProtection="0"/>
    <xf numFmtId="0" fontId="152" fillId="15" borderId="0" applyNumberFormat="0" applyBorder="0" applyAlignment="0" applyProtection="0"/>
    <xf numFmtId="0" fontId="152" fillId="16" borderId="0" applyNumberFormat="0" applyBorder="0" applyAlignment="0" applyProtection="0"/>
    <xf numFmtId="0" fontId="152" fillId="16" borderId="0" applyNumberFormat="0" applyBorder="0" applyAlignment="0" applyProtection="0"/>
    <xf numFmtId="0" fontId="28" fillId="20" borderId="0" applyNumberFormat="0" applyBorder="0" applyAlignment="0" applyProtection="0"/>
    <xf numFmtId="0" fontId="170" fillId="85" borderId="0" applyNumberFormat="0" applyBorder="0" applyAlignment="0" applyProtection="0"/>
    <xf numFmtId="0" fontId="152" fillId="16" borderId="0" applyNumberFormat="0" applyBorder="0" applyAlignment="0" applyProtection="0"/>
    <xf numFmtId="0" fontId="152" fillId="21" borderId="0" applyNumberFormat="0" applyBorder="0" applyAlignment="0" applyProtection="0"/>
    <xf numFmtId="0" fontId="152" fillId="21" borderId="0" applyNumberFormat="0" applyBorder="0" applyAlignment="0" applyProtection="0"/>
    <xf numFmtId="0" fontId="28" fillId="22" borderId="0" applyNumberFormat="0" applyBorder="0" applyAlignment="0" applyProtection="0"/>
    <xf numFmtId="0" fontId="170" fillId="89" borderId="0" applyNumberFormat="0" applyBorder="0" applyAlignment="0" applyProtection="0"/>
    <xf numFmtId="0" fontId="152" fillId="21" borderId="0" applyNumberFormat="0" applyBorder="0" applyAlignment="0" applyProtection="0"/>
    <xf numFmtId="0" fontId="152" fillId="19" borderId="0" applyNumberFormat="0" applyBorder="0" applyAlignment="0" applyProtection="0"/>
    <xf numFmtId="0" fontId="152" fillId="19" borderId="0" applyNumberFormat="0" applyBorder="0" applyAlignment="0" applyProtection="0"/>
    <xf numFmtId="0" fontId="170" fillId="93" borderId="0" applyNumberFormat="0" applyBorder="0" applyAlignment="0" applyProtection="0"/>
    <xf numFmtId="0" fontId="152" fillId="19" borderId="0" applyNumberFormat="0" applyBorder="0" applyAlignment="0" applyProtection="0"/>
    <xf numFmtId="0" fontId="152" fillId="23" borderId="0" applyNumberFormat="0" applyBorder="0" applyAlignment="0" applyProtection="0"/>
    <xf numFmtId="0" fontId="152" fillId="23" borderId="0" applyNumberFormat="0" applyBorder="0" applyAlignment="0" applyProtection="0"/>
    <xf numFmtId="0" fontId="28" fillId="13" borderId="0" applyNumberFormat="0" applyBorder="0" applyAlignment="0" applyProtection="0"/>
    <xf numFmtId="0" fontId="170" fillId="97" borderId="0" applyNumberFormat="0" applyBorder="0" applyAlignment="0" applyProtection="0"/>
    <xf numFmtId="0" fontId="152" fillId="23" borderId="0" applyNumberFormat="0" applyBorder="0" applyAlignment="0" applyProtection="0"/>
    <xf numFmtId="4" fontId="149" fillId="0" borderId="4">
      <alignment horizontal="right" vertical="top"/>
    </xf>
    <xf numFmtId="4" fontId="149" fillId="0" borderId="4">
      <alignment horizontal="right" vertical="top"/>
    </xf>
    <xf numFmtId="4" fontId="149" fillId="0" borderId="4">
      <alignment horizontal="right" vertical="top"/>
    </xf>
    <xf numFmtId="4" fontId="149" fillId="0" borderId="4">
      <alignment horizontal="right" vertical="top"/>
    </xf>
    <xf numFmtId="4" fontId="149" fillId="0" borderId="4">
      <alignment horizontal="right" vertical="top"/>
    </xf>
    <xf numFmtId="175" fontId="8" fillId="0" borderId="0" applyFont="0" applyFill="0" applyBorder="0" applyAlignment="0" applyProtection="0"/>
    <xf numFmtId="175" fontId="8" fillId="0" borderId="0" applyFont="0" applyFill="0" applyBorder="0" applyAlignment="0" applyProtection="0"/>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180" fontId="8" fillId="0" borderId="0">
      <protection locked="0"/>
    </xf>
    <xf numFmtId="4" fontId="114" fillId="6" borderId="10" applyNumberFormat="0" applyProtection="0">
      <alignment vertical="center"/>
    </xf>
    <xf numFmtId="4" fontId="114" fillId="6" borderId="10" applyNumberFormat="0" applyProtection="0">
      <alignment vertical="center"/>
    </xf>
    <xf numFmtId="4" fontId="114" fillId="6" borderId="10" applyNumberFormat="0" applyProtection="0">
      <alignment vertical="center"/>
    </xf>
    <xf numFmtId="4" fontId="114" fillId="6" borderId="10" applyNumberFormat="0" applyProtection="0">
      <alignment vertical="center"/>
    </xf>
    <xf numFmtId="4" fontId="114" fillId="6" borderId="10" applyNumberFormat="0" applyProtection="0">
      <alignment vertical="center"/>
    </xf>
    <xf numFmtId="4" fontId="115" fillId="6" borderId="10" applyNumberFormat="0" applyProtection="0">
      <alignment vertical="center"/>
    </xf>
    <xf numFmtId="4" fontId="115" fillId="6" borderId="10" applyNumberFormat="0" applyProtection="0">
      <alignment vertical="center"/>
    </xf>
    <xf numFmtId="4" fontId="115" fillId="6" borderId="10" applyNumberFormat="0" applyProtection="0">
      <alignment vertical="center"/>
    </xf>
    <xf numFmtId="4" fontId="115" fillId="6" borderId="10" applyNumberFormat="0" applyProtection="0">
      <alignment vertical="center"/>
    </xf>
    <xf numFmtId="4" fontId="115" fillId="6" borderId="10" applyNumberFormat="0" applyProtection="0">
      <alignment vertical="center"/>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4" fontId="114" fillId="6"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4" fontId="114" fillId="50" borderId="10" applyNumberFormat="0" applyProtection="0">
      <alignment horizontal="right" vertical="center"/>
    </xf>
    <xf numFmtId="4" fontId="114" fillId="50" borderId="10" applyNumberFormat="0" applyProtection="0">
      <alignment horizontal="right" vertical="center"/>
    </xf>
    <xf numFmtId="4" fontId="114" fillId="50" borderId="10" applyNumberFormat="0" applyProtection="0">
      <alignment horizontal="right" vertical="center"/>
    </xf>
    <xf numFmtId="4" fontId="114" fillId="50" borderId="10" applyNumberFormat="0" applyProtection="0">
      <alignment horizontal="right" vertical="center"/>
    </xf>
    <xf numFmtId="4" fontId="114" fillId="50" borderId="10" applyNumberFormat="0" applyProtection="0">
      <alignment horizontal="right" vertical="center"/>
    </xf>
    <xf numFmtId="4" fontId="114" fillId="46" borderId="10" applyNumberFormat="0" applyProtection="0">
      <alignment horizontal="right" vertical="center"/>
    </xf>
    <xf numFmtId="4" fontId="114" fillId="46" borderId="10" applyNumberFormat="0" applyProtection="0">
      <alignment horizontal="right" vertical="center"/>
    </xf>
    <xf numFmtId="4" fontId="114" fillId="46" borderId="10" applyNumberFormat="0" applyProtection="0">
      <alignment horizontal="right" vertical="center"/>
    </xf>
    <xf numFmtId="4" fontId="114" fillId="46" borderId="10" applyNumberFormat="0" applyProtection="0">
      <alignment horizontal="right" vertical="center"/>
    </xf>
    <xf numFmtId="4" fontId="114" fillId="46" borderId="10" applyNumberFormat="0" applyProtection="0">
      <alignment horizontal="right" vertical="center"/>
    </xf>
    <xf numFmtId="4" fontId="114" fillId="51" borderId="10" applyNumberFormat="0" applyProtection="0">
      <alignment horizontal="right" vertical="center"/>
    </xf>
    <xf numFmtId="4" fontId="114" fillId="51" borderId="10" applyNumberFormat="0" applyProtection="0">
      <alignment horizontal="right" vertical="center"/>
    </xf>
    <xf numFmtId="4" fontId="114" fillId="51" borderId="10" applyNumberFormat="0" applyProtection="0">
      <alignment horizontal="right" vertical="center"/>
    </xf>
    <xf numFmtId="4" fontId="114" fillId="51" borderId="10" applyNumberFormat="0" applyProtection="0">
      <alignment horizontal="right" vertical="center"/>
    </xf>
    <xf numFmtId="4" fontId="114" fillId="51" borderId="10" applyNumberFormat="0" applyProtection="0">
      <alignment horizontal="right" vertical="center"/>
    </xf>
    <xf numFmtId="4" fontId="114" fillId="52" borderId="10" applyNumberFormat="0" applyProtection="0">
      <alignment horizontal="right" vertical="center"/>
    </xf>
    <xf numFmtId="4" fontId="114" fillId="52" borderId="10" applyNumberFormat="0" applyProtection="0">
      <alignment horizontal="right" vertical="center"/>
    </xf>
    <xf numFmtId="4" fontId="114" fillId="52" borderId="10" applyNumberFormat="0" applyProtection="0">
      <alignment horizontal="right" vertical="center"/>
    </xf>
    <xf numFmtId="4" fontId="114" fillId="52" borderId="10" applyNumberFormat="0" applyProtection="0">
      <alignment horizontal="right" vertical="center"/>
    </xf>
    <xf numFmtId="4" fontId="114" fillId="52" borderId="10" applyNumberFormat="0" applyProtection="0">
      <alignment horizontal="right" vertical="center"/>
    </xf>
    <xf numFmtId="4" fontId="114" fillId="53" borderId="10" applyNumberFormat="0" applyProtection="0">
      <alignment horizontal="right" vertical="center"/>
    </xf>
    <xf numFmtId="4" fontId="114" fillId="53" borderId="10" applyNumberFormat="0" applyProtection="0">
      <alignment horizontal="right" vertical="center"/>
    </xf>
    <xf numFmtId="4" fontId="114" fillId="53" borderId="10" applyNumberFormat="0" applyProtection="0">
      <alignment horizontal="right" vertical="center"/>
    </xf>
    <xf numFmtId="4" fontId="114" fillId="53" borderId="10" applyNumberFormat="0" applyProtection="0">
      <alignment horizontal="right" vertical="center"/>
    </xf>
    <xf numFmtId="4" fontId="114" fillId="53" borderId="10" applyNumberFormat="0" applyProtection="0">
      <alignment horizontal="right" vertical="center"/>
    </xf>
    <xf numFmtId="4" fontId="114" fillId="54" borderId="10" applyNumberFormat="0" applyProtection="0">
      <alignment horizontal="right" vertical="center"/>
    </xf>
    <xf numFmtId="4" fontId="114" fillId="54" borderId="10" applyNumberFormat="0" applyProtection="0">
      <alignment horizontal="right" vertical="center"/>
    </xf>
    <xf numFmtId="4" fontId="114" fillId="54" borderId="10" applyNumberFormat="0" applyProtection="0">
      <alignment horizontal="right" vertical="center"/>
    </xf>
    <xf numFmtId="4" fontId="114" fillId="54" borderId="10" applyNumberFormat="0" applyProtection="0">
      <alignment horizontal="right" vertical="center"/>
    </xf>
    <xf numFmtId="4" fontId="114" fillId="54" borderId="10" applyNumberFormat="0" applyProtection="0">
      <alignment horizontal="right" vertical="center"/>
    </xf>
    <xf numFmtId="4" fontId="114" fillId="55" borderId="10" applyNumberFormat="0" applyProtection="0">
      <alignment horizontal="right" vertical="center"/>
    </xf>
    <xf numFmtId="4" fontId="114" fillId="55" borderId="10" applyNumberFormat="0" applyProtection="0">
      <alignment horizontal="right" vertical="center"/>
    </xf>
    <xf numFmtId="4" fontId="114" fillId="55" borderId="10" applyNumberFormat="0" applyProtection="0">
      <alignment horizontal="right" vertical="center"/>
    </xf>
    <xf numFmtId="4" fontId="114" fillId="55" borderId="10" applyNumberFormat="0" applyProtection="0">
      <alignment horizontal="right" vertical="center"/>
    </xf>
    <xf numFmtId="4" fontId="114" fillId="55" borderId="10" applyNumberFormat="0" applyProtection="0">
      <alignment horizontal="right" vertical="center"/>
    </xf>
    <xf numFmtId="4" fontId="114" fillId="56" borderId="10" applyNumberFormat="0" applyProtection="0">
      <alignment horizontal="right" vertical="center"/>
    </xf>
    <xf numFmtId="4" fontId="114" fillId="56" borderId="10" applyNumberFormat="0" applyProtection="0">
      <alignment horizontal="right" vertical="center"/>
    </xf>
    <xf numFmtId="4" fontId="114" fillId="56" borderId="10" applyNumberFormat="0" applyProtection="0">
      <alignment horizontal="right" vertical="center"/>
    </xf>
    <xf numFmtId="4" fontId="114" fillId="56" borderId="10" applyNumberFormat="0" applyProtection="0">
      <alignment horizontal="right" vertical="center"/>
    </xf>
    <xf numFmtId="4" fontId="114" fillId="56" borderId="10" applyNumberFormat="0" applyProtection="0">
      <alignment horizontal="right" vertical="center"/>
    </xf>
    <xf numFmtId="4" fontId="114" fillId="57" borderId="10" applyNumberFormat="0" applyProtection="0">
      <alignment horizontal="right" vertical="center"/>
    </xf>
    <xf numFmtId="4" fontId="114" fillId="57" borderId="10" applyNumberFormat="0" applyProtection="0">
      <alignment horizontal="right" vertical="center"/>
    </xf>
    <xf numFmtId="4" fontId="114" fillId="57" borderId="10" applyNumberFormat="0" applyProtection="0">
      <alignment horizontal="right" vertical="center"/>
    </xf>
    <xf numFmtId="4" fontId="114" fillId="57" borderId="10" applyNumberFormat="0" applyProtection="0">
      <alignment horizontal="right" vertical="center"/>
    </xf>
    <xf numFmtId="4" fontId="114" fillId="57" borderId="10" applyNumberFormat="0" applyProtection="0">
      <alignment horizontal="right" vertical="center"/>
    </xf>
    <xf numFmtId="4" fontId="116" fillId="58" borderId="10" applyNumberFormat="0" applyProtection="0">
      <alignment horizontal="left" vertical="center" indent="1"/>
    </xf>
    <xf numFmtId="4" fontId="116" fillId="58" borderId="10" applyNumberFormat="0" applyProtection="0">
      <alignment horizontal="left" vertical="center" indent="1"/>
    </xf>
    <xf numFmtId="4" fontId="116" fillId="58" borderId="10" applyNumberFormat="0" applyProtection="0">
      <alignment horizontal="left" vertical="center" indent="1"/>
    </xf>
    <xf numFmtId="4" fontId="116" fillId="58" borderId="10" applyNumberFormat="0" applyProtection="0">
      <alignment horizontal="left" vertical="center" indent="1"/>
    </xf>
    <xf numFmtId="4" fontId="116" fillId="5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4" fontId="94" fillId="59" borderId="10" applyNumberFormat="0" applyProtection="0">
      <alignment horizontal="left" vertical="center" indent="1"/>
    </xf>
    <xf numFmtId="4" fontId="94" fillId="59" borderId="10" applyNumberFormat="0" applyProtection="0">
      <alignment horizontal="left" vertical="center" indent="1"/>
    </xf>
    <xf numFmtId="4" fontId="94" fillId="59" borderId="10" applyNumberFormat="0" applyProtection="0">
      <alignment horizontal="left" vertical="center" indent="1"/>
    </xf>
    <xf numFmtId="4" fontId="94" fillId="59" borderId="10" applyNumberFormat="0" applyProtection="0">
      <alignment horizontal="left" vertical="center" indent="1"/>
    </xf>
    <xf numFmtId="4" fontId="94" fillId="59" borderId="10" applyNumberFormat="0" applyProtection="0">
      <alignment horizontal="left" vertical="center" indent="1"/>
    </xf>
    <xf numFmtId="4" fontId="94" fillId="61" borderId="10" applyNumberFormat="0" applyProtection="0">
      <alignment horizontal="left" vertical="center" indent="1"/>
    </xf>
    <xf numFmtId="4" fontId="94" fillId="61" borderId="10" applyNumberFormat="0" applyProtection="0">
      <alignment horizontal="left" vertical="center" indent="1"/>
    </xf>
    <xf numFmtId="4" fontId="94" fillId="61" borderId="10" applyNumberFormat="0" applyProtection="0">
      <alignment horizontal="left" vertical="center" indent="1"/>
    </xf>
    <xf numFmtId="4" fontId="94" fillId="61" borderId="10" applyNumberFormat="0" applyProtection="0">
      <alignment horizontal="left" vertical="center" indent="1"/>
    </xf>
    <xf numFmtId="4" fontId="94"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1"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62"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7"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4" fontId="114" fillId="45" borderId="10" applyNumberFormat="0" applyProtection="0">
      <alignment vertical="center"/>
    </xf>
    <xf numFmtId="4" fontId="114" fillId="45" borderId="10" applyNumberFormat="0" applyProtection="0">
      <alignment vertical="center"/>
    </xf>
    <xf numFmtId="4" fontId="114" fillId="45" borderId="10" applyNumberFormat="0" applyProtection="0">
      <alignment vertical="center"/>
    </xf>
    <xf numFmtId="4" fontId="114" fillId="45" borderId="10" applyNumberFormat="0" applyProtection="0">
      <alignment vertical="center"/>
    </xf>
    <xf numFmtId="4" fontId="114" fillId="45" borderId="10" applyNumberFormat="0" applyProtection="0">
      <alignment vertical="center"/>
    </xf>
    <xf numFmtId="4" fontId="115" fillId="45" borderId="10" applyNumberFormat="0" applyProtection="0">
      <alignment vertical="center"/>
    </xf>
    <xf numFmtId="4" fontId="115" fillId="45" borderId="10" applyNumberFormat="0" applyProtection="0">
      <alignment vertical="center"/>
    </xf>
    <xf numFmtId="4" fontId="115" fillId="45" borderId="10" applyNumberFormat="0" applyProtection="0">
      <alignment vertical="center"/>
    </xf>
    <xf numFmtId="4" fontId="115" fillId="45" borderId="10" applyNumberFormat="0" applyProtection="0">
      <alignment vertical="center"/>
    </xf>
    <xf numFmtId="4" fontId="115" fillId="45" borderId="10" applyNumberFormat="0" applyProtection="0">
      <alignment vertical="center"/>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45" borderId="10" applyNumberFormat="0" applyProtection="0">
      <alignment horizontal="left" vertical="center" indent="1"/>
    </xf>
    <xf numFmtId="4" fontId="114" fillId="59" borderId="10" applyNumberFormat="0" applyProtection="0">
      <alignment horizontal="right" vertical="center"/>
    </xf>
    <xf numFmtId="4" fontId="114" fillId="59" borderId="10" applyNumberFormat="0" applyProtection="0">
      <alignment horizontal="right" vertical="center"/>
    </xf>
    <xf numFmtId="4" fontId="114" fillId="59" borderId="10" applyNumberFormat="0" applyProtection="0">
      <alignment horizontal="right" vertical="center"/>
    </xf>
    <xf numFmtId="4" fontId="114" fillId="59" borderId="10" applyNumberFormat="0" applyProtection="0">
      <alignment horizontal="right" vertical="center"/>
    </xf>
    <xf numFmtId="4" fontId="114" fillId="59" borderId="10" applyNumberFormat="0" applyProtection="0">
      <alignment horizontal="right" vertical="center"/>
    </xf>
    <xf numFmtId="4" fontId="115" fillId="59" borderId="10" applyNumberFormat="0" applyProtection="0">
      <alignment horizontal="right" vertical="center"/>
    </xf>
    <xf numFmtId="4" fontId="115" fillId="59" borderId="10" applyNumberFormat="0" applyProtection="0">
      <alignment horizontal="right" vertical="center"/>
    </xf>
    <xf numFmtId="4" fontId="115" fillId="59" borderId="10" applyNumberFormat="0" applyProtection="0">
      <alignment horizontal="right" vertical="center"/>
    </xf>
    <xf numFmtId="4" fontId="115" fillId="59" borderId="10" applyNumberFormat="0" applyProtection="0">
      <alignment horizontal="right" vertical="center"/>
    </xf>
    <xf numFmtId="4" fontId="115" fillId="59" borderId="10" applyNumberFormat="0" applyProtection="0">
      <alignment horizontal="right" vertical="center"/>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0" fontId="5" fillId="48" borderId="10" applyNumberFormat="0" applyProtection="0">
      <alignment horizontal="left" vertical="center" indent="1"/>
    </xf>
    <xf numFmtId="4" fontId="119" fillId="59" borderId="10" applyNumberFormat="0" applyProtection="0">
      <alignment horizontal="right" vertical="center"/>
    </xf>
    <xf numFmtId="4" fontId="119" fillId="59" borderId="10" applyNumberFormat="0" applyProtection="0">
      <alignment horizontal="right" vertical="center"/>
    </xf>
    <xf numFmtId="4" fontId="119" fillId="59" borderId="10" applyNumberFormat="0" applyProtection="0">
      <alignment horizontal="right" vertical="center"/>
    </xf>
    <xf numFmtId="4" fontId="119" fillId="59" borderId="10" applyNumberFormat="0" applyProtection="0">
      <alignment horizontal="right" vertical="center"/>
    </xf>
    <xf numFmtId="4" fontId="119" fillId="59" borderId="10" applyNumberFormat="0" applyProtection="0">
      <alignment horizontal="right" vertical="center"/>
    </xf>
    <xf numFmtId="0" fontId="152" fillId="25" borderId="0" applyNumberFormat="0" applyBorder="0" applyAlignment="0" applyProtection="0"/>
    <xf numFmtId="0" fontId="152" fillId="25" borderId="0" applyNumberFormat="0" applyBorder="0" applyAlignment="0" applyProtection="0"/>
    <xf numFmtId="0" fontId="28" fillId="19" borderId="0" applyNumberFormat="0" applyBorder="0" applyAlignment="0" applyProtection="0"/>
    <xf numFmtId="0" fontId="170" fillId="74" borderId="0" applyNumberFormat="0" applyBorder="0" applyAlignment="0" applyProtection="0"/>
    <xf numFmtId="0" fontId="152" fillId="25"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70" fillId="78" borderId="0" applyNumberFormat="0" applyBorder="0" applyAlignment="0" applyProtection="0"/>
    <xf numFmtId="0" fontId="152" fillId="26" borderId="0" applyNumberFormat="0" applyBorder="0" applyAlignment="0" applyProtection="0"/>
    <xf numFmtId="0" fontId="152" fillId="27" borderId="0" applyNumberFormat="0" applyBorder="0" applyAlignment="0" applyProtection="0"/>
    <xf numFmtId="0" fontId="152" fillId="27" borderId="0" applyNumberFormat="0" applyBorder="0" applyAlignment="0" applyProtection="0"/>
    <xf numFmtId="0" fontId="170" fillId="82" borderId="0" applyNumberFormat="0" applyBorder="0" applyAlignment="0" applyProtection="0"/>
    <xf numFmtId="0" fontId="152" fillId="27" borderId="0" applyNumberFormat="0" applyBorder="0" applyAlignment="0" applyProtection="0"/>
    <xf numFmtId="0" fontId="152" fillId="21" borderId="0" applyNumberFormat="0" applyBorder="0" applyAlignment="0" applyProtection="0"/>
    <xf numFmtId="0" fontId="152" fillId="21" borderId="0" applyNumberFormat="0" applyBorder="0" applyAlignment="0" applyProtection="0"/>
    <xf numFmtId="0" fontId="28" fillId="28" borderId="0" applyNumberFormat="0" applyBorder="0" applyAlignment="0" applyProtection="0"/>
    <xf numFmtId="0" fontId="170" fillId="86" borderId="0" applyNumberFormat="0" applyBorder="0" applyAlignment="0" applyProtection="0"/>
    <xf numFmtId="0" fontId="152" fillId="21" borderId="0" applyNumberFormat="0" applyBorder="0" applyAlignment="0" applyProtection="0"/>
    <xf numFmtId="0" fontId="152" fillId="19" borderId="0" applyNumberFormat="0" applyBorder="0" applyAlignment="0" applyProtection="0"/>
    <xf numFmtId="0" fontId="152" fillId="19" borderId="0" applyNumberFormat="0" applyBorder="0" applyAlignment="0" applyProtection="0"/>
    <xf numFmtId="0" fontId="170" fillId="90" borderId="0" applyNumberFormat="0" applyBorder="0" applyAlignment="0" applyProtection="0"/>
    <xf numFmtId="0" fontId="152" fillId="19" borderId="0" applyNumberFormat="0" applyBorder="0" applyAlignment="0" applyProtection="0"/>
    <xf numFmtId="0" fontId="152" fillId="29" borderId="0" applyNumberFormat="0" applyBorder="0" applyAlignment="0" applyProtection="0"/>
    <xf numFmtId="0" fontId="152" fillId="29" borderId="0" applyNumberFormat="0" applyBorder="0" applyAlignment="0" applyProtection="0"/>
    <xf numFmtId="0" fontId="170" fillId="94" borderId="0" applyNumberFormat="0" applyBorder="0" applyAlignment="0" applyProtection="0"/>
    <xf numFmtId="0" fontId="152" fillId="29" borderId="0" applyNumberFormat="0" applyBorder="0" applyAlignment="0" applyProtection="0"/>
    <xf numFmtId="0" fontId="153" fillId="13" borderId="9" applyNumberFormat="0" applyAlignment="0" applyProtection="0"/>
    <xf numFmtId="0" fontId="153" fillId="13" borderId="9" applyNumberFormat="0" applyAlignment="0" applyProtection="0"/>
    <xf numFmtId="0" fontId="153" fillId="13" borderId="9" applyNumberFormat="0" applyAlignment="0" applyProtection="0"/>
    <xf numFmtId="0" fontId="153" fillId="13" borderId="9" applyNumberFormat="0" applyAlignment="0" applyProtection="0"/>
    <xf numFmtId="0" fontId="153" fillId="13" borderId="9" applyNumberFormat="0" applyAlignment="0" applyProtection="0"/>
    <xf numFmtId="0" fontId="153" fillId="13" borderId="9" applyNumberFormat="0" applyAlignment="0" applyProtection="0"/>
    <xf numFmtId="0" fontId="153" fillId="13" borderId="9" applyNumberFormat="0" applyAlignment="0" applyProtection="0"/>
    <xf numFmtId="0" fontId="15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154" fillId="22" borderId="10" applyNumberFormat="0" applyAlignment="0" applyProtection="0"/>
    <xf numFmtId="0" fontId="154" fillId="22" borderId="10" applyNumberFormat="0" applyAlignment="0" applyProtection="0"/>
    <xf numFmtId="0" fontId="154" fillId="22" borderId="10" applyNumberFormat="0" applyAlignment="0" applyProtection="0"/>
    <xf numFmtId="0" fontId="154" fillId="22" borderId="10" applyNumberFormat="0" applyAlignment="0" applyProtection="0"/>
    <xf numFmtId="0" fontId="154" fillId="22" borderId="10" applyNumberFormat="0" applyAlignment="0" applyProtection="0"/>
    <xf numFmtId="0" fontId="154" fillId="22" borderId="10" applyNumberFormat="0" applyAlignment="0" applyProtection="0"/>
    <xf numFmtId="0" fontId="154" fillId="22" borderId="10" applyNumberFormat="0" applyAlignment="0" applyProtection="0"/>
    <xf numFmtId="0" fontId="154" fillId="22" borderId="10" applyNumberFormat="0" applyAlignment="0" applyProtection="0"/>
    <xf numFmtId="0" fontId="34" fillId="30" borderId="10" applyNumberFormat="0" applyAlignment="0" applyProtection="0"/>
    <xf numFmtId="0" fontId="34" fillId="30"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171" fillId="72" borderId="76" applyNumberFormat="0" applyAlignment="0" applyProtection="0"/>
    <xf numFmtId="0" fontId="154" fillId="22" borderId="10" applyNumberFormat="0" applyAlignment="0" applyProtection="0"/>
    <xf numFmtId="0" fontId="154" fillId="22" borderId="10" applyNumberFormat="0" applyAlignment="0" applyProtection="0"/>
    <xf numFmtId="0" fontId="154" fillId="22" borderId="10" applyNumberFormat="0" applyAlignment="0" applyProtection="0"/>
    <xf numFmtId="0" fontId="154" fillId="22" borderId="10" applyNumberFormat="0" applyAlignment="0" applyProtection="0"/>
    <xf numFmtId="0" fontId="154" fillId="22" borderId="10" applyNumberFormat="0" applyAlignment="0" applyProtection="0"/>
    <xf numFmtId="0" fontId="15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34" fillId="22" borderId="10" applyNumberFormat="0" applyAlignment="0" applyProtection="0"/>
    <xf numFmtId="0" fontId="155" fillId="22" borderId="9" applyNumberFormat="0" applyAlignment="0" applyProtection="0"/>
    <xf numFmtId="0" fontId="155" fillId="22" borderId="9" applyNumberFormat="0" applyAlignment="0" applyProtection="0"/>
    <xf numFmtId="0" fontId="155" fillId="22" borderId="9" applyNumberFormat="0" applyAlignment="0" applyProtection="0"/>
    <xf numFmtId="0" fontId="155" fillId="22" borderId="9" applyNumberFormat="0" applyAlignment="0" applyProtection="0"/>
    <xf numFmtId="0" fontId="155" fillId="22" borderId="9" applyNumberFormat="0" applyAlignment="0" applyProtection="0"/>
    <xf numFmtId="0" fontId="155" fillId="22" borderId="9" applyNumberFormat="0" applyAlignment="0" applyProtection="0"/>
    <xf numFmtId="0" fontId="155" fillId="22" borderId="9" applyNumberFormat="0" applyAlignment="0" applyProtection="0"/>
    <xf numFmtId="0" fontId="155" fillId="22" borderId="9" applyNumberFormat="0" applyAlignment="0" applyProtection="0"/>
    <xf numFmtId="0" fontId="35" fillId="30" borderId="9" applyNumberFormat="0" applyAlignment="0" applyProtection="0"/>
    <xf numFmtId="0" fontId="35" fillId="30"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172" fillId="72" borderId="75" applyNumberFormat="0" applyAlignment="0" applyProtection="0"/>
    <xf numFmtId="0" fontId="155" fillId="22" borderId="9" applyNumberFormat="0" applyAlignment="0" applyProtection="0"/>
    <xf numFmtId="0" fontId="155" fillId="22" borderId="9" applyNumberFormat="0" applyAlignment="0" applyProtection="0"/>
    <xf numFmtId="0" fontId="155" fillId="22" borderId="9" applyNumberFormat="0" applyAlignment="0" applyProtection="0"/>
    <xf numFmtId="0" fontId="155" fillId="22" borderId="9" applyNumberFormat="0" applyAlignment="0" applyProtection="0"/>
    <xf numFmtId="0" fontId="155" fillId="22" borderId="9" applyNumberFormat="0" applyAlignment="0" applyProtection="0"/>
    <xf numFmtId="0" fontId="15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35" fillId="22" borderId="9" applyNumberFormat="0" applyAlignment="0" applyProtection="0"/>
    <xf numFmtId="0" fontId="156"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57" fillId="0" borderId="11" applyNumberFormat="0" applyFill="0" applyAlignment="0" applyProtection="0"/>
    <xf numFmtId="0" fontId="128" fillId="0" borderId="68" applyNumberFormat="0" applyFill="0" applyAlignment="0" applyProtection="0"/>
    <xf numFmtId="0" fontId="173" fillId="0" borderId="72" applyNumberFormat="0" applyFill="0" applyAlignment="0" applyProtection="0"/>
    <xf numFmtId="0" fontId="157" fillId="0" borderId="11" applyNumberFormat="0" applyFill="0" applyAlignment="0" applyProtection="0"/>
    <xf numFmtId="0" fontId="158" fillId="0" borderId="12" applyNumberFormat="0" applyFill="0" applyAlignment="0" applyProtection="0"/>
    <xf numFmtId="0" fontId="129" fillId="0" borderId="12" applyNumberFormat="0" applyFill="0" applyAlignment="0" applyProtection="0"/>
    <xf numFmtId="0" fontId="174" fillId="0" borderId="73" applyNumberFormat="0" applyFill="0" applyAlignment="0" applyProtection="0"/>
    <xf numFmtId="0" fontId="158" fillId="0" borderId="12" applyNumberFormat="0" applyFill="0" applyAlignment="0" applyProtection="0"/>
    <xf numFmtId="0" fontId="159" fillId="0" borderId="13" applyNumberFormat="0" applyFill="0" applyAlignment="0" applyProtection="0"/>
    <xf numFmtId="0" fontId="130" fillId="0" borderId="69" applyNumberFormat="0" applyFill="0" applyAlignment="0" applyProtection="0"/>
    <xf numFmtId="0" fontId="175" fillId="0" borderId="74" applyNumberFormat="0" applyFill="0" applyAlignment="0" applyProtection="0"/>
    <xf numFmtId="0" fontId="159" fillId="0" borderId="13" applyNumberFormat="0" applyFill="0" applyAlignment="0" applyProtection="0"/>
    <xf numFmtId="0" fontId="159" fillId="0" borderId="0" applyNumberFormat="0" applyFill="0" applyBorder="0" applyAlignment="0" applyProtection="0"/>
    <xf numFmtId="0" fontId="130" fillId="0" borderId="0" applyNumberFormat="0" applyFill="0" applyBorder="0" applyAlignment="0" applyProtection="0"/>
    <xf numFmtId="0" fontId="175" fillId="0" borderId="0" applyNumberFormat="0" applyFill="0" applyBorder="0" applyAlignment="0" applyProtection="0"/>
    <xf numFmtId="0" fontId="159" fillId="0" borderId="0" applyNumberFormat="0" applyFill="0" applyBorder="0" applyAlignment="0" applyProtection="0"/>
    <xf numFmtId="0" fontId="11" fillId="0" borderId="4">
      <alignment horizontal="center" vertical="center" wrapText="1"/>
    </xf>
    <xf numFmtId="0" fontId="11" fillId="0" borderId="4">
      <alignment horizontal="center" vertical="center" wrapText="1"/>
    </xf>
    <xf numFmtId="0" fontId="11" fillId="0" borderId="4">
      <alignment horizontal="center" vertical="center" wrapText="1"/>
    </xf>
    <xf numFmtId="0" fontId="11" fillId="0" borderId="4">
      <alignment horizontal="center" vertical="center" wrapText="1"/>
    </xf>
    <xf numFmtId="0" fontId="11" fillId="0" borderId="4">
      <alignment horizontal="center" vertical="center" wrapText="1"/>
    </xf>
    <xf numFmtId="0" fontId="160" fillId="0" borderId="14" applyNumberFormat="0" applyFill="0" applyAlignment="0" applyProtection="0"/>
    <xf numFmtId="0" fontId="160" fillId="0" borderId="14" applyNumberFormat="0" applyFill="0" applyAlignment="0" applyProtection="0"/>
    <xf numFmtId="0" fontId="160" fillId="0" borderId="14" applyNumberFormat="0" applyFill="0" applyAlignment="0" applyProtection="0"/>
    <xf numFmtId="0" fontId="160" fillId="0" borderId="14" applyNumberFormat="0" applyFill="0" applyAlignment="0" applyProtection="0"/>
    <xf numFmtId="0" fontId="160" fillId="0" borderId="14" applyNumberFormat="0" applyFill="0" applyAlignment="0" applyProtection="0"/>
    <xf numFmtId="0" fontId="160" fillId="0" borderId="14" applyNumberFormat="0" applyFill="0" applyAlignment="0" applyProtection="0"/>
    <xf numFmtId="0" fontId="160" fillId="0" borderId="14" applyNumberFormat="0" applyFill="0" applyAlignment="0" applyProtection="0"/>
    <xf numFmtId="0" fontId="160"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176" fillId="0" borderId="79" applyNumberFormat="0" applyFill="0" applyAlignment="0" applyProtection="0"/>
    <xf numFmtId="0" fontId="160" fillId="0" borderId="14" applyNumberFormat="0" applyFill="0" applyAlignment="0" applyProtection="0"/>
    <xf numFmtId="0" fontId="160" fillId="0" borderId="14" applyNumberFormat="0" applyFill="0" applyAlignment="0" applyProtection="0"/>
    <xf numFmtId="0" fontId="160" fillId="0" borderId="14" applyNumberFormat="0" applyFill="0" applyAlignment="0" applyProtection="0"/>
    <xf numFmtId="0" fontId="160" fillId="0" borderId="14" applyNumberFormat="0" applyFill="0" applyAlignment="0" applyProtection="0"/>
    <xf numFmtId="0" fontId="160" fillId="0" borderId="14" applyNumberFormat="0" applyFill="0" applyAlignment="0" applyProtection="0"/>
    <xf numFmtId="0" fontId="160"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161" fillId="31" borderId="16" applyNumberFormat="0" applyAlignment="0" applyProtection="0"/>
    <xf numFmtId="0" fontId="161" fillId="31" borderId="16" applyNumberFormat="0" applyAlignment="0" applyProtection="0"/>
    <xf numFmtId="0" fontId="177" fillId="73" borderId="78" applyNumberFormat="0" applyAlignment="0" applyProtection="0"/>
    <xf numFmtId="0" fontId="161" fillId="31" borderId="16" applyNumberFormat="0" applyAlignment="0" applyProtection="0"/>
    <xf numFmtId="0" fontId="24" fillId="0" borderId="0" applyNumberFormat="0" applyFill="0" applyBorder="0" applyAlignment="0" applyProtection="0"/>
    <xf numFmtId="0" fontId="144" fillId="0" borderId="0" applyNumberFormat="0" applyFill="0" applyBorder="0" applyAlignment="0" applyProtection="0"/>
    <xf numFmtId="0" fontId="24" fillId="0" borderId="0" applyNumberFormat="0" applyFill="0" applyBorder="0" applyAlignment="0" applyProtection="0"/>
    <xf numFmtId="0" fontId="162" fillId="20" borderId="0" applyNumberFormat="0" applyBorder="0" applyAlignment="0" applyProtection="0"/>
    <xf numFmtId="0" fontId="162" fillId="20" borderId="0" applyNumberFormat="0" applyBorder="0" applyAlignment="0" applyProtection="0"/>
    <xf numFmtId="0" fontId="178" fillId="71" borderId="0" applyNumberFormat="0" applyBorder="0" applyAlignment="0" applyProtection="0"/>
    <xf numFmtId="0" fontId="162" fillId="20" borderId="0" applyNumberFormat="0" applyBorder="0" applyAlignment="0" applyProtection="0"/>
    <xf numFmtId="0" fontId="5" fillId="0" borderId="0"/>
    <xf numFmtId="0" fontId="5" fillId="0" borderId="0"/>
    <xf numFmtId="0" fontId="5" fillId="0" borderId="0"/>
    <xf numFmtId="0" fontId="15" fillId="0" borderId="0"/>
    <xf numFmtId="0" fontId="5" fillId="0" borderId="0"/>
    <xf numFmtId="0" fontId="8" fillId="0" borderId="0"/>
    <xf numFmtId="0" fontId="8" fillId="0" borderId="0"/>
    <xf numFmtId="0" fontId="8" fillId="0" borderId="0"/>
    <xf numFmtId="0" fontId="15" fillId="0" borderId="0"/>
    <xf numFmtId="0" fontId="1" fillId="0" borderId="0"/>
    <xf numFmtId="0" fontId="5" fillId="0" borderId="0"/>
    <xf numFmtId="0" fontId="5" fillId="0" borderId="0"/>
    <xf numFmtId="0" fontId="5" fillId="0" borderId="0"/>
    <xf numFmtId="0" fontId="15" fillId="0" borderId="0"/>
    <xf numFmtId="0" fontId="4" fillId="0" borderId="0"/>
    <xf numFmtId="0" fontId="4" fillId="0" borderId="0"/>
    <xf numFmtId="0" fontId="4" fillId="0" borderId="0"/>
    <xf numFmtId="0" fontId="5" fillId="0" borderId="0"/>
    <xf numFmtId="0" fontId="1" fillId="0" borderId="0"/>
    <xf numFmtId="0" fontId="8" fillId="0" borderId="0"/>
    <xf numFmtId="0" fontId="47" fillId="0" borderId="0"/>
    <xf numFmtId="0" fontId="3" fillId="0" borderId="0"/>
    <xf numFmtId="0" fontId="3" fillId="0" borderId="0"/>
    <xf numFmtId="0" fontId="5" fillId="0" borderId="0">
      <alignment vertical="top"/>
    </xf>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5" fillId="0" borderId="0"/>
    <xf numFmtId="0" fontId="4" fillId="0" borderId="0"/>
    <xf numFmtId="0" fontId="4" fillId="0" borderId="0"/>
    <xf numFmtId="0" fontId="8" fillId="0" borderId="0"/>
    <xf numFmtId="0" fontId="5" fillId="0" borderId="0"/>
    <xf numFmtId="0" fontId="16" fillId="0" borderId="0"/>
    <xf numFmtId="0" fontId="16" fillId="0" borderId="0"/>
    <xf numFmtId="0" fontId="8" fillId="0" borderId="0"/>
    <xf numFmtId="0" fontId="5" fillId="0" borderId="0"/>
    <xf numFmtId="0" fontId="5" fillId="0" borderId="0"/>
    <xf numFmtId="0" fontId="8" fillId="0" borderId="0"/>
    <xf numFmtId="0" fontId="3" fillId="0" borderId="0"/>
    <xf numFmtId="0" fontId="8" fillId="0" borderId="0"/>
    <xf numFmtId="0" fontId="3"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5" fillId="0" borderId="0"/>
    <xf numFmtId="0" fontId="58" fillId="0" borderId="0"/>
    <xf numFmtId="0" fontId="5" fillId="0" borderId="0"/>
    <xf numFmtId="0" fontId="4" fillId="0" borderId="0"/>
    <xf numFmtId="0" fontId="4" fillId="0" borderId="0"/>
    <xf numFmtId="0" fontId="4" fillId="0" borderId="0"/>
    <xf numFmtId="0" fontId="4" fillId="0" borderId="0"/>
    <xf numFmtId="0" fontId="8" fillId="0" borderId="0"/>
    <xf numFmtId="0" fontId="8" fillId="0" borderId="0"/>
    <xf numFmtId="0" fontId="5" fillId="0" borderId="0">
      <alignment vertical="top"/>
    </xf>
    <xf numFmtId="0" fontId="1" fillId="0" borderId="0"/>
    <xf numFmtId="0" fontId="4" fillId="0" borderId="0"/>
    <xf numFmtId="0" fontId="4" fillId="0" borderId="0"/>
    <xf numFmtId="0" fontId="4" fillId="0" borderId="0"/>
    <xf numFmtId="0" fontId="4" fillId="0" borderId="0"/>
    <xf numFmtId="0" fontId="5" fillId="0" borderId="0"/>
    <xf numFmtId="0" fontId="15" fillId="0" borderId="0"/>
    <xf numFmtId="0" fontId="1" fillId="0" borderId="0"/>
    <xf numFmtId="0" fontId="1" fillId="0" borderId="0"/>
    <xf numFmtId="0" fontId="1" fillId="0" borderId="0"/>
    <xf numFmtId="0" fontId="4" fillId="0" borderId="0"/>
    <xf numFmtId="0" fontId="4" fillId="0" borderId="0"/>
    <xf numFmtId="0" fontId="15" fillId="0" borderId="0"/>
    <xf numFmtId="0" fontId="4" fillId="0" borderId="0"/>
    <xf numFmtId="0" fontId="16" fillId="0" borderId="0"/>
    <xf numFmtId="0" fontId="5" fillId="0" borderId="0"/>
    <xf numFmtId="0" fontId="4" fillId="0" borderId="0"/>
    <xf numFmtId="0" fontId="8" fillId="0" borderId="0"/>
    <xf numFmtId="0" fontId="8" fillId="0" borderId="0">
      <alignment horizontal="left"/>
    </xf>
    <xf numFmtId="0" fontId="8" fillId="0" borderId="0"/>
    <xf numFmtId="0" fontId="15"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xf numFmtId="0" fontId="8" fillId="0" borderId="0"/>
    <xf numFmtId="0" fontId="5" fillId="0" borderId="0"/>
    <xf numFmtId="170" fontId="8" fillId="0" borderId="0">
      <alignment vertical="top"/>
    </xf>
    <xf numFmtId="0" fontId="5" fillId="0" borderId="0"/>
    <xf numFmtId="0" fontId="15" fillId="0" borderId="0"/>
    <xf numFmtId="0" fontId="4"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8" fillId="0" borderId="0"/>
    <xf numFmtId="0" fontId="1" fillId="0" borderId="0"/>
    <xf numFmtId="0" fontId="15" fillId="0" borderId="0"/>
    <xf numFmtId="0" fontId="8" fillId="0" borderId="0"/>
    <xf numFmtId="0" fontId="1" fillId="0" borderId="0"/>
    <xf numFmtId="0" fontId="8" fillId="0" borderId="0"/>
    <xf numFmtId="0" fontId="1" fillId="0" borderId="0"/>
    <xf numFmtId="0" fontId="4" fillId="0" borderId="0"/>
    <xf numFmtId="0" fontId="1" fillId="0" borderId="0"/>
    <xf numFmtId="0" fontId="163" fillId="0" borderId="0"/>
    <xf numFmtId="0" fontId="163" fillId="0" borderId="0"/>
    <xf numFmtId="0" fontId="21" fillId="0" borderId="0"/>
    <xf numFmtId="0" fontId="1" fillId="0" borderId="0"/>
    <xf numFmtId="0" fontId="1" fillId="0" borderId="0"/>
    <xf numFmtId="0" fontId="4" fillId="0" borderId="0"/>
    <xf numFmtId="0" fontId="4" fillId="0" borderId="0"/>
    <xf numFmtId="0" fontId="4" fillId="0" borderId="0"/>
    <xf numFmtId="0" fontId="8" fillId="0" borderId="0"/>
    <xf numFmtId="0" fontId="4" fillId="0" borderId="0"/>
    <xf numFmtId="0" fontId="4" fillId="0" borderId="0"/>
    <xf numFmtId="0" fontId="1" fillId="0" borderId="0"/>
    <xf numFmtId="0" fontId="58" fillId="0" borderId="0"/>
    <xf numFmtId="0" fontId="15" fillId="0" borderId="0"/>
    <xf numFmtId="0" fontId="1" fillId="0" borderId="0"/>
    <xf numFmtId="0" fontId="1" fillId="0" borderId="0"/>
    <xf numFmtId="0" fontId="58" fillId="0" borderId="0"/>
    <xf numFmtId="0" fontId="1" fillId="0" borderId="0"/>
    <xf numFmtId="0" fontId="21" fillId="0" borderId="0"/>
    <xf numFmtId="0" fontId="8"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7" fillId="0" borderId="0" applyBorder="0">
      <alignment vertical="top"/>
    </xf>
    <xf numFmtId="0" fontId="1" fillId="0" borderId="0"/>
    <xf numFmtId="0" fontId="4" fillId="0" borderId="0"/>
    <xf numFmtId="0" fontId="4" fillId="0" borderId="0"/>
    <xf numFmtId="0" fontId="15" fillId="0" borderId="0"/>
    <xf numFmtId="0" fontId="1" fillId="0" borderId="0"/>
    <xf numFmtId="0" fontId="1" fillId="0" borderId="0"/>
    <xf numFmtId="0" fontId="1" fillId="0" borderId="0"/>
    <xf numFmtId="0" fontId="4" fillId="0" borderId="0"/>
    <xf numFmtId="0" fontId="4" fillId="0" borderId="0"/>
    <xf numFmtId="0" fontId="1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4" fillId="0" borderId="0"/>
    <xf numFmtId="0" fontId="1" fillId="0" borderId="0"/>
    <xf numFmtId="0" fontId="1" fillId="0" borderId="0"/>
    <xf numFmtId="0" fontId="3" fillId="0" borderId="0"/>
    <xf numFmtId="0" fontId="4" fillId="0" borderId="0"/>
    <xf numFmtId="0" fontId="4" fillId="0" borderId="0"/>
    <xf numFmtId="0" fontId="1" fillId="0" borderId="0"/>
    <xf numFmtId="0" fontId="1" fillId="0" borderId="0"/>
    <xf numFmtId="0" fontId="1" fillId="0" borderId="0"/>
    <xf numFmtId="0" fontId="5" fillId="0" borderId="0"/>
    <xf numFmtId="0" fontId="5" fillId="0" borderId="0"/>
    <xf numFmtId="0" fontId="8" fillId="0" borderId="0"/>
    <xf numFmtId="0" fontId="164" fillId="9" borderId="0" applyNumberFormat="0" applyBorder="0" applyAlignment="0" applyProtection="0"/>
    <xf numFmtId="0" fontId="164" fillId="9" borderId="0" applyNumberFormat="0" applyBorder="0" applyAlignment="0" applyProtection="0"/>
    <xf numFmtId="0" fontId="179" fillId="70" borderId="0" applyNumberFormat="0" applyBorder="0" applyAlignment="0" applyProtection="0"/>
    <xf numFmtId="0" fontId="164" fillId="9" borderId="0" applyNumberFormat="0" applyBorder="0" applyAlignment="0" applyProtection="0"/>
    <xf numFmtId="174" fontId="138" fillId="6" borderId="70" applyNumberFormat="0" applyBorder="0" applyAlignment="0">
      <alignment vertical="center"/>
      <protection locked="0"/>
    </xf>
    <xf numFmtId="174" fontId="138" fillId="6" borderId="70" applyNumberFormat="0" applyBorder="0" applyAlignment="0">
      <alignment vertical="center"/>
      <protection locked="0"/>
    </xf>
    <xf numFmtId="174" fontId="138" fillId="6" borderId="70" applyNumberFormat="0" applyBorder="0" applyAlignment="0">
      <alignment vertical="center"/>
      <protection locked="0"/>
    </xf>
    <xf numFmtId="174" fontId="138" fillId="6" borderId="70" applyNumberFormat="0" applyBorder="0" applyAlignment="0">
      <alignment vertical="center"/>
      <protection locked="0"/>
    </xf>
    <xf numFmtId="0" fontId="165" fillId="0" borderId="0" applyNumberFormat="0" applyFill="0" applyBorder="0" applyAlignment="0" applyProtection="0"/>
    <xf numFmtId="0" fontId="165" fillId="0" borderId="0" applyNumberFormat="0" applyFill="0" applyBorder="0" applyAlignment="0" applyProtection="0"/>
    <xf numFmtId="0" fontId="180" fillId="0" borderId="0" applyNumberFormat="0" applyFill="0" applyBorder="0" applyAlignment="0" applyProtection="0"/>
    <xf numFmtId="0" fontId="165" fillId="0" borderId="0" applyNumberFormat="0" applyFill="0" applyBorder="0" applyAlignment="0" applyProtection="0"/>
    <xf numFmtId="0" fontId="4"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5" fillId="32" borderId="17" applyNumberFormat="0" applyFont="0" applyAlignment="0" applyProtection="0"/>
    <xf numFmtId="0" fontId="8" fillId="32" borderId="17" applyNumberFormat="0" applyFont="0" applyAlignment="0" applyProtection="0"/>
    <xf numFmtId="0" fontId="4" fillId="2" borderId="1"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32" borderId="17" applyNumberFormat="0" applyFont="0" applyAlignment="0" applyProtection="0"/>
    <xf numFmtId="0" fontId="4" fillId="2" borderId="1"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32" borderId="17" applyNumberFormat="0" applyFont="0" applyAlignment="0" applyProtection="0"/>
    <xf numFmtId="0" fontId="4" fillId="2" borderId="1"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27" fillId="2" borderId="1" applyNumberFormat="0" applyFont="0" applyAlignment="0" applyProtection="0"/>
    <xf numFmtId="0" fontId="27" fillId="32" borderId="17" applyNumberFormat="0" applyFont="0" applyAlignment="0" applyProtection="0"/>
    <xf numFmtId="0" fontId="27" fillId="32" borderId="17" applyNumberFormat="0" applyFont="0" applyAlignment="0" applyProtection="0"/>
    <xf numFmtId="0" fontId="27" fillId="32" borderId="17" applyNumberFormat="0" applyFont="0" applyAlignment="0" applyProtection="0"/>
    <xf numFmtId="0" fontId="27" fillId="32" borderId="17" applyNumberFormat="0" applyFont="0" applyAlignment="0" applyProtection="0"/>
    <xf numFmtId="0" fontId="27" fillId="32" borderId="17" applyNumberFormat="0" applyFont="0" applyAlignment="0" applyProtection="0"/>
    <xf numFmtId="0" fontId="27"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0" fontId="8" fillId="32" borderId="1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6" fillId="0" borderId="18" applyNumberFormat="0" applyFill="0" applyAlignment="0" applyProtection="0"/>
    <xf numFmtId="0" fontId="166" fillId="0" borderId="18" applyNumberFormat="0" applyFill="0" applyAlignment="0" applyProtection="0"/>
    <xf numFmtId="0" fontId="181" fillId="0" borderId="77" applyNumberFormat="0" applyFill="0" applyAlignment="0" applyProtection="0"/>
    <xf numFmtId="0" fontId="166" fillId="0" borderId="18"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82" fillId="0" borderId="0" applyNumberFormat="0" applyFill="0" applyBorder="0" applyAlignment="0" applyProtection="0"/>
    <xf numFmtId="0" fontId="167" fillId="0" borderId="0" applyNumberForma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5" fillId="0" borderId="0" applyFont="0" applyFill="0" applyBorder="0" applyAlignment="0" applyProtection="0"/>
    <xf numFmtId="165" fontId="8"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9" fontId="5" fillId="0" borderId="0" applyFont="0" applyFill="0" applyBorder="0" applyAlignment="0" applyProtection="0"/>
    <xf numFmtId="165" fontId="15" fillId="0" borderId="0" applyFont="0" applyFill="0" applyBorder="0" applyAlignment="0" applyProtection="0"/>
    <xf numFmtId="165" fontId="1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8" fontId="8" fillId="0" borderId="0" applyFont="0" applyFill="0" applyBorder="0" applyAlignment="0" applyProtection="0"/>
    <xf numFmtId="165" fontId="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8" fontId="5" fillId="0" borderId="0" applyFont="0" applyFill="0" applyBorder="0" applyAlignment="0" applyProtection="0"/>
    <xf numFmtId="168"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4" fontId="27" fillId="4" borderId="0" applyFont="0" applyBorder="0">
      <alignment horizontal="right"/>
    </xf>
    <xf numFmtId="4" fontId="27" fillId="4" borderId="0" applyBorder="0">
      <alignment horizontal="right"/>
    </xf>
    <xf numFmtId="0" fontId="168" fillId="10" borderId="0" applyNumberFormat="0" applyBorder="0" applyAlignment="0" applyProtection="0"/>
    <xf numFmtId="0" fontId="168" fillId="10" borderId="0" applyNumberFormat="0" applyBorder="0" applyAlignment="0" applyProtection="0"/>
    <xf numFmtId="0" fontId="183" fillId="69" borderId="0" applyNumberFormat="0" applyBorder="0" applyAlignment="0" applyProtection="0"/>
    <xf numFmtId="0" fontId="168" fillId="10" borderId="0" applyNumberFormat="0" applyBorder="0" applyAlignment="0" applyProtection="0"/>
    <xf numFmtId="164" fontId="98" fillId="0" borderId="0">
      <protection locked="0"/>
    </xf>
    <xf numFmtId="195" fontId="147" fillId="0" borderId="0">
      <protection locked="0"/>
    </xf>
    <xf numFmtId="195" fontId="147" fillId="0" borderId="0">
      <protection locked="0"/>
    </xf>
    <xf numFmtId="164" fontId="98" fillId="0" borderId="0">
      <protection locked="0"/>
    </xf>
    <xf numFmtId="167" fontId="6" fillId="0" borderId="0">
      <protection locked="0"/>
    </xf>
    <xf numFmtId="165" fontId="1" fillId="0" borderId="0" applyFont="0" applyFill="0" applyBorder="0" applyAlignment="0" applyProtection="0"/>
    <xf numFmtId="43" fontId="1" fillId="0" borderId="0" applyFont="0" applyFill="0" applyBorder="0" applyAlignment="0" applyProtection="0"/>
    <xf numFmtId="0" fontId="191" fillId="0" borderId="0" applyNumberFormat="0" applyFill="0" applyBorder="0" applyAlignment="0" applyProtection="0"/>
    <xf numFmtId="0" fontId="8" fillId="0" borderId="0"/>
    <xf numFmtId="0" fontId="8" fillId="0" borderId="0"/>
    <xf numFmtId="0" fontId="13" fillId="0" borderId="0"/>
  </cellStyleXfs>
  <cellXfs count="1443">
    <xf numFmtId="0" fontId="0" fillId="0" borderId="0" xfId="0"/>
    <xf numFmtId="4" fontId="0" fillId="0" borderId="26" xfId="0" applyNumberFormat="1" applyBorder="1" applyAlignment="1">
      <alignment wrapText="1"/>
    </xf>
    <xf numFmtId="4" fontId="0" fillId="0" borderId="27" xfId="0" applyNumberFormat="1" applyBorder="1" applyAlignment="1">
      <alignment wrapText="1"/>
    </xf>
    <xf numFmtId="4" fontId="61" fillId="0" borderId="26" xfId="0" applyNumberFormat="1" applyFont="1" applyBorder="1" applyAlignment="1">
      <alignment wrapText="1"/>
    </xf>
    <xf numFmtId="4" fontId="62" fillId="0" borderId="26" xfId="0" applyNumberFormat="1" applyFont="1" applyBorder="1" applyAlignment="1">
      <alignment wrapText="1"/>
    </xf>
    <xf numFmtId="0" fontId="0" fillId="0" borderId="0" xfId="0" applyAlignment="1"/>
    <xf numFmtId="0" fontId="0" fillId="0" borderId="0" xfId="0" applyAlignment="1">
      <alignment wrapText="1"/>
    </xf>
    <xf numFmtId="0" fontId="65" fillId="0" borderId="0" xfId="0" applyFont="1"/>
    <xf numFmtId="0" fontId="65" fillId="0" borderId="0" xfId="0" applyFont="1" applyAlignment="1">
      <alignment wrapText="1"/>
    </xf>
    <xf numFmtId="0" fontId="64" fillId="0" borderId="0" xfId="0" applyFont="1"/>
    <xf numFmtId="0" fontId="64" fillId="0" borderId="52" xfId="0" applyFont="1" applyBorder="1" applyAlignment="1">
      <alignment horizontal="center" vertical="center" wrapText="1"/>
    </xf>
    <xf numFmtId="0" fontId="64" fillId="0" borderId="53" xfId="0" applyFont="1" applyBorder="1" applyAlignment="1">
      <alignment horizontal="center" vertical="center" wrapText="1"/>
    </xf>
    <xf numFmtId="0" fontId="64" fillId="0" borderId="54" xfId="0" applyFont="1" applyBorder="1" applyAlignment="1">
      <alignment horizontal="center" vertical="center" wrapText="1"/>
    </xf>
    <xf numFmtId="0" fontId="64" fillId="0" borderId="33" xfId="0" applyFont="1" applyBorder="1" applyAlignment="1">
      <alignment horizontal="center" vertical="center" wrapText="1"/>
    </xf>
    <xf numFmtId="0" fontId="64" fillId="0" borderId="30" xfId="0" applyFont="1" applyBorder="1" applyAlignment="1">
      <alignment horizontal="center" vertical="center" wrapText="1"/>
    </xf>
    <xf numFmtId="0" fontId="64" fillId="0" borderId="31" xfId="0" applyFont="1" applyBorder="1" applyAlignment="1">
      <alignment horizontal="center" vertical="center" wrapText="1"/>
    </xf>
    <xf numFmtId="0" fontId="64" fillId="0" borderId="32" xfId="0" applyFont="1" applyBorder="1" applyAlignment="1">
      <alignment horizontal="center" vertical="center" wrapText="1"/>
    </xf>
    <xf numFmtId="0" fontId="65" fillId="0" borderId="35" xfId="0" applyFont="1" applyBorder="1" applyAlignment="1">
      <alignment wrapText="1"/>
    </xf>
    <xf numFmtId="0" fontId="65" fillId="0" borderId="39" xfId="0" applyFont="1" applyBorder="1" applyAlignment="1">
      <alignment wrapText="1"/>
    </xf>
    <xf numFmtId="0" fontId="65" fillId="0" borderId="28" xfId="0" applyFont="1" applyBorder="1" applyAlignment="1">
      <alignment wrapText="1"/>
    </xf>
    <xf numFmtId="0" fontId="65" fillId="0" borderId="7" xfId="0" applyFont="1" applyBorder="1" applyAlignment="1">
      <alignment wrapText="1"/>
    </xf>
    <xf numFmtId="0" fontId="65" fillId="0" borderId="29" xfId="0" applyFont="1" applyBorder="1" applyAlignment="1">
      <alignment wrapText="1"/>
    </xf>
    <xf numFmtId="0" fontId="65" fillId="0" borderId="45" xfId="0" applyFont="1" applyBorder="1" applyAlignment="1">
      <alignment wrapText="1"/>
    </xf>
    <xf numFmtId="0" fontId="65" fillId="0" borderId="36" xfId="0" applyFont="1" applyBorder="1" applyAlignment="1">
      <alignment wrapText="1"/>
    </xf>
    <xf numFmtId="0" fontId="65" fillId="0" borderId="40" xfId="0" applyFont="1" applyBorder="1" applyAlignment="1">
      <alignment wrapText="1"/>
    </xf>
    <xf numFmtId="0" fontId="65" fillId="0" borderId="25" xfId="0" applyFont="1" applyBorder="1" applyAlignment="1">
      <alignment wrapText="1"/>
    </xf>
    <xf numFmtId="0" fontId="65" fillId="0" borderId="26" xfId="0" applyFont="1" applyBorder="1" applyAlignment="1">
      <alignment wrapText="1"/>
    </xf>
    <xf numFmtId="0" fontId="66" fillId="0" borderId="37" xfId="0" applyFont="1" applyBorder="1" applyAlignment="1">
      <alignment wrapText="1"/>
    </xf>
    <xf numFmtId="0" fontId="66" fillId="0" borderId="33" xfId="0" applyFont="1" applyBorder="1" applyAlignment="1">
      <alignment wrapText="1"/>
    </xf>
    <xf numFmtId="0" fontId="66" fillId="0" borderId="30" xfId="0" applyFont="1" applyBorder="1" applyAlignment="1">
      <alignment wrapText="1"/>
    </xf>
    <xf numFmtId="0" fontId="66" fillId="0" borderId="31" xfId="0" applyFont="1" applyBorder="1" applyAlignment="1">
      <alignment wrapText="1"/>
    </xf>
    <xf numFmtId="0" fontId="66" fillId="0" borderId="32" xfId="0" applyFont="1" applyBorder="1" applyAlignment="1">
      <alignment wrapText="1"/>
    </xf>
    <xf numFmtId="0" fontId="66" fillId="0" borderId="47" xfId="0" applyFont="1" applyBorder="1" applyAlignment="1">
      <alignment wrapText="1"/>
    </xf>
    <xf numFmtId="0" fontId="63" fillId="0" borderId="0" xfId="0" applyFont="1" applyAlignment="1"/>
    <xf numFmtId="0" fontId="63" fillId="0" borderId="0" xfId="0" applyFont="1"/>
    <xf numFmtId="0" fontId="2" fillId="0" borderId="32" xfId="0" applyFont="1" applyBorder="1" applyAlignment="1">
      <alignment horizontal="center" wrapText="1"/>
    </xf>
    <xf numFmtId="4" fontId="2" fillId="0" borderId="26" xfId="0" applyNumberFormat="1" applyFont="1" applyBorder="1" applyAlignment="1">
      <alignment wrapText="1"/>
    </xf>
    <xf numFmtId="4" fontId="2" fillId="7" borderId="26" xfId="0" applyNumberFormat="1" applyFont="1" applyFill="1" applyBorder="1" applyAlignment="1">
      <alignment wrapText="1"/>
    </xf>
    <xf numFmtId="4" fontId="68" fillId="0" borderId="26" xfId="0" applyNumberFormat="1" applyFont="1" applyBorder="1" applyAlignment="1">
      <alignment wrapText="1"/>
    </xf>
    <xf numFmtId="4" fontId="69" fillId="0" borderId="26" xfId="0" applyNumberFormat="1" applyFont="1" applyBorder="1" applyAlignment="1">
      <alignment wrapText="1"/>
    </xf>
    <xf numFmtId="4" fontId="64" fillId="0" borderId="30" xfId="0" applyNumberFormat="1" applyFont="1" applyBorder="1" applyAlignment="1">
      <alignment horizontal="center" vertical="center" wrapText="1"/>
    </xf>
    <xf numFmtId="0" fontId="14" fillId="0" borderId="0" xfId="0" applyFont="1"/>
    <xf numFmtId="0" fontId="70" fillId="0" borderId="38" xfId="0" applyFont="1" applyBorder="1" applyAlignment="1">
      <alignment horizontal="center" vertical="center" wrapText="1"/>
    </xf>
    <xf numFmtId="0" fontId="70" fillId="0" borderId="56" xfId="0" applyFont="1" applyBorder="1" applyAlignment="1">
      <alignment horizontal="center" vertical="center" wrapText="1"/>
    </xf>
    <xf numFmtId="0" fontId="70" fillId="0" borderId="49" xfId="0" applyFont="1" applyBorder="1" applyAlignment="1">
      <alignment horizontal="center" vertical="center" wrapText="1"/>
    </xf>
    <xf numFmtId="0" fontId="70" fillId="0" borderId="51" xfId="0" applyFont="1" applyBorder="1" applyAlignment="1">
      <alignment horizontal="center" vertical="center" wrapText="1"/>
    </xf>
    <xf numFmtId="0" fontId="70" fillId="0" borderId="49" xfId="0" applyFont="1" applyBorder="1" applyAlignment="1">
      <alignment horizontal="left" vertical="center" wrapText="1"/>
    </xf>
    <xf numFmtId="0" fontId="70" fillId="0" borderId="51" xfId="0" applyFont="1" applyBorder="1" applyAlignment="1">
      <alignment horizontal="right" vertical="center" wrapText="1"/>
    </xf>
    <xf numFmtId="0" fontId="70" fillId="0" borderId="34" xfId="0" applyFont="1" applyBorder="1" applyAlignment="1">
      <alignment horizontal="center" vertical="center" wrapText="1"/>
    </xf>
    <xf numFmtId="0" fontId="70" fillId="0" borderId="55" xfId="0" applyFont="1" applyBorder="1" applyAlignment="1">
      <alignment horizontal="center" vertical="center" wrapText="1"/>
    </xf>
    <xf numFmtId="4" fontId="70" fillId="0" borderId="51" xfId="0" applyNumberFormat="1" applyFont="1" applyBorder="1" applyAlignment="1">
      <alignment horizontal="right" vertical="center" wrapText="1"/>
    </xf>
    <xf numFmtId="0" fontId="71" fillId="0" borderId="49" xfId="0" applyFont="1" applyBorder="1" applyAlignment="1">
      <alignment horizontal="justify" vertical="center" wrapText="1"/>
    </xf>
    <xf numFmtId="0" fontId="72" fillId="0" borderId="51" xfId="0" applyFont="1" applyBorder="1" applyAlignment="1">
      <alignment horizontal="center" vertical="center" wrapText="1"/>
    </xf>
    <xf numFmtId="0" fontId="71" fillId="0" borderId="0" xfId="0" applyFont="1"/>
    <xf numFmtId="0" fontId="73" fillId="0" borderId="51" xfId="0" applyFont="1" applyBorder="1" applyAlignment="1">
      <alignment horizontal="center" vertical="center" wrapText="1"/>
    </xf>
    <xf numFmtId="0" fontId="73" fillId="0" borderId="51" xfId="0" applyFont="1" applyBorder="1" applyAlignment="1">
      <alignment horizontal="right" vertical="center" wrapText="1"/>
    </xf>
    <xf numFmtId="0" fontId="67" fillId="0" borderId="0" xfId="0" applyFont="1"/>
    <xf numFmtId="3" fontId="73" fillId="0" borderId="51" xfId="0" applyNumberFormat="1" applyFont="1" applyBorder="1" applyAlignment="1">
      <alignment horizontal="right" vertical="center" wrapText="1"/>
    </xf>
    <xf numFmtId="1" fontId="70" fillId="0" borderId="51" xfId="0" applyNumberFormat="1" applyFont="1" applyBorder="1" applyAlignment="1">
      <alignment horizontal="center" vertical="center" wrapText="1"/>
    </xf>
    <xf numFmtId="3" fontId="74" fillId="0" borderId="51" xfId="0" applyNumberFormat="1" applyFont="1" applyBorder="1" applyAlignment="1">
      <alignment horizontal="right" vertical="center" wrapText="1"/>
    </xf>
    <xf numFmtId="0" fontId="72" fillId="0" borderId="34" xfId="0" applyFont="1" applyBorder="1" applyAlignment="1">
      <alignment horizontal="center" vertical="center" wrapText="1"/>
    </xf>
    <xf numFmtId="0" fontId="72" fillId="0" borderId="55" xfId="0" applyFont="1" applyBorder="1" applyAlignment="1">
      <alignment horizontal="center" vertical="center" wrapText="1"/>
    </xf>
    <xf numFmtId="0" fontId="72" fillId="0" borderId="43" xfId="0" applyFont="1" applyBorder="1" applyAlignment="1">
      <alignment horizontal="center" vertical="center" wrapText="1"/>
    </xf>
    <xf numFmtId="0" fontId="73" fillId="0" borderId="49" xfId="0" applyFont="1" applyBorder="1" applyAlignment="1">
      <alignment horizontal="left" vertical="center" wrapText="1"/>
    </xf>
    <xf numFmtId="4" fontId="73" fillId="0" borderId="51" xfId="0" applyNumberFormat="1" applyFont="1" applyBorder="1" applyAlignment="1">
      <alignment horizontal="right" vertical="center" wrapText="1"/>
    </xf>
    <xf numFmtId="4" fontId="73" fillId="0" borderId="51" xfId="0" applyNumberFormat="1" applyFont="1" applyBorder="1" applyAlignment="1">
      <alignment horizontal="center" vertical="center" wrapText="1"/>
    </xf>
    <xf numFmtId="4" fontId="70" fillId="0" borderId="51" xfId="0" applyNumberFormat="1" applyFont="1" applyBorder="1" applyAlignment="1">
      <alignment horizontal="center" vertical="center" wrapText="1"/>
    </xf>
    <xf numFmtId="0" fontId="64" fillId="41" borderId="37" xfId="0" applyFont="1" applyFill="1" applyBorder="1" applyAlignment="1">
      <alignment horizontal="center" vertical="center" wrapText="1"/>
    </xf>
    <xf numFmtId="0" fontId="64" fillId="41" borderId="33" xfId="0" applyFont="1" applyFill="1" applyBorder="1" applyAlignment="1">
      <alignment vertical="center" wrapText="1"/>
    </xf>
    <xf numFmtId="4" fontId="64" fillId="41" borderId="30" xfId="0" applyNumberFormat="1" applyFont="1" applyFill="1" applyBorder="1" applyAlignment="1">
      <alignment horizontal="center" vertical="center" wrapText="1"/>
    </xf>
    <xf numFmtId="4" fontId="64" fillId="41" borderId="47" xfId="0" applyNumberFormat="1" applyFont="1" applyFill="1" applyBorder="1" applyAlignment="1">
      <alignment horizontal="center" vertical="center" wrapText="1"/>
    </xf>
    <xf numFmtId="4" fontId="64" fillId="0" borderId="47" xfId="0" applyNumberFormat="1" applyFont="1" applyBorder="1" applyAlignment="1">
      <alignment horizontal="center" vertical="center" wrapText="1"/>
    </xf>
    <xf numFmtId="0" fontId="64" fillId="42" borderId="43" xfId="0" applyFont="1" applyFill="1" applyBorder="1" applyAlignment="1">
      <alignment horizontal="center" vertical="center" wrapText="1"/>
    </xf>
    <xf numFmtId="0" fontId="64" fillId="42" borderId="33" xfId="0" applyFont="1" applyFill="1" applyBorder="1" applyAlignment="1">
      <alignment horizontal="center" vertical="center" wrapText="1"/>
    </xf>
    <xf numFmtId="4" fontId="64" fillId="42" borderId="43" xfId="0" applyNumberFormat="1" applyFont="1" applyFill="1" applyBorder="1" applyAlignment="1">
      <alignment horizontal="center" vertical="center" wrapText="1"/>
    </xf>
    <xf numFmtId="4" fontId="64" fillId="42" borderId="33" xfId="0" applyNumberFormat="1" applyFont="1" applyFill="1" applyBorder="1" applyAlignment="1">
      <alignment horizontal="center" vertical="center" wrapText="1"/>
    </xf>
    <xf numFmtId="4" fontId="65" fillId="42" borderId="42" xfId="0" applyNumberFormat="1" applyFont="1" applyFill="1" applyBorder="1" applyAlignment="1">
      <alignment wrapText="1"/>
    </xf>
    <xf numFmtId="0" fontId="65" fillId="42" borderId="39" xfId="0" applyFont="1" applyFill="1" applyBorder="1" applyAlignment="1">
      <alignment wrapText="1"/>
    </xf>
    <xf numFmtId="0" fontId="65" fillId="42" borderId="40" xfId="0" applyFont="1" applyFill="1" applyBorder="1" applyAlignment="1">
      <alignment wrapText="1"/>
    </xf>
    <xf numFmtId="0" fontId="66" fillId="42" borderId="33" xfId="0" applyFont="1" applyFill="1" applyBorder="1" applyAlignment="1">
      <alignment wrapText="1"/>
    </xf>
    <xf numFmtId="4" fontId="64" fillId="42" borderId="43" xfId="0" applyNumberFormat="1" applyFont="1" applyFill="1" applyBorder="1" applyAlignment="1">
      <alignment wrapText="1"/>
    </xf>
    <xf numFmtId="3" fontId="64" fillId="41" borderId="31" xfId="0" applyNumberFormat="1" applyFont="1" applyFill="1" applyBorder="1" applyAlignment="1">
      <alignment horizontal="center" vertical="center" wrapText="1"/>
    </xf>
    <xf numFmtId="3" fontId="64" fillId="41" borderId="32" xfId="0" applyNumberFormat="1" applyFont="1" applyFill="1" applyBorder="1" applyAlignment="1">
      <alignment horizontal="center" vertical="center" wrapText="1"/>
    </xf>
    <xf numFmtId="4" fontId="75" fillId="0" borderId="26" xfId="0" applyNumberFormat="1" applyFont="1" applyBorder="1" applyAlignment="1">
      <alignment wrapText="1"/>
    </xf>
    <xf numFmtId="0" fontId="76" fillId="0" borderId="49" xfId="0" applyFont="1" applyBorder="1" applyAlignment="1">
      <alignment horizontal="left" vertical="center" wrapText="1"/>
    </xf>
    <xf numFmtId="0" fontId="76" fillId="0" borderId="51" xfId="0" applyFont="1" applyBorder="1" applyAlignment="1">
      <alignment horizontal="center" vertical="center" wrapText="1"/>
    </xf>
    <xf numFmtId="4" fontId="76" fillId="0" borderId="51" xfId="0" applyNumberFormat="1" applyFont="1" applyBorder="1" applyAlignment="1">
      <alignment horizontal="center" vertical="center" wrapText="1"/>
    </xf>
    <xf numFmtId="4" fontId="76" fillId="0" borderId="51" xfId="0" applyNumberFormat="1" applyFont="1" applyBorder="1" applyAlignment="1">
      <alignment horizontal="right" vertical="center" wrapText="1"/>
    </xf>
    <xf numFmtId="0" fontId="78" fillId="0" borderId="0" xfId="0" applyFont="1"/>
    <xf numFmtId="0" fontId="64" fillId="68" borderId="37" xfId="0" applyFont="1" applyFill="1" applyBorder="1" applyAlignment="1">
      <alignment horizontal="center" vertical="center" wrapText="1"/>
    </xf>
    <xf numFmtId="0" fontId="78" fillId="68" borderId="33" xfId="0" applyFont="1" applyFill="1" applyBorder="1" applyAlignment="1">
      <alignment vertical="center" wrapText="1"/>
    </xf>
    <xf numFmtId="4" fontId="64" fillId="68" borderId="43" xfId="0" applyNumberFormat="1" applyFont="1" applyFill="1" applyBorder="1" applyAlignment="1">
      <alignment horizontal="center" vertical="center" wrapText="1"/>
    </xf>
    <xf numFmtId="0" fontId="64" fillId="68" borderId="33" xfId="0" applyFont="1" applyFill="1" applyBorder="1" applyAlignment="1">
      <alignment horizontal="center" vertical="center" wrapText="1"/>
    </xf>
    <xf numFmtId="4" fontId="78" fillId="68" borderId="30" xfId="0" applyNumberFormat="1" applyFont="1" applyFill="1" applyBorder="1" applyAlignment="1">
      <alignment horizontal="center" vertical="center" wrapText="1"/>
    </xf>
    <xf numFmtId="3" fontId="78" fillId="68" borderId="31" xfId="0" applyNumberFormat="1" applyFont="1" applyFill="1" applyBorder="1" applyAlignment="1">
      <alignment horizontal="center" vertical="center" wrapText="1"/>
    </xf>
    <xf numFmtId="3" fontId="78" fillId="68" borderId="32" xfId="0" applyNumberFormat="1" applyFont="1" applyFill="1" applyBorder="1" applyAlignment="1">
      <alignment horizontal="center" vertical="center" wrapText="1"/>
    </xf>
    <xf numFmtId="4" fontId="78" fillId="68" borderId="47" xfId="0" applyNumberFormat="1" applyFont="1" applyFill="1" applyBorder="1" applyAlignment="1">
      <alignment horizontal="center" vertical="center" wrapText="1"/>
    </xf>
    <xf numFmtId="0" fontId="64" fillId="68" borderId="33" xfId="0" applyFont="1" applyFill="1" applyBorder="1" applyAlignment="1">
      <alignment vertical="center" wrapText="1"/>
    </xf>
    <xf numFmtId="0" fontId="79" fillId="68" borderId="37" xfId="0" applyFont="1" applyFill="1" applyBorder="1" applyAlignment="1">
      <alignment horizontal="center" vertical="center" wrapText="1"/>
    </xf>
    <xf numFmtId="4" fontId="79" fillId="68" borderId="43" xfId="0" applyNumberFormat="1" applyFont="1" applyFill="1" applyBorder="1" applyAlignment="1">
      <alignment horizontal="center" vertical="center" wrapText="1"/>
    </xf>
    <xf numFmtId="0" fontId="79" fillId="68" borderId="33" xfId="0" applyFont="1" applyFill="1" applyBorder="1" applyAlignment="1">
      <alignment horizontal="center" vertical="center" wrapText="1"/>
    </xf>
    <xf numFmtId="4" fontId="65" fillId="0" borderId="0" xfId="0" applyNumberFormat="1" applyFont="1"/>
    <xf numFmtId="4" fontId="78" fillId="0" borderId="0" xfId="0" applyNumberFormat="1" applyFont="1"/>
    <xf numFmtId="0" fontId="68" fillId="0" borderId="0" xfId="0" applyFont="1"/>
    <xf numFmtId="0" fontId="140" fillId="0" borderId="0" xfId="0" applyFont="1"/>
    <xf numFmtId="0" fontId="141" fillId="40" borderId="28" xfId="0" applyFont="1" applyFill="1" applyBorder="1" applyAlignment="1">
      <alignment wrapText="1"/>
    </xf>
    <xf numFmtId="0" fontId="141" fillId="40" borderId="7" xfId="0" applyFont="1" applyFill="1" applyBorder="1" applyAlignment="1">
      <alignment wrapText="1"/>
    </xf>
    <xf numFmtId="4" fontId="141" fillId="40" borderId="7" xfId="0" applyNumberFormat="1" applyFont="1" applyFill="1" applyBorder="1" applyAlignment="1">
      <alignment wrapText="1"/>
    </xf>
    <xf numFmtId="4" fontId="141" fillId="40" borderId="29" xfId="0" applyNumberFormat="1" applyFont="1" applyFill="1" applyBorder="1" applyAlignment="1">
      <alignment wrapText="1"/>
    </xf>
    <xf numFmtId="0" fontId="62" fillId="40" borderId="25" xfId="0" applyFont="1" applyFill="1" applyBorder="1" applyAlignment="1">
      <alignment wrapText="1"/>
    </xf>
    <xf numFmtId="0" fontId="62" fillId="40" borderId="5" xfId="0" applyFont="1" applyFill="1" applyBorder="1" applyAlignment="1">
      <alignment wrapText="1"/>
    </xf>
    <xf numFmtId="4" fontId="62" fillId="40" borderId="5" xfId="0" applyNumberFormat="1" applyFont="1" applyFill="1" applyBorder="1" applyAlignment="1">
      <alignment wrapText="1"/>
    </xf>
    <xf numFmtId="4" fontId="62" fillId="40" borderId="26" xfId="0" applyNumberFormat="1" applyFont="1" applyFill="1" applyBorder="1" applyAlignment="1">
      <alignment wrapText="1"/>
    </xf>
    <xf numFmtId="4" fontId="142" fillId="7" borderId="29" xfId="0" applyNumberFormat="1" applyFont="1" applyFill="1" applyBorder="1" applyAlignment="1">
      <alignment wrapText="1"/>
    </xf>
    <xf numFmtId="0" fontId="143" fillId="0" borderId="0" xfId="0" applyFont="1"/>
    <xf numFmtId="0" fontId="143" fillId="0" borderId="0" xfId="0" applyFont="1" applyAlignment="1"/>
    <xf numFmtId="0" fontId="63" fillId="0" borderId="0" xfId="0" applyFont="1" applyAlignment="1">
      <alignment horizontal="right"/>
    </xf>
    <xf numFmtId="0" fontId="65" fillId="0" borderId="0" xfId="0" applyFont="1" applyAlignment="1">
      <alignment horizontal="right" wrapText="1"/>
    </xf>
    <xf numFmtId="0" fontId="0" fillId="0" borderId="0" xfId="0" applyAlignment="1">
      <alignment horizontal="center" wrapText="1"/>
    </xf>
    <xf numFmtId="0" fontId="62" fillId="40" borderId="61" xfId="0" applyFont="1" applyFill="1" applyBorder="1" applyAlignment="1">
      <alignment horizontal="center" wrapText="1"/>
    </xf>
    <xf numFmtId="0" fontId="62" fillId="40" borderId="60" xfId="0" applyFont="1" applyFill="1" applyBorder="1" applyAlignment="1">
      <alignment horizontal="center" wrapText="1"/>
    </xf>
    <xf numFmtId="0" fontId="62" fillId="40" borderId="59" xfId="0" applyFont="1" applyFill="1" applyBorder="1" applyAlignment="1">
      <alignment horizontal="center" wrapText="1"/>
    </xf>
    <xf numFmtId="0" fontId="64" fillId="0" borderId="0" xfId="0" applyFont="1" applyAlignment="1">
      <alignment horizontal="center" wrapText="1"/>
    </xf>
    <xf numFmtId="0" fontId="64" fillId="0" borderId="37" xfId="0" applyFont="1" applyBorder="1" applyAlignment="1">
      <alignment horizontal="center" vertical="center" wrapText="1"/>
    </xf>
    <xf numFmtId="0" fontId="64" fillId="0" borderId="47" xfId="0" applyFont="1" applyBorder="1" applyAlignment="1">
      <alignment horizontal="center" vertical="center" wrapText="1"/>
    </xf>
    <xf numFmtId="0" fontId="72" fillId="0" borderId="43" xfId="0" applyFont="1" applyBorder="1" applyAlignment="1">
      <alignment horizontal="center" vertical="center" wrapText="1"/>
    </xf>
    <xf numFmtId="0" fontId="2" fillId="0" borderId="0" xfId="0" applyFont="1" applyBorder="1" applyAlignment="1">
      <alignment horizontal="center" wrapText="1"/>
    </xf>
    <xf numFmtId="4" fontId="142" fillId="7" borderId="0" xfId="0" applyNumberFormat="1" applyFont="1" applyFill="1" applyBorder="1" applyAlignment="1">
      <alignment wrapText="1"/>
    </xf>
    <xf numFmtId="4" fontId="2" fillId="7" borderId="0" xfId="0" applyNumberFormat="1" applyFont="1" applyFill="1" applyBorder="1" applyAlignment="1">
      <alignment wrapText="1"/>
    </xf>
    <xf numFmtId="4" fontId="61" fillId="0" borderId="0" xfId="0" applyNumberFormat="1" applyFont="1" applyBorder="1" applyAlignment="1">
      <alignment wrapText="1"/>
    </xf>
    <xf numFmtId="4" fontId="2" fillId="0" borderId="0" xfId="0" applyNumberFormat="1" applyFont="1" applyBorder="1" applyAlignment="1">
      <alignment wrapText="1"/>
    </xf>
    <xf numFmtId="4" fontId="68" fillId="0" borderId="0" xfId="0" applyNumberFormat="1" applyFont="1" applyBorder="1" applyAlignment="1">
      <alignment wrapText="1"/>
    </xf>
    <xf numFmtId="4" fontId="69" fillId="0" borderId="0" xfId="0" applyNumberFormat="1" applyFont="1" applyBorder="1" applyAlignment="1">
      <alignment wrapText="1"/>
    </xf>
    <xf numFmtId="4" fontId="0" fillId="0" borderId="0" xfId="0" applyNumberFormat="1" applyBorder="1" applyAlignment="1">
      <alignment wrapText="1"/>
    </xf>
    <xf numFmtId="4" fontId="62" fillId="0" borderId="0" xfId="0" applyNumberFormat="1" applyFont="1" applyBorder="1" applyAlignment="1">
      <alignment wrapText="1"/>
    </xf>
    <xf numFmtId="4" fontId="75" fillId="0" borderId="0" xfId="0" applyNumberFormat="1" applyFont="1" applyBorder="1" applyAlignment="1">
      <alignment wrapText="1"/>
    </xf>
    <xf numFmtId="4" fontId="141" fillId="40" borderId="0" xfId="0" applyNumberFormat="1" applyFont="1" applyFill="1" applyBorder="1" applyAlignment="1">
      <alignment wrapText="1"/>
    </xf>
    <xf numFmtId="4" fontId="62" fillId="40" borderId="0" xfId="0" applyNumberFormat="1" applyFont="1" applyFill="1" applyBorder="1" applyAlignment="1">
      <alignment wrapText="1"/>
    </xf>
    <xf numFmtId="4" fontId="0" fillId="0" borderId="0" xfId="0" applyNumberFormat="1"/>
    <xf numFmtId="0" fontId="62" fillId="0" borderId="0" xfId="0" applyFont="1"/>
    <xf numFmtId="4" fontId="2" fillId="0" borderId="0" xfId="0" applyNumberFormat="1" applyFont="1" applyFill="1" applyBorder="1" applyAlignment="1">
      <alignment wrapText="1"/>
    </xf>
    <xf numFmtId="0" fontId="70" fillId="44" borderId="0" xfId="0" applyFont="1" applyFill="1" applyBorder="1" applyAlignment="1">
      <alignment horizontal="center" vertical="center" wrapText="1"/>
    </xf>
    <xf numFmtId="0" fontId="72" fillId="99" borderId="0" xfId="0" applyFont="1" applyFill="1" applyBorder="1" applyAlignment="1">
      <alignment horizontal="center" vertical="center" wrapText="1"/>
    </xf>
    <xf numFmtId="0" fontId="0" fillId="99" borderId="0" xfId="0" applyFill="1"/>
    <xf numFmtId="0" fontId="2" fillId="0" borderId="83" xfId="0" applyFont="1" applyBorder="1" applyAlignment="1">
      <alignment horizontal="center" wrapText="1"/>
    </xf>
    <xf numFmtId="4" fontId="142" fillId="7" borderId="84" xfId="0" applyNumberFormat="1" applyFont="1" applyFill="1" applyBorder="1" applyAlignment="1">
      <alignment wrapText="1"/>
    </xf>
    <xf numFmtId="4" fontId="2" fillId="7" borderId="85" xfId="0" applyNumberFormat="1" applyFont="1" applyFill="1" applyBorder="1" applyAlignment="1">
      <alignment wrapText="1"/>
    </xf>
    <xf numFmtId="4" fontId="61" fillId="0" borderId="85" xfId="0" applyNumberFormat="1" applyFont="1" applyBorder="1" applyAlignment="1">
      <alignment wrapText="1"/>
    </xf>
    <xf numFmtId="4" fontId="2" fillId="0" borderId="85" xfId="0" applyNumberFormat="1" applyFont="1" applyBorder="1" applyAlignment="1">
      <alignment wrapText="1"/>
    </xf>
    <xf numFmtId="4" fontId="68" fillId="0" borderId="85" xfId="0" applyNumberFormat="1" applyFont="1" applyBorder="1" applyAlignment="1">
      <alignment wrapText="1"/>
    </xf>
    <xf numFmtId="4" fontId="69" fillId="0" borderId="85" xfId="0" applyNumberFormat="1" applyFont="1" applyBorder="1" applyAlignment="1">
      <alignment wrapText="1"/>
    </xf>
    <xf numFmtId="4" fontId="0" fillId="0" borderId="85" xfId="0" applyNumberFormat="1" applyBorder="1" applyAlignment="1">
      <alignment wrapText="1"/>
    </xf>
    <xf numFmtId="4" fontId="62" fillId="0" borderId="85" xfId="0" applyNumberFormat="1" applyFont="1" applyBorder="1" applyAlignment="1">
      <alignment wrapText="1"/>
    </xf>
    <xf numFmtId="4" fontId="75" fillId="0" borderId="85" xfId="0" applyNumberFormat="1" applyFont="1" applyBorder="1" applyAlignment="1">
      <alignment wrapText="1"/>
    </xf>
    <xf numFmtId="4" fontId="75" fillId="40" borderId="85" xfId="0" applyNumberFormat="1" applyFont="1" applyFill="1" applyBorder="1" applyAlignment="1">
      <alignment wrapText="1"/>
    </xf>
    <xf numFmtId="4" fontId="0" fillId="0" borderId="86" xfId="0" applyNumberFormat="1" applyBorder="1" applyAlignment="1">
      <alignment wrapText="1"/>
    </xf>
    <xf numFmtId="0" fontId="2" fillId="0" borderId="47" xfId="0" applyFont="1" applyBorder="1" applyAlignment="1">
      <alignment horizontal="center" wrapText="1"/>
    </xf>
    <xf numFmtId="4" fontId="142" fillId="7" borderId="45" xfId="0" applyNumberFormat="1" applyFont="1" applyFill="1" applyBorder="1" applyAlignment="1">
      <alignment wrapText="1"/>
    </xf>
    <xf numFmtId="4" fontId="2" fillId="7" borderId="46" xfId="0" applyNumberFormat="1" applyFont="1" applyFill="1" applyBorder="1" applyAlignment="1">
      <alignment wrapText="1"/>
    </xf>
    <xf numFmtId="4" fontId="61" fillId="0" borderId="46" xfId="0" applyNumberFormat="1" applyFont="1" applyBorder="1" applyAlignment="1">
      <alignment wrapText="1"/>
    </xf>
    <xf numFmtId="4" fontId="2" fillId="0" borderId="46" xfId="0" applyNumberFormat="1" applyFont="1" applyBorder="1" applyAlignment="1">
      <alignment wrapText="1"/>
    </xf>
    <xf numFmtId="4" fontId="68" fillId="0" borderId="46" xfId="0" applyNumberFormat="1" applyFont="1" applyBorder="1" applyAlignment="1">
      <alignment wrapText="1"/>
    </xf>
    <xf numFmtId="4" fontId="69" fillId="0" borderId="46" xfId="0" applyNumberFormat="1" applyFont="1" applyBorder="1" applyAlignment="1">
      <alignment wrapText="1"/>
    </xf>
    <xf numFmtId="4" fontId="0" fillId="0" borderId="46" xfId="0" applyNumberFormat="1" applyBorder="1" applyAlignment="1">
      <alignment wrapText="1"/>
    </xf>
    <xf numFmtId="4" fontId="62" fillId="0" borderId="46" xfId="0" applyNumberFormat="1" applyFont="1" applyBorder="1" applyAlignment="1">
      <alignment wrapText="1"/>
    </xf>
    <xf numFmtId="4" fontId="75" fillId="0" borderId="46" xfId="0" applyNumberFormat="1" applyFont="1" applyBorder="1" applyAlignment="1">
      <alignment wrapText="1"/>
    </xf>
    <xf numFmtId="4" fontId="0" fillId="0" borderId="59" xfId="0" applyNumberFormat="1" applyBorder="1" applyAlignment="1">
      <alignment wrapText="1"/>
    </xf>
    <xf numFmtId="0" fontId="2" fillId="0" borderId="33" xfId="0" applyFont="1" applyBorder="1" applyAlignment="1">
      <alignment horizontal="center" wrapText="1"/>
    </xf>
    <xf numFmtId="0" fontId="142" fillId="7" borderId="39" xfId="0" applyFont="1" applyFill="1" applyBorder="1" applyAlignment="1">
      <alignment wrapText="1"/>
    </xf>
    <xf numFmtId="0" fontId="2" fillId="7" borderId="40" xfId="0" applyFont="1" applyFill="1" applyBorder="1" applyAlignment="1">
      <alignment wrapText="1"/>
    </xf>
    <xf numFmtId="0" fontId="61" fillId="0" borderId="40" xfId="0" applyFont="1" applyBorder="1" applyAlignment="1">
      <alignment wrapText="1"/>
    </xf>
    <xf numFmtId="0" fontId="2" fillId="0" borderId="40" xfId="0" applyFont="1" applyBorder="1" applyAlignment="1">
      <alignment wrapText="1"/>
    </xf>
    <xf numFmtId="0" fontId="68" fillId="0" borderId="40" xfId="0" applyFont="1" applyBorder="1" applyAlignment="1">
      <alignment wrapText="1"/>
    </xf>
    <xf numFmtId="0" fontId="69" fillId="0" borderId="40" xfId="0" applyFont="1" applyBorder="1" applyAlignment="1">
      <alignment wrapText="1"/>
    </xf>
    <xf numFmtId="0" fontId="0" fillId="0" borderId="40" xfId="0" applyBorder="1" applyAlignment="1">
      <alignment wrapText="1"/>
    </xf>
    <xf numFmtId="0" fontId="62" fillId="0" borderId="40" xfId="0" applyFont="1" applyBorder="1" applyAlignment="1">
      <alignment wrapText="1"/>
    </xf>
    <xf numFmtId="0" fontId="75" fillId="0" borderId="40" xfId="0" applyFont="1" applyBorder="1" applyAlignment="1">
      <alignment wrapText="1"/>
    </xf>
    <xf numFmtId="0" fontId="0" fillId="0" borderId="57" xfId="0" applyBorder="1" applyAlignment="1">
      <alignment wrapText="1"/>
    </xf>
    <xf numFmtId="0" fontId="2" fillId="0" borderId="37" xfId="0" applyFont="1" applyBorder="1" applyAlignment="1">
      <alignment horizontal="center" wrapText="1"/>
    </xf>
    <xf numFmtId="0" fontId="142" fillId="7" borderId="35" xfId="0" applyFont="1" applyFill="1" applyBorder="1" applyAlignment="1">
      <alignment wrapText="1"/>
    </xf>
    <xf numFmtId="0" fontId="2" fillId="7" borderId="36" xfId="0" applyFont="1" applyFill="1" applyBorder="1" applyAlignment="1">
      <alignment wrapText="1"/>
    </xf>
    <xf numFmtId="0" fontId="0" fillId="0" borderId="36" xfId="0" applyBorder="1" applyAlignment="1">
      <alignment wrapText="1"/>
    </xf>
    <xf numFmtId="0" fontId="2" fillId="0" borderId="36" xfId="0" applyFont="1" applyBorder="1" applyAlignment="1">
      <alignment wrapText="1"/>
    </xf>
    <xf numFmtId="0" fontId="68" fillId="0" borderId="36" xfId="0" applyFont="1" applyBorder="1" applyAlignment="1">
      <alignment wrapText="1"/>
    </xf>
    <xf numFmtId="0" fontId="62" fillId="0" borderId="36" xfId="0" applyFont="1" applyBorder="1" applyAlignment="1">
      <alignment wrapText="1"/>
    </xf>
    <xf numFmtId="0" fontId="75" fillId="0" borderId="36" xfId="0" applyFont="1" applyBorder="1" applyAlignment="1">
      <alignment wrapText="1"/>
    </xf>
    <xf numFmtId="0" fontId="0" fillId="0" borderId="61" xfId="0" applyBorder="1" applyAlignment="1">
      <alignment wrapText="1"/>
    </xf>
    <xf numFmtId="0" fontId="15" fillId="0" borderId="0" xfId="0" applyFont="1" applyFill="1"/>
    <xf numFmtId="3" fontId="64" fillId="0" borderId="31" xfId="0" applyNumberFormat="1" applyFont="1" applyBorder="1" applyAlignment="1">
      <alignment horizontal="center" vertical="center" wrapText="1"/>
    </xf>
    <xf numFmtId="3" fontId="65" fillId="0" borderId="7" xfId="0" applyNumberFormat="1" applyFont="1" applyBorder="1" applyAlignment="1">
      <alignment wrapText="1"/>
    </xf>
    <xf numFmtId="3" fontId="64" fillId="68" borderId="47" xfId="0" applyNumberFormat="1" applyFont="1" applyFill="1" applyBorder="1" applyAlignment="1">
      <alignment horizontal="center" vertical="center" wrapText="1"/>
    </xf>
    <xf numFmtId="0" fontId="64" fillId="0" borderId="33" xfId="0" applyFont="1" applyBorder="1" applyAlignment="1">
      <alignment horizontal="left" vertical="center" wrapText="1"/>
    </xf>
    <xf numFmtId="3" fontId="64" fillId="68" borderId="33" xfId="0" applyNumberFormat="1" applyFont="1" applyFill="1" applyBorder="1" applyAlignment="1">
      <alignment horizontal="center" vertical="center" wrapText="1"/>
    </xf>
    <xf numFmtId="4" fontId="64" fillId="41" borderId="33" xfId="0" applyNumberFormat="1" applyFont="1" applyFill="1" applyBorder="1" applyAlignment="1">
      <alignment horizontal="center" vertical="center" wrapText="1"/>
    </xf>
    <xf numFmtId="0" fontId="65" fillId="0" borderId="52" xfId="0" applyFont="1" applyBorder="1" applyAlignment="1">
      <alignment horizontal="center" vertical="center" wrapText="1"/>
    </xf>
    <xf numFmtId="0" fontId="65" fillId="0" borderId="53" xfId="0" applyFont="1" applyBorder="1" applyAlignment="1">
      <alignment horizontal="center" vertical="center" wrapText="1"/>
    </xf>
    <xf numFmtId="0" fontId="65" fillId="0" borderId="54" xfId="0" applyFont="1" applyBorder="1" applyAlignment="1">
      <alignment horizontal="center" vertical="center" wrapText="1"/>
    </xf>
    <xf numFmtId="0" fontId="65" fillId="0" borderId="30" xfId="0" applyFont="1" applyBorder="1" applyAlignment="1">
      <alignment horizontal="center" vertical="center" wrapText="1"/>
    </xf>
    <xf numFmtId="0" fontId="65" fillId="0" borderId="32" xfId="0" applyFont="1" applyBorder="1" applyAlignment="1">
      <alignment horizontal="center" vertical="center" wrapText="1"/>
    </xf>
    <xf numFmtId="4" fontId="65" fillId="0" borderId="30" xfId="0" applyNumberFormat="1" applyFont="1" applyBorder="1" applyAlignment="1">
      <alignment horizontal="center" vertical="center" wrapText="1"/>
    </xf>
    <xf numFmtId="0" fontId="65" fillId="0" borderId="83" xfId="0" applyFont="1" applyBorder="1" applyAlignment="1">
      <alignment horizontal="center" vertical="center" wrapText="1"/>
    </xf>
    <xf numFmtId="4" fontId="65" fillId="41" borderId="30" xfId="0" applyNumberFormat="1" applyFont="1" applyFill="1" applyBorder="1" applyAlignment="1">
      <alignment horizontal="center" vertical="center" wrapText="1"/>
    </xf>
    <xf numFmtId="4" fontId="65" fillId="68" borderId="30" xfId="0" applyNumberFormat="1" applyFont="1" applyFill="1" applyBorder="1" applyAlignment="1">
      <alignment horizontal="center" vertical="center" wrapText="1"/>
    </xf>
    <xf numFmtId="0" fontId="184" fillId="0" borderId="0" xfId="0" applyFont="1"/>
    <xf numFmtId="0" fontId="0" fillId="0" borderId="0" xfId="0" applyFont="1"/>
    <xf numFmtId="0" fontId="65" fillId="0" borderId="47" xfId="0" applyFont="1" applyBorder="1" applyAlignment="1">
      <alignment horizontal="center" vertical="center" wrapText="1"/>
    </xf>
    <xf numFmtId="4" fontId="64" fillId="41" borderId="37" xfId="0" applyNumberFormat="1" applyFont="1" applyFill="1" applyBorder="1" applyAlignment="1">
      <alignment horizontal="center" vertical="center" wrapText="1"/>
    </xf>
    <xf numFmtId="4" fontId="64" fillId="68" borderId="37" xfId="0" applyNumberFormat="1" applyFont="1" applyFill="1" applyBorder="1" applyAlignment="1">
      <alignment horizontal="center" vertical="center" wrapText="1"/>
    </xf>
    <xf numFmtId="0" fontId="65" fillId="0" borderId="0" xfId="0" applyFont="1" applyAlignment="1">
      <alignment horizontal="right"/>
    </xf>
    <xf numFmtId="0" fontId="186" fillId="0" borderId="0" xfId="0" applyFont="1"/>
    <xf numFmtId="4" fontId="186" fillId="0" borderId="0" xfId="0" applyNumberFormat="1" applyFont="1"/>
    <xf numFmtId="43" fontId="65" fillId="0" borderId="0" xfId="46925" applyFont="1"/>
    <xf numFmtId="200" fontId="65" fillId="0" borderId="0" xfId="46925" applyNumberFormat="1" applyFont="1"/>
    <xf numFmtId="0" fontId="64" fillId="0" borderId="0" xfId="0" applyFont="1" applyAlignment="1">
      <alignment horizontal="center" wrapText="1"/>
    </xf>
    <xf numFmtId="0" fontId="64" fillId="0" borderId="47" xfId="0" applyFont="1" applyBorder="1" applyAlignment="1">
      <alignment horizontal="center" vertical="center" wrapText="1"/>
    </xf>
    <xf numFmtId="0" fontId="8" fillId="0" borderId="0" xfId="13"/>
    <xf numFmtId="0" fontId="187" fillId="0" borderId="0" xfId="13" applyFont="1"/>
    <xf numFmtId="0" fontId="187" fillId="0" borderId="0" xfId="13" applyFont="1" applyAlignment="1">
      <alignment vertical="center"/>
    </xf>
    <xf numFmtId="0" fontId="187" fillId="0" borderId="87" xfId="13" applyFont="1" applyBorder="1"/>
    <xf numFmtId="49" fontId="187" fillId="0" borderId="0" xfId="13" applyNumberFormat="1" applyFont="1" applyBorder="1" applyAlignment="1">
      <alignment horizontal="left"/>
    </xf>
    <xf numFmtId="0" fontId="187" fillId="0" borderId="0" xfId="13" applyFont="1" applyBorder="1"/>
    <xf numFmtId="49" fontId="187" fillId="0" borderId="87" xfId="13" applyNumberFormat="1" applyFont="1" applyBorder="1" applyAlignment="1">
      <alignment horizontal="left"/>
    </xf>
    <xf numFmtId="0" fontId="187" fillId="0" borderId="42" xfId="13" applyFont="1" applyBorder="1"/>
    <xf numFmtId="0" fontId="191" fillId="0" borderId="87" xfId="46926" applyBorder="1"/>
    <xf numFmtId="0" fontId="14" fillId="7" borderId="0" xfId="13" applyFont="1" applyFill="1" applyBorder="1" applyAlignment="1">
      <alignment horizontal="left"/>
    </xf>
    <xf numFmtId="0" fontId="14" fillId="7" borderId="0" xfId="13" applyFont="1" applyFill="1" applyBorder="1"/>
    <xf numFmtId="2" fontId="70" fillId="7" borderId="0" xfId="13" applyNumberFormat="1" applyFont="1" applyFill="1" applyAlignment="1">
      <alignment horizontal="left" wrapText="1"/>
    </xf>
    <xf numFmtId="0" fontId="14" fillId="0" borderId="0" xfId="13" applyFont="1"/>
    <xf numFmtId="0" fontId="14" fillId="7" borderId="0" xfId="13" applyFont="1" applyFill="1" applyBorder="1" applyAlignment="1">
      <alignment horizontal="right" wrapText="1"/>
    </xf>
    <xf numFmtId="0" fontId="192" fillId="7" borderId="0" xfId="13" applyFont="1" applyFill="1" applyBorder="1" applyAlignment="1">
      <alignment horizontal="left" vertical="center" wrapText="1"/>
    </xf>
    <xf numFmtId="0" fontId="193" fillId="7" borderId="0" xfId="13" applyFont="1" applyFill="1" applyBorder="1" applyAlignment="1">
      <alignment horizontal="center" vertical="center" wrapText="1"/>
    </xf>
    <xf numFmtId="0" fontId="82" fillId="0" borderId="0" xfId="13" applyFont="1" applyAlignment="1">
      <alignment horizontal="left"/>
    </xf>
    <xf numFmtId="0" fontId="194" fillId="7" borderId="33" xfId="13" applyFont="1" applyFill="1" applyBorder="1" applyAlignment="1">
      <alignment horizontal="left"/>
    </xf>
    <xf numFmtId="0" fontId="194" fillId="7" borderId="43" xfId="13" applyFont="1" applyFill="1" applyBorder="1" applyAlignment="1">
      <alignment horizontal="center" wrapText="1"/>
    </xf>
    <xf numFmtId="0" fontId="194" fillId="7" borderId="33" xfId="13" applyFont="1" applyFill="1" applyBorder="1" applyAlignment="1">
      <alignment wrapText="1"/>
    </xf>
    <xf numFmtId="0" fontId="194" fillId="7" borderId="33" xfId="13" applyFont="1" applyFill="1" applyBorder="1" applyAlignment="1">
      <alignment horizontal="center" wrapText="1"/>
    </xf>
    <xf numFmtId="0" fontId="194" fillId="7" borderId="47" xfId="13" applyFont="1" applyFill="1" applyBorder="1" applyAlignment="1">
      <alignment horizontal="center" wrapText="1"/>
    </xf>
    <xf numFmtId="0" fontId="194" fillId="7" borderId="56" xfId="13" applyFont="1" applyFill="1" applyBorder="1" applyAlignment="1">
      <alignment horizontal="left"/>
    </xf>
    <xf numFmtId="0" fontId="194" fillId="7" borderId="0" xfId="13" applyFont="1" applyFill="1" applyBorder="1" applyAlignment="1">
      <alignment horizontal="center"/>
    </xf>
    <xf numFmtId="0" fontId="194" fillId="7" borderId="56" xfId="13" applyFont="1" applyFill="1" applyBorder="1" applyAlignment="1">
      <alignment horizontal="center"/>
    </xf>
    <xf numFmtId="0" fontId="194" fillId="7" borderId="63" xfId="13" applyFont="1" applyFill="1" applyBorder="1" applyAlignment="1">
      <alignment horizontal="center"/>
    </xf>
    <xf numFmtId="0" fontId="194" fillId="7" borderId="58" xfId="13" applyFont="1" applyFill="1" applyBorder="1" applyAlignment="1">
      <alignment horizontal="left"/>
    </xf>
    <xf numFmtId="0" fontId="194" fillId="7" borderId="88" xfId="13" applyFont="1" applyFill="1" applyBorder="1" applyAlignment="1">
      <alignment wrapText="1"/>
    </xf>
    <xf numFmtId="0" fontId="194" fillId="7" borderId="58" xfId="13" applyFont="1" applyFill="1" applyBorder="1" applyAlignment="1">
      <alignment horizontal="center"/>
    </xf>
    <xf numFmtId="4" fontId="195" fillId="7" borderId="89" xfId="13" applyNumberFormat="1" applyFont="1" applyFill="1" applyBorder="1"/>
    <xf numFmtId="0" fontId="14" fillId="0" borderId="0" xfId="13" applyFont="1" applyAlignment="1">
      <alignment horizontal="center"/>
    </xf>
    <xf numFmtId="49" fontId="194" fillId="7" borderId="40" xfId="13" applyNumberFormat="1" applyFont="1" applyFill="1" applyBorder="1" applyAlignment="1">
      <alignment horizontal="left"/>
    </xf>
    <xf numFmtId="0" fontId="194" fillId="7" borderId="87" xfId="13" applyFont="1" applyFill="1" applyBorder="1"/>
    <xf numFmtId="0" fontId="194" fillId="7" borderId="40" xfId="13" applyFont="1" applyFill="1" applyBorder="1" applyAlignment="1">
      <alignment horizontal="center"/>
    </xf>
    <xf numFmtId="4" fontId="195" fillId="7" borderId="40" xfId="13" applyNumberFormat="1" applyFont="1" applyFill="1" applyBorder="1"/>
    <xf numFmtId="4" fontId="195" fillId="7" borderId="90" xfId="13" applyNumberFormat="1" applyFont="1" applyFill="1" applyBorder="1"/>
    <xf numFmtId="16" fontId="194" fillId="7" borderId="40" xfId="13" applyNumberFormat="1" applyFont="1" applyFill="1" applyBorder="1" applyAlignment="1">
      <alignment horizontal="left"/>
    </xf>
    <xf numFmtId="49" fontId="194" fillId="7" borderId="87" xfId="13" applyNumberFormat="1" applyFont="1" applyFill="1" applyBorder="1" applyAlignment="1">
      <alignment horizontal="left"/>
    </xf>
    <xf numFmtId="2" fontId="194" fillId="7" borderId="87" xfId="13" applyNumberFormat="1" applyFont="1" applyFill="1" applyBorder="1" applyAlignment="1">
      <alignment horizontal="left" wrapText="1"/>
    </xf>
    <xf numFmtId="4" fontId="196" fillId="7" borderId="40" xfId="13" applyNumberFormat="1" applyFont="1" applyFill="1" applyBorder="1"/>
    <xf numFmtId="4" fontId="196" fillId="7" borderId="90" xfId="13" applyNumberFormat="1" applyFont="1" applyFill="1" applyBorder="1"/>
    <xf numFmtId="0" fontId="197" fillId="7" borderId="87" xfId="13" applyFont="1" applyFill="1" applyBorder="1"/>
    <xf numFmtId="0" fontId="197" fillId="7" borderId="87" xfId="13" applyFont="1" applyFill="1" applyBorder="1" applyAlignment="1">
      <alignment wrapText="1"/>
    </xf>
    <xf numFmtId="0" fontId="197" fillId="7" borderId="87" xfId="13" applyFont="1" applyFill="1" applyBorder="1" applyAlignment="1">
      <alignment vertical="center" wrapText="1"/>
    </xf>
    <xf numFmtId="0" fontId="194" fillId="7" borderId="87" xfId="13" applyFont="1" applyFill="1" applyBorder="1" applyAlignment="1">
      <alignment horizontal="left"/>
    </xf>
    <xf numFmtId="0" fontId="194" fillId="7" borderId="87" xfId="13" applyFont="1" applyFill="1" applyBorder="1" applyAlignment="1">
      <alignment horizontal="left" wrapText="1"/>
    </xf>
    <xf numFmtId="4" fontId="194" fillId="7" borderId="40" xfId="13" applyNumberFormat="1" applyFont="1" applyFill="1" applyBorder="1"/>
    <xf numFmtId="4" fontId="194" fillId="7" borderId="90" xfId="13" applyNumberFormat="1" applyFont="1" applyFill="1" applyBorder="1"/>
    <xf numFmtId="0" fontId="194" fillId="7" borderId="40" xfId="13" applyFont="1" applyFill="1" applyBorder="1" applyAlignment="1">
      <alignment horizontal="left"/>
    </xf>
    <xf numFmtId="0" fontId="194" fillId="7" borderId="87" xfId="13" applyFont="1" applyFill="1" applyBorder="1" applyAlignment="1">
      <alignment wrapText="1"/>
    </xf>
    <xf numFmtId="173" fontId="198" fillId="7" borderId="26" xfId="46927" applyNumberFormat="1" applyFont="1" applyFill="1" applyBorder="1"/>
    <xf numFmtId="49" fontId="87" fillId="7" borderId="57" xfId="13" applyNumberFormat="1" applyFont="1" applyFill="1" applyBorder="1" applyAlignment="1">
      <alignment horizontal="left"/>
    </xf>
    <xf numFmtId="0" fontId="87" fillId="7" borderId="60" xfId="13" applyFont="1" applyFill="1" applyBorder="1" applyAlignment="1">
      <alignment wrapText="1"/>
    </xf>
    <xf numFmtId="0" fontId="87" fillId="7" borderId="57" xfId="13" applyFont="1" applyFill="1" applyBorder="1" applyAlignment="1">
      <alignment horizontal="center"/>
    </xf>
    <xf numFmtId="4" fontId="87" fillId="7" borderId="57" xfId="13" applyNumberFormat="1" applyFont="1" applyFill="1" applyBorder="1"/>
    <xf numFmtId="0" fontId="14" fillId="0" borderId="0" xfId="13" applyFont="1" applyAlignment="1">
      <alignment horizontal="left"/>
    </xf>
    <xf numFmtId="0" fontId="14" fillId="0" borderId="0" xfId="13" applyFont="1" applyBorder="1" applyAlignment="1">
      <alignment horizontal="left"/>
    </xf>
    <xf numFmtId="0" fontId="201" fillId="0" borderId="0" xfId="13" applyFont="1" applyBorder="1" applyAlignment="1">
      <alignment horizontal="left"/>
    </xf>
    <xf numFmtId="0" fontId="192" fillId="0" borderId="0" xfId="13" applyFont="1" applyBorder="1" applyAlignment="1">
      <alignment horizontal="left"/>
    </xf>
    <xf numFmtId="0" fontId="192" fillId="0" borderId="0" xfId="13" applyFont="1" applyFill="1" applyBorder="1" applyAlignment="1">
      <alignment horizontal="left"/>
    </xf>
    <xf numFmtId="0" fontId="202" fillId="0" borderId="0" xfId="13" applyFont="1" applyBorder="1" applyAlignment="1">
      <alignment horizontal="left"/>
    </xf>
    <xf numFmtId="0" fontId="15" fillId="0" borderId="0" xfId="13" applyFont="1" applyBorder="1" applyAlignment="1">
      <alignment horizontal="center" vertical="center" wrapText="1"/>
    </xf>
    <xf numFmtId="0" fontId="15" fillId="0" borderId="0" xfId="13" applyFont="1" applyBorder="1" applyAlignment="1">
      <alignment horizontal="left" vertical="top"/>
    </xf>
    <xf numFmtId="0" fontId="70" fillId="0" borderId="0" xfId="13" applyFont="1" applyBorder="1" applyAlignment="1">
      <alignment horizontal="left"/>
    </xf>
    <xf numFmtId="0" fontId="14" fillId="0" borderId="0" xfId="13" applyFont="1" applyBorder="1" applyAlignment="1">
      <alignment horizontal="center" vertical="center" wrapText="1"/>
    </xf>
    <xf numFmtId="0" fontId="14" fillId="0" borderId="0" xfId="13" applyFont="1" applyBorder="1" applyAlignment="1">
      <alignment horizontal="left" vertical="top"/>
    </xf>
    <xf numFmtId="0" fontId="202" fillId="0" borderId="0" xfId="13" applyFont="1" applyBorder="1" applyAlignment="1">
      <alignment horizontal="right"/>
    </xf>
    <xf numFmtId="0" fontId="89" fillId="7" borderId="0" xfId="13" applyFont="1" applyFill="1" applyBorder="1"/>
    <xf numFmtId="0" fontId="89" fillId="7" borderId="0" xfId="13" applyFont="1" applyFill="1"/>
    <xf numFmtId="0" fontId="91" fillId="7" borderId="0" xfId="13" applyFont="1" applyFill="1" applyAlignment="1">
      <alignment horizontal="right" wrapText="1"/>
    </xf>
    <xf numFmtId="0" fontId="91" fillId="7" borderId="0" xfId="13" applyFont="1" applyFill="1" applyAlignment="1">
      <alignment horizontal="left" wrapText="1"/>
    </xf>
    <xf numFmtId="0" fontId="83" fillId="7" borderId="0" xfId="13" applyFont="1" applyFill="1" applyBorder="1" applyAlignment="1">
      <alignment horizontal="center" wrapText="1"/>
    </xf>
    <xf numFmtId="0" fontId="89" fillId="7" borderId="0" xfId="13" applyFont="1" applyFill="1" applyBorder="1" applyAlignment="1">
      <alignment horizontal="center" wrapText="1"/>
    </xf>
    <xf numFmtId="4" fontId="81" fillId="7" borderId="33" xfId="13" applyNumberFormat="1" applyFont="1" applyFill="1" applyBorder="1" applyAlignment="1">
      <alignment horizontal="center" vertical="center" wrapText="1"/>
    </xf>
    <xf numFmtId="4" fontId="81" fillId="7" borderId="33" xfId="13" applyNumberFormat="1" applyFont="1" applyFill="1" applyBorder="1" applyAlignment="1">
      <alignment horizontal="center"/>
    </xf>
    <xf numFmtId="0" fontId="81" fillId="7" borderId="56" xfId="13" applyFont="1" applyFill="1" applyBorder="1" applyAlignment="1">
      <alignment vertical="center" wrapText="1"/>
    </xf>
    <xf numFmtId="0" fontId="81" fillId="7" borderId="42" xfId="13" applyFont="1" applyFill="1" applyBorder="1" applyAlignment="1">
      <alignment vertical="center" wrapText="1"/>
    </xf>
    <xf numFmtId="4" fontId="84" fillId="7" borderId="35" xfId="13" applyNumberFormat="1" applyFont="1" applyFill="1" applyBorder="1" applyAlignment="1">
      <alignment horizontal="center"/>
    </xf>
    <xf numFmtId="0" fontId="80" fillId="7" borderId="56" xfId="13" applyFont="1" applyFill="1" applyBorder="1" applyAlignment="1">
      <alignment horizontal="center" wrapText="1"/>
    </xf>
    <xf numFmtId="0" fontId="204" fillId="7" borderId="0" xfId="13" applyFont="1" applyFill="1"/>
    <xf numFmtId="0" fontId="81" fillId="7" borderId="111" xfId="13" applyFont="1" applyFill="1" applyBorder="1" applyAlignment="1">
      <alignment vertical="center" wrapText="1"/>
    </xf>
    <xf numFmtId="4" fontId="84" fillId="7" borderId="112" xfId="13" applyNumberFormat="1" applyFont="1" applyFill="1" applyBorder="1" applyAlignment="1">
      <alignment horizontal="center"/>
    </xf>
    <xf numFmtId="4" fontId="81" fillId="7" borderId="37" xfId="13" applyNumberFormat="1" applyFont="1" applyFill="1" applyBorder="1" applyAlignment="1">
      <alignment horizontal="center"/>
    </xf>
    <xf numFmtId="0" fontId="205" fillId="7" borderId="0" xfId="13" applyFont="1" applyFill="1"/>
    <xf numFmtId="0" fontId="92" fillId="7" borderId="0" xfId="41999" applyFont="1" applyFill="1"/>
    <xf numFmtId="0" fontId="206" fillId="7" borderId="0" xfId="13" applyFont="1" applyFill="1"/>
    <xf numFmtId="0" fontId="15" fillId="7" borderId="42" xfId="13" applyFont="1" applyFill="1" applyBorder="1" applyAlignment="1">
      <alignment vertical="center" wrapText="1"/>
    </xf>
    <xf numFmtId="0" fontId="15" fillId="7" borderId="111" xfId="13" applyFont="1" applyFill="1" applyBorder="1" applyAlignment="1">
      <alignment vertical="center" wrapText="1"/>
    </xf>
    <xf numFmtId="4" fontId="86" fillId="7" borderId="35" xfId="13" applyNumberFormat="1" applyFont="1" applyFill="1" applyBorder="1" applyAlignment="1">
      <alignment horizontal="center"/>
    </xf>
    <xf numFmtId="4" fontId="86" fillId="7" borderId="28" xfId="13" applyNumberFormat="1" applyFont="1" applyFill="1" applyBorder="1" applyAlignment="1">
      <alignment horizontal="center"/>
    </xf>
    <xf numFmtId="0" fontId="81" fillId="41" borderId="33" xfId="13" applyFont="1" applyFill="1" applyBorder="1" applyAlignment="1">
      <alignment vertical="center" wrapText="1"/>
    </xf>
    <xf numFmtId="0" fontId="81" fillId="41" borderId="43" xfId="13" applyFont="1" applyFill="1" applyBorder="1" applyAlignment="1">
      <alignment vertical="center" wrapText="1"/>
    </xf>
    <xf numFmtId="4" fontId="81" fillId="41" borderId="33" xfId="13" applyNumberFormat="1" applyFont="1" applyFill="1" applyBorder="1" applyAlignment="1">
      <alignment horizontal="center"/>
    </xf>
    <xf numFmtId="4" fontId="84" fillId="41" borderId="33" xfId="13" applyNumberFormat="1" applyFont="1" applyFill="1" applyBorder="1" applyAlignment="1">
      <alignment horizontal="center"/>
    </xf>
    <xf numFmtId="0" fontId="81" fillId="41" borderId="33" xfId="13" applyFont="1" applyFill="1" applyBorder="1" applyAlignment="1">
      <alignment horizontal="center" wrapText="1"/>
    </xf>
    <xf numFmtId="0" fontId="81" fillId="41" borderId="88" xfId="13" applyFont="1" applyFill="1" applyBorder="1" applyAlignment="1">
      <alignment vertical="center" wrapText="1"/>
    </xf>
    <xf numFmtId="4" fontId="81" fillId="41" borderId="58" xfId="13" applyNumberFormat="1" applyFont="1" applyFill="1" applyBorder="1" applyAlignment="1">
      <alignment horizontal="center"/>
    </xf>
    <xf numFmtId="49" fontId="82" fillId="0" borderId="71" xfId="0" applyNumberFormat="1" applyFont="1" applyBorder="1" applyAlignment="1">
      <alignment horizontal="center" vertical="center" wrapText="1"/>
    </xf>
    <xf numFmtId="0" fontId="82" fillId="0" borderId="91" xfId="0" applyFont="1" applyBorder="1" applyAlignment="1">
      <alignment horizontal="justify" vertical="center" wrapText="1"/>
    </xf>
    <xf numFmtId="49" fontId="82" fillId="0" borderId="25" xfId="0" applyNumberFormat="1" applyFont="1" applyBorder="1" applyAlignment="1">
      <alignment horizontal="center" vertical="center" wrapText="1"/>
    </xf>
    <xf numFmtId="0" fontId="82" fillId="0" borderId="82" xfId="0" applyFont="1" applyBorder="1" applyAlignment="1">
      <alignment horizontal="justify" vertical="center" wrapText="1"/>
    </xf>
    <xf numFmtId="49" fontId="15" fillId="0" borderId="104" xfId="0" applyNumberFormat="1" applyFont="1" applyBorder="1" applyAlignment="1">
      <alignment horizontal="center" vertical="center" wrapText="1"/>
    </xf>
    <xf numFmtId="0" fontId="15" fillId="0" borderId="105" xfId="0" applyFont="1" applyBorder="1" applyAlignment="1">
      <alignment horizontal="justify" vertical="center" wrapText="1"/>
    </xf>
    <xf numFmtId="49" fontId="15" fillId="0" borderId="25" xfId="0" applyNumberFormat="1" applyFont="1" applyBorder="1" applyAlignment="1">
      <alignment horizontal="center" vertical="center" wrapText="1"/>
    </xf>
    <xf numFmtId="0" fontId="15" fillId="0" borderId="82" xfId="0" applyFont="1" applyBorder="1" applyAlignment="1">
      <alignment horizontal="justify" vertical="center" wrapText="1"/>
    </xf>
    <xf numFmtId="49" fontId="15" fillId="0" borderId="94" xfId="0" applyNumberFormat="1" applyFont="1" applyBorder="1" applyAlignment="1">
      <alignment horizontal="center" vertical="center" wrapText="1"/>
    </xf>
    <xf numFmtId="0" fontId="15" fillId="0" borderId="95" xfId="0" applyFont="1" applyBorder="1" applyAlignment="1">
      <alignment horizontal="justify" vertical="center" wrapText="1"/>
    </xf>
    <xf numFmtId="49" fontId="82" fillId="0" borderId="28" xfId="0" applyNumberFormat="1" applyFont="1" applyBorder="1" applyAlignment="1">
      <alignment horizontal="center" vertical="center" wrapText="1"/>
    </xf>
    <xf numFmtId="0" fontId="82" fillId="0" borderId="7" xfId="0" applyFont="1" applyBorder="1" applyAlignment="1">
      <alignment horizontal="justify" vertical="center" wrapText="1"/>
    </xf>
    <xf numFmtId="49" fontId="82" fillId="0" borderId="102" xfId="0" applyNumberFormat="1" applyFont="1" applyBorder="1" applyAlignment="1">
      <alignment horizontal="center" vertical="center" wrapText="1"/>
    </xf>
    <xf numFmtId="0" fontId="82" fillId="0" borderId="98" xfId="0" applyFont="1" applyBorder="1" applyAlignment="1">
      <alignment horizontal="justify" vertical="center" wrapText="1"/>
    </xf>
    <xf numFmtId="49" fontId="82" fillId="0" borderId="30" xfId="0" applyNumberFormat="1" applyFont="1" applyBorder="1" applyAlignment="1">
      <alignment horizontal="center" vertical="center" wrapText="1"/>
    </xf>
    <xf numFmtId="0" fontId="82" fillId="0" borderId="31" xfId="0" applyFont="1" applyBorder="1" applyAlignment="1">
      <alignment horizontal="justify" vertical="center" wrapText="1"/>
    </xf>
    <xf numFmtId="49" fontId="15" fillId="0" borderId="102" xfId="0" applyNumberFormat="1" applyFont="1" applyBorder="1" applyAlignment="1">
      <alignment horizontal="center" vertical="center" wrapText="1"/>
    </xf>
    <xf numFmtId="0" fontId="15" fillId="0" borderId="98" xfId="0" applyFont="1" applyBorder="1" applyAlignment="1">
      <alignment horizontal="justify" vertical="center" wrapText="1"/>
    </xf>
    <xf numFmtId="49" fontId="15" fillId="0" borderId="6" xfId="0" applyNumberFormat="1" applyFont="1" applyBorder="1" applyAlignment="1">
      <alignment horizontal="center" vertical="center" wrapText="1"/>
    </xf>
    <xf numFmtId="0" fontId="15" fillId="0" borderId="113" xfId="0" applyFont="1" applyBorder="1" applyAlignment="1">
      <alignment horizontal="justify" vertical="center" wrapText="1"/>
    </xf>
    <xf numFmtId="4" fontId="15" fillId="0" borderId="91" xfId="0" applyNumberFormat="1" applyFont="1" applyBorder="1" applyAlignment="1">
      <alignment horizontal="center" vertical="center" wrapText="1"/>
    </xf>
    <xf numFmtId="4" fontId="15" fillId="0" borderId="82" xfId="0" applyNumberFormat="1" applyFont="1" applyBorder="1" applyAlignment="1">
      <alignment horizontal="center" vertical="center" wrapText="1"/>
    </xf>
    <xf numFmtId="0" fontId="193" fillId="7" borderId="0" xfId="13" applyFont="1" applyFill="1"/>
    <xf numFmtId="0" fontId="193" fillId="7" borderId="0" xfId="13" applyFont="1" applyFill="1" applyBorder="1" applyAlignment="1">
      <alignment horizontal="center" wrapText="1"/>
    </xf>
    <xf numFmtId="0" fontId="15" fillId="41" borderId="43" xfId="13" applyFont="1" applyFill="1" applyBorder="1" applyAlignment="1">
      <alignment vertical="center" wrapText="1"/>
    </xf>
    <xf numFmtId="0" fontId="15" fillId="0" borderId="91"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105"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8" xfId="0" applyFont="1" applyBorder="1" applyAlignment="1">
      <alignment horizontal="center" vertical="center" wrapText="1"/>
    </xf>
    <xf numFmtId="0" fontId="15" fillId="0" borderId="31" xfId="0" applyFont="1" applyBorder="1" applyAlignment="1">
      <alignment horizontal="center" vertical="center" wrapText="1"/>
    </xf>
    <xf numFmtId="0" fontId="15" fillId="41" borderId="41" xfId="13" applyFont="1" applyFill="1" applyBorder="1" applyAlignment="1">
      <alignment vertical="center" wrapText="1"/>
    </xf>
    <xf numFmtId="0" fontId="15" fillId="0" borderId="93"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119" xfId="0" applyFont="1" applyBorder="1" applyAlignment="1">
      <alignment horizontal="center" vertical="center" wrapText="1"/>
    </xf>
    <xf numFmtId="0" fontId="15" fillId="0" borderId="120" xfId="0" applyFont="1" applyBorder="1" applyAlignment="1">
      <alignment horizontal="center" vertical="center" wrapText="1"/>
    </xf>
    <xf numFmtId="4" fontId="84" fillId="7" borderId="39" xfId="13" applyNumberFormat="1" applyFont="1" applyFill="1" applyBorder="1" applyAlignment="1">
      <alignment horizontal="center"/>
    </xf>
    <xf numFmtId="4" fontId="84" fillId="7" borderId="121" xfId="13" applyNumberFormat="1" applyFont="1" applyFill="1" applyBorder="1" applyAlignment="1">
      <alignment horizontal="center"/>
    </xf>
    <xf numFmtId="4" fontId="15" fillId="0" borderId="71" xfId="0" applyNumberFormat="1" applyFont="1" applyBorder="1" applyAlignment="1">
      <alignment horizontal="center" vertical="center" wrapText="1"/>
    </xf>
    <xf numFmtId="4" fontId="15" fillId="0" borderId="92" xfId="0" applyNumberFormat="1" applyFont="1" applyBorder="1" applyAlignment="1">
      <alignment horizontal="center" vertical="center" wrapText="1"/>
    </xf>
    <xf numFmtId="4" fontId="15" fillId="0" borderId="25" xfId="0" applyNumberFormat="1" applyFont="1" applyBorder="1" applyAlignment="1">
      <alignment horizontal="center" vertical="center" wrapText="1"/>
    </xf>
    <xf numFmtId="4" fontId="15" fillId="0" borderId="26" xfId="0" applyNumberFormat="1" applyFont="1" applyBorder="1" applyAlignment="1">
      <alignment horizontal="center" vertical="center" wrapText="1"/>
    </xf>
    <xf numFmtId="4" fontId="86" fillId="7" borderId="39" xfId="13" applyNumberFormat="1" applyFont="1" applyFill="1" applyBorder="1" applyAlignment="1">
      <alignment horizontal="center"/>
    </xf>
    <xf numFmtId="4" fontId="84" fillId="7" borderId="122" xfId="13" applyNumberFormat="1" applyFont="1" applyFill="1" applyBorder="1" applyAlignment="1">
      <alignment horizontal="center"/>
    </xf>
    <xf numFmtId="4" fontId="84" fillId="7" borderId="123" xfId="13" applyNumberFormat="1" applyFont="1" applyFill="1" applyBorder="1" applyAlignment="1">
      <alignment horizontal="center"/>
    </xf>
    <xf numFmtId="49" fontId="82" fillId="0" borderId="62" xfId="0" applyNumberFormat="1" applyFont="1" applyBorder="1" applyAlignment="1">
      <alignment horizontal="center" vertical="center" wrapText="1"/>
    </xf>
    <xf numFmtId="0" fontId="82" fillId="0" borderId="71" xfId="0" applyFont="1" applyBorder="1" applyAlignment="1">
      <alignment horizontal="justify" vertical="center" wrapText="1"/>
    </xf>
    <xf numFmtId="49" fontId="82" fillId="0" borderId="36" xfId="0" applyNumberFormat="1" applyFont="1" applyBorder="1" applyAlignment="1">
      <alignment horizontal="center" vertical="center" wrapText="1"/>
    </xf>
    <xf numFmtId="0" fontId="82" fillId="0" borderId="25" xfId="0" applyFont="1" applyBorder="1" applyAlignment="1">
      <alignment horizontal="justify" vertical="center" wrapText="1"/>
    </xf>
    <xf numFmtId="49" fontId="15" fillId="0" borderId="109" xfId="0" applyNumberFormat="1" applyFont="1" applyBorder="1" applyAlignment="1">
      <alignment horizontal="center" vertical="center" wrapText="1"/>
    </xf>
    <xf numFmtId="0" fontId="15" fillId="0" borderId="104" xfId="0" applyFont="1" applyBorder="1" applyAlignment="1">
      <alignment horizontal="justify" vertical="center" wrapText="1"/>
    </xf>
    <xf numFmtId="49" fontId="15" fillId="0" borderId="36" xfId="0" applyNumberFormat="1" applyFont="1" applyBorder="1" applyAlignment="1">
      <alignment horizontal="center" vertical="center" wrapText="1"/>
    </xf>
    <xf numFmtId="0" fontId="15" fillId="0" borderId="25" xfId="0" applyFont="1" applyBorder="1" applyAlignment="1">
      <alignment horizontal="justify" vertical="center" wrapText="1"/>
    </xf>
    <xf numFmtId="49" fontId="15" fillId="0" borderId="48" xfId="0" applyNumberFormat="1" applyFont="1" applyBorder="1" applyAlignment="1">
      <alignment horizontal="center" vertical="center" wrapText="1"/>
    </xf>
    <xf numFmtId="0" fontId="15" fillId="0" borderId="52" xfId="0" applyFont="1" applyBorder="1" applyAlignment="1">
      <alignment horizontal="justify" vertical="center" wrapText="1"/>
    </xf>
    <xf numFmtId="49" fontId="15" fillId="0" borderId="61" xfId="0" applyNumberFormat="1" applyFont="1" applyBorder="1" applyAlignment="1">
      <alignment horizontal="center" vertical="center" wrapText="1"/>
    </xf>
    <xf numFmtId="0" fontId="15" fillId="0" borderId="94" xfId="0" applyFont="1" applyBorder="1" applyAlignment="1">
      <alignment horizontal="justify" vertical="center" wrapText="1"/>
    </xf>
    <xf numFmtId="49" fontId="82" fillId="0" borderId="35" xfId="0" applyNumberFormat="1" applyFont="1" applyBorder="1" applyAlignment="1">
      <alignment horizontal="center" vertical="center" wrapText="1"/>
    </xf>
    <xf numFmtId="0" fontId="82" fillId="0" borderId="28" xfId="0" applyFont="1" applyBorder="1" applyAlignment="1">
      <alignment horizontal="justify" vertical="center" wrapText="1"/>
    </xf>
    <xf numFmtId="49" fontId="82" fillId="0" borderId="55" xfId="0" applyNumberFormat="1" applyFont="1" applyBorder="1" applyAlignment="1">
      <alignment horizontal="center" vertical="center" wrapText="1"/>
    </xf>
    <xf numFmtId="0" fontId="82" fillId="0" borderId="102" xfId="0" applyFont="1" applyBorder="1" applyAlignment="1">
      <alignment horizontal="justify" vertical="center" wrapText="1"/>
    </xf>
    <xf numFmtId="49" fontId="82" fillId="0" borderId="37" xfId="0" applyNumberFormat="1" applyFont="1" applyBorder="1" applyAlignment="1">
      <alignment horizontal="center" vertical="center" wrapText="1"/>
    </xf>
    <xf numFmtId="0" fontId="82" fillId="0" borderId="30" xfId="0" applyFont="1" applyBorder="1" applyAlignment="1">
      <alignment horizontal="justify" vertical="center" wrapText="1"/>
    </xf>
    <xf numFmtId="49" fontId="15" fillId="0" borderId="55" xfId="0" applyNumberFormat="1" applyFont="1" applyBorder="1" applyAlignment="1">
      <alignment horizontal="center" vertical="center" wrapText="1"/>
    </xf>
    <xf numFmtId="0" fontId="15" fillId="0" borderId="102" xfId="0" applyFont="1" applyBorder="1" applyAlignment="1">
      <alignment horizontal="justify" vertical="center" wrapText="1"/>
    </xf>
    <xf numFmtId="49" fontId="82" fillId="0" borderId="48" xfId="0" applyNumberFormat="1" applyFont="1" applyBorder="1" applyAlignment="1">
      <alignment horizontal="center" vertical="center" wrapText="1"/>
    </xf>
    <xf numFmtId="49" fontId="82" fillId="42" borderId="37" xfId="0" applyNumberFormat="1" applyFont="1" applyFill="1" applyBorder="1" applyAlignment="1">
      <alignment horizontal="center" vertical="center" wrapText="1"/>
    </xf>
    <xf numFmtId="0" fontId="82" fillId="42" borderId="30" xfId="0" applyFont="1" applyFill="1" applyBorder="1" applyAlignment="1">
      <alignment horizontal="justify" vertical="center" wrapText="1"/>
    </xf>
    <xf numFmtId="4" fontId="15" fillId="42" borderId="31" xfId="0" applyNumberFormat="1" applyFont="1" applyFill="1" applyBorder="1" applyAlignment="1">
      <alignment horizontal="center" vertical="center" wrapText="1"/>
    </xf>
    <xf numFmtId="4" fontId="15" fillId="0" borderId="91" xfId="0" applyNumberFormat="1" applyFont="1" applyBorder="1" applyAlignment="1">
      <alignment horizontal="right" vertical="center" wrapText="1"/>
    </xf>
    <xf numFmtId="4" fontId="15" fillId="0" borderId="82" xfId="0" applyNumberFormat="1" applyFont="1" applyBorder="1" applyAlignment="1">
      <alignment horizontal="right" vertical="center" wrapText="1"/>
    </xf>
    <xf numFmtId="4" fontId="15" fillId="0" borderId="105" xfId="0" applyNumberFormat="1" applyFont="1" applyBorder="1" applyAlignment="1">
      <alignment horizontal="right" vertical="center" wrapText="1"/>
    </xf>
    <xf numFmtId="4" fontId="15" fillId="0" borderId="53" xfId="0" applyNumberFormat="1" applyFont="1" applyBorder="1" applyAlignment="1">
      <alignment horizontal="right" vertical="center" wrapText="1"/>
    </xf>
    <xf numFmtId="4" fontId="15" fillId="0" borderId="95" xfId="0" applyNumberFormat="1" applyFont="1" applyBorder="1" applyAlignment="1">
      <alignment horizontal="right" vertical="center" wrapText="1"/>
    </xf>
    <xf numFmtId="4" fontId="15" fillId="42" borderId="31" xfId="0" applyNumberFormat="1" applyFont="1" applyFill="1" applyBorder="1" applyAlignment="1">
      <alignment horizontal="right" vertical="center" wrapText="1"/>
    </xf>
    <xf numFmtId="4" fontId="15" fillId="0" borderId="109" xfId="0" applyNumberFormat="1" applyFont="1" applyBorder="1" applyAlignment="1">
      <alignment horizontal="right" vertical="center" wrapText="1"/>
    </xf>
    <xf numFmtId="4" fontId="15" fillId="0" borderId="104"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94" xfId="0" applyNumberFormat="1" applyFont="1" applyBorder="1" applyAlignment="1">
      <alignment horizontal="right" vertical="center" wrapText="1"/>
    </xf>
    <xf numFmtId="4" fontId="82" fillId="0" borderId="62" xfId="0" applyNumberFormat="1" applyFont="1" applyBorder="1" applyAlignment="1">
      <alignment horizontal="right" vertical="center" wrapText="1"/>
    </xf>
    <xf numFmtId="4" fontId="82" fillId="0" borderId="71" xfId="0" applyNumberFormat="1" applyFont="1" applyBorder="1" applyAlignment="1">
      <alignment horizontal="right" vertical="center" wrapText="1"/>
    </xf>
    <xf numFmtId="4" fontId="82" fillId="0" borderId="91" xfId="0" applyNumberFormat="1" applyFont="1" applyBorder="1" applyAlignment="1">
      <alignment horizontal="right" vertical="center" wrapText="1"/>
    </xf>
    <xf numFmtId="4" fontId="82" fillId="0" borderId="36" xfId="0" applyNumberFormat="1" applyFont="1" applyBorder="1" applyAlignment="1">
      <alignment horizontal="right" vertical="center" wrapText="1"/>
    </xf>
    <xf numFmtId="4" fontId="82" fillId="0" borderId="25" xfId="0" applyNumberFormat="1" applyFont="1" applyBorder="1" applyAlignment="1">
      <alignment horizontal="right" vertical="center" wrapText="1"/>
    </xf>
    <xf numFmtId="4" fontId="82" fillId="0" borderId="82" xfId="0" applyNumberFormat="1" applyFont="1" applyBorder="1" applyAlignment="1">
      <alignment horizontal="right" vertical="center" wrapText="1"/>
    </xf>
    <xf numFmtId="4" fontId="15" fillId="0" borderId="36" xfId="0" applyNumberFormat="1" applyFont="1" applyBorder="1" applyAlignment="1">
      <alignment horizontal="right" vertical="center" wrapText="1"/>
    </xf>
    <xf numFmtId="4" fontId="15" fillId="0" borderId="25" xfId="0" applyNumberFormat="1" applyFont="1" applyBorder="1" applyAlignment="1">
      <alignment horizontal="right" vertical="center" wrapText="1"/>
    </xf>
    <xf numFmtId="4" fontId="82" fillId="42" borderId="37" xfId="0" applyNumberFormat="1" applyFont="1" applyFill="1" applyBorder="1" applyAlignment="1">
      <alignment horizontal="right" vertical="center" wrapText="1"/>
    </xf>
    <xf numFmtId="4" fontId="82" fillId="42" borderId="30" xfId="0" applyNumberFormat="1" applyFont="1" applyFill="1" applyBorder="1" applyAlignment="1">
      <alignment horizontal="right" vertical="center" wrapText="1"/>
    </xf>
    <xf numFmtId="4" fontId="82" fillId="42" borderId="31" xfId="0" applyNumberFormat="1" applyFont="1" applyFill="1" applyBorder="1" applyAlignment="1">
      <alignment horizontal="right" vertical="center" wrapText="1"/>
    </xf>
    <xf numFmtId="4" fontId="82" fillId="0" borderId="35" xfId="0" applyNumberFormat="1" applyFont="1" applyBorder="1" applyAlignment="1">
      <alignment horizontal="right" vertical="center" wrapText="1"/>
    </xf>
    <xf numFmtId="4" fontId="82" fillId="0" borderId="28" xfId="0" applyNumberFormat="1" applyFont="1" applyBorder="1" applyAlignment="1">
      <alignment horizontal="right" vertical="center" wrapText="1"/>
    </xf>
    <xf numFmtId="4" fontId="82" fillId="0" borderId="7" xfId="0" applyNumberFormat="1" applyFont="1" applyBorder="1" applyAlignment="1">
      <alignment horizontal="right" vertical="center" wrapText="1"/>
    </xf>
    <xf numFmtId="4" fontId="82" fillId="0" borderId="55" xfId="0" applyNumberFormat="1" applyFont="1" applyBorder="1" applyAlignment="1">
      <alignment horizontal="right" vertical="center" wrapText="1"/>
    </xf>
    <xf numFmtId="4" fontId="82" fillId="0" borderId="102" xfId="0" applyNumberFormat="1" applyFont="1" applyBorder="1" applyAlignment="1">
      <alignment horizontal="right" vertical="center" wrapText="1"/>
    </xf>
    <xf numFmtId="4" fontId="82" fillId="0" borderId="98" xfId="0" applyNumberFormat="1" applyFont="1" applyBorder="1" applyAlignment="1">
      <alignment horizontal="right" vertical="center" wrapText="1"/>
    </xf>
    <xf numFmtId="4" fontId="82" fillId="0" borderId="37" xfId="0" applyNumberFormat="1" applyFont="1" applyBorder="1" applyAlignment="1">
      <alignment horizontal="right" vertical="center" wrapText="1"/>
    </xf>
    <xf numFmtId="4" fontId="82" fillId="0" borderId="30" xfId="0" applyNumberFormat="1" applyFont="1" applyBorder="1" applyAlignment="1">
      <alignment horizontal="right" vertical="center" wrapText="1"/>
    </xf>
    <xf numFmtId="4" fontId="82" fillId="0" borderId="31" xfId="0" applyNumberFormat="1" applyFont="1" applyBorder="1" applyAlignment="1">
      <alignment horizontal="right" vertical="center" wrapText="1"/>
    </xf>
    <xf numFmtId="4" fontId="15" fillId="0" borderId="55" xfId="0" applyNumberFormat="1" applyFont="1" applyBorder="1" applyAlignment="1">
      <alignment horizontal="right" vertical="center" wrapText="1"/>
    </xf>
    <xf numFmtId="4" fontId="15" fillId="0" borderId="102" xfId="0" applyNumberFormat="1" applyFont="1" applyBorder="1" applyAlignment="1">
      <alignment horizontal="right" vertical="center" wrapText="1"/>
    </xf>
    <xf numFmtId="4" fontId="15" fillId="0" borderId="6" xfId="0" applyNumberFormat="1" applyFont="1" applyBorder="1" applyAlignment="1">
      <alignment horizontal="right" vertical="center" wrapText="1"/>
    </xf>
    <xf numFmtId="4" fontId="82" fillId="0" borderId="48" xfId="0" applyNumberFormat="1" applyFont="1" applyBorder="1" applyAlignment="1">
      <alignment horizontal="right" vertical="center" wrapText="1"/>
    </xf>
    <xf numFmtId="4" fontId="82" fillId="0" borderId="52" xfId="0" applyNumberFormat="1" applyFont="1" applyBorder="1" applyAlignment="1">
      <alignment horizontal="right" vertical="center" wrapText="1"/>
    </xf>
    <xf numFmtId="49" fontId="85" fillId="0" borderId="62" xfId="0" applyNumberFormat="1" applyFont="1" applyBorder="1" applyAlignment="1">
      <alignment horizontal="center" vertical="center" wrapText="1"/>
    </xf>
    <xf numFmtId="0" fontId="85" fillId="0" borderId="71" xfId="0" applyFont="1" applyBorder="1" applyAlignment="1">
      <alignment horizontal="justify" vertical="center" wrapText="1"/>
    </xf>
    <xf numFmtId="4" fontId="86" fillId="0" borderId="91" xfId="0" applyNumberFormat="1" applyFont="1" applyBorder="1" applyAlignment="1">
      <alignment horizontal="right" vertical="center" wrapText="1"/>
    </xf>
    <xf numFmtId="0" fontId="207" fillId="7" borderId="0" xfId="13" applyFont="1" applyFill="1"/>
    <xf numFmtId="49" fontId="85" fillId="0" borderId="36" xfId="0" applyNumberFormat="1" applyFont="1" applyBorder="1" applyAlignment="1">
      <alignment horizontal="center" vertical="center" wrapText="1"/>
    </xf>
    <xf numFmtId="0" fontId="85" fillId="0" borderId="25" xfId="0" applyFont="1" applyBorder="1" applyAlignment="1">
      <alignment horizontal="justify" vertical="center" wrapText="1"/>
    </xf>
    <xf numFmtId="4" fontId="86" fillId="0" borderId="82" xfId="0" applyNumberFormat="1" applyFont="1" applyBorder="1" applyAlignment="1">
      <alignment horizontal="right" vertical="center" wrapText="1"/>
    </xf>
    <xf numFmtId="4" fontId="86" fillId="7" borderId="35" xfId="13" applyNumberFormat="1" applyFont="1" applyFill="1" applyBorder="1" applyAlignment="1">
      <alignment horizontal="right"/>
    </xf>
    <xf numFmtId="4" fontId="86" fillId="7" borderId="28" xfId="13" applyNumberFormat="1" applyFont="1" applyFill="1" applyBorder="1" applyAlignment="1">
      <alignment horizontal="right"/>
    </xf>
    <xf numFmtId="4" fontId="84" fillId="7" borderId="112" xfId="13" applyNumberFormat="1" applyFont="1" applyFill="1" applyBorder="1" applyAlignment="1">
      <alignment horizontal="right"/>
    </xf>
    <xf numFmtId="4" fontId="84" fillId="7" borderId="35" xfId="13" applyNumberFormat="1" applyFont="1" applyFill="1" applyBorder="1" applyAlignment="1">
      <alignment horizontal="right"/>
    </xf>
    <xf numFmtId="4" fontId="81" fillId="41" borderId="33" xfId="13" applyNumberFormat="1" applyFont="1" applyFill="1" applyBorder="1" applyAlignment="1">
      <alignment horizontal="right"/>
    </xf>
    <xf numFmtId="4" fontId="84" fillId="41" borderId="33" xfId="13" applyNumberFormat="1" applyFont="1" applyFill="1" applyBorder="1" applyAlignment="1">
      <alignment horizontal="right"/>
    </xf>
    <xf numFmtId="0" fontId="15" fillId="42" borderId="31" xfId="0" applyFont="1" applyFill="1" applyBorder="1" applyAlignment="1">
      <alignment horizontal="center" vertical="center" wrapText="1"/>
    </xf>
    <xf numFmtId="0" fontId="86" fillId="0" borderId="91" xfId="0" applyFont="1" applyBorder="1" applyAlignment="1">
      <alignment horizontal="center" vertical="center" wrapText="1"/>
    </xf>
    <xf numFmtId="0" fontId="86" fillId="0" borderId="82" xfId="0" applyFont="1" applyBorder="1" applyAlignment="1">
      <alignment horizontal="center" vertical="center" wrapText="1"/>
    </xf>
    <xf numFmtId="4" fontId="86" fillId="7" borderId="39" xfId="13" applyNumberFormat="1" applyFont="1" applyFill="1" applyBorder="1" applyAlignment="1">
      <alignment horizontal="right"/>
    </xf>
    <xf numFmtId="4" fontId="86" fillId="7" borderId="112" xfId="13" applyNumberFormat="1" applyFont="1" applyFill="1" applyBorder="1" applyAlignment="1">
      <alignment horizontal="right"/>
    </xf>
    <xf numFmtId="4" fontId="86" fillId="7" borderId="121" xfId="13" applyNumberFormat="1" applyFont="1" applyFill="1" applyBorder="1" applyAlignment="1">
      <alignment horizontal="right"/>
    </xf>
    <xf numFmtId="49" fontId="82" fillId="42" borderId="30" xfId="0" applyNumberFormat="1" applyFont="1" applyFill="1" applyBorder="1" applyAlignment="1">
      <alignment horizontal="center" vertical="center" wrapText="1"/>
    </xf>
    <xf numFmtId="0" fontId="82" fillId="42" borderId="31" xfId="0" applyFont="1" applyFill="1" applyBorder="1" applyAlignment="1">
      <alignment horizontal="justify" vertical="center" wrapText="1"/>
    </xf>
    <xf numFmtId="0" fontId="15" fillId="42" borderId="119" xfId="0" applyFont="1" applyFill="1" applyBorder="1" applyAlignment="1">
      <alignment horizontal="center" vertical="center" wrapText="1"/>
    </xf>
    <xf numFmtId="4" fontId="15" fillId="42" borderId="32" xfId="0" applyNumberFormat="1" applyFont="1" applyFill="1" applyBorder="1" applyAlignment="1">
      <alignment horizontal="center" vertical="center" wrapText="1"/>
    </xf>
    <xf numFmtId="0" fontId="15" fillId="41" borderId="37" xfId="13" applyFont="1" applyFill="1" applyBorder="1" applyAlignment="1">
      <alignment horizontal="center" vertical="center" wrapText="1"/>
    </xf>
    <xf numFmtId="4" fontId="15" fillId="0" borderId="26" xfId="0" applyNumberFormat="1" applyFont="1" applyBorder="1" applyAlignment="1">
      <alignment horizontal="right" vertical="center" wrapText="1"/>
    </xf>
    <xf numFmtId="4" fontId="15" fillId="0" borderId="108" xfId="0" applyNumberFormat="1" applyFont="1" applyBorder="1" applyAlignment="1">
      <alignment horizontal="right" vertical="center" wrapText="1"/>
    </xf>
    <xf numFmtId="4" fontId="82" fillId="0" borderId="92" xfId="0" applyNumberFormat="1" applyFont="1" applyBorder="1" applyAlignment="1">
      <alignment horizontal="right" vertical="center" wrapText="1"/>
    </xf>
    <xf numFmtId="4" fontId="82" fillId="0" borderId="26" xfId="0" applyNumberFormat="1" applyFont="1" applyBorder="1" applyAlignment="1">
      <alignment horizontal="right" vertical="center" wrapText="1"/>
    </xf>
    <xf numFmtId="4" fontId="15" fillId="0" borderId="27" xfId="0" applyNumberFormat="1" applyFont="1" applyBorder="1" applyAlignment="1">
      <alignment horizontal="right" vertical="center" wrapText="1"/>
    </xf>
    <xf numFmtId="4" fontId="15" fillId="0" borderId="25" xfId="0" applyNumberFormat="1" applyFont="1" applyFill="1" applyBorder="1" applyAlignment="1">
      <alignment horizontal="right" vertical="center" wrapText="1"/>
    </xf>
    <xf numFmtId="4" fontId="15" fillId="0" borderId="82" xfId="0" applyNumberFormat="1" applyFont="1" applyFill="1" applyBorder="1" applyAlignment="1">
      <alignment horizontal="right" vertical="center" wrapText="1"/>
    </xf>
    <xf numFmtId="4" fontId="15" fillId="0" borderId="26" xfId="0" applyNumberFormat="1" applyFont="1" applyFill="1" applyBorder="1" applyAlignment="1">
      <alignment horizontal="right" vertical="center" wrapText="1"/>
    </xf>
    <xf numFmtId="4" fontId="15" fillId="0" borderId="102" xfId="0" applyNumberFormat="1" applyFont="1" applyFill="1" applyBorder="1" applyAlignment="1">
      <alignment horizontal="right" vertical="center" wrapText="1"/>
    </xf>
    <xf numFmtId="4" fontId="15" fillId="0" borderId="98" xfId="0" applyNumberFormat="1" applyFont="1" applyFill="1" applyBorder="1" applyAlignment="1">
      <alignment horizontal="right" vertical="center" wrapText="1"/>
    </xf>
    <xf numFmtId="4" fontId="15" fillId="0" borderId="103" xfId="0" applyNumberFormat="1" applyFont="1" applyFill="1" applyBorder="1" applyAlignment="1">
      <alignment horizontal="right" vertical="center" wrapText="1"/>
    </xf>
    <xf numFmtId="0" fontId="195" fillId="0" borderId="55" xfId="0" applyFont="1" applyBorder="1" applyAlignment="1">
      <alignment horizontal="right" vertical="center" wrapText="1"/>
    </xf>
    <xf numFmtId="0" fontId="195" fillId="0" borderId="63" xfId="0" applyFont="1" applyBorder="1" applyAlignment="1">
      <alignment horizontal="right" vertical="center" wrapText="1"/>
    </xf>
    <xf numFmtId="4" fontId="82" fillId="0" borderId="29" xfId="0" applyNumberFormat="1" applyFont="1" applyBorder="1" applyAlignment="1">
      <alignment horizontal="right" vertical="center" wrapText="1"/>
    </xf>
    <xf numFmtId="4" fontId="82" fillId="0" borderId="103" xfId="0" applyNumberFormat="1" applyFont="1" applyBorder="1" applyAlignment="1">
      <alignment horizontal="right" vertical="center" wrapText="1"/>
    </xf>
    <xf numFmtId="4" fontId="82" fillId="0" borderId="32" xfId="0" applyNumberFormat="1" applyFont="1" applyBorder="1" applyAlignment="1">
      <alignment horizontal="right" vertical="center" wrapText="1"/>
    </xf>
    <xf numFmtId="4" fontId="15" fillId="0" borderId="98" xfId="0" applyNumberFormat="1" applyFont="1" applyBorder="1" applyAlignment="1">
      <alignment horizontal="right" vertical="center" wrapText="1"/>
    </xf>
    <xf numFmtId="4" fontId="15" fillId="0" borderId="103" xfId="0" applyNumberFormat="1" applyFont="1" applyBorder="1" applyAlignment="1">
      <alignment horizontal="right" vertical="center" wrapText="1"/>
    </xf>
    <xf numFmtId="4" fontId="15" fillId="0" borderId="104" xfId="0" applyNumberFormat="1" applyFont="1" applyFill="1" applyBorder="1" applyAlignment="1">
      <alignment horizontal="right" vertical="center" wrapText="1"/>
    </xf>
    <xf numFmtId="4" fontId="15" fillId="0" borderId="105" xfId="0" applyNumberFormat="1" applyFont="1" applyFill="1" applyBorder="1" applyAlignment="1">
      <alignment horizontal="right" vertical="center" wrapText="1"/>
    </xf>
    <xf numFmtId="4" fontId="15" fillId="0" borderId="108" xfId="0" applyNumberFormat="1" applyFont="1" applyFill="1" applyBorder="1" applyAlignment="1">
      <alignment horizontal="right" vertical="center" wrapText="1"/>
    </xf>
    <xf numFmtId="4" fontId="15" fillId="0" borderId="113" xfId="0" applyNumberFormat="1" applyFont="1" applyBorder="1" applyAlignment="1">
      <alignment horizontal="right" vertical="center" wrapText="1"/>
    </xf>
    <xf numFmtId="4" fontId="15" fillId="0" borderId="114" xfId="0" applyNumberFormat="1" applyFont="1" applyBorder="1" applyAlignment="1">
      <alignment horizontal="right" vertical="center" wrapText="1"/>
    </xf>
    <xf numFmtId="4" fontId="82" fillId="42" borderId="52" xfId="0" applyNumberFormat="1" applyFont="1" applyFill="1" applyBorder="1" applyAlignment="1">
      <alignment horizontal="right" vertical="center" wrapText="1"/>
    </xf>
    <xf numFmtId="4" fontId="82" fillId="42" borderId="53" xfId="0" applyNumberFormat="1" applyFont="1" applyFill="1" applyBorder="1" applyAlignment="1">
      <alignment horizontal="right" vertical="center" wrapText="1"/>
    </xf>
    <xf numFmtId="4" fontId="82" fillId="42" borderId="54" xfId="0" applyNumberFormat="1" applyFont="1" applyFill="1" applyBorder="1" applyAlignment="1">
      <alignment horizontal="right" vertical="center" wrapText="1"/>
    </xf>
    <xf numFmtId="4" fontId="82" fillId="42" borderId="32" xfId="0" applyNumberFormat="1" applyFont="1" applyFill="1" applyBorder="1" applyAlignment="1">
      <alignment horizontal="right" vertical="center" wrapText="1"/>
    </xf>
    <xf numFmtId="4" fontId="15" fillId="7" borderId="104" xfId="0" applyNumberFormat="1" applyFont="1" applyFill="1" applyBorder="1" applyAlignment="1">
      <alignment horizontal="right" vertical="center" wrapText="1"/>
    </xf>
    <xf numFmtId="4" fontId="15" fillId="7" borderId="105" xfId="0" applyNumberFormat="1" applyFont="1" applyFill="1" applyBorder="1" applyAlignment="1">
      <alignment horizontal="right" vertical="center" wrapText="1"/>
    </xf>
    <xf numFmtId="4" fontId="15" fillId="7" borderId="108" xfId="0" applyNumberFormat="1" applyFont="1" applyFill="1" applyBorder="1" applyAlignment="1">
      <alignment horizontal="right" vertical="center" wrapText="1"/>
    </xf>
    <xf numFmtId="4" fontId="15" fillId="7" borderId="25" xfId="0" applyNumberFormat="1" applyFont="1" applyFill="1" applyBorder="1" applyAlignment="1">
      <alignment horizontal="right" vertical="center" wrapText="1"/>
    </xf>
    <xf numFmtId="4" fontId="15" fillId="7" borderId="82" xfId="0" applyNumberFormat="1" applyFont="1" applyFill="1" applyBorder="1" applyAlignment="1">
      <alignment horizontal="right" vertical="center" wrapText="1"/>
    </xf>
    <xf numFmtId="4" fontId="15" fillId="7" borderId="26" xfId="0" applyNumberFormat="1" applyFont="1" applyFill="1" applyBorder="1" applyAlignment="1">
      <alignment horizontal="right" vertical="center" wrapText="1"/>
    </xf>
    <xf numFmtId="0" fontId="70" fillId="0" borderId="0" xfId="13" applyFont="1" applyBorder="1" applyAlignment="1">
      <alignment vertical="center" wrapText="1"/>
    </xf>
    <xf numFmtId="0" fontId="64" fillId="0" borderId="37" xfId="0" applyFont="1" applyBorder="1" applyAlignment="1">
      <alignment horizontal="center" vertical="center" wrapText="1"/>
    </xf>
    <xf numFmtId="0" fontId="64" fillId="0" borderId="47" xfId="0" applyFont="1" applyBorder="1" applyAlignment="1">
      <alignment horizontal="center" vertical="center" wrapText="1"/>
    </xf>
    <xf numFmtId="0" fontId="64" fillId="0" borderId="0" xfId="0" applyFont="1" applyAlignment="1">
      <alignment horizontal="center" wrapText="1"/>
    </xf>
    <xf numFmtId="0" fontId="65" fillId="0" borderId="82" xfId="0" applyFont="1" applyBorder="1" applyAlignment="1">
      <alignment wrapText="1"/>
    </xf>
    <xf numFmtId="0" fontId="65" fillId="0" borderId="90" xfId="0" applyFont="1" applyBorder="1" applyAlignment="1">
      <alignment wrapText="1"/>
    </xf>
    <xf numFmtId="0" fontId="65" fillId="0" borderId="109" xfId="0" applyFont="1" applyBorder="1" applyAlignment="1">
      <alignment wrapText="1"/>
    </xf>
    <xf numFmtId="0" fontId="65" fillId="0" borderId="124" xfId="0" applyFont="1" applyBorder="1" applyAlignment="1">
      <alignment wrapText="1"/>
    </xf>
    <xf numFmtId="0" fontId="65" fillId="42" borderId="124" xfId="0" applyFont="1" applyFill="1" applyBorder="1" applyAlignment="1">
      <alignment wrapText="1"/>
    </xf>
    <xf numFmtId="0" fontId="65" fillId="0" borderId="104" xfId="0" applyFont="1" applyBorder="1" applyAlignment="1">
      <alignment wrapText="1"/>
    </xf>
    <xf numFmtId="0" fontId="65" fillId="0" borderId="105" xfId="0" applyFont="1" applyBorder="1" applyAlignment="1">
      <alignment wrapText="1"/>
    </xf>
    <xf numFmtId="0" fontId="65" fillId="0" borderId="108" xfId="0" applyFont="1" applyBorder="1" applyAlignment="1">
      <alignment wrapText="1"/>
    </xf>
    <xf numFmtId="0" fontId="65" fillId="0" borderId="125" xfId="0" applyFont="1" applyBorder="1" applyAlignment="1">
      <alignment wrapText="1"/>
    </xf>
    <xf numFmtId="0" fontId="65" fillId="42" borderId="87" xfId="0" applyFont="1" applyFill="1" applyBorder="1" applyAlignment="1">
      <alignment wrapText="1"/>
    </xf>
    <xf numFmtId="4" fontId="65" fillId="42" borderId="87" xfId="0" applyNumberFormat="1" applyFont="1" applyFill="1" applyBorder="1" applyAlignment="1">
      <alignment wrapText="1"/>
    </xf>
    <xf numFmtId="4" fontId="65" fillId="42" borderId="110" xfId="0" applyNumberFormat="1" applyFont="1" applyFill="1" applyBorder="1" applyAlignment="1">
      <alignment wrapText="1"/>
    </xf>
    <xf numFmtId="4" fontId="208" fillId="7" borderId="0" xfId="13" applyNumberFormat="1" applyFont="1" applyFill="1"/>
    <xf numFmtId="0" fontId="195" fillId="0" borderId="95" xfId="0" applyFont="1" applyBorder="1" applyAlignment="1">
      <alignment horizontal="right" vertical="center" wrapText="1"/>
    </xf>
    <xf numFmtId="4" fontId="82" fillId="42" borderId="30" xfId="0" applyNumberFormat="1" applyFont="1" applyFill="1" applyBorder="1" applyAlignment="1">
      <alignment horizontal="center" vertical="center" wrapText="1"/>
    </xf>
    <xf numFmtId="4" fontId="15" fillId="41" borderId="33" xfId="13" applyNumberFormat="1" applyFont="1" applyFill="1" applyBorder="1" applyAlignment="1">
      <alignment horizontal="center"/>
    </xf>
    <xf numFmtId="4" fontId="15" fillId="41" borderId="58" xfId="13" applyNumberFormat="1" applyFont="1" applyFill="1" applyBorder="1" applyAlignment="1">
      <alignment horizontal="center"/>
    </xf>
    <xf numFmtId="4" fontId="15" fillId="7" borderId="33" xfId="13" applyNumberFormat="1" applyFont="1" applyFill="1" applyBorder="1" applyAlignment="1">
      <alignment horizontal="center"/>
    </xf>
    <xf numFmtId="4" fontId="82" fillId="41" borderId="33" xfId="13" applyNumberFormat="1" applyFont="1" applyFill="1" applyBorder="1" applyAlignment="1">
      <alignment horizontal="right"/>
    </xf>
    <xf numFmtId="0" fontId="209" fillId="7" borderId="0" xfId="13" applyFont="1" applyFill="1" applyBorder="1" applyAlignment="1">
      <alignment horizontal="center" wrapText="1"/>
    </xf>
    <xf numFmtId="201" fontId="8" fillId="0" borderId="0" xfId="13" applyNumberFormat="1" applyAlignment="1">
      <alignment horizontal="right" vertical="center" wrapText="1"/>
    </xf>
    <xf numFmtId="0" fontId="8" fillId="0" borderId="0" xfId="13" applyAlignment="1">
      <alignment vertical="center" wrapText="1"/>
    </xf>
    <xf numFmtId="49" fontId="8" fillId="0" borderId="0" xfId="13" applyNumberFormat="1" applyAlignment="1">
      <alignment vertical="center" wrapText="1"/>
    </xf>
    <xf numFmtId="4" fontId="8" fillId="0" borderId="0" xfId="13" applyNumberFormat="1" applyAlignment="1">
      <alignment vertical="center" wrapText="1"/>
    </xf>
    <xf numFmtId="49" fontId="212" fillId="0" borderId="33" xfId="13" applyNumberFormat="1" applyFont="1" applyBorder="1" applyAlignment="1">
      <alignment horizontal="center" vertical="center" wrapText="1"/>
    </xf>
    <xf numFmtId="0" fontId="212" fillId="0" borderId="47" xfId="13" applyFont="1" applyBorder="1" applyAlignment="1">
      <alignment horizontal="center" vertical="center" wrapText="1"/>
    </xf>
    <xf numFmtId="4" fontId="212" fillId="0" borderId="47" xfId="13" applyNumberFormat="1" applyFont="1" applyBorder="1" applyAlignment="1">
      <alignment horizontal="center" vertical="center" wrapText="1"/>
    </xf>
    <xf numFmtId="49" fontId="213" fillId="0" borderId="56" xfId="13" applyNumberFormat="1" applyFont="1" applyBorder="1" applyAlignment="1">
      <alignment horizontal="center" vertical="center" wrapText="1"/>
    </xf>
    <xf numFmtId="0" fontId="213" fillId="0" borderId="63" xfId="13" applyFont="1" applyBorder="1" applyAlignment="1">
      <alignment horizontal="center" vertical="center" wrapText="1"/>
    </xf>
    <xf numFmtId="49" fontId="212" fillId="0" borderId="71" xfId="13" applyNumberFormat="1" applyFont="1" applyBorder="1" applyAlignment="1">
      <alignment horizontal="center" vertical="center" wrapText="1"/>
    </xf>
    <xf numFmtId="0" fontId="212" fillId="0" borderId="91" xfId="13" applyFont="1" applyBorder="1" applyAlignment="1">
      <alignment horizontal="justify" vertical="center" wrapText="1"/>
    </xf>
    <xf numFmtId="0" fontId="212" fillId="0" borderId="91" xfId="13" applyFont="1" applyBorder="1" applyAlignment="1">
      <alignment horizontal="center" vertical="center" wrapText="1"/>
    </xf>
    <xf numFmtId="4" fontId="212" fillId="0" borderId="91" xfId="13" applyNumberFormat="1" applyFont="1" applyBorder="1" applyAlignment="1">
      <alignment horizontal="center" vertical="center" wrapText="1"/>
    </xf>
    <xf numFmtId="4" fontId="212" fillId="0" borderId="92" xfId="13" applyNumberFormat="1" applyFont="1" applyBorder="1" applyAlignment="1">
      <alignment horizontal="center" vertical="center" wrapText="1"/>
    </xf>
    <xf numFmtId="201" fontId="135" fillId="0" borderId="0" xfId="13" applyNumberFormat="1" applyFont="1" applyAlignment="1">
      <alignment horizontal="right" vertical="center" wrapText="1"/>
    </xf>
    <xf numFmtId="0" fontId="135" fillId="0" borderId="0" xfId="13" applyFont="1" applyAlignment="1">
      <alignment vertical="center" wrapText="1"/>
    </xf>
    <xf numFmtId="49" fontId="212" fillId="0" borderId="25" xfId="13" applyNumberFormat="1" applyFont="1" applyBorder="1" applyAlignment="1">
      <alignment horizontal="center" vertical="center" wrapText="1"/>
    </xf>
    <xf numFmtId="0" fontId="212" fillId="0" borderId="82" xfId="13" applyFont="1" applyBorder="1" applyAlignment="1">
      <alignment horizontal="justify" vertical="center" wrapText="1"/>
    </xf>
    <xf numFmtId="0" fontId="212" fillId="0" borderId="82" xfId="13" applyFont="1" applyBorder="1" applyAlignment="1">
      <alignment horizontal="center" vertical="center" wrapText="1"/>
    </xf>
    <xf numFmtId="4" fontId="212" fillId="0" borderId="82" xfId="13" applyNumberFormat="1" applyFont="1" applyBorder="1" applyAlignment="1">
      <alignment horizontal="center" vertical="center" wrapText="1"/>
    </xf>
    <xf numFmtId="4" fontId="212" fillId="0" borderId="26" xfId="13" applyNumberFormat="1" applyFont="1" applyBorder="1" applyAlignment="1">
      <alignment horizontal="center" vertical="center" wrapText="1"/>
    </xf>
    <xf numFmtId="49" fontId="213" fillId="0" borderId="104" xfId="13" applyNumberFormat="1" applyFont="1" applyBorder="1" applyAlignment="1">
      <alignment horizontal="center" vertical="center" wrapText="1"/>
    </xf>
    <xf numFmtId="0" fontId="213" fillId="0" borderId="105" xfId="13" applyFont="1" applyBorder="1" applyAlignment="1">
      <alignment horizontal="justify" vertical="center" wrapText="1"/>
    </xf>
    <xf numFmtId="0" fontId="213" fillId="0" borderId="105" xfId="13" applyFont="1" applyBorder="1" applyAlignment="1">
      <alignment horizontal="center" vertical="center" wrapText="1"/>
    </xf>
    <xf numFmtId="4" fontId="213" fillId="0" borderId="105" xfId="13" applyNumberFormat="1" applyFont="1" applyBorder="1" applyAlignment="1">
      <alignment horizontal="center" vertical="center" wrapText="1"/>
    </xf>
    <xf numFmtId="4" fontId="213" fillId="0" borderId="108" xfId="13" applyNumberFormat="1" applyFont="1" applyBorder="1" applyAlignment="1">
      <alignment horizontal="center" vertical="center" wrapText="1"/>
    </xf>
    <xf numFmtId="49" fontId="213" fillId="0" borderId="25" xfId="13" applyNumberFormat="1" applyFont="1" applyBorder="1" applyAlignment="1">
      <alignment horizontal="center" vertical="center" wrapText="1"/>
    </xf>
    <xf numFmtId="0" fontId="213" fillId="0" borderId="82" xfId="13" applyFont="1" applyBorder="1" applyAlignment="1">
      <alignment horizontal="justify" vertical="center" wrapText="1"/>
    </xf>
    <xf numFmtId="0" fontId="213" fillId="0" borderId="82" xfId="13" applyFont="1" applyBorder="1" applyAlignment="1">
      <alignment horizontal="center" vertical="center" wrapText="1"/>
    </xf>
    <xf numFmtId="4" fontId="213" fillId="0" borderId="82" xfId="13" applyNumberFormat="1" applyFont="1" applyBorder="1" applyAlignment="1">
      <alignment horizontal="center" vertical="center" wrapText="1"/>
    </xf>
    <xf numFmtId="4" fontId="213" fillId="0" borderId="26" xfId="13" applyNumberFormat="1" applyFont="1" applyBorder="1" applyAlignment="1">
      <alignment horizontal="center" vertical="center" wrapText="1"/>
    </xf>
    <xf numFmtId="49" fontId="213" fillId="0" borderId="52" xfId="13" applyNumberFormat="1" applyFont="1" applyBorder="1" applyAlignment="1">
      <alignment horizontal="center" vertical="center" wrapText="1"/>
    </xf>
    <xf numFmtId="0" fontId="213" fillId="0" borderId="53" xfId="13" applyFont="1" applyBorder="1" applyAlignment="1">
      <alignment horizontal="justify" vertical="center" wrapText="1"/>
    </xf>
    <xf numFmtId="0" fontId="213" fillId="0" borderId="53" xfId="13" applyFont="1" applyBorder="1" applyAlignment="1">
      <alignment horizontal="center" vertical="center" wrapText="1"/>
    </xf>
    <xf numFmtId="4" fontId="213" fillId="0" borderId="53" xfId="13" applyNumberFormat="1" applyFont="1" applyBorder="1" applyAlignment="1">
      <alignment horizontal="center" vertical="center" wrapText="1"/>
    </xf>
    <xf numFmtId="4" fontId="213" fillId="0" borderId="54" xfId="13" applyNumberFormat="1" applyFont="1" applyBorder="1" applyAlignment="1">
      <alignment horizontal="center" vertical="center" wrapText="1"/>
    </xf>
    <xf numFmtId="49" fontId="213" fillId="0" borderId="94" xfId="13" applyNumberFormat="1" applyFont="1" applyBorder="1" applyAlignment="1">
      <alignment horizontal="center" vertical="center" wrapText="1"/>
    </xf>
    <xf numFmtId="0" fontId="213" fillId="0" borderId="95" xfId="13" applyFont="1" applyBorder="1" applyAlignment="1">
      <alignment horizontal="justify" vertical="center" wrapText="1"/>
    </xf>
    <xf numFmtId="0" fontId="213" fillId="0" borderId="95" xfId="13" applyFont="1" applyBorder="1" applyAlignment="1">
      <alignment horizontal="center" vertical="center" wrapText="1"/>
    </xf>
    <xf numFmtId="4" fontId="213" fillId="0" borderId="95" xfId="13" applyNumberFormat="1" applyFont="1" applyBorder="1" applyAlignment="1">
      <alignment horizontal="center" vertical="center" wrapText="1"/>
    </xf>
    <xf numFmtId="4" fontId="213" fillId="0" borderId="27" xfId="13" applyNumberFormat="1" applyFont="1" applyBorder="1" applyAlignment="1">
      <alignment horizontal="center" vertical="center" wrapText="1"/>
    </xf>
    <xf numFmtId="49" fontId="212" fillId="0" borderId="30" xfId="13" applyNumberFormat="1" applyFont="1" applyBorder="1" applyAlignment="1">
      <alignment horizontal="center" vertical="center" wrapText="1"/>
    </xf>
    <xf numFmtId="0" fontId="212" fillId="101" borderId="31" xfId="13" applyFont="1" applyFill="1" applyBorder="1" applyAlignment="1">
      <alignment horizontal="justify" vertical="center" wrapText="1"/>
    </xf>
    <xf numFmtId="0" fontId="212" fillId="0" borderId="31" xfId="13" applyFont="1" applyBorder="1" applyAlignment="1">
      <alignment vertical="center" wrapText="1"/>
    </xf>
    <xf numFmtId="4" fontId="212" fillId="0" borderId="31" xfId="13" applyNumberFormat="1" applyFont="1" applyBorder="1" applyAlignment="1">
      <alignment vertical="center" wrapText="1"/>
    </xf>
    <xf numFmtId="4" fontId="212" fillId="0" borderId="32" xfId="13" applyNumberFormat="1" applyFont="1" applyBorder="1" applyAlignment="1">
      <alignment vertical="center" wrapText="1"/>
    </xf>
    <xf numFmtId="49" fontId="213" fillId="0" borderId="71" xfId="13" applyNumberFormat="1" applyFont="1" applyBorder="1" applyAlignment="1">
      <alignment horizontal="center" vertical="center" wrapText="1"/>
    </xf>
    <xf numFmtId="0" fontId="213" fillId="0" borderId="91" xfId="13" applyFont="1" applyBorder="1" applyAlignment="1">
      <alignment horizontal="justify" vertical="center" wrapText="1"/>
    </xf>
    <xf numFmtId="0" fontId="213" fillId="0" borderId="91" xfId="13" applyFont="1" applyBorder="1" applyAlignment="1">
      <alignment horizontal="center" vertical="center" wrapText="1"/>
    </xf>
    <xf numFmtId="4" fontId="213" fillId="0" borderId="91" xfId="13" applyNumberFormat="1" applyFont="1" applyBorder="1" applyAlignment="1">
      <alignment horizontal="center" vertical="center" wrapText="1"/>
    </xf>
    <xf numFmtId="4" fontId="213" fillId="0" borderId="92" xfId="13" applyNumberFormat="1" applyFont="1" applyBorder="1" applyAlignment="1">
      <alignment horizontal="center" vertical="center" wrapText="1"/>
    </xf>
    <xf numFmtId="0" fontId="212" fillId="0" borderId="31" xfId="13" applyFont="1" applyBorder="1" applyAlignment="1">
      <alignment horizontal="justify" vertical="center" wrapText="1"/>
    </xf>
    <xf numFmtId="0" fontId="212" fillId="0" borderId="31" xfId="13" applyFont="1" applyBorder="1" applyAlignment="1">
      <alignment horizontal="center" vertical="center" wrapText="1"/>
    </xf>
    <xf numFmtId="4" fontId="212" fillId="0" borderId="31" xfId="13" applyNumberFormat="1" applyFont="1" applyBorder="1" applyAlignment="1">
      <alignment horizontal="center" vertical="center" wrapText="1"/>
    </xf>
    <xf numFmtId="4" fontId="212" fillId="0" borderId="32" xfId="13" applyNumberFormat="1" applyFont="1" applyBorder="1" applyAlignment="1">
      <alignment horizontal="center" vertical="center" wrapText="1"/>
    </xf>
    <xf numFmtId="49" fontId="212" fillId="0" borderId="28" xfId="13" applyNumberFormat="1" applyFont="1" applyBorder="1" applyAlignment="1">
      <alignment horizontal="center" vertical="center" wrapText="1"/>
    </xf>
    <xf numFmtId="0" fontId="212" fillId="0" borderId="7" xfId="13" applyFont="1" applyBorder="1" applyAlignment="1">
      <alignment horizontal="justify" vertical="center" wrapText="1"/>
    </xf>
    <xf numFmtId="0" fontId="212" fillId="0" borderId="7" xfId="13" applyFont="1" applyBorder="1" applyAlignment="1">
      <alignment horizontal="center" vertical="center" wrapText="1"/>
    </xf>
    <xf numFmtId="4" fontId="212" fillId="0" borderId="7" xfId="13" applyNumberFormat="1" applyFont="1" applyBorder="1" applyAlignment="1">
      <alignment horizontal="center" vertical="center" wrapText="1"/>
    </xf>
    <xf numFmtId="4" fontId="212" fillId="0" borderId="29" xfId="13" applyNumberFormat="1" applyFont="1" applyBorder="1" applyAlignment="1">
      <alignment horizontal="center" vertical="center" wrapText="1"/>
    </xf>
    <xf numFmtId="49" fontId="212" fillId="102" borderId="30" xfId="13" applyNumberFormat="1" applyFont="1" applyFill="1" applyBorder="1" applyAlignment="1">
      <alignment horizontal="center" vertical="center" wrapText="1"/>
    </xf>
    <xf numFmtId="0" fontId="212" fillId="102" borderId="31" xfId="13" applyFont="1" applyFill="1" applyBorder="1" applyAlignment="1">
      <alignment horizontal="justify" vertical="center" wrapText="1"/>
    </xf>
    <xf numFmtId="0" fontId="212" fillId="102" borderId="31" xfId="13" applyFont="1" applyFill="1" applyBorder="1" applyAlignment="1">
      <alignment horizontal="center" vertical="center" wrapText="1"/>
    </xf>
    <xf numFmtId="4" fontId="212" fillId="102" borderId="31" xfId="13" applyNumberFormat="1" applyFont="1" applyFill="1" applyBorder="1" applyAlignment="1">
      <alignment horizontal="center" vertical="center" wrapText="1"/>
    </xf>
    <xf numFmtId="4" fontId="212" fillId="102" borderId="32" xfId="13" applyNumberFormat="1" applyFont="1" applyFill="1" applyBorder="1" applyAlignment="1">
      <alignment horizontal="center" vertical="center" wrapText="1"/>
    </xf>
    <xf numFmtId="49" fontId="212" fillId="0" borderId="102" xfId="13" applyNumberFormat="1" applyFont="1" applyBorder="1" applyAlignment="1">
      <alignment horizontal="center" vertical="center" wrapText="1"/>
    </xf>
    <xf numFmtId="0" fontId="212" fillId="0" borderId="98" xfId="13" applyFont="1" applyBorder="1" applyAlignment="1">
      <alignment horizontal="justify" vertical="center" wrapText="1"/>
    </xf>
    <xf numFmtId="0" fontId="212" fillId="0" borderId="98" xfId="13" applyFont="1" applyBorder="1" applyAlignment="1">
      <alignment horizontal="center" vertical="center" wrapText="1"/>
    </xf>
    <xf numFmtId="4" fontId="212" fillId="0" borderId="98" xfId="13" applyNumberFormat="1" applyFont="1" applyBorder="1" applyAlignment="1">
      <alignment horizontal="center" vertical="center" wrapText="1"/>
    </xf>
    <xf numFmtId="4" fontId="212" fillId="0" borderId="103" xfId="13" applyNumberFormat="1" applyFont="1" applyBorder="1" applyAlignment="1">
      <alignment horizontal="center" vertical="center" wrapText="1"/>
    </xf>
    <xf numFmtId="49" fontId="213" fillId="0" borderId="102" xfId="13" applyNumberFormat="1" applyFont="1" applyBorder="1" applyAlignment="1">
      <alignment horizontal="center" vertical="center" wrapText="1"/>
    </xf>
    <xf numFmtId="0" fontId="213" fillId="0" borderId="98" xfId="13" applyFont="1" applyBorder="1" applyAlignment="1">
      <alignment horizontal="justify" vertical="center" wrapText="1"/>
    </xf>
    <xf numFmtId="0" fontId="213" fillId="0" borderId="98" xfId="13" applyFont="1" applyBorder="1" applyAlignment="1">
      <alignment horizontal="center" vertical="center" wrapText="1"/>
    </xf>
    <xf numFmtId="4" fontId="213" fillId="0" borderId="98" xfId="13" applyNumberFormat="1" applyFont="1" applyBorder="1" applyAlignment="1">
      <alignment horizontal="center" vertical="center" wrapText="1"/>
    </xf>
    <xf numFmtId="4" fontId="213" fillId="0" borderId="103" xfId="13" applyNumberFormat="1" applyFont="1" applyBorder="1" applyAlignment="1">
      <alignment horizontal="center" vertical="center" wrapText="1"/>
    </xf>
    <xf numFmtId="49" fontId="213" fillId="0" borderId="6" xfId="13" applyNumberFormat="1" applyFont="1" applyBorder="1" applyAlignment="1">
      <alignment horizontal="center" vertical="center" wrapText="1"/>
    </xf>
    <xf numFmtId="0" fontId="213" fillId="0" borderId="113" xfId="13" applyFont="1" applyBorder="1" applyAlignment="1">
      <alignment horizontal="justify" vertical="center" wrapText="1"/>
    </xf>
    <xf numFmtId="0" fontId="213" fillId="0" borderId="113" xfId="13" applyFont="1" applyBorder="1" applyAlignment="1">
      <alignment horizontal="center" vertical="center" wrapText="1"/>
    </xf>
    <xf numFmtId="4" fontId="213" fillId="0" borderId="113" xfId="13" applyNumberFormat="1" applyFont="1" applyBorder="1" applyAlignment="1">
      <alignment horizontal="center" vertical="center" wrapText="1"/>
    </xf>
    <xf numFmtId="4" fontId="213" fillId="0" borderId="114" xfId="13" applyNumberFormat="1" applyFont="1" applyBorder="1" applyAlignment="1">
      <alignment horizontal="center" vertical="center" wrapText="1"/>
    </xf>
    <xf numFmtId="49" fontId="212" fillId="0" borderId="52" xfId="13" applyNumberFormat="1" applyFont="1" applyBorder="1" applyAlignment="1">
      <alignment horizontal="center" vertical="center" wrapText="1"/>
    </xf>
    <xf numFmtId="0" fontId="212" fillId="0" borderId="53" xfId="13" applyFont="1" applyBorder="1" applyAlignment="1">
      <alignment horizontal="justify" vertical="center" wrapText="1"/>
    </xf>
    <xf numFmtId="0" fontId="88" fillId="0" borderId="0" xfId="41997" applyFont="1" applyFill="1" applyAlignment="1"/>
    <xf numFmtId="0" fontId="135" fillId="0" borderId="0" xfId="13" applyFont="1" applyFill="1" applyAlignment="1">
      <alignment vertical="center" wrapText="1"/>
    </xf>
    <xf numFmtId="0" fontId="8" fillId="0" borderId="0" xfId="13" applyFill="1" applyAlignment="1">
      <alignment vertical="center" wrapText="1"/>
    </xf>
    <xf numFmtId="16" fontId="213" fillId="0" borderId="105" xfId="13" applyNumberFormat="1" applyFont="1" applyBorder="1" applyAlignment="1">
      <alignment horizontal="center" vertical="center" wrapText="1"/>
    </xf>
    <xf numFmtId="49" fontId="212" fillId="100" borderId="30" xfId="13" applyNumberFormat="1" applyFont="1" applyFill="1" applyBorder="1" applyAlignment="1">
      <alignment horizontal="center" vertical="center" wrapText="1"/>
    </xf>
    <xf numFmtId="0" fontId="212" fillId="100" borderId="31" xfId="13" applyFont="1" applyFill="1" applyBorder="1" applyAlignment="1">
      <alignment horizontal="justify" vertical="center" wrapText="1"/>
    </xf>
    <xf numFmtId="0" fontId="212" fillId="100" borderId="31" xfId="13" applyFont="1" applyFill="1" applyBorder="1" applyAlignment="1">
      <alignment horizontal="center" vertical="center" wrapText="1"/>
    </xf>
    <xf numFmtId="4" fontId="212" fillId="100" borderId="31" xfId="13" applyNumberFormat="1" applyFont="1" applyFill="1" applyBorder="1" applyAlignment="1">
      <alignment horizontal="center" vertical="center" wrapText="1"/>
    </xf>
    <xf numFmtId="4" fontId="212" fillId="100" borderId="32" xfId="13" applyNumberFormat="1" applyFont="1" applyFill="1" applyBorder="1" applyAlignment="1">
      <alignment horizontal="center" vertical="center" wrapText="1"/>
    </xf>
    <xf numFmtId="4" fontId="213" fillId="0" borderId="82" xfId="13" applyNumberFormat="1" applyFont="1" applyFill="1" applyBorder="1" applyAlignment="1">
      <alignment horizontal="center" vertical="center" wrapText="1"/>
    </xf>
    <xf numFmtId="4" fontId="213" fillId="0" borderId="26" xfId="13" applyNumberFormat="1" applyFont="1" applyFill="1" applyBorder="1" applyAlignment="1">
      <alignment horizontal="center" vertical="center" wrapText="1"/>
    </xf>
    <xf numFmtId="49" fontId="213" fillId="0" borderId="104" xfId="13" applyNumberFormat="1" applyFont="1" applyFill="1" applyBorder="1" applyAlignment="1">
      <alignment horizontal="center" vertical="center" wrapText="1"/>
    </xf>
    <xf numFmtId="0" fontId="213" fillId="0" borderId="105" xfId="13" applyFont="1" applyFill="1" applyBorder="1" applyAlignment="1">
      <alignment horizontal="justify" vertical="center" wrapText="1"/>
    </xf>
    <xf numFmtId="0" fontId="213" fillId="0" borderId="105" xfId="13" applyFont="1" applyFill="1" applyBorder="1" applyAlignment="1">
      <alignment horizontal="center" vertical="center" wrapText="1"/>
    </xf>
    <xf numFmtId="4" fontId="213" fillId="0" borderId="105" xfId="13" applyNumberFormat="1" applyFont="1" applyFill="1" applyBorder="1" applyAlignment="1">
      <alignment horizontal="center" vertical="center" wrapText="1"/>
    </xf>
    <xf numFmtId="4" fontId="213" fillId="0" borderId="108" xfId="13" applyNumberFormat="1" applyFont="1" applyFill="1" applyBorder="1" applyAlignment="1">
      <alignment horizontal="center" vertical="center" wrapText="1"/>
    </xf>
    <xf numFmtId="0" fontId="213" fillId="43" borderId="105" xfId="13" applyFont="1" applyFill="1" applyBorder="1" applyAlignment="1">
      <alignment horizontal="justify" vertical="center" wrapText="1"/>
    </xf>
    <xf numFmtId="0" fontId="213" fillId="43" borderId="82" xfId="13" applyFont="1" applyFill="1" applyBorder="1" applyAlignment="1">
      <alignment horizontal="justify" vertical="center" wrapText="1"/>
    </xf>
    <xf numFmtId="0" fontId="213" fillId="0" borderId="82" xfId="13" applyFont="1" applyFill="1" applyBorder="1" applyAlignment="1">
      <alignment horizontal="justify" vertical="center" wrapText="1"/>
    </xf>
    <xf numFmtId="0" fontId="213" fillId="0" borderId="82" xfId="13" applyFont="1" applyFill="1" applyBorder="1" applyAlignment="1">
      <alignment horizontal="center" vertical="center" wrapText="1"/>
    </xf>
    <xf numFmtId="0" fontId="213" fillId="0" borderId="53" xfId="13" applyFont="1" applyFill="1" applyBorder="1" applyAlignment="1">
      <alignment horizontal="justify" vertical="center" wrapText="1"/>
    </xf>
    <xf numFmtId="0" fontId="213" fillId="0" borderId="53" xfId="13" applyFont="1" applyFill="1" applyBorder="1" applyAlignment="1">
      <alignment horizontal="center" vertical="center" wrapText="1"/>
    </xf>
    <xf numFmtId="49" fontId="213" fillId="0" borderId="102" xfId="13" applyNumberFormat="1" applyFont="1" applyFill="1" applyBorder="1" applyAlignment="1">
      <alignment horizontal="center" vertical="center" wrapText="1"/>
    </xf>
    <xf numFmtId="0" fontId="213" fillId="0" borderId="98" xfId="13" applyFont="1" applyFill="1" applyBorder="1" applyAlignment="1">
      <alignment horizontal="justify" vertical="center" wrapText="1"/>
    </xf>
    <xf numFmtId="0" fontId="213" fillId="0" borderId="98" xfId="13" applyFont="1" applyFill="1" applyBorder="1" applyAlignment="1">
      <alignment horizontal="center" vertical="center" wrapText="1"/>
    </xf>
    <xf numFmtId="4" fontId="213" fillId="0" borderId="98" xfId="13" applyNumberFormat="1" applyFont="1" applyFill="1" applyBorder="1" applyAlignment="1">
      <alignment horizontal="center" vertical="center" wrapText="1"/>
    </xf>
    <xf numFmtId="4" fontId="213" fillId="0" borderId="103" xfId="13" applyNumberFormat="1" applyFont="1" applyFill="1" applyBorder="1" applyAlignment="1">
      <alignment horizontal="center" vertical="center" wrapText="1"/>
    </xf>
    <xf numFmtId="0" fontId="212" fillId="0" borderId="31" xfId="13" applyFont="1" applyFill="1" applyBorder="1" applyAlignment="1">
      <alignment horizontal="justify" vertical="center" wrapText="1"/>
    </xf>
    <xf numFmtId="49" fontId="213" fillId="0" borderId="25" xfId="13" applyNumberFormat="1" applyFont="1" applyFill="1" applyBorder="1" applyAlignment="1">
      <alignment horizontal="center" vertical="center" wrapText="1"/>
    </xf>
    <xf numFmtId="4" fontId="8" fillId="0" borderId="0" xfId="13" applyNumberFormat="1" applyAlignment="1">
      <alignment horizontal="center" vertical="center" wrapText="1"/>
    </xf>
    <xf numFmtId="4" fontId="135" fillId="0" borderId="0" xfId="13" applyNumberFormat="1" applyFont="1" applyAlignment="1">
      <alignment vertical="center" wrapText="1"/>
    </xf>
    <xf numFmtId="4" fontId="8" fillId="0" borderId="0" xfId="13" applyNumberFormat="1" applyFill="1" applyAlignment="1">
      <alignment vertical="center" wrapText="1"/>
    </xf>
    <xf numFmtId="201" fontId="8" fillId="0" borderId="0" xfId="13" applyNumberFormat="1" applyFill="1" applyAlignment="1">
      <alignment horizontal="right" vertical="center" wrapText="1"/>
    </xf>
    <xf numFmtId="201" fontId="8" fillId="0" borderId="0" xfId="13" applyNumberFormat="1" applyAlignment="1">
      <alignment vertical="center" wrapText="1"/>
    </xf>
    <xf numFmtId="201" fontId="135" fillId="0" borderId="0" xfId="13" applyNumberFormat="1" applyFont="1" applyAlignment="1">
      <alignment vertical="center" wrapText="1"/>
    </xf>
    <xf numFmtId="0" fontId="212" fillId="0" borderId="82" xfId="13" applyFont="1" applyFill="1" applyBorder="1" applyAlignment="1">
      <alignment horizontal="center" vertical="center" wrapText="1"/>
    </xf>
    <xf numFmtId="4" fontId="212" fillId="0" borderId="82" xfId="13" applyNumberFormat="1" applyFont="1" applyFill="1" applyBorder="1" applyAlignment="1">
      <alignment horizontal="center" vertical="center" wrapText="1"/>
    </xf>
    <xf numFmtId="0" fontId="212" fillId="0" borderId="91" xfId="13" applyFont="1" applyFill="1" applyBorder="1" applyAlignment="1">
      <alignment horizontal="center" vertical="center" wrapText="1"/>
    </xf>
    <xf numFmtId="4" fontId="212" fillId="0" borderId="91" xfId="13" applyNumberFormat="1" applyFont="1" applyFill="1" applyBorder="1" applyAlignment="1">
      <alignment horizontal="center" vertical="center" wrapText="1"/>
    </xf>
    <xf numFmtId="4" fontId="212" fillId="7" borderId="91" xfId="13" applyNumberFormat="1" applyFont="1" applyFill="1" applyBorder="1" applyAlignment="1">
      <alignment horizontal="center" vertical="center" wrapText="1"/>
    </xf>
    <xf numFmtId="4" fontId="212" fillId="7" borderId="82" xfId="13" applyNumberFormat="1" applyFont="1" applyFill="1" applyBorder="1" applyAlignment="1">
      <alignment horizontal="center" vertical="center" wrapText="1"/>
    </xf>
    <xf numFmtId="4" fontId="213" fillId="7" borderId="105" xfId="13" applyNumberFormat="1" applyFont="1" applyFill="1" applyBorder="1" applyAlignment="1">
      <alignment horizontal="center" vertical="center" wrapText="1"/>
    </xf>
    <xf numFmtId="4" fontId="213" fillId="7" borderId="82" xfId="13" applyNumberFormat="1" applyFont="1" applyFill="1" applyBorder="1" applyAlignment="1">
      <alignment horizontal="center" vertical="center" wrapText="1"/>
    </xf>
    <xf numFmtId="4" fontId="213" fillId="7" borderId="95" xfId="13" applyNumberFormat="1" applyFont="1" applyFill="1" applyBorder="1" applyAlignment="1">
      <alignment horizontal="center" vertical="center" wrapText="1"/>
    </xf>
    <xf numFmtId="4" fontId="212" fillId="7" borderId="31" xfId="13" applyNumberFormat="1" applyFont="1" applyFill="1" applyBorder="1" applyAlignment="1">
      <alignment vertical="center" wrapText="1"/>
    </xf>
    <xf numFmtId="4" fontId="213" fillId="7" borderId="98" xfId="13" applyNumberFormat="1" applyFont="1" applyFill="1" applyBorder="1" applyAlignment="1">
      <alignment horizontal="center" vertical="center" wrapText="1"/>
    </xf>
    <xf numFmtId="4" fontId="212" fillId="7" borderId="31" xfId="13" applyNumberFormat="1" applyFont="1" applyFill="1" applyBorder="1" applyAlignment="1">
      <alignment horizontal="center" vertical="center" wrapText="1"/>
    </xf>
    <xf numFmtId="4" fontId="213" fillId="7" borderId="113" xfId="13" applyNumberFormat="1" applyFont="1" applyFill="1" applyBorder="1" applyAlignment="1">
      <alignment horizontal="center" vertical="center" wrapText="1"/>
    </xf>
    <xf numFmtId="4" fontId="213" fillId="7" borderId="91" xfId="13" applyNumberFormat="1" applyFont="1" applyFill="1" applyBorder="1" applyAlignment="1">
      <alignment horizontal="center" vertical="center" wrapText="1"/>
    </xf>
    <xf numFmtId="4" fontId="8" fillId="7" borderId="0" xfId="13" applyNumberFormat="1" applyFill="1" applyAlignment="1">
      <alignment vertical="center" wrapText="1"/>
    </xf>
    <xf numFmtId="4" fontId="212" fillId="7" borderId="47" xfId="13" applyNumberFormat="1" applyFont="1" applyFill="1" applyBorder="1" applyAlignment="1">
      <alignment horizontal="center" vertical="center" wrapText="1"/>
    </xf>
    <xf numFmtId="4" fontId="213" fillId="7" borderId="53" xfId="13" applyNumberFormat="1" applyFont="1" applyFill="1" applyBorder="1" applyAlignment="1">
      <alignment horizontal="center" vertical="center" wrapText="1"/>
    </xf>
    <xf numFmtId="4" fontId="212" fillId="7" borderId="7" xfId="13" applyNumberFormat="1" applyFont="1" applyFill="1" applyBorder="1" applyAlignment="1">
      <alignment horizontal="center" vertical="center" wrapText="1"/>
    </xf>
    <xf numFmtId="4" fontId="212" fillId="7" borderId="98" xfId="13" applyNumberFormat="1" applyFont="1" applyFill="1" applyBorder="1" applyAlignment="1">
      <alignment horizontal="center" vertical="center" wrapText="1"/>
    </xf>
    <xf numFmtId="0" fontId="88" fillId="7" borderId="0" xfId="41997" applyFont="1" applyFill="1" applyAlignment="1"/>
    <xf numFmtId="49" fontId="212" fillId="103" borderId="30" xfId="13" applyNumberFormat="1" applyFont="1" applyFill="1" applyBorder="1" applyAlignment="1">
      <alignment horizontal="center" vertical="center" wrapText="1"/>
    </xf>
    <xf numFmtId="0" fontId="212" fillId="103" borderId="31" xfId="13" applyFont="1" applyFill="1" applyBorder="1" applyAlignment="1">
      <alignment horizontal="justify" vertical="center" wrapText="1"/>
    </xf>
    <xf numFmtId="0" fontId="212" fillId="103" borderId="31" xfId="13" applyFont="1" applyFill="1" applyBorder="1" applyAlignment="1">
      <alignment horizontal="center" vertical="center" wrapText="1"/>
    </xf>
    <xf numFmtId="4" fontId="212" fillId="103" borderId="31" xfId="13" applyNumberFormat="1" applyFont="1" applyFill="1" applyBorder="1" applyAlignment="1">
      <alignment horizontal="center" vertical="center" wrapText="1"/>
    </xf>
    <xf numFmtId="4" fontId="212" fillId="103" borderId="32" xfId="13" applyNumberFormat="1" applyFont="1" applyFill="1" applyBorder="1" applyAlignment="1">
      <alignment horizontal="center" vertical="center" wrapText="1"/>
    </xf>
    <xf numFmtId="0" fontId="8" fillId="7" borderId="0" xfId="13" applyFill="1" applyAlignment="1">
      <alignment vertical="center" wrapText="1"/>
    </xf>
    <xf numFmtId="0" fontId="212" fillId="7" borderId="47" xfId="13" applyFont="1" applyFill="1" applyBorder="1" applyAlignment="1">
      <alignment horizontal="center" vertical="center" wrapText="1"/>
    </xf>
    <xf numFmtId="0" fontId="213" fillId="7" borderId="63" xfId="13" applyFont="1" applyFill="1" applyBorder="1" applyAlignment="1">
      <alignment horizontal="center" vertical="center" wrapText="1"/>
    </xf>
    <xf numFmtId="0" fontId="212" fillId="7" borderId="31" xfId="13" applyFont="1" applyFill="1" applyBorder="1" applyAlignment="1">
      <alignment horizontal="center" vertical="center" wrapText="1"/>
    </xf>
    <xf numFmtId="4" fontId="212" fillId="7" borderId="32" xfId="13" applyNumberFormat="1" applyFont="1" applyFill="1" applyBorder="1" applyAlignment="1">
      <alignment horizontal="center" vertical="center" wrapText="1"/>
    </xf>
    <xf numFmtId="0" fontId="212" fillId="7" borderId="91" xfId="13" applyFont="1" applyFill="1" applyBorder="1" applyAlignment="1">
      <alignment horizontal="center" vertical="center" wrapText="1"/>
    </xf>
    <xf numFmtId="4" fontId="212" fillId="7" borderId="92" xfId="13" applyNumberFormat="1" applyFont="1" applyFill="1" applyBorder="1" applyAlignment="1">
      <alignment horizontal="center" vertical="center" wrapText="1"/>
    </xf>
    <xf numFmtId="0" fontId="135" fillId="7" borderId="0" xfId="13" applyFont="1" applyFill="1" applyAlignment="1">
      <alignment vertical="center" wrapText="1"/>
    </xf>
    <xf numFmtId="0" fontId="212" fillId="7" borderId="82" xfId="13" applyFont="1" applyFill="1" applyBorder="1" applyAlignment="1">
      <alignment horizontal="center" vertical="center" wrapText="1"/>
    </xf>
    <xf numFmtId="4" fontId="212" fillId="7" borderId="26" xfId="13" applyNumberFormat="1" applyFont="1" applyFill="1" applyBorder="1" applyAlignment="1">
      <alignment horizontal="center" vertical="center" wrapText="1"/>
    </xf>
    <xf numFmtId="0" fontId="213" fillId="7" borderId="105" xfId="13" applyFont="1" applyFill="1" applyBorder="1" applyAlignment="1">
      <alignment horizontal="center" vertical="center" wrapText="1"/>
    </xf>
    <xf numFmtId="4" fontId="213" fillId="7" borderId="108" xfId="13" applyNumberFormat="1" applyFont="1" applyFill="1" applyBorder="1" applyAlignment="1">
      <alignment horizontal="center" vertical="center" wrapText="1"/>
    </xf>
    <xf numFmtId="0" fontId="213" fillId="7" borderId="82" xfId="13" applyFont="1" applyFill="1" applyBorder="1" applyAlignment="1">
      <alignment horizontal="center" vertical="center" wrapText="1"/>
    </xf>
    <xf numFmtId="4" fontId="213" fillId="7" borderId="26" xfId="13" applyNumberFormat="1" applyFont="1" applyFill="1" applyBorder="1" applyAlignment="1">
      <alignment horizontal="center" vertical="center" wrapText="1"/>
    </xf>
    <xf numFmtId="0" fontId="213" fillId="7" borderId="53" xfId="13" applyFont="1" applyFill="1" applyBorder="1" applyAlignment="1">
      <alignment horizontal="center" vertical="center" wrapText="1"/>
    </xf>
    <xf numFmtId="4" fontId="213" fillId="7" borderId="54" xfId="13" applyNumberFormat="1" applyFont="1" applyFill="1" applyBorder="1" applyAlignment="1">
      <alignment horizontal="center" vertical="center" wrapText="1"/>
    </xf>
    <xf numFmtId="0" fontId="213" fillId="7" borderId="95" xfId="13" applyFont="1" applyFill="1" applyBorder="1" applyAlignment="1">
      <alignment horizontal="center" vertical="center" wrapText="1"/>
    </xf>
    <xf numFmtId="4" fontId="213" fillId="7" borderId="27" xfId="13" applyNumberFormat="1" applyFont="1" applyFill="1" applyBorder="1" applyAlignment="1">
      <alignment horizontal="center" vertical="center" wrapText="1"/>
    </xf>
    <xf numFmtId="0" fontId="212" fillId="7" borderId="31" xfId="13" applyFont="1" applyFill="1" applyBorder="1" applyAlignment="1">
      <alignment vertical="center" wrapText="1"/>
    </xf>
    <xf numFmtId="4" fontId="212" fillId="7" borderId="32" xfId="13" applyNumberFormat="1" applyFont="1" applyFill="1" applyBorder="1" applyAlignment="1">
      <alignment vertical="center" wrapText="1"/>
    </xf>
    <xf numFmtId="0" fontId="213" fillId="7" borderId="91" xfId="13" applyFont="1" applyFill="1" applyBorder="1" applyAlignment="1">
      <alignment horizontal="center" vertical="center" wrapText="1"/>
    </xf>
    <xf numFmtId="4" fontId="213" fillId="7" borderId="92" xfId="13" applyNumberFormat="1" applyFont="1" applyFill="1" applyBorder="1" applyAlignment="1">
      <alignment horizontal="center" vertical="center" wrapText="1"/>
    </xf>
    <xf numFmtId="0" fontId="212" fillId="7" borderId="7" xfId="13" applyFont="1" applyFill="1" applyBorder="1" applyAlignment="1">
      <alignment horizontal="center" vertical="center" wrapText="1"/>
    </xf>
    <xf numFmtId="4" fontId="212" fillId="7" borderId="29" xfId="13" applyNumberFormat="1" applyFont="1" applyFill="1" applyBorder="1" applyAlignment="1">
      <alignment horizontal="center" vertical="center" wrapText="1"/>
    </xf>
    <xf numFmtId="0" fontId="212" fillId="7" borderId="98" xfId="13" applyFont="1" applyFill="1" applyBorder="1" applyAlignment="1">
      <alignment horizontal="center" vertical="center" wrapText="1"/>
    </xf>
    <xf numFmtId="4" fontId="212" fillId="7" borderId="103" xfId="13" applyNumberFormat="1" applyFont="1" applyFill="1" applyBorder="1" applyAlignment="1">
      <alignment horizontal="center" vertical="center" wrapText="1"/>
    </xf>
    <xf numFmtId="0" fontId="213" fillId="7" borderId="98" xfId="13" applyFont="1" applyFill="1" applyBorder="1" applyAlignment="1">
      <alignment horizontal="center" vertical="center" wrapText="1"/>
    </xf>
    <xf numFmtId="4" fontId="213" fillId="7" borderId="103" xfId="13" applyNumberFormat="1" applyFont="1" applyFill="1" applyBorder="1" applyAlignment="1">
      <alignment horizontal="center" vertical="center" wrapText="1"/>
    </xf>
    <xf numFmtId="0" fontId="213" fillId="7" borderId="113" xfId="13" applyFont="1" applyFill="1" applyBorder="1" applyAlignment="1">
      <alignment horizontal="center" vertical="center" wrapText="1"/>
    </xf>
    <xf numFmtId="4" fontId="213" fillId="7" borderId="114" xfId="13" applyNumberFormat="1" applyFont="1" applyFill="1" applyBorder="1" applyAlignment="1">
      <alignment horizontal="center" vertical="center" wrapText="1"/>
    </xf>
    <xf numFmtId="3" fontId="213" fillId="7" borderId="63" xfId="13" applyNumberFormat="1" applyFont="1" applyFill="1" applyBorder="1" applyAlignment="1">
      <alignment horizontal="center" vertical="center" wrapText="1"/>
    </xf>
    <xf numFmtId="49" fontId="212" fillId="103" borderId="52" xfId="13" applyNumberFormat="1" applyFont="1" applyFill="1" applyBorder="1" applyAlignment="1">
      <alignment horizontal="center" vertical="center" wrapText="1"/>
    </xf>
    <xf numFmtId="0" fontId="212" fillId="103" borderId="53" xfId="13" applyFont="1" applyFill="1" applyBorder="1" applyAlignment="1">
      <alignment horizontal="justify" vertical="center" wrapText="1"/>
    </xf>
    <xf numFmtId="0" fontId="212" fillId="103" borderId="53" xfId="13" applyFont="1" applyFill="1" applyBorder="1" applyAlignment="1">
      <alignment horizontal="center" vertical="center" wrapText="1"/>
    </xf>
    <xf numFmtId="4" fontId="212" fillId="103" borderId="53" xfId="13" applyNumberFormat="1" applyFont="1" applyFill="1" applyBorder="1" applyAlignment="1">
      <alignment horizontal="center" vertical="center" wrapText="1"/>
    </xf>
    <xf numFmtId="4" fontId="212" fillId="103" borderId="54" xfId="13" applyNumberFormat="1" applyFont="1" applyFill="1" applyBorder="1" applyAlignment="1">
      <alignment horizontal="center" vertical="center" wrapText="1"/>
    </xf>
    <xf numFmtId="0" fontId="8" fillId="0" borderId="0" xfId="13" applyBorder="1" applyAlignment="1">
      <alignment vertical="center" wrapText="1"/>
    </xf>
    <xf numFmtId="0" fontId="8" fillId="7" borderId="0" xfId="13" applyFill="1" applyBorder="1" applyAlignment="1">
      <alignment vertical="center" wrapText="1"/>
    </xf>
    <xf numFmtId="4" fontId="8" fillId="7" borderId="0" xfId="13" applyNumberFormat="1" applyFill="1" applyBorder="1" applyAlignment="1">
      <alignment vertical="center" wrapText="1"/>
    </xf>
    <xf numFmtId="4" fontId="8" fillId="7" borderId="63" xfId="13" applyNumberFormat="1" applyFill="1" applyBorder="1" applyAlignment="1">
      <alignment vertical="center" wrapText="1"/>
    </xf>
    <xf numFmtId="49" fontId="213" fillId="0" borderId="30" xfId="13" applyNumberFormat="1" applyFont="1" applyBorder="1" applyAlignment="1">
      <alignment horizontal="center" vertical="center" wrapText="1"/>
    </xf>
    <xf numFmtId="0" fontId="213" fillId="0" borderId="31" xfId="13" applyFont="1" applyBorder="1" applyAlignment="1">
      <alignment horizontal="justify" vertical="center" wrapText="1"/>
    </xf>
    <xf numFmtId="0" fontId="213" fillId="0" borderId="31" xfId="13" applyFont="1" applyBorder="1" applyAlignment="1">
      <alignment horizontal="center" vertical="center" wrapText="1"/>
    </xf>
    <xf numFmtId="0" fontId="213" fillId="7" borderId="31" xfId="13" applyFont="1" applyFill="1" applyBorder="1" applyAlignment="1">
      <alignment horizontal="center" vertical="center" wrapText="1"/>
    </xf>
    <xf numFmtId="4" fontId="213" fillId="7" borderId="31" xfId="13" applyNumberFormat="1" applyFont="1" applyFill="1" applyBorder="1" applyAlignment="1">
      <alignment horizontal="center" vertical="center" wrapText="1"/>
    </xf>
    <xf numFmtId="4" fontId="213" fillId="7" borderId="32" xfId="13" applyNumberFormat="1" applyFont="1" applyFill="1" applyBorder="1" applyAlignment="1">
      <alignment horizontal="center" vertical="center" wrapText="1"/>
    </xf>
    <xf numFmtId="3" fontId="213" fillId="0" borderId="63" xfId="13" applyNumberFormat="1" applyFont="1" applyBorder="1" applyAlignment="1">
      <alignment horizontal="center" vertical="center" wrapText="1"/>
    </xf>
    <xf numFmtId="0" fontId="64" fillId="0" borderId="37" xfId="0" applyFont="1" applyBorder="1" applyAlignment="1">
      <alignment horizontal="center" vertical="center" wrapText="1"/>
    </xf>
    <xf numFmtId="0" fontId="64" fillId="0" borderId="47" xfId="0" applyFont="1" applyBorder="1" applyAlignment="1">
      <alignment horizontal="center" vertical="center" wrapText="1"/>
    </xf>
    <xf numFmtId="0" fontId="64" fillId="0" borderId="0" xfId="0" applyFont="1" applyAlignment="1">
      <alignment horizontal="center" wrapText="1"/>
    </xf>
    <xf numFmtId="0" fontId="65" fillId="0" borderId="47" xfId="0" applyFont="1" applyBorder="1" applyAlignment="1">
      <alignment horizontal="center" vertical="center" wrapText="1"/>
    </xf>
    <xf numFmtId="0" fontId="214" fillId="0" borderId="52" xfId="0" applyFont="1" applyBorder="1" applyAlignment="1">
      <alignment horizontal="justify" vertical="center" wrapText="1"/>
    </xf>
    <xf numFmtId="0" fontId="215" fillId="0" borderId="105" xfId="0" applyFont="1" applyBorder="1" applyAlignment="1">
      <alignment horizontal="center" vertical="center" wrapText="1"/>
    </xf>
    <xf numFmtId="4" fontId="213" fillId="0" borderId="63" xfId="13" applyNumberFormat="1" applyFont="1" applyBorder="1" applyAlignment="1">
      <alignment horizontal="center" vertical="center" wrapText="1"/>
    </xf>
    <xf numFmtId="49" fontId="212" fillId="6" borderId="30" xfId="13" applyNumberFormat="1" applyFont="1" applyFill="1" applyBorder="1" applyAlignment="1">
      <alignment horizontal="center" vertical="center" wrapText="1"/>
    </xf>
    <xf numFmtId="0" fontId="212" fillId="6" borderId="31" xfId="13" applyFont="1" applyFill="1" applyBorder="1" applyAlignment="1">
      <alignment horizontal="justify" vertical="center" wrapText="1"/>
    </xf>
    <xf numFmtId="0" fontId="212" fillId="6" borderId="31" xfId="13" applyFont="1" applyFill="1" applyBorder="1" applyAlignment="1">
      <alignment horizontal="center" vertical="center" wrapText="1"/>
    </xf>
    <xf numFmtId="4" fontId="212" fillId="6" borderId="31" xfId="13" applyNumberFormat="1" applyFont="1" applyFill="1" applyBorder="1" applyAlignment="1">
      <alignment horizontal="center" vertical="center" wrapText="1"/>
    </xf>
    <xf numFmtId="4" fontId="212" fillId="6" borderId="32" xfId="13" applyNumberFormat="1" applyFont="1" applyFill="1" applyBorder="1" applyAlignment="1">
      <alignment horizontal="center" vertical="center" wrapText="1"/>
    </xf>
    <xf numFmtId="49" fontId="212" fillId="6" borderId="52" xfId="13" applyNumberFormat="1" applyFont="1" applyFill="1" applyBorder="1" applyAlignment="1">
      <alignment horizontal="center" vertical="center" wrapText="1"/>
    </xf>
    <xf numFmtId="0" fontId="212" fillId="6" borderId="53" xfId="13" applyFont="1" applyFill="1" applyBorder="1" applyAlignment="1">
      <alignment horizontal="justify" vertical="center" wrapText="1"/>
    </xf>
    <xf numFmtId="0" fontId="212" fillId="6" borderId="53" xfId="13" applyFont="1" applyFill="1" applyBorder="1" applyAlignment="1">
      <alignment horizontal="center" vertical="center" wrapText="1"/>
    </xf>
    <xf numFmtId="4" fontId="212" fillId="6" borderId="53" xfId="13" applyNumberFormat="1" applyFont="1" applyFill="1" applyBorder="1" applyAlignment="1">
      <alignment horizontal="center" vertical="center" wrapText="1"/>
    </xf>
    <xf numFmtId="4" fontId="212" fillId="6" borderId="54" xfId="13" applyNumberFormat="1" applyFont="1" applyFill="1" applyBorder="1" applyAlignment="1">
      <alignment horizontal="center" vertical="center" wrapText="1"/>
    </xf>
    <xf numFmtId="4" fontId="212" fillId="0" borderId="26" xfId="13" applyNumberFormat="1" applyFont="1" applyFill="1" applyBorder="1" applyAlignment="1">
      <alignment horizontal="center" vertical="center" wrapText="1"/>
    </xf>
    <xf numFmtId="4" fontId="212" fillId="0" borderId="92" xfId="13" applyNumberFormat="1" applyFont="1" applyFill="1" applyBorder="1" applyAlignment="1">
      <alignment horizontal="center" vertical="center" wrapText="1"/>
    </xf>
    <xf numFmtId="0" fontId="81" fillId="7" borderId="49" xfId="13" applyFont="1" applyFill="1" applyBorder="1" applyAlignment="1">
      <alignment vertical="center" wrapText="1"/>
    </xf>
    <xf numFmtId="0" fontId="15" fillId="7" borderId="126" xfId="13" applyFont="1" applyFill="1" applyBorder="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4" fontId="0" fillId="0" borderId="0" xfId="0" applyNumberFormat="1" applyAlignment="1">
      <alignment vertical="center" wrapText="1"/>
    </xf>
    <xf numFmtId="0" fontId="201" fillId="0" borderId="0" xfId="41998" applyFont="1"/>
    <xf numFmtId="0" fontId="201" fillId="0" borderId="0" xfId="46928" applyFont="1"/>
    <xf numFmtId="0" fontId="201" fillId="0" borderId="0" xfId="0" applyFont="1" applyFill="1"/>
    <xf numFmtId="0" fontId="216" fillId="0" borderId="0" xfId="0" applyFont="1" applyAlignment="1">
      <alignment horizontal="left"/>
    </xf>
    <xf numFmtId="0" fontId="216" fillId="0" borderId="0" xfId="0" applyFont="1" applyAlignment="1"/>
    <xf numFmtId="0" fontId="216" fillId="0" borderId="0" xfId="0" applyFont="1"/>
    <xf numFmtId="0" fontId="85" fillId="0" borderId="0" xfId="46927" applyFont="1" applyAlignment="1">
      <alignment horizontal="left"/>
    </xf>
    <xf numFmtId="0" fontId="85" fillId="0" borderId="0" xfId="46929" applyFont="1"/>
    <xf numFmtId="0" fontId="15" fillId="0" borderId="0" xfId="0" applyFont="1" applyFill="1" applyBorder="1"/>
    <xf numFmtId="4" fontId="217" fillId="0" borderId="0" xfId="0" applyNumberFormat="1" applyFont="1" applyAlignment="1">
      <alignment vertical="center" wrapText="1"/>
    </xf>
    <xf numFmtId="4" fontId="217" fillId="0" borderId="0" xfId="13" applyNumberFormat="1" applyFont="1" applyAlignment="1">
      <alignment vertical="center" wrapText="1"/>
    </xf>
    <xf numFmtId="0" fontId="85" fillId="0" borderId="0" xfId="46927" applyFont="1" applyAlignment="1">
      <alignment horizontal="right"/>
    </xf>
    <xf numFmtId="0" fontId="85" fillId="0" borderId="0" xfId="13" applyFont="1" applyAlignment="1">
      <alignment horizontal="left"/>
    </xf>
    <xf numFmtId="0" fontId="85" fillId="0" borderId="0" xfId="13" applyFont="1"/>
    <xf numFmtId="0" fontId="90" fillId="0" borderId="0" xfId="13" applyFont="1"/>
    <xf numFmtId="0" fontId="217" fillId="0" borderId="0" xfId="13" applyFont="1" applyAlignment="1">
      <alignment vertical="center" wrapText="1"/>
    </xf>
    <xf numFmtId="0" fontId="84" fillId="0" borderId="0" xfId="41997" applyFont="1" applyFill="1" applyAlignment="1"/>
    <xf numFmtId="201" fontId="217" fillId="0" borderId="0" xfId="13" applyNumberFormat="1" applyFont="1" applyAlignment="1">
      <alignment horizontal="right" vertical="center" wrapText="1"/>
    </xf>
    <xf numFmtId="0" fontId="64" fillId="0" borderId="37" xfId="0" applyFont="1" applyBorder="1" applyAlignment="1">
      <alignment horizontal="center" vertical="center" wrapText="1"/>
    </xf>
    <xf numFmtId="0" fontId="64" fillId="0" borderId="47" xfId="0" applyFont="1" applyBorder="1" applyAlignment="1">
      <alignment horizontal="center" vertical="center" wrapText="1"/>
    </xf>
    <xf numFmtId="0" fontId="64" fillId="0" borderId="49" xfId="0" applyFont="1" applyBorder="1" applyAlignment="1">
      <alignment horizontal="center" vertical="center" wrapText="1"/>
    </xf>
    <xf numFmtId="0" fontId="65" fillId="0" borderId="47" xfId="0" applyFont="1" applyBorder="1" applyAlignment="1">
      <alignment horizontal="center" vertical="center" wrapText="1"/>
    </xf>
    <xf numFmtId="0" fontId="15" fillId="0" borderId="51" xfId="13" applyFont="1" applyBorder="1" applyAlignment="1">
      <alignment horizontal="center" vertical="center" wrapText="1"/>
    </xf>
    <xf numFmtId="0" fontId="219" fillId="0" borderId="0" xfId="13" applyFont="1" applyAlignment="1">
      <alignment vertical="center" wrapText="1"/>
    </xf>
    <xf numFmtId="49" fontId="219" fillId="0" borderId="0" xfId="13" applyNumberFormat="1" applyFont="1" applyAlignment="1">
      <alignment vertical="center" wrapText="1"/>
    </xf>
    <xf numFmtId="4" fontId="219" fillId="0" borderId="0" xfId="13" applyNumberFormat="1" applyFont="1" applyAlignment="1">
      <alignment vertical="center" wrapText="1"/>
    </xf>
    <xf numFmtId="49" fontId="221" fillId="0" borderId="33" xfId="13" applyNumberFormat="1" applyFont="1" applyBorder="1" applyAlignment="1">
      <alignment horizontal="center" vertical="center" wrapText="1"/>
    </xf>
    <xf numFmtId="0" fontId="221" fillId="0" borderId="47" xfId="13" applyFont="1" applyBorder="1" applyAlignment="1">
      <alignment horizontal="center" vertical="center" wrapText="1"/>
    </xf>
    <xf numFmtId="4" fontId="221" fillId="0" borderId="47" xfId="13" applyNumberFormat="1" applyFont="1" applyBorder="1" applyAlignment="1">
      <alignment horizontal="center" vertical="center" wrapText="1"/>
    </xf>
    <xf numFmtId="49" fontId="222" fillId="0" borderId="56" xfId="13" applyNumberFormat="1" applyFont="1" applyBorder="1" applyAlignment="1">
      <alignment horizontal="center" vertical="center" wrapText="1"/>
    </xf>
    <xf numFmtId="0" fontId="222" fillId="0" borderId="63" xfId="13" applyFont="1" applyBorder="1" applyAlignment="1">
      <alignment horizontal="center" vertical="center" wrapText="1"/>
    </xf>
    <xf numFmtId="3" fontId="222" fillId="0" borderId="63" xfId="13" applyNumberFormat="1" applyFont="1" applyBorder="1" applyAlignment="1">
      <alignment horizontal="center" vertical="center" wrapText="1"/>
    </xf>
    <xf numFmtId="49" fontId="221" fillId="100" borderId="30" xfId="13" applyNumberFormat="1" applyFont="1" applyFill="1" applyBorder="1" applyAlignment="1">
      <alignment horizontal="center" vertical="center" wrapText="1"/>
    </xf>
    <xf numFmtId="0" fontId="221" fillId="100" borderId="31" xfId="13" applyFont="1" applyFill="1" applyBorder="1" applyAlignment="1">
      <alignment horizontal="justify" vertical="center" wrapText="1"/>
    </xf>
    <xf numFmtId="0" fontId="221" fillId="100" borderId="31" xfId="13" applyFont="1" applyFill="1" applyBorder="1" applyAlignment="1">
      <alignment horizontal="center" vertical="center" wrapText="1"/>
    </xf>
    <xf numFmtId="4" fontId="221" fillId="100" borderId="31" xfId="13" applyNumberFormat="1" applyFont="1" applyFill="1" applyBorder="1" applyAlignment="1">
      <alignment horizontal="center" vertical="center" wrapText="1"/>
    </xf>
    <xf numFmtId="4" fontId="221" fillId="100" borderId="32" xfId="13" applyNumberFormat="1" applyFont="1" applyFill="1" applyBorder="1" applyAlignment="1">
      <alignment horizontal="center" vertical="center" wrapText="1"/>
    </xf>
    <xf numFmtId="49" fontId="221" fillId="0" borderId="71" xfId="13" applyNumberFormat="1" applyFont="1" applyBorder="1" applyAlignment="1">
      <alignment horizontal="center" vertical="center" wrapText="1"/>
    </xf>
    <xf numFmtId="0" fontId="221" fillId="0" borderId="91" xfId="13" applyFont="1" applyBorder="1" applyAlignment="1">
      <alignment horizontal="justify" vertical="center" wrapText="1"/>
    </xf>
    <xf numFmtId="0" fontId="221" fillId="0" borderId="91" xfId="13" applyFont="1" applyBorder="1" applyAlignment="1">
      <alignment horizontal="center" vertical="center" wrapText="1"/>
    </xf>
    <xf numFmtId="4" fontId="221" fillId="0" borderId="91" xfId="13" applyNumberFormat="1" applyFont="1" applyBorder="1" applyAlignment="1">
      <alignment horizontal="center" vertical="center" wrapText="1"/>
    </xf>
    <xf numFmtId="4" fontId="221" fillId="7" borderId="91" xfId="13" applyNumberFormat="1" applyFont="1" applyFill="1" applyBorder="1" applyAlignment="1">
      <alignment horizontal="center" vertical="center" wrapText="1"/>
    </xf>
    <xf numFmtId="4" fontId="221" fillId="0" borderId="92" xfId="13" applyNumberFormat="1" applyFont="1" applyBorder="1" applyAlignment="1">
      <alignment horizontal="center" vertical="center" wrapText="1"/>
    </xf>
    <xf numFmtId="0" fontId="223" fillId="0" borderId="0" xfId="13" applyFont="1" applyAlignment="1">
      <alignment vertical="center" wrapText="1"/>
    </xf>
    <xf numFmtId="49" fontId="221" fillId="0" borderId="25" xfId="13" applyNumberFormat="1" applyFont="1" applyBorder="1" applyAlignment="1">
      <alignment horizontal="center" vertical="center" wrapText="1"/>
    </xf>
    <xf numFmtId="0" fontId="221" fillId="0" borderId="82" xfId="13" applyFont="1" applyBorder="1" applyAlignment="1">
      <alignment horizontal="justify" vertical="center" wrapText="1"/>
    </xf>
    <xf numFmtId="0" fontId="221" fillId="0" borderId="82" xfId="13" applyFont="1" applyBorder="1" applyAlignment="1">
      <alignment horizontal="center" vertical="center" wrapText="1"/>
    </xf>
    <xf numFmtId="4" fontId="221" fillId="0" borderId="82" xfId="13" applyNumberFormat="1" applyFont="1" applyBorder="1" applyAlignment="1">
      <alignment horizontal="center" vertical="center" wrapText="1"/>
    </xf>
    <xf numFmtId="4" fontId="221" fillId="7" borderId="82" xfId="13" applyNumberFormat="1" applyFont="1" applyFill="1" applyBorder="1" applyAlignment="1">
      <alignment horizontal="center" vertical="center" wrapText="1"/>
    </xf>
    <xf numFmtId="4" fontId="221" fillId="0" borderId="26" xfId="13" applyNumberFormat="1" applyFont="1" applyBorder="1" applyAlignment="1">
      <alignment horizontal="center" vertical="center" wrapText="1"/>
    </xf>
    <xf numFmtId="49" fontId="222" fillId="0" borderId="104" xfId="13" applyNumberFormat="1" applyFont="1" applyBorder="1" applyAlignment="1">
      <alignment horizontal="center" vertical="center" wrapText="1"/>
    </xf>
    <xf numFmtId="0" fontId="222" fillId="0" borderId="105" xfId="13" applyFont="1" applyBorder="1" applyAlignment="1">
      <alignment horizontal="justify" vertical="center" wrapText="1"/>
    </xf>
    <xf numFmtId="0" fontId="222" fillId="0" borderId="105" xfId="13" applyFont="1" applyBorder="1" applyAlignment="1">
      <alignment horizontal="center" vertical="center" wrapText="1"/>
    </xf>
    <xf numFmtId="4" fontId="222" fillId="0" borderId="105" xfId="13" applyNumberFormat="1" applyFont="1" applyBorder="1" applyAlignment="1">
      <alignment horizontal="center" vertical="center" wrapText="1"/>
    </xf>
    <xf numFmtId="4" fontId="222" fillId="7" borderId="105" xfId="13" applyNumberFormat="1" applyFont="1" applyFill="1" applyBorder="1" applyAlignment="1">
      <alignment horizontal="center" vertical="center" wrapText="1"/>
    </xf>
    <xf numFmtId="4" fontId="222" fillId="0" borderId="108" xfId="13" applyNumberFormat="1" applyFont="1" applyBorder="1" applyAlignment="1">
      <alignment horizontal="center" vertical="center" wrapText="1"/>
    </xf>
    <xf numFmtId="49" fontId="222" fillId="0" borderId="25" xfId="13" applyNumberFormat="1" applyFont="1" applyBorder="1" applyAlignment="1">
      <alignment horizontal="center" vertical="center" wrapText="1"/>
    </xf>
    <xf numFmtId="0" fontId="222" fillId="0" borderId="82" xfId="13" applyFont="1" applyBorder="1" applyAlignment="1">
      <alignment horizontal="justify" vertical="center" wrapText="1"/>
    </xf>
    <xf numFmtId="0" fontId="222" fillId="0" borderId="82" xfId="13" applyFont="1" applyBorder="1" applyAlignment="1">
      <alignment horizontal="center" vertical="center" wrapText="1"/>
    </xf>
    <xf numFmtId="4" fontId="222" fillId="0" borderId="82" xfId="13" applyNumberFormat="1" applyFont="1" applyBorder="1" applyAlignment="1">
      <alignment horizontal="center" vertical="center" wrapText="1"/>
    </xf>
    <xf numFmtId="4" fontId="222" fillId="7" borderId="82" xfId="13" applyNumberFormat="1" applyFont="1" applyFill="1" applyBorder="1" applyAlignment="1">
      <alignment horizontal="center" vertical="center" wrapText="1"/>
    </xf>
    <xf numFmtId="4" fontId="222" fillId="0" borderId="26" xfId="13" applyNumberFormat="1" applyFont="1" applyBorder="1" applyAlignment="1">
      <alignment horizontal="center" vertical="center" wrapText="1"/>
    </xf>
    <xf numFmtId="49" fontId="222" fillId="0" borderId="94" xfId="13" applyNumberFormat="1" applyFont="1" applyBorder="1" applyAlignment="1">
      <alignment horizontal="center" vertical="center" wrapText="1"/>
    </xf>
    <xf numFmtId="0" fontId="222" fillId="0" borderId="95" xfId="13" applyFont="1" applyBorder="1" applyAlignment="1">
      <alignment horizontal="justify" vertical="center" wrapText="1"/>
    </xf>
    <xf numFmtId="0" fontId="222" fillId="0" borderId="95" xfId="13" applyFont="1" applyBorder="1" applyAlignment="1">
      <alignment horizontal="center" vertical="center" wrapText="1"/>
    </xf>
    <xf numFmtId="4" fontId="222" fillId="0" borderId="95" xfId="13" applyNumberFormat="1" applyFont="1" applyBorder="1" applyAlignment="1">
      <alignment horizontal="center" vertical="center" wrapText="1"/>
    </xf>
    <xf numFmtId="4" fontId="222" fillId="7" borderId="95" xfId="13" applyNumberFormat="1" applyFont="1" applyFill="1" applyBorder="1" applyAlignment="1">
      <alignment horizontal="center" vertical="center" wrapText="1"/>
    </xf>
    <xf numFmtId="4" fontId="222" fillId="0" borderId="27" xfId="13" applyNumberFormat="1" applyFont="1" applyBorder="1" applyAlignment="1">
      <alignment horizontal="center" vertical="center" wrapText="1"/>
    </xf>
    <xf numFmtId="0" fontId="221" fillId="0" borderId="82" xfId="13" applyFont="1" applyFill="1" applyBorder="1" applyAlignment="1">
      <alignment horizontal="center" vertical="center" wrapText="1"/>
    </xf>
    <xf numFmtId="4" fontId="221" fillId="0" borderId="82" xfId="13" applyNumberFormat="1" applyFont="1" applyFill="1" applyBorder="1" applyAlignment="1">
      <alignment horizontal="center" vertical="center" wrapText="1"/>
    </xf>
    <xf numFmtId="0" fontId="222" fillId="0" borderId="82" xfId="13" applyFont="1" applyFill="1" applyBorder="1" applyAlignment="1">
      <alignment horizontal="center" vertical="center" wrapText="1"/>
    </xf>
    <xf numFmtId="4" fontId="222" fillId="0" borderId="82" xfId="13" applyNumberFormat="1" applyFont="1" applyFill="1" applyBorder="1" applyAlignment="1">
      <alignment horizontal="center" vertical="center" wrapText="1"/>
    </xf>
    <xf numFmtId="4" fontId="222" fillId="0" borderId="26" xfId="13" applyNumberFormat="1" applyFont="1" applyFill="1" applyBorder="1" applyAlignment="1">
      <alignment horizontal="center" vertical="center" wrapText="1"/>
    </xf>
    <xf numFmtId="0" fontId="222" fillId="0" borderId="105" xfId="13" applyFont="1" applyFill="1" applyBorder="1" applyAlignment="1">
      <alignment horizontal="center" vertical="center" wrapText="1"/>
    </xf>
    <xf numFmtId="4" fontId="222" fillId="0" borderId="105" xfId="13" applyNumberFormat="1" applyFont="1" applyFill="1" applyBorder="1" applyAlignment="1">
      <alignment horizontal="center" vertical="center" wrapText="1"/>
    </xf>
    <xf numFmtId="4" fontId="222" fillId="0" borderId="108" xfId="13" applyNumberFormat="1" applyFont="1" applyFill="1" applyBorder="1" applyAlignment="1">
      <alignment horizontal="center" vertical="center" wrapText="1"/>
    </xf>
    <xf numFmtId="0" fontId="221" fillId="0" borderId="91" xfId="13" applyFont="1" applyFill="1" applyBorder="1" applyAlignment="1">
      <alignment horizontal="center" vertical="center" wrapText="1"/>
    </xf>
    <xf numFmtId="4" fontId="221" fillId="0" borderId="91" xfId="13" applyNumberFormat="1" applyFont="1" applyFill="1" applyBorder="1" applyAlignment="1">
      <alignment horizontal="center" vertical="center" wrapText="1"/>
    </xf>
    <xf numFmtId="49" fontId="221" fillId="0" borderId="30" xfId="13" applyNumberFormat="1" applyFont="1" applyBorder="1" applyAlignment="1">
      <alignment horizontal="center" vertical="center" wrapText="1"/>
    </xf>
    <xf numFmtId="0" fontId="221" fillId="101" borderId="31" xfId="13" applyFont="1" applyFill="1" applyBorder="1" applyAlignment="1">
      <alignment horizontal="justify" vertical="center" wrapText="1"/>
    </xf>
    <xf numFmtId="0" fontId="221" fillId="0" borderId="31" xfId="13" applyFont="1" applyBorder="1" applyAlignment="1">
      <alignment vertical="center" wrapText="1"/>
    </xf>
    <xf numFmtId="4" fontId="221" fillId="0" borderId="31" xfId="13" applyNumberFormat="1" applyFont="1" applyBorder="1" applyAlignment="1">
      <alignment vertical="center" wrapText="1"/>
    </xf>
    <xf numFmtId="4" fontId="221" fillId="7" borderId="31" xfId="13" applyNumberFormat="1" applyFont="1" applyFill="1" applyBorder="1" applyAlignment="1">
      <alignment vertical="center" wrapText="1"/>
    </xf>
    <xf numFmtId="4" fontId="221" fillId="0" borderId="32" xfId="13" applyNumberFormat="1" applyFont="1" applyBorder="1" applyAlignment="1">
      <alignment vertical="center" wrapText="1"/>
    </xf>
    <xf numFmtId="0" fontId="222" fillId="0" borderId="98" xfId="13" applyFont="1" applyFill="1" applyBorder="1" applyAlignment="1">
      <alignment horizontal="center" vertical="center" wrapText="1"/>
    </xf>
    <xf numFmtId="4" fontId="222" fillId="0" borderId="98" xfId="13" applyNumberFormat="1" applyFont="1" applyFill="1" applyBorder="1" applyAlignment="1">
      <alignment horizontal="center" vertical="center" wrapText="1"/>
    </xf>
    <xf numFmtId="4" fontId="222" fillId="7" borderId="98" xfId="13" applyNumberFormat="1" applyFont="1" applyFill="1" applyBorder="1" applyAlignment="1">
      <alignment horizontal="center" vertical="center" wrapText="1"/>
    </xf>
    <xf numFmtId="4" fontId="222" fillId="0" borderId="103" xfId="13" applyNumberFormat="1" applyFont="1" applyFill="1" applyBorder="1" applyAlignment="1">
      <alignment horizontal="center" vertical="center" wrapText="1"/>
    </xf>
    <xf numFmtId="49" fontId="221" fillId="0" borderId="28" xfId="13" applyNumberFormat="1" applyFont="1" applyBorder="1" applyAlignment="1">
      <alignment horizontal="center" vertical="center" wrapText="1"/>
    </xf>
    <xf numFmtId="0" fontId="221" fillId="0" borderId="7" xfId="13" applyFont="1" applyBorder="1" applyAlignment="1">
      <alignment horizontal="justify" vertical="center" wrapText="1"/>
    </xf>
    <xf numFmtId="0" fontId="221" fillId="0" borderId="7" xfId="13" applyFont="1" applyBorder="1" applyAlignment="1">
      <alignment horizontal="center" vertical="center" wrapText="1"/>
    </xf>
    <xf numFmtId="4" fontId="221" fillId="0" borderId="7" xfId="13" applyNumberFormat="1" applyFont="1" applyBorder="1" applyAlignment="1">
      <alignment horizontal="center" vertical="center" wrapText="1"/>
    </xf>
    <xf numFmtId="4" fontId="221" fillId="0" borderId="29" xfId="13" applyNumberFormat="1" applyFont="1" applyBorder="1" applyAlignment="1">
      <alignment horizontal="center" vertical="center" wrapText="1"/>
    </xf>
    <xf numFmtId="49" fontId="221" fillId="0" borderId="102" xfId="13" applyNumberFormat="1" applyFont="1" applyBorder="1" applyAlignment="1">
      <alignment horizontal="center" vertical="center" wrapText="1"/>
    </xf>
    <xf numFmtId="0" fontId="221" fillId="0" borderId="98" xfId="13" applyFont="1" applyBorder="1" applyAlignment="1">
      <alignment horizontal="justify" vertical="center" wrapText="1"/>
    </xf>
    <xf numFmtId="0" fontId="221" fillId="0" borderId="98" xfId="13" applyFont="1" applyBorder="1" applyAlignment="1">
      <alignment horizontal="center" vertical="center" wrapText="1"/>
    </xf>
    <xf numFmtId="4" fontId="221" fillId="0" borderId="98" xfId="13" applyNumberFormat="1" applyFont="1" applyBorder="1" applyAlignment="1">
      <alignment horizontal="center" vertical="center" wrapText="1"/>
    </xf>
    <xf numFmtId="4" fontId="221" fillId="0" borderId="103" xfId="13" applyNumberFormat="1" applyFont="1" applyBorder="1" applyAlignment="1">
      <alignment horizontal="center" vertical="center" wrapText="1"/>
    </xf>
    <xf numFmtId="0" fontId="221" fillId="0" borderId="31" xfId="13" applyFont="1" applyBorder="1" applyAlignment="1">
      <alignment horizontal="justify" vertical="center" wrapText="1"/>
    </xf>
    <xf numFmtId="0" fontId="221" fillId="0" borderId="31" xfId="13" applyFont="1" applyBorder="1" applyAlignment="1">
      <alignment horizontal="center" vertical="center" wrapText="1"/>
    </xf>
    <xf numFmtId="4" fontId="221" fillId="0" borderId="31" xfId="13" applyNumberFormat="1" applyFont="1" applyBorder="1" applyAlignment="1">
      <alignment horizontal="center" vertical="center" wrapText="1"/>
    </xf>
    <xf numFmtId="4" fontId="221" fillId="0" borderId="32" xfId="13" applyNumberFormat="1" applyFont="1" applyBorder="1" applyAlignment="1">
      <alignment horizontal="center" vertical="center" wrapText="1"/>
    </xf>
    <xf numFmtId="49" fontId="222" fillId="0" borderId="102" xfId="13" applyNumberFormat="1" applyFont="1" applyBorder="1" applyAlignment="1">
      <alignment horizontal="center" vertical="center" wrapText="1"/>
    </xf>
    <xf numFmtId="0" fontId="222" fillId="0" borderId="98" xfId="13" applyFont="1" applyBorder="1" applyAlignment="1">
      <alignment horizontal="justify" vertical="center" wrapText="1"/>
    </xf>
    <xf numFmtId="0" fontId="222" fillId="0" borderId="98" xfId="13" applyFont="1" applyBorder="1" applyAlignment="1">
      <alignment horizontal="center" vertical="center" wrapText="1"/>
    </xf>
    <xf numFmtId="4" fontId="222" fillId="0" borderId="98" xfId="13" applyNumberFormat="1" applyFont="1" applyBorder="1" applyAlignment="1">
      <alignment horizontal="center" vertical="center" wrapText="1"/>
    </xf>
    <xf numFmtId="4" fontId="222" fillId="0" borderId="103" xfId="13" applyNumberFormat="1" applyFont="1" applyBorder="1" applyAlignment="1">
      <alignment horizontal="center" vertical="center" wrapText="1"/>
    </xf>
    <xf numFmtId="49" fontId="222" fillId="0" borderId="6" xfId="13" applyNumberFormat="1" applyFont="1" applyBorder="1" applyAlignment="1">
      <alignment horizontal="center" vertical="center" wrapText="1"/>
    </xf>
    <xf numFmtId="0" fontId="222" fillId="0" borderId="113" xfId="13" applyFont="1" applyBorder="1" applyAlignment="1">
      <alignment horizontal="justify" vertical="center" wrapText="1"/>
    </xf>
    <xf numFmtId="0" fontId="222" fillId="0" borderId="113" xfId="13" applyFont="1" applyBorder="1" applyAlignment="1">
      <alignment horizontal="center" vertical="center" wrapText="1"/>
    </xf>
    <xf numFmtId="4" fontId="222" fillId="0" borderId="113" xfId="13" applyNumberFormat="1" applyFont="1" applyBorder="1" applyAlignment="1">
      <alignment horizontal="center" vertical="center" wrapText="1"/>
    </xf>
    <xf numFmtId="4" fontId="222" fillId="0" borderId="114" xfId="13" applyNumberFormat="1" applyFont="1" applyBorder="1" applyAlignment="1">
      <alignment horizontal="center" vertical="center" wrapText="1"/>
    </xf>
    <xf numFmtId="49" fontId="221" fillId="0" borderId="52" xfId="13" applyNumberFormat="1" applyFont="1" applyBorder="1" applyAlignment="1">
      <alignment horizontal="center" vertical="center" wrapText="1"/>
    </xf>
    <xf numFmtId="0" fontId="221" fillId="0" borderId="53" xfId="13" applyFont="1" applyBorder="1" applyAlignment="1">
      <alignment horizontal="justify" vertical="center" wrapText="1"/>
    </xf>
    <xf numFmtId="4" fontId="222" fillId="103" borderId="108" xfId="13" applyNumberFormat="1" applyFont="1" applyFill="1" applyBorder="1" applyAlignment="1">
      <alignment horizontal="center" vertical="center" wrapText="1"/>
    </xf>
    <xf numFmtId="4" fontId="221" fillId="7" borderId="31" xfId="13" applyNumberFormat="1" applyFont="1" applyFill="1" applyBorder="1" applyAlignment="1">
      <alignment horizontal="center" vertical="center" wrapText="1"/>
    </xf>
    <xf numFmtId="4" fontId="222" fillId="7" borderId="113" xfId="13" applyNumberFormat="1" applyFont="1" applyFill="1" applyBorder="1" applyAlignment="1">
      <alignment horizontal="center" vertical="center" wrapText="1"/>
    </xf>
    <xf numFmtId="0" fontId="221" fillId="0" borderId="31" xfId="13" applyFont="1" applyFill="1" applyBorder="1" applyAlignment="1">
      <alignment horizontal="justify" vertical="center" wrapText="1"/>
    </xf>
    <xf numFmtId="49" fontId="222" fillId="0" borderId="71" xfId="13" applyNumberFormat="1" applyFont="1" applyBorder="1" applyAlignment="1">
      <alignment horizontal="center" vertical="center" wrapText="1"/>
    </xf>
    <xf numFmtId="0" fontId="222" fillId="0" borderId="91" xfId="13" applyFont="1" applyBorder="1" applyAlignment="1">
      <alignment horizontal="center" vertical="center" wrapText="1"/>
    </xf>
    <xf numFmtId="4" fontId="222" fillId="0" borderId="91" xfId="13" applyNumberFormat="1" applyFont="1" applyBorder="1" applyAlignment="1">
      <alignment horizontal="center" vertical="center" wrapText="1"/>
    </xf>
    <xf numFmtId="4" fontId="222" fillId="7" borderId="91" xfId="13" applyNumberFormat="1" applyFont="1" applyFill="1" applyBorder="1" applyAlignment="1">
      <alignment horizontal="center" vertical="center" wrapText="1"/>
    </xf>
    <xf numFmtId="4" fontId="222" fillId="0" borderId="92" xfId="13" applyNumberFormat="1" applyFont="1" applyBorder="1" applyAlignment="1">
      <alignment horizontal="center" vertical="center" wrapText="1"/>
    </xf>
    <xf numFmtId="49" fontId="222" fillId="0" borderId="28" xfId="13" applyNumberFormat="1" applyFont="1" applyBorder="1" applyAlignment="1">
      <alignment horizontal="center" vertical="center" wrapText="1"/>
    </xf>
    <xf numFmtId="0" fontId="1" fillId="0" borderId="0" xfId="0" applyFont="1"/>
    <xf numFmtId="0" fontId="224" fillId="0" borderId="0" xfId="41997" applyFont="1" applyFill="1" applyAlignment="1"/>
    <xf numFmtId="0" fontId="225" fillId="0" borderId="0" xfId="46927" applyFont="1" applyAlignment="1">
      <alignment horizontal="left"/>
    </xf>
    <xf numFmtId="0" fontId="195" fillId="0" borderId="0" xfId="0" applyFont="1" applyFill="1"/>
    <xf numFmtId="0" fontId="225" fillId="0" borderId="0" xfId="46929" applyFont="1"/>
    <xf numFmtId="0" fontId="195" fillId="0" borderId="0" xfId="0" applyFont="1" applyFill="1" applyBorder="1"/>
    <xf numFmtId="4" fontId="226" fillId="0" borderId="0" xfId="0" applyNumberFormat="1" applyFont="1" applyAlignment="1">
      <alignment vertical="center" wrapText="1"/>
    </xf>
    <xf numFmtId="4" fontId="226" fillId="0" borderId="0" xfId="13" applyNumberFormat="1" applyFont="1" applyAlignment="1">
      <alignment vertical="center" wrapText="1"/>
    </xf>
    <xf numFmtId="0" fontId="225" fillId="0" borderId="0" xfId="46927" applyFont="1" applyAlignment="1">
      <alignment horizontal="right"/>
    </xf>
    <xf numFmtId="49" fontId="1" fillId="0" borderId="0" xfId="0" applyNumberFormat="1" applyFont="1" applyAlignment="1">
      <alignment vertical="center" wrapText="1"/>
    </xf>
    <xf numFmtId="0" fontId="1" fillId="0" borderId="0" xfId="0" applyFont="1" applyAlignment="1">
      <alignment vertical="center" wrapText="1"/>
    </xf>
    <xf numFmtId="4" fontId="1" fillId="0" borderId="0" xfId="0" applyNumberFormat="1" applyFont="1" applyAlignment="1">
      <alignment vertical="center" wrapText="1"/>
    </xf>
    <xf numFmtId="0" fontId="227" fillId="0" borderId="0" xfId="41998" applyFont="1"/>
    <xf numFmtId="0" fontId="227" fillId="0" borderId="0" xfId="0" applyFont="1" applyFill="1"/>
    <xf numFmtId="0" fontId="228" fillId="0" borderId="0" xfId="0" applyFont="1" applyAlignment="1">
      <alignment horizontal="left"/>
    </xf>
    <xf numFmtId="4" fontId="82" fillId="104" borderId="37" xfId="0" applyNumberFormat="1" applyFont="1" applyFill="1" applyBorder="1" applyAlignment="1">
      <alignment horizontal="right" vertical="center" wrapText="1"/>
    </xf>
    <xf numFmtId="4" fontId="15" fillId="104" borderId="109" xfId="0" applyNumberFormat="1" applyFont="1" applyFill="1" applyBorder="1" applyAlignment="1">
      <alignment horizontal="right" vertical="center" wrapText="1"/>
    </xf>
    <xf numFmtId="49" fontId="212" fillId="0" borderId="38" xfId="13" applyNumberFormat="1" applyFont="1" applyBorder="1" applyAlignment="1">
      <alignment horizontal="center" vertical="center" wrapText="1"/>
    </xf>
    <xf numFmtId="0" fontId="212" fillId="0" borderId="38" xfId="13" applyFont="1" applyBorder="1" applyAlignment="1">
      <alignment horizontal="center" vertical="center" wrapText="1"/>
    </xf>
    <xf numFmtId="0" fontId="212" fillId="0" borderId="34" xfId="13" applyFont="1" applyBorder="1" applyAlignment="1">
      <alignment horizontal="center" vertical="center" wrapText="1"/>
    </xf>
    <xf numFmtId="49" fontId="212" fillId="0" borderId="49" xfId="13" applyNumberFormat="1" applyFont="1" applyBorder="1" applyAlignment="1">
      <alignment horizontal="center" vertical="center" wrapText="1"/>
    </xf>
    <xf numFmtId="0" fontId="212" fillId="0" borderId="49" xfId="13" applyFont="1" applyBorder="1" applyAlignment="1">
      <alignment horizontal="center" vertical="center" wrapText="1"/>
    </xf>
    <xf numFmtId="0" fontId="212" fillId="0" borderId="48" xfId="13" applyFont="1" applyBorder="1" applyAlignment="1">
      <alignment horizontal="center" vertical="center" wrapText="1"/>
    </xf>
    <xf numFmtId="4" fontId="212" fillId="0" borderId="33" xfId="13" applyNumberFormat="1" applyFont="1" applyBorder="1" applyAlignment="1">
      <alignment horizontal="center" vertical="center" wrapText="1"/>
    </xf>
    <xf numFmtId="1" fontId="213" fillId="0" borderId="55" xfId="13" applyNumberFormat="1" applyFont="1" applyBorder="1" applyAlignment="1">
      <alignment horizontal="center" vertical="center" wrapText="1"/>
    </xf>
    <xf numFmtId="1" fontId="213" fillId="0" borderId="49" xfId="13" applyNumberFormat="1" applyFont="1" applyBorder="1" applyAlignment="1">
      <alignment horizontal="center" vertical="center" wrapText="1"/>
    </xf>
    <xf numFmtId="1" fontId="212" fillId="0" borderId="48" xfId="13" applyNumberFormat="1" applyFont="1" applyBorder="1" applyAlignment="1">
      <alignment horizontal="center" vertical="center" wrapText="1"/>
    </xf>
    <xf numFmtId="1" fontId="213" fillId="0" borderId="51" xfId="13" applyNumberFormat="1" applyFont="1" applyBorder="1" applyAlignment="1">
      <alignment horizontal="center" vertical="center" wrapText="1"/>
    </xf>
    <xf numFmtId="0" fontId="230" fillId="6" borderId="119" xfId="13" applyFont="1" applyFill="1" applyBorder="1" applyAlignment="1">
      <alignment horizontal="center" vertical="center" wrapText="1"/>
    </xf>
    <xf numFmtId="0" fontId="230" fillId="6" borderId="43" xfId="13" applyFont="1" applyFill="1" applyBorder="1" applyAlignment="1">
      <alignment horizontal="center" vertical="center" wrapText="1"/>
    </xf>
    <xf numFmtId="0" fontId="230" fillId="6" borderId="47" xfId="13" applyFont="1" applyFill="1" applyBorder="1" applyAlignment="1">
      <alignment horizontal="center" vertical="center" wrapText="1"/>
    </xf>
    <xf numFmtId="0" fontId="212" fillId="0" borderId="93" xfId="13" applyFont="1" applyBorder="1" applyAlignment="1">
      <alignment horizontal="center" vertical="center" wrapText="1"/>
    </xf>
    <xf numFmtId="4" fontId="212" fillId="7" borderId="71" xfId="13" applyNumberFormat="1" applyFont="1" applyFill="1" applyBorder="1" applyAlignment="1">
      <alignment horizontal="center" vertical="center" wrapText="1"/>
    </xf>
    <xf numFmtId="4" fontId="212" fillId="7" borderId="127" xfId="13" applyNumberFormat="1" applyFont="1" applyFill="1" applyBorder="1" applyAlignment="1">
      <alignment horizontal="center" vertical="center" wrapText="1"/>
    </xf>
    <xf numFmtId="0" fontId="212" fillId="0" borderId="97" xfId="13" applyFont="1" applyBorder="1" applyAlignment="1">
      <alignment horizontal="center" vertical="center" wrapText="1"/>
    </xf>
    <xf numFmtId="4" fontId="212" fillId="7" borderId="25" xfId="13" applyNumberFormat="1" applyFont="1" applyFill="1" applyBorder="1" applyAlignment="1">
      <alignment horizontal="center" vertical="center" wrapText="1"/>
    </xf>
    <xf numFmtId="4" fontId="212" fillId="7" borderId="96" xfId="13" applyNumberFormat="1" applyFont="1" applyFill="1" applyBorder="1" applyAlignment="1">
      <alignment horizontal="center" vertical="center" wrapText="1"/>
    </xf>
    <xf numFmtId="0" fontId="212" fillId="0" borderId="106" xfId="13" applyFont="1" applyBorder="1" applyAlignment="1">
      <alignment horizontal="center" vertical="center" wrapText="1"/>
    </xf>
    <xf numFmtId="4" fontId="213" fillId="7" borderId="104" xfId="13" applyNumberFormat="1" applyFont="1" applyFill="1" applyBorder="1" applyAlignment="1">
      <alignment horizontal="center" vertical="center" wrapText="1"/>
    </xf>
    <xf numFmtId="4" fontId="213" fillId="7" borderId="107" xfId="13" applyNumberFormat="1" applyFont="1" applyFill="1" applyBorder="1" applyAlignment="1">
      <alignment horizontal="center" vertical="center" wrapText="1"/>
    </xf>
    <xf numFmtId="4" fontId="213" fillId="7" borderId="25" xfId="13" applyNumberFormat="1" applyFont="1" applyFill="1" applyBorder="1" applyAlignment="1">
      <alignment horizontal="center" vertical="center" wrapText="1"/>
    </xf>
    <xf numFmtId="4" fontId="213" fillId="7" borderId="96" xfId="13" applyNumberFormat="1" applyFont="1" applyFill="1" applyBorder="1" applyAlignment="1">
      <alignment horizontal="center" vertical="center" wrapText="1"/>
    </xf>
    <xf numFmtId="0" fontId="212" fillId="0" borderId="128" xfId="13" applyFont="1" applyBorder="1" applyAlignment="1">
      <alignment horizontal="center" vertical="center" wrapText="1"/>
    </xf>
    <xf numFmtId="4" fontId="213" fillId="7" borderId="52" xfId="13" applyNumberFormat="1" applyFont="1" applyFill="1" applyBorder="1" applyAlignment="1">
      <alignment horizontal="center" vertical="center" wrapText="1"/>
    </xf>
    <xf numFmtId="4" fontId="213" fillId="7" borderId="129" xfId="13" applyNumberFormat="1" applyFont="1" applyFill="1" applyBorder="1" applyAlignment="1">
      <alignment horizontal="center" vertical="center" wrapText="1"/>
    </xf>
    <xf numFmtId="0" fontId="212" fillId="0" borderId="101" xfId="13" applyFont="1" applyBorder="1" applyAlignment="1">
      <alignment horizontal="center" vertical="center" wrapText="1"/>
    </xf>
    <xf numFmtId="4" fontId="213" fillId="7" borderId="94" xfId="13" applyNumberFormat="1" applyFont="1" applyFill="1" applyBorder="1" applyAlignment="1">
      <alignment horizontal="center" vertical="center" wrapText="1"/>
    </xf>
    <xf numFmtId="4" fontId="213" fillId="7" borderId="86" xfId="13" applyNumberFormat="1" applyFont="1" applyFill="1" applyBorder="1" applyAlignment="1">
      <alignment horizontal="center" vertical="center" wrapText="1"/>
    </xf>
    <xf numFmtId="0" fontId="212" fillId="0" borderId="100" xfId="13" applyFont="1" applyBorder="1" applyAlignment="1">
      <alignment horizontal="center" vertical="center" wrapText="1"/>
    </xf>
    <xf numFmtId="4" fontId="212" fillId="7" borderId="28" xfId="13" applyNumberFormat="1" applyFont="1" applyFill="1" applyBorder="1" applyAlignment="1">
      <alignment horizontal="center" vertical="center" wrapText="1"/>
    </xf>
    <xf numFmtId="4" fontId="212" fillId="7" borderId="84" xfId="13" applyNumberFormat="1" applyFont="1" applyFill="1" applyBorder="1" applyAlignment="1">
      <alignment horizontal="center" vertical="center" wrapText="1"/>
    </xf>
    <xf numFmtId="4" fontId="213" fillId="7" borderId="29" xfId="13" applyNumberFormat="1" applyFont="1" applyFill="1" applyBorder="1" applyAlignment="1">
      <alignment horizontal="center" vertical="center" wrapText="1"/>
    </xf>
    <xf numFmtId="49" fontId="212" fillId="105" borderId="30" xfId="13" applyNumberFormat="1" applyFont="1" applyFill="1" applyBorder="1" applyAlignment="1">
      <alignment horizontal="center" vertical="center" wrapText="1"/>
    </xf>
    <xf numFmtId="0" fontId="230" fillId="105" borderId="119" xfId="13" applyFont="1" applyFill="1" applyBorder="1" applyAlignment="1">
      <alignment horizontal="center" vertical="center" wrapText="1"/>
    </xf>
    <xf numFmtId="0" fontId="230" fillId="105" borderId="43" xfId="13" applyFont="1" applyFill="1" applyBorder="1" applyAlignment="1">
      <alignment horizontal="center" vertical="center" wrapText="1"/>
    </xf>
    <xf numFmtId="0" fontId="230" fillId="105" borderId="47" xfId="13" applyFont="1" applyFill="1" applyBorder="1" applyAlignment="1">
      <alignment horizontal="center" vertical="center" wrapText="1"/>
    </xf>
    <xf numFmtId="49" fontId="212" fillId="7" borderId="71" xfId="13" applyNumberFormat="1" applyFont="1" applyFill="1" applyBorder="1" applyAlignment="1">
      <alignment horizontal="center" vertical="center" wrapText="1"/>
    </xf>
    <xf numFmtId="0" fontId="212" fillId="7" borderId="91" xfId="13" applyFont="1" applyFill="1" applyBorder="1" applyAlignment="1">
      <alignment horizontal="justify" vertical="center" wrapText="1"/>
    </xf>
    <xf numFmtId="0" fontId="212" fillId="7" borderId="93" xfId="13" applyFont="1" applyFill="1" applyBorder="1" applyAlignment="1">
      <alignment horizontal="center" vertical="center" wrapText="1"/>
    </xf>
    <xf numFmtId="49" fontId="212" fillId="7" borderId="25" xfId="13" applyNumberFormat="1" applyFont="1" applyFill="1" applyBorder="1" applyAlignment="1">
      <alignment horizontal="center" vertical="center" wrapText="1"/>
    </xf>
    <xf numFmtId="0" fontId="212" fillId="7" borderId="82" xfId="13" applyFont="1" applyFill="1" applyBorder="1" applyAlignment="1">
      <alignment horizontal="justify" vertical="center" wrapText="1"/>
    </xf>
    <xf numFmtId="0" fontId="212" fillId="7" borderId="97" xfId="13" applyFont="1" applyFill="1" applyBorder="1" applyAlignment="1">
      <alignment horizontal="center" vertical="center" wrapText="1"/>
    </xf>
    <xf numFmtId="49" fontId="213" fillId="7" borderId="25" xfId="13" applyNumberFormat="1" applyFont="1" applyFill="1" applyBorder="1" applyAlignment="1">
      <alignment horizontal="center" vertical="center" wrapText="1"/>
    </xf>
    <xf numFmtId="0" fontId="213" fillId="7" borderId="82" xfId="13" applyFont="1" applyFill="1" applyBorder="1" applyAlignment="1">
      <alignment horizontal="justify" vertical="center" wrapText="1"/>
    </xf>
    <xf numFmtId="49" fontId="213" fillId="7" borderId="94" xfId="13" applyNumberFormat="1" applyFont="1" applyFill="1" applyBorder="1" applyAlignment="1">
      <alignment horizontal="center" vertical="center" wrapText="1"/>
    </xf>
    <xf numFmtId="0" fontId="213" fillId="7" borderId="95" xfId="13" applyFont="1" applyFill="1" applyBorder="1" applyAlignment="1">
      <alignment horizontal="justify" vertical="center" wrapText="1"/>
    </xf>
    <xf numFmtId="0" fontId="212" fillId="7" borderId="101" xfId="13" applyFont="1" applyFill="1" applyBorder="1" applyAlignment="1">
      <alignment horizontal="center" vertical="center" wrapText="1"/>
    </xf>
    <xf numFmtId="49" fontId="213" fillId="7" borderId="104" xfId="13" applyNumberFormat="1" applyFont="1" applyFill="1" applyBorder="1" applyAlignment="1">
      <alignment horizontal="center" vertical="center" wrapText="1"/>
    </xf>
    <xf numFmtId="0" fontId="213" fillId="7" borderId="105" xfId="13" applyFont="1" applyFill="1" applyBorder="1" applyAlignment="1">
      <alignment horizontal="justify" vertical="center" wrapText="1"/>
    </xf>
    <xf numFmtId="0" fontId="212" fillId="7" borderId="106" xfId="13" applyFont="1" applyFill="1" applyBorder="1" applyAlignment="1">
      <alignment horizontal="center" vertical="center" wrapText="1"/>
    </xf>
    <xf numFmtId="4" fontId="213" fillId="7" borderId="102" xfId="13" applyNumberFormat="1" applyFont="1" applyFill="1" applyBorder="1" applyAlignment="1">
      <alignment horizontal="center" vertical="center" wrapText="1"/>
    </xf>
    <xf numFmtId="0" fontId="8" fillId="7" borderId="48" xfId="13" applyFill="1" applyBorder="1" applyAlignment="1">
      <alignment vertical="center" wrapText="1"/>
    </xf>
    <xf numFmtId="0" fontId="8" fillId="7" borderId="50" xfId="13" applyFill="1" applyBorder="1" applyAlignment="1">
      <alignment vertical="center" wrapText="1"/>
    </xf>
    <xf numFmtId="0" fontId="8" fillId="7" borderId="51" xfId="13" applyFill="1" applyBorder="1" applyAlignment="1">
      <alignment vertical="center" wrapText="1"/>
    </xf>
    <xf numFmtId="49" fontId="212" fillId="7" borderId="28" xfId="13" applyNumberFormat="1" applyFont="1" applyFill="1" applyBorder="1" applyAlignment="1">
      <alignment horizontal="center" vertical="center" wrapText="1"/>
    </xf>
    <xf numFmtId="0" fontId="212" fillId="7" borderId="7" xfId="13" applyFont="1" applyFill="1" applyBorder="1" applyAlignment="1">
      <alignment horizontal="justify" vertical="center" wrapText="1"/>
    </xf>
    <xf numFmtId="0" fontId="212" fillId="7" borderId="100" xfId="13" applyFont="1" applyFill="1" applyBorder="1" applyAlignment="1">
      <alignment horizontal="center" vertical="center" wrapText="1"/>
    </xf>
    <xf numFmtId="49" fontId="213" fillId="7" borderId="55" xfId="13" applyNumberFormat="1" applyFont="1" applyFill="1" applyBorder="1" applyAlignment="1">
      <alignment horizontal="center" vertical="center" wrapText="1"/>
    </xf>
    <xf numFmtId="0" fontId="213" fillId="7" borderId="102" xfId="13" applyFont="1" applyFill="1" applyBorder="1" applyAlignment="1">
      <alignment horizontal="justify" vertical="center" wrapText="1"/>
    </xf>
    <xf numFmtId="0" fontId="212" fillId="7" borderId="99" xfId="13" applyFont="1" applyFill="1" applyBorder="1" applyAlignment="1">
      <alignment horizontal="center" vertical="center" wrapText="1"/>
    </xf>
    <xf numFmtId="49" fontId="8" fillId="7" borderId="0" xfId="13" applyNumberFormat="1" applyFill="1" applyAlignment="1">
      <alignment vertical="center" wrapText="1"/>
    </xf>
    <xf numFmtId="0" fontId="231" fillId="7" borderId="0" xfId="41997" applyFont="1" applyFill="1" applyAlignment="1"/>
    <xf numFmtId="201" fontId="8" fillId="7" borderId="0" xfId="13" applyNumberFormat="1" applyFill="1" applyAlignment="1">
      <alignment horizontal="right" vertical="center" wrapText="1"/>
    </xf>
    <xf numFmtId="4" fontId="15" fillId="7" borderId="39" xfId="13" applyNumberFormat="1" applyFont="1" applyFill="1" applyBorder="1" applyAlignment="1">
      <alignment horizontal="right"/>
    </xf>
    <xf numFmtId="4" fontId="15" fillId="7" borderId="121" xfId="13" applyNumberFormat="1" applyFont="1" applyFill="1" applyBorder="1" applyAlignment="1">
      <alignment horizontal="right"/>
    </xf>
    <xf numFmtId="4" fontId="15" fillId="0" borderId="92" xfId="0" applyNumberFormat="1" applyFont="1" applyBorder="1" applyAlignment="1">
      <alignment horizontal="right" vertical="center" wrapText="1"/>
    </xf>
    <xf numFmtId="4" fontId="15" fillId="0" borderId="54" xfId="0" applyNumberFormat="1" applyFont="1" applyBorder="1" applyAlignment="1">
      <alignment horizontal="right" vertical="center" wrapText="1"/>
    </xf>
    <xf numFmtId="4" fontId="15" fillId="42" borderId="32" xfId="0" applyNumberFormat="1" applyFont="1" applyFill="1" applyBorder="1" applyAlignment="1">
      <alignment horizontal="right" vertical="center" wrapText="1"/>
    </xf>
    <xf numFmtId="4" fontId="15" fillId="0" borderId="29" xfId="0" applyNumberFormat="1" applyFont="1" applyBorder="1" applyAlignment="1">
      <alignment horizontal="right" vertical="center" wrapText="1"/>
    </xf>
    <xf numFmtId="4" fontId="15" fillId="0" borderId="32" xfId="0" applyNumberFormat="1" applyFont="1" applyBorder="1" applyAlignment="1">
      <alignment horizontal="right" vertical="center" wrapText="1"/>
    </xf>
    <xf numFmtId="4" fontId="15" fillId="7" borderId="39" xfId="13" applyNumberFormat="1" applyFont="1" applyFill="1" applyBorder="1" applyAlignment="1">
      <alignment horizontal="center"/>
    </xf>
    <xf numFmtId="4" fontId="15" fillId="7" borderId="121" xfId="13" applyNumberFormat="1" applyFont="1" applyFill="1" applyBorder="1" applyAlignment="1">
      <alignment horizontal="center"/>
    </xf>
    <xf numFmtId="4" fontId="15" fillId="7" borderId="123" xfId="13" applyNumberFormat="1" applyFont="1" applyFill="1" applyBorder="1" applyAlignment="1">
      <alignment horizontal="center"/>
    </xf>
    <xf numFmtId="4" fontId="213" fillId="103" borderId="26" xfId="13" applyNumberFormat="1" applyFont="1" applyFill="1" applyBorder="1" applyAlignment="1">
      <alignment horizontal="center" vertical="center" wrapText="1"/>
    </xf>
    <xf numFmtId="0" fontId="187" fillId="0" borderId="42" xfId="13" applyFont="1" applyBorder="1" applyAlignment="1">
      <alignment horizontal="justify" vertical="center" wrapText="1"/>
    </xf>
    <xf numFmtId="0" fontId="187" fillId="0" borderId="0" xfId="13" applyFont="1" applyAlignment="1">
      <alignment horizontal="left" vertical="center"/>
    </xf>
    <xf numFmtId="0" fontId="70" fillId="0" borderId="0" xfId="13" applyFont="1" applyBorder="1" applyAlignment="1">
      <alignment vertical="center" wrapText="1"/>
    </xf>
    <xf numFmtId="0" fontId="187" fillId="0" borderId="0" xfId="13" applyFont="1" applyAlignment="1">
      <alignment horizontal="center"/>
    </xf>
    <xf numFmtId="0" fontId="188" fillId="0" borderId="0" xfId="13" applyFont="1" applyAlignment="1">
      <alignment horizontal="center"/>
    </xf>
    <xf numFmtId="0" fontId="64" fillId="0" borderId="37" xfId="0" applyFont="1" applyBorder="1" applyAlignment="1">
      <alignment horizontal="center" vertical="center" wrapText="1"/>
    </xf>
    <xf numFmtId="0" fontId="64" fillId="0" borderId="43" xfId="0" applyFont="1" applyBorder="1" applyAlignment="1">
      <alignment horizontal="center" vertical="center" wrapText="1"/>
    </xf>
    <xf numFmtId="0" fontId="64" fillId="0" borderId="47" xfId="0" applyFont="1" applyBorder="1" applyAlignment="1">
      <alignment horizontal="center" vertical="center" wrapText="1"/>
    </xf>
    <xf numFmtId="0" fontId="64" fillId="0" borderId="0" xfId="0" applyFont="1" applyAlignment="1">
      <alignment horizontal="center" wrapText="1"/>
    </xf>
    <xf numFmtId="0" fontId="64" fillId="0" borderId="34" xfId="0" applyFont="1" applyBorder="1" applyAlignment="1">
      <alignment horizontal="center" vertical="center" wrapText="1"/>
    </xf>
    <xf numFmtId="0" fontId="64" fillId="0" borderId="48" xfId="0" applyFont="1" applyBorder="1" applyAlignment="1">
      <alignment horizontal="center" vertical="center" wrapText="1"/>
    </xf>
    <xf numFmtId="0" fontId="64" fillId="0" borderId="38" xfId="0" applyFont="1" applyBorder="1" applyAlignment="1">
      <alignment horizontal="center" vertical="center" wrapText="1"/>
    </xf>
    <xf numFmtId="0" fontId="64" fillId="0" borderId="49"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43" xfId="0" applyFont="1" applyBorder="1" applyAlignment="1">
      <alignment horizontal="center" vertical="center" wrapText="1"/>
    </xf>
    <xf numFmtId="0" fontId="65" fillId="0" borderId="47" xfId="0" applyFont="1" applyBorder="1" applyAlignment="1">
      <alignment horizontal="center" vertical="center" wrapText="1"/>
    </xf>
    <xf numFmtId="1" fontId="229" fillId="0" borderId="43" xfId="13" applyNumberFormat="1" applyFont="1" applyBorder="1" applyAlignment="1">
      <alignment horizontal="center" vertical="center" wrapText="1"/>
    </xf>
    <xf numFmtId="1" fontId="229" fillId="0" borderId="47" xfId="13" applyNumberFormat="1" applyFont="1" applyBorder="1" applyAlignment="1">
      <alignment horizontal="center" vertical="center" wrapText="1"/>
    </xf>
    <xf numFmtId="0" fontId="210" fillId="0" borderId="0" xfId="13" applyFont="1" applyAlignment="1">
      <alignment horizontal="center" vertical="center" wrapText="1"/>
    </xf>
    <xf numFmtId="1" fontId="229" fillId="0" borderId="37" xfId="13" applyNumberFormat="1" applyFont="1" applyBorder="1" applyAlignment="1">
      <alignment horizontal="center" vertical="center" wrapText="1"/>
    </xf>
    <xf numFmtId="2" fontId="77" fillId="7" borderId="115" xfId="13" applyNumberFormat="1" applyFont="1" applyFill="1" applyBorder="1" applyAlignment="1">
      <alignment horizontal="left"/>
    </xf>
    <xf numFmtId="2" fontId="77" fillId="7" borderId="2" xfId="13" applyNumberFormat="1" applyFont="1" applyFill="1" applyBorder="1" applyAlignment="1">
      <alignment horizontal="left"/>
    </xf>
    <xf numFmtId="2" fontId="77" fillId="7" borderId="36" xfId="13" applyNumberFormat="1" applyFont="1" applyFill="1" applyBorder="1" applyAlignment="1">
      <alignment horizontal="left"/>
    </xf>
    <xf numFmtId="2" fontId="77" fillId="7" borderId="87" xfId="13" applyNumberFormat="1" applyFont="1" applyFill="1" applyBorder="1" applyAlignment="1">
      <alignment horizontal="left"/>
    </xf>
    <xf numFmtId="0" fontId="15" fillId="7" borderId="117" xfId="13" applyFont="1" applyFill="1" applyBorder="1" applyAlignment="1">
      <alignment horizontal="left" wrapText="1"/>
    </xf>
    <xf numFmtId="0" fontId="15" fillId="7" borderId="118" xfId="13" applyFont="1" applyFill="1" applyBorder="1" applyAlignment="1">
      <alignment horizontal="left" wrapText="1"/>
    </xf>
    <xf numFmtId="2" fontId="77" fillId="7" borderId="36" xfId="13" applyNumberFormat="1" applyFont="1" applyFill="1" applyBorder="1" applyAlignment="1">
      <alignment horizontal="center"/>
    </xf>
    <xf numFmtId="2" fontId="77" fillId="7" borderId="87" xfId="13" applyNumberFormat="1" applyFont="1" applyFill="1" applyBorder="1" applyAlignment="1">
      <alignment horizontal="center"/>
    </xf>
    <xf numFmtId="2" fontId="77" fillId="7" borderId="115" xfId="13" applyNumberFormat="1" applyFont="1" applyFill="1" applyBorder="1" applyAlignment="1">
      <alignment horizontal="center"/>
    </xf>
    <xf numFmtId="2" fontId="77" fillId="7" borderId="2" xfId="13" applyNumberFormat="1" applyFont="1" applyFill="1" applyBorder="1" applyAlignment="1">
      <alignment horizontal="center"/>
    </xf>
    <xf numFmtId="0" fontId="83" fillId="7" borderId="0" xfId="13" applyFont="1" applyFill="1" applyAlignment="1">
      <alignment horizontal="center"/>
    </xf>
    <xf numFmtId="0" fontId="83" fillId="7" borderId="0" xfId="13" applyFont="1" applyFill="1" applyBorder="1" applyAlignment="1">
      <alignment horizontal="center" wrapText="1"/>
    </xf>
    <xf numFmtId="0" fontId="81" fillId="7" borderId="37" xfId="13" applyFont="1" applyFill="1" applyBorder="1" applyAlignment="1">
      <alignment horizontal="center"/>
    </xf>
    <xf numFmtId="0" fontId="81" fillId="7" borderId="43" xfId="13" applyFont="1" applyFill="1" applyBorder="1" applyAlignment="1">
      <alignment horizontal="center"/>
    </xf>
    <xf numFmtId="2" fontId="77" fillId="7" borderId="90" xfId="13" applyNumberFormat="1" applyFont="1" applyFill="1" applyBorder="1" applyAlignment="1">
      <alignment horizontal="left"/>
    </xf>
    <xf numFmtId="2" fontId="77" fillId="7" borderId="116" xfId="13" applyNumberFormat="1" applyFont="1" applyFill="1" applyBorder="1" applyAlignment="1">
      <alignment horizontal="left"/>
    </xf>
    <xf numFmtId="0" fontId="81" fillId="7" borderId="47" xfId="13" applyFont="1" applyFill="1" applyBorder="1" applyAlignment="1">
      <alignment horizontal="center"/>
    </xf>
    <xf numFmtId="0" fontId="192" fillId="7" borderId="0" xfId="13" applyFont="1" applyFill="1" applyBorder="1" applyAlignment="1">
      <alignment horizontal="center" vertical="center" wrapText="1"/>
    </xf>
    <xf numFmtId="0" fontId="193" fillId="7" borderId="0" xfId="13" applyFont="1" applyFill="1" applyBorder="1" applyAlignment="1">
      <alignment horizontal="center" vertical="center" wrapText="1"/>
    </xf>
    <xf numFmtId="0" fontId="88" fillId="0" borderId="0" xfId="41997" applyFont="1" applyFill="1" applyAlignment="1">
      <alignment horizontal="left" wrapText="1"/>
    </xf>
    <xf numFmtId="0" fontId="15" fillId="0" borderId="61" xfId="13" applyFont="1" applyBorder="1" applyAlignment="1">
      <alignment horizontal="center" vertical="top"/>
    </xf>
    <xf numFmtId="0" fontId="15" fillId="0" borderId="60" xfId="13" applyFont="1" applyBorder="1" applyAlignment="1">
      <alignment horizontal="center" vertical="top"/>
    </xf>
    <xf numFmtId="0" fontId="15" fillId="0" borderId="60" xfId="13" applyFont="1" applyFill="1" applyBorder="1" applyAlignment="1">
      <alignment horizontal="left" vertical="top" wrapText="1"/>
    </xf>
    <xf numFmtId="0" fontId="15" fillId="0" borderId="59" xfId="13" applyFont="1" applyFill="1" applyBorder="1" applyAlignment="1">
      <alignment horizontal="left" vertical="top" wrapText="1"/>
    </xf>
    <xf numFmtId="4" fontId="15" fillId="0" borderId="94" xfId="0" applyNumberFormat="1" applyFont="1" applyBorder="1" applyAlignment="1">
      <alignment horizontal="center" vertical="top"/>
    </xf>
    <xf numFmtId="4" fontId="15" fillId="0" borderId="95" xfId="0" applyNumberFormat="1" applyFont="1" applyBorder="1" applyAlignment="1">
      <alignment horizontal="center" vertical="top"/>
    </xf>
    <xf numFmtId="4" fontId="15" fillId="0" borderId="27" xfId="0" applyNumberFormat="1" applyFont="1" applyBorder="1" applyAlignment="1">
      <alignment horizontal="center" vertical="top"/>
    </xf>
    <xf numFmtId="0" fontId="15" fillId="0" borderId="35" xfId="13" applyFont="1" applyBorder="1" applyAlignment="1">
      <alignment horizontal="center" vertical="top"/>
    </xf>
    <xf numFmtId="0" fontId="15" fillId="0" borderId="42" xfId="13" applyFont="1" applyBorder="1" applyAlignment="1">
      <alignment horizontal="center" vertical="top"/>
    </xf>
    <xf numFmtId="0" fontId="15" fillId="0" borderId="42" xfId="13" applyFont="1" applyFill="1" applyBorder="1" applyAlignment="1">
      <alignment horizontal="left" vertical="top" wrapText="1"/>
    </xf>
    <xf numFmtId="0" fontId="15" fillId="0" borderId="45" xfId="13" applyFont="1" applyFill="1" applyBorder="1" applyAlignment="1">
      <alignment horizontal="left" vertical="top" wrapText="1"/>
    </xf>
    <xf numFmtId="4" fontId="15" fillId="0" borderId="28" xfId="0" applyNumberFormat="1" applyFont="1" applyBorder="1" applyAlignment="1">
      <alignment horizontal="center" vertical="top"/>
    </xf>
    <xf numFmtId="4" fontId="15" fillId="0" borderId="7" xfId="0" applyNumberFormat="1" applyFont="1" applyBorder="1" applyAlignment="1">
      <alignment horizontal="center" vertical="top"/>
    </xf>
    <xf numFmtId="4" fontId="15" fillId="0" borderId="29" xfId="0" applyNumberFormat="1" applyFont="1" applyBorder="1" applyAlignment="1">
      <alignment horizontal="center" vertical="top"/>
    </xf>
    <xf numFmtId="0" fontId="15" fillId="0" borderId="36" xfId="13" applyFont="1" applyBorder="1" applyAlignment="1">
      <alignment horizontal="center" vertical="top"/>
    </xf>
    <xf numFmtId="0" fontId="15" fillId="0" borderId="87" xfId="13" applyFont="1" applyBorder="1" applyAlignment="1">
      <alignment horizontal="center" vertical="top"/>
    </xf>
    <xf numFmtId="0" fontId="15" fillId="0" borderId="87" xfId="13" applyFont="1" applyFill="1" applyBorder="1" applyAlignment="1">
      <alignment horizontal="left" vertical="top" wrapText="1"/>
    </xf>
    <xf numFmtId="0" fontId="15" fillId="0" borderId="46" xfId="13" applyFont="1" applyFill="1" applyBorder="1" applyAlignment="1">
      <alignment horizontal="left" vertical="top" wrapText="1"/>
    </xf>
    <xf numFmtId="4" fontId="15" fillId="0" borderId="25" xfId="0" applyNumberFormat="1" applyFont="1" applyBorder="1" applyAlignment="1">
      <alignment horizontal="center" vertical="top"/>
    </xf>
    <xf numFmtId="4" fontId="15" fillId="0" borderId="82" xfId="0" applyNumberFormat="1" applyFont="1" applyBorder="1" applyAlignment="1">
      <alignment horizontal="center" vertical="top"/>
    </xf>
    <xf numFmtId="4" fontId="15" fillId="0" borderId="26" xfId="0" applyNumberFormat="1" applyFont="1" applyBorder="1" applyAlignment="1">
      <alignment horizontal="center" vertical="top"/>
    </xf>
    <xf numFmtId="0" fontId="14" fillId="0" borderId="0" xfId="13" applyFont="1" applyBorder="1" applyAlignment="1">
      <alignment horizontal="left" vertical="top" wrapText="1"/>
    </xf>
    <xf numFmtId="0" fontId="192" fillId="0" borderId="0" xfId="13" applyFont="1" applyBorder="1" applyAlignment="1">
      <alignment horizontal="center"/>
    </xf>
    <xf numFmtId="0" fontId="192" fillId="0" borderId="0" xfId="13" applyFont="1" applyFill="1" applyBorder="1" applyAlignment="1">
      <alignment horizontal="center" wrapText="1"/>
    </xf>
    <xf numFmtId="0" fontId="15" fillId="0" borderId="71" xfId="13" applyFont="1" applyBorder="1" applyAlignment="1">
      <alignment horizontal="center" vertical="center" wrapText="1"/>
    </xf>
    <xf numFmtId="0" fontId="15" fillId="0" borderId="91" xfId="13" applyFont="1" applyBorder="1" applyAlignment="1">
      <alignment horizontal="center" vertical="center" wrapText="1"/>
    </xf>
    <xf numFmtId="0" fontId="15" fillId="0" borderId="92" xfId="13" applyFont="1" applyBorder="1" applyAlignment="1">
      <alignment horizontal="center" vertical="center" wrapText="1"/>
    </xf>
    <xf numFmtId="0" fontId="15" fillId="0" borderId="62" xfId="13" applyFont="1" applyBorder="1" applyAlignment="1">
      <alignment horizontal="center" vertical="center" wrapText="1"/>
    </xf>
    <xf numFmtId="0" fontId="15" fillId="0" borderId="88" xfId="13" applyFont="1" applyBorder="1" applyAlignment="1">
      <alignment horizontal="center" vertical="center" wrapText="1"/>
    </xf>
    <xf numFmtId="0" fontId="15" fillId="0" borderId="93" xfId="13" applyFont="1" applyBorder="1" applyAlignment="1">
      <alignment horizontal="center" vertical="center" wrapText="1"/>
    </xf>
    <xf numFmtId="0" fontId="15" fillId="0" borderId="89" xfId="13" applyFont="1" applyBorder="1" applyAlignment="1">
      <alignment horizontal="center" vertical="center" wrapText="1"/>
    </xf>
    <xf numFmtId="0" fontId="15" fillId="0" borderId="0" xfId="13" applyFont="1" applyBorder="1" applyAlignment="1">
      <alignment horizontal="center" vertical="top"/>
    </xf>
    <xf numFmtId="49" fontId="15" fillId="0" borderId="0" xfId="13" applyNumberFormat="1" applyFont="1" applyFill="1" applyBorder="1" applyAlignment="1">
      <alignment horizontal="left" vertical="top" wrapText="1" indent="1"/>
    </xf>
    <xf numFmtId="49" fontId="15" fillId="0" borderId="70" xfId="13" applyNumberFormat="1" applyFont="1" applyFill="1" applyBorder="1" applyAlignment="1">
      <alignment horizontal="left" vertical="top" wrapText="1" indent="1"/>
    </xf>
    <xf numFmtId="4" fontId="15" fillId="0" borderId="98" xfId="0" applyNumberFormat="1" applyFont="1" applyBorder="1" applyAlignment="1">
      <alignment horizontal="center" vertical="top"/>
    </xf>
    <xf numFmtId="4" fontId="15" fillId="0" borderId="99" xfId="0" applyNumberFormat="1" applyFont="1" applyBorder="1" applyAlignment="1">
      <alignment horizontal="center" vertical="top"/>
    </xf>
    <xf numFmtId="49" fontId="15" fillId="0" borderId="42" xfId="13" applyNumberFormat="1" applyFont="1" applyFill="1" applyBorder="1" applyAlignment="1">
      <alignment horizontal="left" vertical="top" wrapText="1" indent="1"/>
    </xf>
    <xf numFmtId="49" fontId="15" fillId="0" borderId="84" xfId="13" applyNumberFormat="1" applyFont="1" applyFill="1" applyBorder="1" applyAlignment="1">
      <alignment horizontal="left" vertical="top" wrapText="1" indent="1"/>
    </xf>
    <xf numFmtId="4" fontId="15" fillId="0" borderId="100" xfId="0" applyNumberFormat="1" applyFont="1" applyBorder="1" applyAlignment="1">
      <alignment horizontal="center" vertical="top"/>
    </xf>
    <xf numFmtId="0" fontId="15" fillId="0" borderId="0" xfId="13" applyFont="1" applyFill="1" applyBorder="1" applyAlignment="1">
      <alignment horizontal="left" vertical="top" wrapText="1"/>
    </xf>
    <xf numFmtId="0" fontId="15" fillId="0" borderId="70" xfId="13" applyFont="1" applyFill="1" applyBorder="1" applyAlignment="1">
      <alignment horizontal="left" vertical="top" wrapText="1"/>
    </xf>
    <xf numFmtId="0" fontId="15" fillId="0" borderId="98" xfId="0" applyFont="1" applyBorder="1" applyAlignment="1">
      <alignment horizontal="center" vertical="top"/>
    </xf>
    <xf numFmtId="0" fontId="15" fillId="0" borderId="99" xfId="0" applyFont="1" applyBorder="1" applyAlignment="1">
      <alignment horizontal="center" vertical="top"/>
    </xf>
    <xf numFmtId="0" fontId="15" fillId="0" borderId="96" xfId="13" applyFont="1" applyBorder="1" applyAlignment="1">
      <alignment horizontal="center" vertical="center" wrapText="1"/>
    </xf>
    <xf numFmtId="0" fontId="15" fillId="0" borderId="5" xfId="13" applyFont="1" applyBorder="1" applyAlignment="1">
      <alignment horizontal="center" vertical="center" wrapText="1"/>
    </xf>
    <xf numFmtId="0" fontId="15" fillId="0" borderId="97" xfId="13" applyFont="1" applyBorder="1" applyAlignment="1">
      <alignment horizontal="center" vertical="center" wrapText="1"/>
    </xf>
    <xf numFmtId="0" fontId="15" fillId="0" borderId="8" xfId="13" applyFont="1" applyBorder="1" applyAlignment="1">
      <alignment horizontal="center" vertical="center" wrapText="1"/>
    </xf>
    <xf numFmtId="0" fontId="70" fillId="0" borderId="0" xfId="13" applyFont="1" applyBorder="1" applyAlignment="1">
      <alignment horizontal="center"/>
    </xf>
    <xf numFmtId="0" fontId="203" fillId="0" borderId="0" xfId="13" applyFont="1" applyBorder="1" applyAlignment="1">
      <alignment horizontal="justify" vertical="top" wrapText="1"/>
    </xf>
    <xf numFmtId="0" fontId="203" fillId="0" borderId="0" xfId="13" applyFont="1" applyFill="1" applyBorder="1" applyAlignment="1">
      <alignment horizontal="justify" vertical="top" wrapText="1"/>
    </xf>
    <xf numFmtId="3" fontId="14" fillId="0" borderId="94" xfId="13" applyNumberFormat="1" applyFont="1" applyBorder="1" applyAlignment="1">
      <alignment horizontal="center" vertical="top"/>
    </xf>
    <xf numFmtId="3" fontId="14" fillId="0" borderId="95" xfId="13" applyNumberFormat="1" applyFont="1" applyBorder="1" applyAlignment="1">
      <alignment horizontal="center" vertical="top"/>
    </xf>
    <xf numFmtId="3" fontId="14" fillId="0" borderId="27" xfId="13" applyNumberFormat="1" applyFont="1" applyBorder="1" applyAlignment="1">
      <alignment horizontal="center" vertical="top"/>
    </xf>
    <xf numFmtId="3" fontId="14" fillId="0" borderId="86" xfId="13" applyNumberFormat="1" applyFont="1" applyBorder="1" applyAlignment="1">
      <alignment horizontal="center" vertical="top"/>
    </xf>
    <xf numFmtId="3" fontId="14" fillId="0" borderId="7" xfId="13" applyNumberFormat="1" applyFont="1" applyBorder="1" applyAlignment="1">
      <alignment horizontal="center" vertical="top"/>
    </xf>
    <xf numFmtId="3" fontId="14" fillId="0" borderId="29" xfId="13" applyNumberFormat="1" applyFont="1" applyBorder="1" applyAlignment="1">
      <alignment horizontal="center" vertical="top"/>
    </xf>
    <xf numFmtId="3" fontId="14" fillId="0" borderId="84" xfId="13" applyNumberFormat="1" applyFont="1" applyBorder="1" applyAlignment="1">
      <alignment horizontal="center" vertical="top"/>
    </xf>
    <xf numFmtId="0" fontId="14" fillId="0" borderId="94" xfId="13" applyFont="1" applyBorder="1" applyAlignment="1">
      <alignment horizontal="center" vertical="top"/>
    </xf>
    <xf numFmtId="0" fontId="14" fillId="0" borderId="95" xfId="13" applyFont="1" applyBorder="1" applyAlignment="1">
      <alignment horizontal="center" vertical="top"/>
    </xf>
    <xf numFmtId="0" fontId="14" fillId="0" borderId="101" xfId="13" applyFont="1" applyBorder="1" applyAlignment="1">
      <alignment horizontal="center" vertical="top"/>
    </xf>
    <xf numFmtId="0" fontId="14" fillId="0" borderId="86" xfId="13" applyFont="1" applyFill="1" applyBorder="1" applyAlignment="1">
      <alignment horizontal="left" vertical="top" wrapText="1"/>
    </xf>
    <xf numFmtId="0" fontId="14" fillId="0" borderId="95" xfId="13" applyFont="1" applyFill="1" applyBorder="1" applyAlignment="1">
      <alignment horizontal="left" vertical="top" wrapText="1"/>
    </xf>
    <xf numFmtId="0" fontId="14" fillId="0" borderId="27" xfId="13" applyFont="1" applyFill="1" applyBorder="1" applyAlignment="1">
      <alignment horizontal="left" vertical="top" wrapText="1"/>
    </xf>
    <xf numFmtId="3" fontId="14" fillId="0" borderId="101" xfId="13" applyNumberFormat="1" applyFont="1" applyBorder="1" applyAlignment="1">
      <alignment horizontal="center" vertical="top"/>
    </xf>
    <xf numFmtId="0" fontId="14" fillId="0" borderId="28" xfId="13" applyFont="1" applyBorder="1" applyAlignment="1">
      <alignment horizontal="center" vertical="top"/>
    </xf>
    <xf numFmtId="0" fontId="14" fillId="0" borderId="7" xfId="13" applyFont="1" applyBorder="1" applyAlignment="1">
      <alignment horizontal="center" vertical="top"/>
    </xf>
    <xf numFmtId="0" fontId="14" fillId="0" borderId="100" xfId="13" applyFont="1" applyBorder="1" applyAlignment="1">
      <alignment horizontal="center" vertical="top"/>
    </xf>
    <xf numFmtId="0" fontId="14" fillId="0" borderId="84" xfId="13" applyFont="1" applyFill="1" applyBorder="1" applyAlignment="1">
      <alignment horizontal="left" vertical="top" wrapText="1" indent="1"/>
    </xf>
    <xf numFmtId="0" fontId="14" fillId="0" borderId="7" xfId="13" applyFont="1" applyFill="1" applyBorder="1" applyAlignment="1">
      <alignment horizontal="left" vertical="top" wrapText="1" indent="1"/>
    </xf>
    <xf numFmtId="0" fontId="14" fillId="0" borderId="29" xfId="13" applyFont="1" applyFill="1" applyBorder="1" applyAlignment="1">
      <alignment horizontal="left" vertical="top" wrapText="1" indent="1"/>
    </xf>
    <xf numFmtId="3" fontId="14" fillId="0" borderId="100" xfId="13" applyNumberFormat="1" applyFont="1" applyBorder="1" applyAlignment="1">
      <alignment horizontal="center" vertical="top"/>
    </xf>
    <xf numFmtId="3" fontId="14" fillId="0" borderId="28" xfId="13" applyNumberFormat="1" applyFont="1" applyBorder="1" applyAlignment="1">
      <alignment horizontal="center" vertical="top"/>
    </xf>
    <xf numFmtId="3" fontId="14" fillId="0" borderId="102" xfId="13" applyNumberFormat="1" applyFont="1" applyBorder="1" applyAlignment="1">
      <alignment horizontal="center" vertical="top"/>
    </xf>
    <xf numFmtId="3" fontId="14" fillId="0" borderId="98" xfId="13" applyNumberFormat="1" applyFont="1" applyBorder="1" applyAlignment="1">
      <alignment horizontal="center" vertical="top"/>
    </xf>
    <xf numFmtId="3" fontId="14" fillId="0" borderId="103" xfId="13" applyNumberFormat="1" applyFont="1" applyBorder="1" applyAlignment="1">
      <alignment horizontal="center" vertical="top"/>
    </xf>
    <xf numFmtId="3" fontId="14" fillId="0" borderId="70" xfId="13" applyNumberFormat="1" applyFont="1" applyBorder="1" applyAlignment="1">
      <alignment horizontal="center" vertical="top"/>
    </xf>
    <xf numFmtId="3" fontId="14" fillId="0" borderId="105" xfId="13" applyNumberFormat="1" applyFont="1" applyBorder="1" applyAlignment="1">
      <alignment horizontal="center" vertical="top"/>
    </xf>
    <xf numFmtId="3" fontId="14" fillId="0" borderId="108" xfId="13" applyNumberFormat="1" applyFont="1" applyBorder="1" applyAlignment="1">
      <alignment horizontal="center" vertical="top"/>
    </xf>
    <xf numFmtId="3" fontId="14" fillId="0" borderId="107" xfId="13" applyNumberFormat="1" applyFont="1" applyBorder="1" applyAlignment="1">
      <alignment horizontal="center" vertical="top"/>
    </xf>
    <xf numFmtId="3" fontId="14" fillId="0" borderId="104" xfId="13" applyNumberFormat="1" applyFont="1" applyBorder="1" applyAlignment="1">
      <alignment horizontal="center" vertical="top"/>
    </xf>
    <xf numFmtId="0" fontId="14" fillId="0" borderId="102" xfId="13" applyFont="1" applyBorder="1" applyAlignment="1">
      <alignment horizontal="center" vertical="top"/>
    </xf>
    <xf numFmtId="0" fontId="14" fillId="0" borderId="98" xfId="13" applyFont="1" applyBorder="1" applyAlignment="1">
      <alignment horizontal="center" vertical="top"/>
    </xf>
    <xf numFmtId="0" fontId="14" fillId="0" borderId="99" xfId="13" applyFont="1" applyBorder="1" applyAlignment="1">
      <alignment horizontal="center" vertical="top"/>
    </xf>
    <xf numFmtId="0" fontId="14" fillId="0" borderId="70" xfId="13" applyFont="1" applyFill="1" applyBorder="1" applyAlignment="1">
      <alignment horizontal="left" vertical="top" wrapText="1" indent="1"/>
    </xf>
    <xf numFmtId="0" fontId="14" fillId="0" borderId="98" xfId="13" applyFont="1" applyFill="1" applyBorder="1" applyAlignment="1">
      <alignment horizontal="left" vertical="top" wrapText="1" indent="1"/>
    </xf>
    <xf numFmtId="0" fontId="14" fillId="0" borderId="103" xfId="13" applyFont="1" applyFill="1" applyBorder="1" applyAlignment="1">
      <alignment horizontal="left" vertical="top" wrapText="1" indent="1"/>
    </xf>
    <xf numFmtId="3" fontId="14" fillId="0" borderId="99" xfId="13" applyNumberFormat="1" applyFont="1" applyBorder="1" applyAlignment="1">
      <alignment horizontal="center" vertical="top"/>
    </xf>
    <xf numFmtId="0" fontId="14" fillId="0" borderId="104" xfId="13" applyFont="1" applyBorder="1" applyAlignment="1">
      <alignment horizontal="center" vertical="top"/>
    </xf>
    <xf numFmtId="0" fontId="14" fillId="0" borderId="105" xfId="13" applyFont="1" applyBorder="1" applyAlignment="1">
      <alignment horizontal="center" vertical="top"/>
    </xf>
    <xf numFmtId="0" fontId="14" fillId="0" borderId="106" xfId="13" applyFont="1" applyBorder="1" applyAlignment="1">
      <alignment horizontal="center" vertical="top"/>
    </xf>
    <xf numFmtId="0" fontId="14" fillId="0" borderId="107" xfId="13" applyFont="1" applyFill="1" applyBorder="1" applyAlignment="1">
      <alignment horizontal="left" vertical="top" wrapText="1"/>
    </xf>
    <xf numFmtId="0" fontId="14" fillId="0" borderId="105" xfId="13" applyFont="1" applyFill="1" applyBorder="1" applyAlignment="1">
      <alignment horizontal="left" vertical="top" wrapText="1"/>
    </xf>
    <xf numFmtId="0" fontId="14" fillId="0" borderId="108" xfId="13" applyFont="1" applyFill="1" applyBorder="1" applyAlignment="1">
      <alignment horizontal="left" vertical="top" wrapText="1"/>
    </xf>
    <xf numFmtId="3" fontId="14" fillId="0" borderId="106" xfId="13" applyNumberFormat="1" applyFont="1" applyBorder="1" applyAlignment="1">
      <alignment horizontal="center" vertical="top"/>
    </xf>
    <xf numFmtId="173" fontId="14" fillId="0" borderId="105" xfId="13" applyNumberFormat="1" applyFont="1" applyBorder="1" applyAlignment="1">
      <alignment horizontal="center" vertical="top"/>
    </xf>
    <xf numFmtId="173" fontId="14" fillId="0" borderId="108" xfId="13" applyNumberFormat="1" applyFont="1" applyBorder="1" applyAlignment="1">
      <alignment horizontal="center" vertical="top"/>
    </xf>
    <xf numFmtId="173" fontId="14" fillId="0" borderId="104" xfId="13" applyNumberFormat="1" applyFont="1" applyBorder="1" applyAlignment="1">
      <alignment horizontal="center" vertical="top"/>
    </xf>
    <xf numFmtId="173" fontId="14" fillId="0" borderId="7" xfId="13" applyNumberFormat="1" applyFont="1" applyBorder="1" applyAlignment="1">
      <alignment horizontal="center" vertical="top"/>
    </xf>
    <xf numFmtId="173" fontId="14" fillId="0" borderId="84" xfId="13" applyNumberFormat="1" applyFont="1" applyBorder="1" applyAlignment="1">
      <alignment horizontal="center" vertical="top"/>
    </xf>
    <xf numFmtId="4" fontId="14" fillId="0" borderId="7" xfId="13" applyNumberFormat="1" applyFont="1" applyBorder="1" applyAlignment="1">
      <alignment horizontal="center" vertical="top"/>
    </xf>
    <xf numFmtId="0" fontId="14" fillId="0" borderId="70" xfId="13" applyFont="1" applyFill="1" applyBorder="1" applyAlignment="1">
      <alignment horizontal="left" vertical="top" wrapText="1"/>
    </xf>
    <xf numFmtId="0" fontId="14" fillId="0" borderId="98" xfId="13" applyFont="1" applyFill="1" applyBorder="1" applyAlignment="1">
      <alignment horizontal="left" vertical="top" wrapText="1"/>
    </xf>
    <xf numFmtId="0" fontId="14" fillId="0" borderId="103" xfId="13" applyFont="1" applyFill="1" applyBorder="1" applyAlignment="1">
      <alignment horizontal="left" vertical="top" wrapText="1"/>
    </xf>
    <xf numFmtId="0" fontId="14" fillId="0" borderId="94" xfId="13" applyFont="1" applyBorder="1" applyAlignment="1">
      <alignment horizontal="center" vertical="center" wrapText="1"/>
    </xf>
    <xf numFmtId="0" fontId="14" fillId="0" borderId="95" xfId="13" applyFont="1" applyBorder="1" applyAlignment="1">
      <alignment horizontal="center" vertical="center" wrapText="1"/>
    </xf>
    <xf numFmtId="0" fontId="14" fillId="0" borderId="27" xfId="13" applyFont="1" applyBorder="1" applyAlignment="1">
      <alignment horizontal="center" vertical="center" wrapText="1"/>
    </xf>
    <xf numFmtId="0" fontId="14" fillId="0" borderId="86" xfId="13" applyFont="1" applyBorder="1" applyAlignment="1">
      <alignment horizontal="center" vertical="center" wrapText="1"/>
    </xf>
    <xf numFmtId="0" fontId="14" fillId="0" borderId="34" xfId="13" applyFont="1" applyBorder="1" applyAlignment="1">
      <alignment horizontal="center" vertical="center" wrapText="1"/>
    </xf>
    <xf numFmtId="0" fontId="14" fillId="0" borderId="41" xfId="13" applyFont="1" applyBorder="1" applyAlignment="1">
      <alignment horizontal="center" vertical="center" wrapText="1"/>
    </xf>
    <xf numFmtId="0" fontId="14" fillId="0" borderId="44" xfId="13" applyFont="1" applyBorder="1" applyAlignment="1">
      <alignment horizontal="center" vertical="center" wrapText="1"/>
    </xf>
    <xf numFmtId="0" fontId="14" fillId="0" borderId="48" xfId="13" applyFont="1" applyBorder="1" applyAlignment="1">
      <alignment horizontal="center" vertical="center" wrapText="1"/>
    </xf>
    <xf numFmtId="0" fontId="14" fillId="0" borderId="50" xfId="13" applyFont="1" applyBorder="1" applyAlignment="1">
      <alignment horizontal="center" vertical="center" wrapText="1"/>
    </xf>
    <xf numFmtId="0" fontId="14" fillId="0" borderId="51" xfId="13" applyFont="1" applyBorder="1" applyAlignment="1">
      <alignment horizontal="center" vertical="center" wrapText="1"/>
    </xf>
    <xf numFmtId="0" fontId="14" fillId="0" borderId="88" xfId="13" applyFont="1" applyBorder="1" applyAlignment="1">
      <alignment horizontal="center" vertical="center" wrapText="1"/>
    </xf>
    <xf numFmtId="0" fontId="14" fillId="0" borderId="62" xfId="13" applyFont="1" applyBorder="1" applyAlignment="1">
      <alignment horizontal="center" vertical="center" wrapText="1"/>
    </xf>
    <xf numFmtId="0" fontId="14" fillId="0" borderId="89" xfId="13" applyFont="1" applyBorder="1" applyAlignment="1">
      <alignment horizontal="center" vertical="center" wrapText="1"/>
    </xf>
    <xf numFmtId="0" fontId="14" fillId="0" borderId="101" xfId="13" applyFont="1" applyBorder="1" applyAlignment="1">
      <alignment horizontal="center" vertical="center" wrapText="1"/>
    </xf>
    <xf numFmtId="3" fontId="15" fillId="0" borderId="95" xfId="13" applyNumberFormat="1" applyFont="1" applyBorder="1" applyAlignment="1">
      <alignment horizontal="center" vertical="top"/>
    </xf>
    <xf numFmtId="3" fontId="15" fillId="0" borderId="27" xfId="13" applyNumberFormat="1" applyFont="1" applyBorder="1" applyAlignment="1">
      <alignment horizontal="center" vertical="top"/>
    </xf>
    <xf numFmtId="0" fontId="15" fillId="0" borderId="86" xfId="13" applyFont="1" applyFill="1" applyBorder="1" applyAlignment="1">
      <alignment horizontal="left" vertical="top" wrapText="1"/>
    </xf>
    <xf numFmtId="0" fontId="15" fillId="0" borderId="95" xfId="13" applyFont="1" applyFill="1" applyBorder="1" applyAlignment="1">
      <alignment horizontal="left" vertical="top" wrapText="1"/>
    </xf>
    <xf numFmtId="0" fontId="15" fillId="0" borderId="27" xfId="13" applyFont="1" applyFill="1" applyBorder="1" applyAlignment="1">
      <alignment horizontal="left" vertical="top" wrapText="1"/>
    </xf>
    <xf numFmtId="3" fontId="15" fillId="0" borderId="94" xfId="13" applyNumberFormat="1" applyFont="1" applyBorder="1" applyAlignment="1">
      <alignment horizontal="center" vertical="top"/>
    </xf>
    <xf numFmtId="3" fontId="15" fillId="0" borderId="86" xfId="13" applyNumberFormat="1" applyFont="1" applyBorder="1" applyAlignment="1">
      <alignment horizontal="center" vertical="top"/>
    </xf>
    <xf numFmtId="3" fontId="15" fillId="0" borderId="98" xfId="13" applyNumberFormat="1" applyFont="1" applyBorder="1" applyAlignment="1">
      <alignment horizontal="center" vertical="top"/>
    </xf>
    <xf numFmtId="3" fontId="15" fillId="0" borderId="103" xfId="13" applyNumberFormat="1" applyFont="1" applyBorder="1" applyAlignment="1">
      <alignment horizontal="center" vertical="top"/>
    </xf>
    <xf numFmtId="0" fontId="15" fillId="0" borderId="84" xfId="13" applyFont="1" applyFill="1" applyBorder="1" applyAlignment="1">
      <alignment horizontal="left" vertical="top" wrapText="1" indent="1"/>
    </xf>
    <xf numFmtId="0" fontId="15" fillId="0" borderId="7" xfId="13" applyFont="1" applyFill="1" applyBorder="1" applyAlignment="1">
      <alignment horizontal="left" vertical="top" wrapText="1" indent="1"/>
    </xf>
    <xf numFmtId="0" fontId="15" fillId="0" borderId="29" xfId="13" applyFont="1" applyFill="1" applyBorder="1" applyAlignment="1">
      <alignment horizontal="left" vertical="top" wrapText="1" indent="1"/>
    </xf>
    <xf numFmtId="3" fontId="15" fillId="0" borderId="28" xfId="13" applyNumberFormat="1" applyFont="1" applyBorder="1" applyAlignment="1">
      <alignment horizontal="center" vertical="top"/>
    </xf>
    <xf numFmtId="3" fontId="15" fillId="0" borderId="7" xfId="13" applyNumberFormat="1" applyFont="1" applyBorder="1" applyAlignment="1">
      <alignment horizontal="center" vertical="top"/>
    </xf>
    <xf numFmtId="3" fontId="15" fillId="0" borderId="29" xfId="13" applyNumberFormat="1" applyFont="1" applyBorder="1" applyAlignment="1">
      <alignment horizontal="center" vertical="top"/>
    </xf>
    <xf numFmtId="3" fontId="15" fillId="0" borderId="84" xfId="13" applyNumberFormat="1" applyFont="1" applyBorder="1" applyAlignment="1">
      <alignment horizontal="center" vertical="top"/>
    </xf>
    <xf numFmtId="0" fontId="15" fillId="0" borderId="55" xfId="13" applyFont="1" applyBorder="1" applyAlignment="1">
      <alignment horizontal="center" vertical="top"/>
    </xf>
    <xf numFmtId="0" fontId="15" fillId="0" borderId="70" xfId="13" applyFont="1" applyFill="1" applyBorder="1" applyAlignment="1">
      <alignment horizontal="left" vertical="top" wrapText="1" indent="1"/>
    </xf>
    <xf numFmtId="0" fontId="15" fillId="0" borderId="98" xfId="13" applyFont="1" applyFill="1" applyBorder="1" applyAlignment="1">
      <alignment horizontal="left" vertical="top" wrapText="1" indent="1"/>
    </xf>
    <xf numFmtId="0" fontId="15" fillId="0" borderId="103" xfId="13" applyFont="1" applyFill="1" applyBorder="1" applyAlignment="1">
      <alignment horizontal="left" vertical="top" wrapText="1" indent="1"/>
    </xf>
    <xf numFmtId="3" fontId="15" fillId="0" borderId="102" xfId="13" applyNumberFormat="1" applyFont="1" applyBorder="1" applyAlignment="1">
      <alignment horizontal="center" vertical="top"/>
    </xf>
    <xf numFmtId="3" fontId="15" fillId="0" borderId="70" xfId="13" applyNumberFormat="1" applyFont="1" applyBorder="1" applyAlignment="1">
      <alignment horizontal="center" vertical="top"/>
    </xf>
    <xf numFmtId="0" fontId="15" fillId="0" borderId="109" xfId="13" applyFont="1" applyBorder="1" applyAlignment="1">
      <alignment horizontal="center" vertical="top"/>
    </xf>
    <xf numFmtId="0" fontId="15" fillId="0" borderId="110" xfId="13" applyFont="1" applyBorder="1" applyAlignment="1">
      <alignment horizontal="center" vertical="top"/>
    </xf>
    <xf numFmtId="0" fontId="15" fillId="0" borderId="107" xfId="13" applyFont="1" applyFill="1" applyBorder="1" applyAlignment="1">
      <alignment horizontal="left" vertical="top" wrapText="1"/>
    </xf>
    <xf numFmtId="0" fontId="15" fillId="0" borderId="105" xfId="13" applyFont="1" applyFill="1" applyBorder="1" applyAlignment="1">
      <alignment horizontal="left" vertical="top" wrapText="1"/>
    </xf>
    <xf numFmtId="0" fontId="15" fillId="0" borderId="108" xfId="13" applyFont="1" applyFill="1" applyBorder="1" applyAlignment="1">
      <alignment horizontal="left" vertical="top" wrapText="1"/>
    </xf>
    <xf numFmtId="3" fontId="15" fillId="0" borderId="104" xfId="13" applyNumberFormat="1" applyFont="1" applyBorder="1" applyAlignment="1">
      <alignment horizontal="center" vertical="top"/>
    </xf>
    <xf numFmtId="3" fontId="15" fillId="0" borderId="105" xfId="13" applyNumberFormat="1" applyFont="1" applyBorder="1" applyAlignment="1">
      <alignment horizontal="center" vertical="top"/>
    </xf>
    <xf numFmtId="3" fontId="15" fillId="0" borderId="108" xfId="13" applyNumberFormat="1" applyFont="1" applyBorder="1" applyAlignment="1">
      <alignment horizontal="center" vertical="top"/>
    </xf>
    <xf numFmtId="3" fontId="15" fillId="0" borderId="107" xfId="13" applyNumberFormat="1" applyFont="1" applyBorder="1" applyAlignment="1">
      <alignment horizontal="center" vertical="top"/>
    </xf>
    <xf numFmtId="173" fontId="15" fillId="0" borderId="84" xfId="13" applyNumberFormat="1" applyFont="1" applyBorder="1" applyAlignment="1">
      <alignment horizontal="center" vertical="top"/>
    </xf>
    <xf numFmtId="173" fontId="15" fillId="0" borderId="7" xfId="13" applyNumberFormat="1" applyFont="1" applyBorder="1" applyAlignment="1">
      <alignment horizontal="center" vertical="top"/>
    </xf>
    <xf numFmtId="0" fontId="15" fillId="0" borderId="98" xfId="13" applyFont="1" applyFill="1" applyBorder="1" applyAlignment="1">
      <alignment horizontal="left" vertical="top" wrapText="1"/>
    </xf>
    <xf numFmtId="0" fontId="15" fillId="0" borderId="103" xfId="13" applyFont="1" applyFill="1" applyBorder="1" applyAlignment="1">
      <alignment horizontal="left" vertical="top" wrapText="1"/>
    </xf>
    <xf numFmtId="0" fontId="192" fillId="0" borderId="0" xfId="13" applyFont="1" applyBorder="1" applyAlignment="1">
      <alignment horizontal="center" vertical="top"/>
    </xf>
    <xf numFmtId="0" fontId="192" fillId="0" borderId="0" xfId="13" applyFont="1" applyFill="1" applyBorder="1" applyAlignment="1">
      <alignment horizontal="center" vertical="top" wrapText="1"/>
    </xf>
    <xf numFmtId="0" fontId="15" fillId="0" borderId="34" xfId="13" applyFont="1" applyBorder="1" applyAlignment="1">
      <alignment horizontal="center" vertical="center" wrapText="1"/>
    </xf>
    <xf numFmtId="0" fontId="15" fillId="0" borderId="41" xfId="13" applyFont="1" applyBorder="1" applyAlignment="1">
      <alignment horizontal="center" vertical="center" wrapText="1"/>
    </xf>
    <xf numFmtId="0" fontId="15" fillId="0" borderId="44" xfId="13" applyFont="1" applyBorder="1" applyAlignment="1">
      <alignment horizontal="center" vertical="center" wrapText="1"/>
    </xf>
    <xf numFmtId="0" fontId="15" fillId="0" borderId="48" xfId="13" applyFont="1" applyBorder="1" applyAlignment="1">
      <alignment horizontal="center" vertical="center" wrapText="1"/>
    </xf>
    <xf numFmtId="0" fontId="15" fillId="0" borderId="50" xfId="13" applyFont="1" applyBorder="1" applyAlignment="1">
      <alignment horizontal="center" vertical="center" wrapText="1"/>
    </xf>
    <xf numFmtId="0" fontId="15" fillId="0" borderId="51" xfId="13" applyFont="1" applyBorder="1" applyAlignment="1">
      <alignment horizontal="center" vertical="center" wrapText="1"/>
    </xf>
    <xf numFmtId="0" fontId="15" fillId="0" borderId="94" xfId="13" applyFont="1" applyBorder="1" applyAlignment="1">
      <alignment horizontal="center" vertical="center" wrapText="1"/>
    </xf>
    <xf numFmtId="0" fontId="15" fillId="0" borderId="95" xfId="13" applyFont="1" applyBorder="1" applyAlignment="1">
      <alignment horizontal="center" vertical="center" wrapText="1"/>
    </xf>
    <xf numFmtId="0" fontId="15" fillId="0" borderId="27" xfId="13" applyFont="1" applyBorder="1" applyAlignment="1">
      <alignment horizontal="center" vertical="center" wrapText="1"/>
    </xf>
    <xf numFmtId="0" fontId="15" fillId="0" borderId="86" xfId="13" applyFont="1" applyBorder="1" applyAlignment="1">
      <alignment horizontal="center" vertical="center" wrapText="1"/>
    </xf>
    <xf numFmtId="0" fontId="2" fillId="0" borderId="0" xfId="0" applyFont="1" applyAlignment="1">
      <alignment horizontal="center" wrapText="1"/>
    </xf>
    <xf numFmtId="0" fontId="64" fillId="42" borderId="41" xfId="0" applyFont="1" applyFill="1" applyBorder="1" applyAlignment="1">
      <alignment horizontal="center" vertical="center" wrapText="1"/>
    </xf>
    <xf numFmtId="0" fontId="64" fillId="42" borderId="50" xfId="0" applyFont="1" applyFill="1" applyBorder="1" applyAlignment="1">
      <alignment horizontal="center" vertical="center" wrapText="1"/>
    </xf>
    <xf numFmtId="0" fontId="64" fillId="0" borderId="44" xfId="0" applyFont="1" applyBorder="1" applyAlignment="1">
      <alignment horizontal="center" vertical="center" wrapText="1"/>
    </xf>
    <xf numFmtId="0" fontId="64" fillId="0" borderId="51" xfId="0" applyFont="1" applyBorder="1" applyAlignment="1">
      <alignment horizontal="center" vertical="center" wrapText="1"/>
    </xf>
    <xf numFmtId="0" fontId="64" fillId="42" borderId="38" xfId="0" applyFont="1" applyFill="1" applyBorder="1" applyAlignment="1">
      <alignment horizontal="center" vertical="center" wrapText="1"/>
    </xf>
    <xf numFmtId="0" fontId="64" fillId="42" borderId="49" xfId="0" applyFont="1" applyFill="1" applyBorder="1" applyAlignment="1">
      <alignment horizontal="center" vertical="center" wrapText="1"/>
    </xf>
    <xf numFmtId="0" fontId="72" fillId="0" borderId="37"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47" xfId="0" applyFont="1" applyBorder="1" applyAlignment="1">
      <alignment horizontal="center" vertical="center" wrapText="1"/>
    </xf>
    <xf numFmtId="0" fontId="72" fillId="0" borderId="38" xfId="0" applyFont="1" applyBorder="1" applyAlignment="1">
      <alignment horizontal="center" vertical="center" wrapText="1"/>
    </xf>
    <xf numFmtId="0" fontId="72" fillId="0" borderId="56" xfId="0" applyFont="1" applyBorder="1" applyAlignment="1">
      <alignment horizontal="center" vertical="center" wrapText="1"/>
    </xf>
    <xf numFmtId="0" fontId="72" fillId="0" borderId="49" xfId="0" applyFont="1" applyBorder="1" applyAlignment="1">
      <alignment horizontal="center" vertical="center" wrapText="1"/>
    </xf>
    <xf numFmtId="0" fontId="72" fillId="43" borderId="37" xfId="0" applyFont="1" applyFill="1" applyBorder="1" applyAlignment="1">
      <alignment horizontal="center" vertical="center" wrapText="1"/>
    </xf>
    <xf numFmtId="0" fontId="72" fillId="43" borderId="43" xfId="0" applyFont="1" applyFill="1" applyBorder="1" applyAlignment="1">
      <alignment horizontal="center" vertical="center" wrapText="1"/>
    </xf>
    <xf numFmtId="0" fontId="72" fillId="43" borderId="47" xfId="0" applyFont="1" applyFill="1" applyBorder="1" applyAlignment="1">
      <alignment horizontal="center" vertical="center" wrapText="1"/>
    </xf>
    <xf numFmtId="0" fontId="70" fillId="0" borderId="38" xfId="0" applyFont="1" applyBorder="1" applyAlignment="1">
      <alignment horizontal="center" vertical="center" wrapText="1"/>
    </xf>
    <xf numFmtId="0" fontId="70" fillId="0" borderId="56" xfId="0" applyFont="1" applyBorder="1" applyAlignment="1">
      <alignment horizontal="center" vertical="center" wrapText="1"/>
    </xf>
    <xf numFmtId="0" fontId="70" fillId="0" borderId="49" xfId="0" applyFont="1" applyBorder="1" applyAlignment="1">
      <alignment horizontal="center" vertical="center" wrapText="1"/>
    </xf>
    <xf numFmtId="0" fontId="70" fillId="44" borderId="37" xfId="0" applyFont="1" applyFill="1" applyBorder="1" applyAlignment="1">
      <alignment horizontal="center" vertical="center" wrapText="1"/>
    </xf>
    <xf numFmtId="0" fontId="70" fillId="44" borderId="43" xfId="0" applyFont="1" applyFill="1" applyBorder="1" applyAlignment="1">
      <alignment horizontal="center" vertical="center" wrapText="1"/>
    </xf>
    <xf numFmtId="0" fontId="70" fillId="44" borderId="47" xfId="0" applyFont="1" applyFill="1" applyBorder="1" applyAlignment="1">
      <alignment horizontal="center" vertical="center" wrapText="1"/>
    </xf>
    <xf numFmtId="0" fontId="211" fillId="0" borderId="42" xfId="13" applyFont="1" applyBorder="1" applyAlignment="1">
      <alignment horizontal="center" vertical="center" wrapText="1"/>
    </xf>
    <xf numFmtId="0" fontId="218" fillId="0" borderId="0" xfId="13" applyFont="1" applyAlignment="1">
      <alignment horizontal="center" vertical="center" wrapText="1"/>
    </xf>
    <xf numFmtId="0" fontId="220" fillId="0" borderId="42" xfId="13" applyFont="1" applyBorder="1" applyAlignment="1">
      <alignment horizontal="center" vertical="center" wrapText="1"/>
    </xf>
    <xf numFmtId="0" fontId="15" fillId="0" borderId="0" xfId="13" applyFont="1" applyAlignment="1">
      <alignment horizontal="right" vertical="center"/>
    </xf>
    <xf numFmtId="0" fontId="8" fillId="0" borderId="0" xfId="13" applyFont="1"/>
    <xf numFmtId="0" fontId="192" fillId="0" borderId="0" xfId="13" applyFont="1" applyAlignment="1">
      <alignment horizontal="justify" vertical="center"/>
    </xf>
    <xf numFmtId="0" fontId="192" fillId="0" borderId="0" xfId="13" applyFont="1" applyAlignment="1">
      <alignment horizontal="center" vertical="center" wrapText="1"/>
    </xf>
    <xf numFmtId="0" fontId="135" fillId="0" borderId="0" xfId="13" applyFont="1" applyAlignment="1">
      <alignment horizontal="center" vertical="center" wrapText="1"/>
    </xf>
    <xf numFmtId="0" fontId="192" fillId="0" borderId="0" xfId="13" applyFont="1" applyAlignment="1">
      <alignment horizontal="right" vertical="center"/>
    </xf>
    <xf numFmtId="0" fontId="232" fillId="0" borderId="0" xfId="13" applyFont="1" applyFill="1" applyBorder="1" applyAlignment="1">
      <alignment horizontal="center" vertical="center" wrapText="1"/>
    </xf>
    <xf numFmtId="0" fontId="82" fillId="0" borderId="38" xfId="13" applyFont="1" applyBorder="1" applyAlignment="1">
      <alignment horizontal="center" vertical="center" wrapText="1"/>
    </xf>
    <xf numFmtId="0" fontId="82" fillId="0" borderId="34" xfId="13" applyFont="1" applyBorder="1" applyAlignment="1">
      <alignment horizontal="center" vertical="center" wrapText="1"/>
    </xf>
    <xf numFmtId="0" fontId="82" fillId="0" borderId="41" xfId="13" applyFont="1" applyBorder="1" applyAlignment="1">
      <alignment horizontal="center" vertical="center" wrapText="1"/>
    </xf>
    <xf numFmtId="0" fontId="82" fillId="0" borderId="44" xfId="13" applyFont="1" applyBorder="1" applyAlignment="1">
      <alignment horizontal="center" vertical="center" wrapText="1"/>
    </xf>
    <xf numFmtId="0" fontId="232" fillId="0" borderId="0" xfId="13" applyFont="1" applyFill="1" applyBorder="1" applyAlignment="1">
      <alignment horizontal="right" vertical="center" wrapText="1"/>
    </xf>
    <xf numFmtId="0" fontId="232" fillId="0" borderId="50" xfId="13" applyFont="1" applyFill="1" applyBorder="1" applyAlignment="1">
      <alignment horizontal="right" vertical="center" wrapText="1"/>
    </xf>
    <xf numFmtId="0" fontId="82" fillId="0" borderId="56" xfId="13" applyFont="1" applyBorder="1" applyAlignment="1">
      <alignment horizontal="center" vertical="center" wrapText="1"/>
    </xf>
    <xf numFmtId="0" fontId="82" fillId="0" borderId="48" xfId="13" applyFont="1" applyBorder="1" applyAlignment="1">
      <alignment horizontal="center" vertical="center" wrapText="1"/>
    </xf>
    <xf numFmtId="0" fontId="82" fillId="0" borderId="50" xfId="13" applyFont="1" applyBorder="1" applyAlignment="1">
      <alignment horizontal="center" vertical="center" wrapText="1"/>
    </xf>
    <xf numFmtId="0" fontId="82" fillId="0" borderId="51" xfId="13" applyFont="1" applyBorder="1" applyAlignment="1">
      <alignment horizontal="center" vertical="center" wrapText="1"/>
    </xf>
    <xf numFmtId="0" fontId="72" fillId="45" borderId="63" xfId="13" applyFont="1" applyFill="1" applyBorder="1" applyAlignment="1">
      <alignment horizontal="center" vertical="center" wrapText="1"/>
    </xf>
    <xf numFmtId="0" fontId="72" fillId="106" borderId="38" xfId="13" applyFont="1" applyFill="1" applyBorder="1" applyAlignment="1">
      <alignment horizontal="center" vertical="center" wrapText="1"/>
    </xf>
    <xf numFmtId="0" fontId="72" fillId="4" borderId="38" xfId="13" applyFont="1" applyFill="1" applyBorder="1" applyAlignment="1">
      <alignment horizontal="center" vertical="center" wrapText="1"/>
    </xf>
    <xf numFmtId="0" fontId="82" fillId="0" borderId="49" xfId="13" applyFont="1" applyBorder="1" applyAlignment="1">
      <alignment horizontal="center" vertical="center" wrapText="1"/>
    </xf>
    <xf numFmtId="0" fontId="72" fillId="45" borderId="51" xfId="13" applyFont="1" applyFill="1" applyBorder="1" applyAlignment="1">
      <alignment horizontal="center" vertical="center" wrapText="1"/>
    </xf>
    <xf numFmtId="0" fontId="72" fillId="106" borderId="49" xfId="13" applyFont="1" applyFill="1" applyBorder="1" applyAlignment="1">
      <alignment horizontal="center" vertical="center" wrapText="1"/>
    </xf>
    <xf numFmtId="0" fontId="72" fillId="4" borderId="49" xfId="13" applyFont="1" applyFill="1" applyBorder="1" applyAlignment="1">
      <alignment horizontal="center" vertical="center" wrapText="1"/>
    </xf>
    <xf numFmtId="0" fontId="15" fillId="0" borderId="49" xfId="13" applyFont="1" applyBorder="1" applyAlignment="1">
      <alignment horizontal="center" vertical="center" wrapText="1"/>
    </xf>
    <xf numFmtId="0" fontId="15" fillId="45" borderId="51" xfId="13" applyFont="1" applyFill="1" applyBorder="1" applyAlignment="1">
      <alignment horizontal="center" vertical="center" wrapText="1"/>
    </xf>
    <xf numFmtId="0" fontId="15" fillId="4" borderId="51" xfId="13" applyFont="1" applyFill="1" applyBorder="1" applyAlignment="1">
      <alignment horizontal="center" vertical="center" wrapText="1"/>
    </xf>
    <xf numFmtId="0" fontId="15" fillId="106" borderId="51" xfId="13" applyFont="1" applyFill="1" applyBorder="1" applyAlignment="1">
      <alignment horizontal="center" vertical="center" wrapText="1"/>
    </xf>
    <xf numFmtId="0" fontId="82" fillId="44" borderId="33" xfId="13" applyFont="1" applyFill="1" applyBorder="1" applyAlignment="1">
      <alignment horizontal="center" vertical="center" wrapText="1"/>
    </xf>
    <xf numFmtId="0" fontId="82" fillId="44" borderId="33" xfId="13" applyFont="1" applyFill="1" applyBorder="1" applyAlignment="1">
      <alignment vertical="center" wrapText="1"/>
    </xf>
    <xf numFmtId="4" fontId="82" fillId="44" borderId="47" xfId="644" applyNumberFormat="1" applyFont="1" applyFill="1" applyBorder="1" applyAlignment="1">
      <alignment horizontal="center" vertical="center" wrapText="1"/>
    </xf>
    <xf numFmtId="4" fontId="82" fillId="44" borderId="33" xfId="13" applyNumberFormat="1" applyFont="1" applyFill="1" applyBorder="1" applyAlignment="1">
      <alignment horizontal="center" vertical="center" wrapText="1"/>
    </xf>
    <xf numFmtId="4" fontId="82" fillId="44" borderId="33" xfId="644" applyNumberFormat="1" applyFont="1" applyFill="1" applyBorder="1" applyAlignment="1">
      <alignment horizontal="center" vertical="center" wrapText="1"/>
    </xf>
    <xf numFmtId="0" fontId="135" fillId="0" borderId="0" xfId="13" applyFont="1"/>
    <xf numFmtId="4" fontId="135" fillId="0" borderId="0" xfId="13" applyNumberFormat="1" applyFont="1"/>
    <xf numFmtId="0" fontId="15" fillId="0" borderId="49" xfId="13" applyFont="1" applyBorder="1" applyAlignment="1">
      <alignment vertical="center" wrapText="1"/>
    </xf>
    <xf numFmtId="4" fontId="15" fillId="45" borderId="51" xfId="13" applyNumberFormat="1" applyFont="1" applyFill="1" applyBorder="1" applyAlignment="1">
      <alignment horizontal="center" vertical="center" wrapText="1"/>
    </xf>
    <xf numFmtId="4" fontId="15" fillId="45" borderId="51" xfId="644" applyNumberFormat="1" applyFont="1" applyFill="1" applyBorder="1" applyAlignment="1">
      <alignment horizontal="center" vertical="center" wrapText="1"/>
    </xf>
    <xf numFmtId="4" fontId="15" fillId="4" borderId="51" xfId="13" applyNumberFormat="1" applyFont="1" applyFill="1" applyBorder="1" applyAlignment="1">
      <alignment horizontal="center" vertical="center" wrapText="1"/>
    </xf>
    <xf numFmtId="4" fontId="15" fillId="106" borderId="51" xfId="13" applyNumberFormat="1" applyFont="1" applyFill="1" applyBorder="1" applyAlignment="1">
      <alignment horizontal="center" vertical="center" wrapText="1"/>
    </xf>
    <xf numFmtId="4" fontId="15" fillId="106" borderId="33" xfId="46732" applyNumberFormat="1" applyFont="1" applyFill="1" applyBorder="1" applyAlignment="1">
      <alignment horizontal="center" vertical="center" wrapText="1"/>
    </xf>
    <xf numFmtId="4" fontId="15" fillId="45" borderId="51" xfId="46732" applyNumberFormat="1" applyFont="1" applyFill="1" applyBorder="1" applyAlignment="1">
      <alignment horizontal="center" vertical="center" wrapText="1"/>
    </xf>
    <xf numFmtId="0" fontId="15" fillId="44" borderId="49" xfId="13" applyFont="1" applyFill="1" applyBorder="1" applyAlignment="1">
      <alignment horizontal="center" vertical="center" wrapText="1"/>
    </xf>
    <xf numFmtId="0" fontId="82" fillId="44" borderId="49" xfId="13" applyFont="1" applyFill="1" applyBorder="1" applyAlignment="1">
      <alignment vertical="center" wrapText="1"/>
    </xf>
    <xf numFmtId="4" fontId="82" fillId="44" borderId="51" xfId="644" applyNumberFormat="1" applyFont="1" applyFill="1" applyBorder="1" applyAlignment="1">
      <alignment horizontal="center" vertical="center" wrapText="1"/>
    </xf>
    <xf numFmtId="4" fontId="82" fillId="44" borderId="51" xfId="13" applyNumberFormat="1" applyFont="1" applyFill="1" applyBorder="1" applyAlignment="1">
      <alignment horizontal="center" vertical="center" wrapText="1"/>
    </xf>
    <xf numFmtId="0" fontId="15" fillId="45" borderId="49" xfId="13" applyFont="1" applyFill="1" applyBorder="1" applyAlignment="1">
      <alignment horizontal="center" vertical="center" wrapText="1"/>
    </xf>
    <xf numFmtId="0" fontId="81" fillId="107" borderId="43" xfId="13" applyFont="1" applyFill="1" applyBorder="1" applyAlignment="1">
      <alignment vertical="center" wrapText="1"/>
    </xf>
    <xf numFmtId="4" fontId="82" fillId="107" borderId="33" xfId="13" applyNumberFormat="1" applyFont="1" applyFill="1" applyBorder="1" applyAlignment="1">
      <alignment horizontal="right" wrapText="1"/>
    </xf>
    <xf numFmtId="0" fontId="15" fillId="45" borderId="58" xfId="13" applyFont="1" applyFill="1" applyBorder="1" applyAlignment="1">
      <alignment horizontal="center" vertical="center" wrapText="1"/>
    </xf>
    <xf numFmtId="0" fontId="85" fillId="108" borderId="130" xfId="13" applyFont="1" applyFill="1" applyBorder="1" applyAlignment="1">
      <alignment horizontal="left" wrapText="1"/>
    </xf>
    <xf numFmtId="4" fontId="85" fillId="108" borderId="130" xfId="13" applyNumberFormat="1" applyFont="1" applyFill="1" applyBorder="1" applyAlignment="1">
      <alignment horizontal="right" wrapText="1"/>
    </xf>
    <xf numFmtId="0" fontId="15" fillId="45" borderId="40" xfId="13" applyFont="1" applyFill="1" applyBorder="1" applyAlignment="1">
      <alignment horizontal="center" vertical="center" wrapText="1"/>
    </xf>
    <xf numFmtId="0" fontId="15" fillId="0" borderId="39" xfId="13" applyFont="1" applyFill="1" applyBorder="1" applyAlignment="1">
      <alignment horizontal="left" wrapText="1"/>
    </xf>
    <xf numFmtId="4" fontId="80" fillId="45" borderId="39" xfId="13" applyNumberFormat="1" applyFont="1" applyFill="1" applyBorder="1" applyAlignment="1">
      <alignment horizontal="right" wrapText="1"/>
    </xf>
    <xf numFmtId="4" fontId="80" fillId="100" borderId="39" xfId="13" applyNumberFormat="1" applyFont="1" applyFill="1" applyBorder="1" applyAlignment="1">
      <alignment horizontal="right" wrapText="1"/>
    </xf>
    <xf numFmtId="4" fontId="80" fillId="106" borderId="39" xfId="13" applyNumberFormat="1" applyFont="1" applyFill="1" applyBorder="1" applyAlignment="1">
      <alignment horizontal="right" wrapText="1"/>
    </xf>
    <xf numFmtId="0" fontId="15" fillId="0" borderId="56" xfId="13" applyFont="1" applyFill="1" applyBorder="1" applyAlignment="1">
      <alignment horizontal="left" wrapText="1"/>
    </xf>
    <xf numFmtId="0" fontId="15" fillId="0" borderId="40" xfId="13" applyFont="1" applyFill="1" applyBorder="1" applyAlignment="1">
      <alignment horizontal="left" wrapText="1"/>
    </xf>
    <xf numFmtId="4" fontId="80" fillId="109" borderId="39" xfId="13" applyNumberFormat="1" applyFont="1" applyFill="1" applyBorder="1" applyAlignment="1">
      <alignment horizontal="right" wrapText="1"/>
    </xf>
    <xf numFmtId="4" fontId="15" fillId="45" borderId="39" xfId="13" applyNumberFormat="1" applyFont="1" applyFill="1" applyBorder="1" applyAlignment="1">
      <alignment horizontal="right" wrapText="1"/>
    </xf>
    <xf numFmtId="4" fontId="15" fillId="45" borderId="40" xfId="13" applyNumberFormat="1" applyFont="1" applyFill="1" applyBorder="1" applyAlignment="1">
      <alignment horizontal="right" wrapText="1"/>
    </xf>
    <xf numFmtId="4" fontId="80" fillId="45" borderId="40" xfId="13" applyNumberFormat="1" applyFont="1" applyFill="1" applyBorder="1" applyAlignment="1">
      <alignment horizontal="right" wrapText="1"/>
    </xf>
    <xf numFmtId="4" fontId="80" fillId="100" borderId="40" xfId="13" applyNumberFormat="1" applyFont="1" applyFill="1" applyBorder="1" applyAlignment="1">
      <alignment horizontal="right" wrapText="1"/>
    </xf>
    <xf numFmtId="4" fontId="80" fillId="106" borderId="40" xfId="13" applyNumberFormat="1" applyFont="1" applyFill="1" applyBorder="1" applyAlignment="1">
      <alignment horizontal="right" wrapText="1"/>
    </xf>
    <xf numFmtId="0" fontId="85" fillId="108" borderId="131" xfId="13" applyFont="1" applyFill="1" applyBorder="1" applyAlignment="1">
      <alignment horizontal="left" wrapText="1"/>
    </xf>
    <xf numFmtId="4" fontId="85" fillId="108" borderId="131" xfId="13" applyNumberFormat="1" applyFont="1" applyFill="1" applyBorder="1" applyAlignment="1">
      <alignment horizontal="right" wrapText="1"/>
    </xf>
    <xf numFmtId="0" fontId="85" fillId="108" borderId="132" xfId="13" applyFont="1" applyFill="1" applyBorder="1" applyAlignment="1">
      <alignment horizontal="left" wrapText="1"/>
    </xf>
    <xf numFmtId="4" fontId="85" fillId="108" borderId="132" xfId="13" applyNumberFormat="1" applyFont="1" applyFill="1" applyBorder="1" applyAlignment="1">
      <alignment horizontal="right" wrapText="1"/>
    </xf>
    <xf numFmtId="0" fontId="15" fillId="45" borderId="124" xfId="13" applyFont="1" applyFill="1" applyBorder="1" applyAlignment="1">
      <alignment horizontal="center" vertical="center" wrapText="1"/>
    </xf>
    <xf numFmtId="0" fontId="85" fillId="108" borderId="56" xfId="13" applyFont="1" applyFill="1" applyBorder="1" applyAlignment="1">
      <alignment horizontal="left" wrapText="1"/>
    </xf>
    <xf numFmtId="4" fontId="85" fillId="108" borderId="56" xfId="13" applyNumberFormat="1" applyFont="1" applyFill="1" applyBorder="1" applyAlignment="1">
      <alignment horizontal="right" wrapText="1"/>
    </xf>
    <xf numFmtId="0" fontId="15" fillId="45" borderId="33" xfId="13" applyFont="1" applyFill="1" applyBorder="1" applyAlignment="1">
      <alignment horizontal="center" vertical="center" wrapText="1"/>
    </xf>
    <xf numFmtId="0" fontId="15" fillId="45" borderId="39" xfId="13" applyFont="1" applyFill="1" applyBorder="1" applyAlignment="1">
      <alignment horizontal="center" vertical="center" wrapText="1"/>
    </xf>
    <xf numFmtId="0" fontId="15" fillId="0" borderId="121" xfId="13" applyFont="1" applyFill="1" applyBorder="1" applyAlignment="1">
      <alignment horizontal="left" wrapText="1"/>
    </xf>
    <xf numFmtId="0" fontId="85" fillId="108" borderId="38" xfId="13" applyFont="1" applyFill="1" applyBorder="1" applyAlignment="1">
      <alignment horizontal="left" wrapText="1"/>
    </xf>
    <xf numFmtId="4" fontId="85" fillId="108" borderId="38" xfId="13" applyNumberFormat="1" applyFont="1" applyFill="1" applyBorder="1" applyAlignment="1">
      <alignment horizontal="right" wrapText="1"/>
    </xf>
    <xf numFmtId="0" fontId="15" fillId="0" borderId="124" xfId="13" applyFont="1" applyFill="1" applyBorder="1" applyAlignment="1">
      <alignment horizontal="left" wrapText="1"/>
    </xf>
    <xf numFmtId="4" fontId="80" fillId="45" borderId="56" xfId="13" applyNumberFormat="1" applyFont="1" applyFill="1" applyBorder="1" applyAlignment="1">
      <alignment horizontal="right" wrapText="1"/>
    </xf>
    <xf numFmtId="4" fontId="80" fillId="100" borderId="56" xfId="13" applyNumberFormat="1" applyFont="1" applyFill="1" applyBorder="1" applyAlignment="1">
      <alignment horizontal="right" wrapText="1"/>
    </xf>
    <xf numFmtId="4" fontId="80" fillId="106" borderId="56" xfId="13" applyNumberFormat="1" applyFont="1" applyFill="1" applyBorder="1" applyAlignment="1">
      <alignment horizontal="right" wrapText="1"/>
    </xf>
    <xf numFmtId="0" fontId="15" fillId="0" borderId="38" xfId="13" applyFont="1" applyFill="1" applyBorder="1" applyAlignment="1">
      <alignment horizontal="left" wrapText="1"/>
    </xf>
    <xf numFmtId="0" fontId="15" fillId="0" borderId="58" xfId="13" applyFont="1" applyFill="1" applyBorder="1" applyAlignment="1">
      <alignment horizontal="left" wrapText="1"/>
    </xf>
    <xf numFmtId="0" fontId="15" fillId="0" borderId="57" xfId="13" applyFont="1" applyFill="1" applyBorder="1" applyAlignment="1">
      <alignment horizontal="left" wrapText="1"/>
    </xf>
    <xf numFmtId="0" fontId="196" fillId="0" borderId="82" xfId="13" applyFont="1" applyFill="1" applyBorder="1" applyAlignment="1">
      <alignment horizontal="left" vertical="center" wrapText="1"/>
    </xf>
    <xf numFmtId="0" fontId="15" fillId="45" borderId="57" xfId="13" applyFont="1" applyFill="1" applyBorder="1" applyAlignment="1">
      <alignment horizontal="center" vertical="center" wrapText="1"/>
    </xf>
    <xf numFmtId="0" fontId="82" fillId="45" borderId="49" xfId="13" applyFont="1" applyFill="1" applyBorder="1" applyAlignment="1">
      <alignment vertical="center" wrapText="1"/>
    </xf>
    <xf numFmtId="4" fontId="82" fillId="45" borderId="51" xfId="644" applyNumberFormat="1" applyFont="1" applyFill="1" applyBorder="1" applyAlignment="1">
      <alignment horizontal="center" vertical="center" wrapText="1"/>
    </xf>
    <xf numFmtId="4" fontId="82" fillId="45" borderId="51" xfId="13" applyNumberFormat="1" applyFont="1" applyFill="1" applyBorder="1" applyAlignment="1">
      <alignment horizontal="center" vertical="center" wrapText="1"/>
    </xf>
    <xf numFmtId="0" fontId="82" fillId="0" borderId="63" xfId="13" applyFont="1" applyBorder="1" applyAlignment="1">
      <alignment vertical="center" wrapText="1"/>
    </xf>
    <xf numFmtId="4" fontId="15" fillId="106" borderId="38" xfId="13" applyNumberFormat="1" applyFont="1" applyFill="1" applyBorder="1" applyAlignment="1">
      <alignment horizontal="center" vertical="center" wrapText="1"/>
    </xf>
    <xf numFmtId="4" fontId="82" fillId="45" borderId="38" xfId="644" applyNumberFormat="1" applyFont="1" applyFill="1" applyBorder="1" applyAlignment="1">
      <alignment horizontal="center" vertical="center" wrapText="1"/>
    </xf>
    <xf numFmtId="4" fontId="15" fillId="4" borderId="38" xfId="13" applyNumberFormat="1" applyFont="1" applyFill="1" applyBorder="1" applyAlignment="1">
      <alignment horizontal="center" vertical="center" wrapText="1"/>
    </xf>
    <xf numFmtId="0" fontId="234" fillId="0" borderId="51" xfId="13" applyFont="1" applyBorder="1" applyAlignment="1">
      <alignment vertical="center" wrapText="1"/>
    </xf>
    <xf numFmtId="4" fontId="15" fillId="106" borderId="49" xfId="13" applyNumberFormat="1" applyFont="1" applyFill="1" applyBorder="1" applyAlignment="1">
      <alignment horizontal="center" vertical="center" wrapText="1"/>
    </xf>
    <xf numFmtId="4" fontId="82" fillId="45" borderId="49" xfId="644" applyNumberFormat="1" applyFont="1" applyFill="1" applyBorder="1" applyAlignment="1">
      <alignment horizontal="center" vertical="center" wrapText="1"/>
    </xf>
    <xf numFmtId="4" fontId="15" fillId="4" borderId="49" xfId="13" applyNumberFormat="1" applyFont="1" applyFill="1" applyBorder="1" applyAlignment="1">
      <alignment horizontal="center" vertical="center" wrapText="1"/>
    </xf>
    <xf numFmtId="0" fontId="15" fillId="0" borderId="33" xfId="13" applyFont="1" applyBorder="1" applyAlignment="1">
      <alignment horizontal="center" vertical="center" wrapText="1"/>
    </xf>
    <xf numFmtId="0" fontId="15" fillId="0" borderId="47" xfId="13" applyFont="1" applyBorder="1" applyAlignment="1">
      <alignment vertical="center" wrapText="1"/>
    </xf>
    <xf numFmtId="4" fontId="15" fillId="45" borderId="47" xfId="644" applyNumberFormat="1" applyFont="1" applyFill="1" applyBorder="1" applyAlignment="1">
      <alignment horizontal="center" vertical="center" wrapText="1"/>
    </xf>
    <xf numFmtId="4" fontId="15" fillId="45" borderId="47" xfId="13" applyNumberFormat="1" applyFont="1" applyFill="1" applyBorder="1" applyAlignment="1">
      <alignment horizontal="center" vertical="center" wrapText="1"/>
    </xf>
    <xf numFmtId="4" fontId="15" fillId="3" borderId="47" xfId="644" applyNumberFormat="1" applyFont="1" applyFill="1" applyBorder="1" applyAlignment="1">
      <alignment horizontal="center" vertical="center" wrapText="1"/>
    </xf>
    <xf numFmtId="4" fontId="15" fillId="4" borderId="47" xfId="13" applyNumberFormat="1" applyFont="1" applyFill="1" applyBorder="1" applyAlignment="1">
      <alignment horizontal="center" vertical="center" wrapText="1"/>
    </xf>
    <xf numFmtId="4" fontId="15" fillId="106" borderId="47" xfId="13" applyNumberFormat="1" applyFont="1" applyFill="1" applyBorder="1" applyAlignment="1">
      <alignment horizontal="center" vertical="center" wrapText="1"/>
    </xf>
    <xf numFmtId="4" fontId="15" fillId="106" borderId="47" xfId="644" applyNumberFormat="1" applyFont="1" applyFill="1" applyBorder="1" applyAlignment="1">
      <alignment vertical="center" wrapText="1"/>
    </xf>
    <xf numFmtId="0" fontId="15" fillId="0" borderId="51" xfId="13" applyFont="1" applyBorder="1" applyAlignment="1">
      <alignment vertical="center" wrapText="1"/>
    </xf>
    <xf numFmtId="4" fontId="192" fillId="45" borderId="51" xfId="13" applyNumberFormat="1" applyFont="1" applyFill="1" applyBorder="1" applyAlignment="1">
      <alignment horizontal="center" vertical="center" wrapText="1"/>
    </xf>
    <xf numFmtId="0" fontId="82" fillId="44" borderId="51" xfId="13" applyFont="1" applyFill="1" applyBorder="1" applyAlignment="1">
      <alignment vertical="center" wrapText="1"/>
    </xf>
    <xf numFmtId="4" fontId="15" fillId="44" borderId="33" xfId="13" applyNumberFormat="1" applyFont="1" applyFill="1" applyBorder="1" applyAlignment="1">
      <alignment horizontal="center" vertical="center" wrapText="1"/>
    </xf>
    <xf numFmtId="4" fontId="82" fillId="99" borderId="33" xfId="13" applyNumberFormat="1" applyFont="1" applyFill="1" applyBorder="1" applyAlignment="1">
      <alignment horizontal="center" vertical="center" wrapText="1"/>
    </xf>
    <xf numFmtId="0" fontId="236" fillId="0" borderId="0" xfId="13" applyFont="1"/>
    <xf numFmtId="0" fontId="92" fillId="0" borderId="0" xfId="13" applyFont="1" applyFill="1" applyBorder="1" applyAlignment="1">
      <alignment horizontal="left" vertical="center" wrapText="1"/>
    </xf>
    <xf numFmtId="0" fontId="80" fillId="0" borderId="0" xfId="13" applyFont="1" applyFill="1" applyBorder="1" applyAlignment="1">
      <alignment horizontal="left" vertical="center" wrapText="1"/>
    </xf>
    <xf numFmtId="0" fontId="8" fillId="0" borderId="0" xfId="13" applyAlignment="1">
      <alignment horizontal="left" wrapText="1"/>
    </xf>
    <xf numFmtId="4" fontId="210" fillId="7" borderId="0" xfId="13" applyNumberFormat="1" applyFont="1" applyFill="1" applyAlignment="1"/>
    <xf numFmtId="165" fontId="0" fillId="0" borderId="0" xfId="644" applyFont="1"/>
    <xf numFmtId="4" fontId="8" fillId="0" borderId="0" xfId="13" applyNumberFormat="1"/>
    <xf numFmtId="0" fontId="88" fillId="0" borderId="0" xfId="41997" applyFont="1" applyAlignment="1">
      <alignment horizontal="center" wrapText="1"/>
    </xf>
    <xf numFmtId="0" fontId="88" fillId="0" borderId="0" xfId="13" applyFont="1" applyFill="1"/>
    <xf numFmtId="165" fontId="89" fillId="0" borderId="0" xfId="13" applyNumberFormat="1" applyFont="1" applyFill="1"/>
    <xf numFmtId="0" fontId="90" fillId="0" borderId="0" xfId="41997" applyFont="1"/>
    <xf numFmtId="0" fontId="88" fillId="0" borderId="0" xfId="41997" applyFont="1" applyAlignment="1">
      <alignment horizontal="center" wrapText="1"/>
    </xf>
    <xf numFmtId="0" fontId="89" fillId="0" borderId="0" xfId="13" applyFont="1" applyFill="1"/>
    <xf numFmtId="0" fontId="237" fillId="0" borderId="0" xfId="13" applyFont="1"/>
    <xf numFmtId="0" fontId="229" fillId="0" borderId="0" xfId="13" applyFont="1"/>
    <xf numFmtId="4" fontId="8" fillId="0" borderId="0" xfId="13" applyNumberFormat="1" applyFont="1" applyFill="1"/>
    <xf numFmtId="0" fontId="14" fillId="0" borderId="0" xfId="41998" applyFont="1"/>
    <xf numFmtId="0" fontId="70" fillId="0" borderId="0" xfId="46928" applyFont="1"/>
    <xf numFmtId="0" fontId="14" fillId="0" borderId="0" xfId="13" applyFont="1" applyFill="1"/>
    <xf numFmtId="0" fontId="234" fillId="0" borderId="0" xfId="13" applyFont="1" applyAlignment="1">
      <alignment horizontal="left"/>
    </xf>
    <xf numFmtId="0" fontId="234" fillId="0" borderId="0" xfId="13" applyFont="1"/>
    <xf numFmtId="4" fontId="210" fillId="110" borderId="0" xfId="13" applyNumberFormat="1" applyFont="1" applyFill="1" applyAlignment="1"/>
    <xf numFmtId="165" fontId="90" fillId="0" borderId="0" xfId="41997" applyNumberFormat="1" applyFont="1"/>
    <xf numFmtId="0" fontId="82" fillId="0" borderId="0" xfId="13" applyFont="1" applyAlignment="1">
      <alignment horizontal="center" vertical="center"/>
    </xf>
    <xf numFmtId="165" fontId="8" fillId="0" borderId="0" xfId="13" applyNumberFormat="1"/>
    <xf numFmtId="0" fontId="15" fillId="0" borderId="0" xfId="13" applyFont="1" applyAlignment="1">
      <alignment horizontal="left" vertical="center" wrapText="1"/>
    </xf>
    <xf numFmtId="0" fontId="193" fillId="0" borderId="0" xfId="13" applyFont="1" applyAlignment="1">
      <alignment horizontal="left" vertical="center" wrapText="1"/>
    </xf>
    <xf numFmtId="0" fontId="15" fillId="0" borderId="0" xfId="13" applyFont="1" applyAlignment="1">
      <alignment horizontal="justify" vertical="center"/>
    </xf>
    <xf numFmtId="0" fontId="192" fillId="0" borderId="0" xfId="13" applyFont="1" applyAlignment="1">
      <alignment horizontal="center" vertical="center"/>
    </xf>
    <xf numFmtId="0" fontId="192" fillId="0" borderId="0" xfId="13" applyFont="1" applyAlignment="1">
      <alignment horizontal="center" vertical="center"/>
    </xf>
    <xf numFmtId="0" fontId="82" fillId="0" borderId="0" xfId="13" applyFont="1" applyAlignment="1">
      <alignment horizontal="center" vertical="center"/>
    </xf>
    <xf numFmtId="0" fontId="8" fillId="0" borderId="38" xfId="13" applyBorder="1" applyAlignment="1">
      <alignment horizontal="center" vertical="center"/>
    </xf>
    <xf numFmtId="0" fontId="8" fillId="0" borderId="34" xfId="13" applyBorder="1" applyAlignment="1">
      <alignment horizontal="center" vertical="center"/>
    </xf>
    <xf numFmtId="0" fontId="8" fillId="0" borderId="37" xfId="13" applyBorder="1" applyAlignment="1">
      <alignment horizontal="center" vertical="center" wrapText="1"/>
    </xf>
    <xf numFmtId="0" fontId="8" fillId="0" borderId="43" xfId="13" applyBorder="1" applyAlignment="1">
      <alignment horizontal="center" vertical="center" wrapText="1"/>
    </xf>
    <xf numFmtId="0" fontId="8" fillId="0" borderId="47" xfId="13" applyBorder="1" applyAlignment="1">
      <alignment horizontal="center" vertical="center" wrapText="1"/>
    </xf>
    <xf numFmtId="0" fontId="8" fillId="0" borderId="49" xfId="13" applyBorder="1" applyAlignment="1">
      <alignment horizontal="center" vertical="center"/>
    </xf>
    <xf numFmtId="0" fontId="8" fillId="0" borderId="48" xfId="13" applyBorder="1" applyAlignment="1">
      <alignment horizontal="center" vertical="center"/>
    </xf>
    <xf numFmtId="0" fontId="8" fillId="0" borderId="52" xfId="13" applyBorder="1" applyAlignment="1">
      <alignment horizontal="center" vertical="center"/>
    </xf>
    <xf numFmtId="0" fontId="8" fillId="0" borderId="53" xfId="13" applyBorder="1" applyAlignment="1">
      <alignment horizontal="center" vertical="center"/>
    </xf>
    <xf numFmtId="0" fontId="8" fillId="0" borderId="54" xfId="13" applyBorder="1" applyAlignment="1">
      <alignment horizontal="center" vertical="center" wrapText="1"/>
    </xf>
    <xf numFmtId="0" fontId="8" fillId="0" borderId="129" xfId="13" applyFont="1" applyBorder="1" applyAlignment="1">
      <alignment horizontal="center" vertical="center"/>
    </xf>
    <xf numFmtId="0" fontId="8" fillId="0" borderId="53" xfId="13" applyFont="1" applyBorder="1" applyAlignment="1">
      <alignment horizontal="center" vertical="center"/>
    </xf>
    <xf numFmtId="0" fontId="8" fillId="0" borderId="128" xfId="13" applyBorder="1" applyAlignment="1">
      <alignment horizontal="center" vertical="center" wrapText="1"/>
    </xf>
    <xf numFmtId="0" fontId="8" fillId="0" borderId="39" xfId="13" applyBorder="1" applyAlignment="1">
      <alignment vertical="center"/>
    </xf>
    <xf numFmtId="0" fontId="8" fillId="0" borderId="35" xfId="13" applyBorder="1" applyAlignment="1">
      <alignment vertical="center" wrapText="1"/>
    </xf>
    <xf numFmtId="201" fontId="8" fillId="0" borderId="28" xfId="13" applyNumberFormat="1" applyBorder="1" applyAlignment="1">
      <alignment vertical="center"/>
    </xf>
    <xf numFmtId="201" fontId="8" fillId="0" borderId="7" xfId="13" applyNumberFormat="1" applyBorder="1" applyAlignment="1">
      <alignment vertical="center"/>
    </xf>
    <xf numFmtId="201" fontId="8" fillId="0" borderId="29" xfId="13" applyNumberFormat="1" applyBorder="1" applyAlignment="1">
      <alignment vertical="center"/>
    </xf>
    <xf numFmtId="201" fontId="8" fillId="0" borderId="84" xfId="13" applyNumberFormat="1" applyFont="1" applyBorder="1" applyAlignment="1">
      <alignment vertical="center"/>
    </xf>
    <xf numFmtId="201" fontId="8" fillId="0" borderId="7" xfId="13" applyNumberFormat="1" applyFont="1" applyBorder="1" applyAlignment="1">
      <alignment vertical="center"/>
    </xf>
    <xf numFmtId="201" fontId="8" fillId="0" borderId="100" xfId="13" applyNumberFormat="1" applyBorder="1" applyAlignment="1">
      <alignment vertical="center"/>
    </xf>
    <xf numFmtId="0" fontId="8" fillId="0" borderId="28" xfId="13" applyBorder="1" applyAlignment="1">
      <alignment vertical="center"/>
    </xf>
    <xf numFmtId="0" fontId="8" fillId="0" borderId="7" xfId="13" applyBorder="1" applyAlignment="1">
      <alignment vertical="center"/>
    </xf>
    <xf numFmtId="0" fontId="8" fillId="0" borderId="29" xfId="13" applyBorder="1" applyAlignment="1">
      <alignment vertical="center"/>
    </xf>
    <xf numFmtId="0" fontId="8" fillId="0" borderId="57" xfId="13" applyBorder="1" applyAlignment="1">
      <alignment vertical="center"/>
    </xf>
    <xf numFmtId="0" fontId="8" fillId="0" borderId="61" xfId="13" applyBorder="1" applyAlignment="1">
      <alignment vertical="center" wrapText="1"/>
    </xf>
    <xf numFmtId="201" fontId="8" fillId="0" borderId="94" xfId="13" applyNumberFormat="1" applyBorder="1" applyAlignment="1">
      <alignment vertical="center"/>
    </xf>
    <xf numFmtId="201" fontId="8" fillId="0" borderId="95" xfId="13" applyNumberFormat="1" applyBorder="1" applyAlignment="1">
      <alignment vertical="center"/>
    </xf>
    <xf numFmtId="201" fontId="8" fillId="0" borderId="27" xfId="13" applyNumberFormat="1" applyBorder="1" applyAlignment="1">
      <alignment vertical="center"/>
    </xf>
    <xf numFmtId="201" fontId="8" fillId="0" borderId="86" xfId="13" applyNumberFormat="1" applyFont="1" applyBorder="1" applyAlignment="1">
      <alignment vertical="center"/>
    </xf>
    <xf numFmtId="201" fontId="8" fillId="0" borderId="95" xfId="13" applyNumberFormat="1" applyFont="1" applyBorder="1" applyAlignment="1">
      <alignment vertical="center"/>
    </xf>
    <xf numFmtId="201" fontId="8" fillId="0" borderId="101" xfId="13" applyNumberFormat="1" applyBorder="1" applyAlignment="1">
      <alignment vertical="center"/>
    </xf>
    <xf numFmtId="0" fontId="8" fillId="0" borderId="94" xfId="13" applyBorder="1" applyAlignment="1">
      <alignment vertical="center"/>
    </xf>
    <xf numFmtId="0" fontId="8" fillId="0" borderId="95" xfId="13" applyBorder="1" applyAlignment="1">
      <alignment vertical="center"/>
    </xf>
    <xf numFmtId="0" fontId="8" fillId="0" borderId="27" xfId="13" applyBorder="1" applyAlignment="1">
      <alignment vertical="center"/>
    </xf>
    <xf numFmtId="0" fontId="82" fillId="0" borderId="0" xfId="13" applyFont="1" applyAlignment="1">
      <alignment horizontal="center" vertical="center" wrapText="1"/>
    </xf>
    <xf numFmtId="0" fontId="82" fillId="0" borderId="0" xfId="13" applyFont="1" applyAlignment="1">
      <alignment horizontal="center" vertical="center" wrapText="1"/>
    </xf>
    <xf numFmtId="0" fontId="239" fillId="0" borderId="0" xfId="13" applyFont="1" applyBorder="1" applyAlignment="1">
      <alignment wrapText="1"/>
    </xf>
    <xf numFmtId="0" fontId="8" fillId="0" borderId="50" xfId="13" applyBorder="1" applyAlignment="1">
      <alignment horizontal="left" wrapText="1"/>
    </xf>
    <xf numFmtId="0" fontId="8" fillId="0" borderId="58" xfId="13" applyBorder="1" applyAlignment="1">
      <alignment horizontal="center" vertical="center" wrapText="1"/>
    </xf>
    <xf numFmtId="0" fontId="8" fillId="0" borderId="38" xfId="13" applyBorder="1" applyAlignment="1">
      <alignment horizontal="center" vertical="center" wrapText="1"/>
    </xf>
    <xf numFmtId="0" fontId="8" fillId="0" borderId="30" xfId="13" applyFont="1" applyBorder="1" applyAlignment="1">
      <alignment horizontal="center" vertical="center" wrapText="1"/>
    </xf>
    <xf numFmtId="0" fontId="8" fillId="0" borderId="31" xfId="13" applyFont="1" applyBorder="1" applyAlignment="1">
      <alignment horizontal="center" vertical="center" wrapText="1"/>
    </xf>
    <xf numFmtId="0" fontId="8" fillId="0" borderId="32" xfId="13" applyFont="1" applyBorder="1" applyAlignment="1">
      <alignment horizontal="center" vertical="center" wrapText="1"/>
    </xf>
    <xf numFmtId="0" fontId="8" fillId="0" borderId="57" xfId="13" applyBorder="1" applyAlignment="1">
      <alignment horizontal="center" vertical="center" wrapText="1"/>
    </xf>
    <xf numFmtId="0" fontId="8" fillId="0" borderId="49" xfId="13" applyBorder="1" applyAlignment="1">
      <alignment horizontal="center" vertical="center" wrapText="1"/>
    </xf>
    <xf numFmtId="0" fontId="8" fillId="0" borderId="129" xfId="13" applyBorder="1" applyAlignment="1">
      <alignment horizontal="center" vertical="center" wrapText="1"/>
    </xf>
    <xf numFmtId="0" fontId="8" fillId="0" borderId="53" xfId="13" applyBorder="1" applyAlignment="1">
      <alignment horizontal="center" vertical="center" wrapText="1"/>
    </xf>
    <xf numFmtId="0" fontId="197" fillId="0" borderId="0" xfId="13" applyFont="1" applyAlignment="1">
      <alignment vertical="center"/>
    </xf>
    <xf numFmtId="0" fontId="8" fillId="0" borderId="39" xfId="13" applyBorder="1"/>
    <xf numFmtId="0" fontId="135" fillId="0" borderId="39" xfId="13" applyFont="1" applyBorder="1"/>
    <xf numFmtId="206" fontId="135" fillId="0" borderId="96" xfId="13" applyNumberFormat="1" applyFont="1" applyBorder="1"/>
    <xf numFmtId="206" fontId="135" fillId="0" borderId="82" xfId="13" applyNumberFormat="1" applyFont="1" applyBorder="1"/>
    <xf numFmtId="206" fontId="135" fillId="0" borderId="26" xfId="13" applyNumberFormat="1" applyFont="1" applyBorder="1"/>
    <xf numFmtId="2" fontId="194" fillId="0" borderId="0" xfId="13" applyNumberFormat="1" applyFont="1" applyAlignment="1">
      <alignment horizontal="center" vertical="center" wrapText="1"/>
    </xf>
    <xf numFmtId="16" fontId="8" fillId="0" borderId="40" xfId="13" applyNumberFormat="1" applyBorder="1"/>
    <xf numFmtId="0" fontId="8" fillId="0" borderId="40" xfId="13" applyBorder="1"/>
    <xf numFmtId="206" fontId="8" fillId="0" borderId="96" xfId="13" applyNumberFormat="1" applyBorder="1"/>
    <xf numFmtId="206" fontId="8" fillId="0" borderId="82" xfId="13" applyNumberFormat="1" applyBorder="1"/>
    <xf numFmtId="206" fontId="8" fillId="0" borderId="26" xfId="13" applyNumberFormat="1" applyBorder="1"/>
    <xf numFmtId="0" fontId="194" fillId="0" borderId="0" xfId="13" applyFont="1" applyAlignment="1">
      <alignment horizontal="justify" vertical="center"/>
    </xf>
    <xf numFmtId="0" fontId="135" fillId="0" borderId="40" xfId="13" applyFont="1" applyBorder="1"/>
    <xf numFmtId="0" fontId="8" fillId="0" borderId="0" xfId="13" applyFont="1" applyFill="1"/>
    <xf numFmtId="0" fontId="135" fillId="0" borderId="33" xfId="13" applyFont="1" applyBorder="1"/>
    <xf numFmtId="0" fontId="135" fillId="0" borderId="33" xfId="13" applyFont="1" applyBorder="1" applyAlignment="1">
      <alignment horizontal="left"/>
    </xf>
    <xf numFmtId="206" fontId="135" fillId="0" borderId="83" xfId="13" applyNumberFormat="1" applyFont="1" applyBorder="1"/>
    <xf numFmtId="206" fontId="135" fillId="0" borderId="31" xfId="13" applyNumberFormat="1" applyFont="1" applyBorder="1"/>
    <xf numFmtId="206" fontId="135" fillId="0" borderId="32" xfId="13" applyNumberFormat="1" applyFont="1" applyBorder="1"/>
    <xf numFmtId="206" fontId="240" fillId="0" borderId="99" xfId="13" applyNumberFormat="1" applyFont="1" applyFill="1" applyBorder="1"/>
    <xf numFmtId="0" fontId="241" fillId="0" borderId="0" xfId="13" applyFont="1" applyFill="1" applyBorder="1"/>
    <xf numFmtId="0" fontId="241" fillId="0" borderId="0" xfId="13" applyFont="1"/>
    <xf numFmtId="0" fontId="241" fillId="0" borderId="0" xfId="13" applyFont="1" applyFill="1"/>
    <xf numFmtId="0" fontId="241" fillId="0" borderId="99" xfId="13" applyFont="1" applyFill="1" applyBorder="1" applyAlignment="1">
      <alignment wrapText="1"/>
    </xf>
    <xf numFmtId="0" fontId="241" fillId="0" borderId="0" xfId="13" applyFont="1" applyBorder="1"/>
    <xf numFmtId="206" fontId="135" fillId="0" borderId="84" xfId="13" applyNumberFormat="1" applyFont="1" applyBorder="1"/>
    <xf numFmtId="206" fontId="135" fillId="0" borderId="7" xfId="13" applyNumberFormat="1" applyFont="1" applyBorder="1"/>
    <xf numFmtId="0" fontId="8" fillId="0" borderId="96" xfId="13" applyBorder="1"/>
    <xf numFmtId="0" fontId="8" fillId="0" borderId="82" xfId="13" applyBorder="1"/>
    <xf numFmtId="0" fontId="8" fillId="0" borderId="26" xfId="13" applyBorder="1"/>
    <xf numFmtId="0" fontId="239" fillId="0" borderId="0" xfId="13" applyFont="1"/>
    <xf numFmtId="0" fontId="8" fillId="0" borderId="0" xfId="13" applyBorder="1"/>
    <xf numFmtId="0" fontId="8" fillId="0" borderId="124" xfId="13" applyBorder="1"/>
    <xf numFmtId="206" fontId="8" fillId="0" borderId="107" xfId="13" applyNumberFormat="1" applyBorder="1"/>
    <xf numFmtId="206" fontId="8" fillId="0" borderId="105" xfId="13" applyNumberFormat="1" applyBorder="1"/>
    <xf numFmtId="206" fontId="8" fillId="0" borderId="108" xfId="13" applyNumberFormat="1" applyBorder="1"/>
    <xf numFmtId="0" fontId="241" fillId="0" borderId="0" xfId="13" applyFont="1" applyFill="1" applyBorder="1" applyAlignment="1">
      <alignment wrapText="1"/>
    </xf>
    <xf numFmtId="0" fontId="135" fillId="0" borderId="0" xfId="13" applyFont="1" applyFill="1"/>
    <xf numFmtId="165" fontId="239" fillId="0" borderId="0" xfId="46732" applyFont="1"/>
    <xf numFmtId="0" fontId="239" fillId="7" borderId="0" xfId="13" applyFont="1" applyFill="1"/>
    <xf numFmtId="0" fontId="242" fillId="0" borderId="0" xfId="13" applyFont="1"/>
    <xf numFmtId="0" fontId="242" fillId="0" borderId="0" xfId="13" applyFont="1" applyAlignment="1">
      <alignment horizontal="left"/>
    </xf>
    <xf numFmtId="0" fontId="243" fillId="0" borderId="0" xfId="46928" applyFont="1"/>
    <xf numFmtId="0" fontId="201" fillId="0" borderId="0" xfId="46928" applyFont="1" applyFill="1"/>
    <xf numFmtId="0" fontId="244" fillId="0" borderId="0" xfId="13" applyFont="1" applyFill="1"/>
    <xf numFmtId="0" fontId="243" fillId="0" borderId="0" xfId="13" applyFont="1" applyFill="1"/>
    <xf numFmtId="0" fontId="216" fillId="0" borderId="0" xfId="13" applyFont="1"/>
    <xf numFmtId="0" fontId="245" fillId="0" borderId="0" xfId="13" applyFont="1" applyAlignment="1">
      <alignment horizontal="left"/>
    </xf>
    <xf numFmtId="0" fontId="246" fillId="0" borderId="0" xfId="13" applyFont="1" applyAlignment="1"/>
    <xf numFmtId="0" fontId="246" fillId="0" borderId="0" xfId="13" applyFont="1"/>
    <xf numFmtId="0" fontId="216" fillId="0" borderId="0" xfId="13" applyFont="1" applyFill="1"/>
    <xf numFmtId="206" fontId="135" fillId="0" borderId="0" xfId="13" applyNumberFormat="1" applyFont="1" applyFill="1" applyBorder="1"/>
    <xf numFmtId="0" fontId="8" fillId="0" borderId="0" xfId="13" applyFont="1" applyBorder="1"/>
    <xf numFmtId="4" fontId="239" fillId="0" borderId="0" xfId="13" applyNumberFormat="1" applyFont="1"/>
    <xf numFmtId="206" fontId="135" fillId="0" borderId="0" xfId="13" applyNumberFormat="1" applyFont="1"/>
    <xf numFmtId="0" fontId="210" fillId="0" borderId="0" xfId="13" applyFont="1" applyAlignment="1"/>
    <xf numFmtId="0" fontId="217" fillId="0" borderId="0" xfId="13" applyFont="1" applyAlignment="1">
      <alignment horizontal="right"/>
    </xf>
    <xf numFmtId="0" fontId="217" fillId="0" borderId="0" xfId="13" applyFont="1"/>
    <xf numFmtId="0" fontId="210" fillId="0" borderId="0" xfId="13" applyFont="1" applyAlignment="1">
      <alignment horizontal="center"/>
    </xf>
    <xf numFmtId="0" fontId="113" fillId="0" borderId="38" xfId="13" applyFont="1" applyBorder="1" applyAlignment="1">
      <alignment horizontal="center" vertical="center" wrapText="1"/>
    </xf>
    <xf numFmtId="0" fontId="113" fillId="0" borderId="37" xfId="13" applyFont="1" applyBorder="1" applyAlignment="1">
      <alignment horizontal="center" vertical="center" wrapText="1"/>
    </xf>
    <xf numFmtId="0" fontId="113" fillId="0" borderId="43" xfId="13" applyFont="1" applyBorder="1" applyAlignment="1">
      <alignment horizontal="center" vertical="center" wrapText="1"/>
    </xf>
    <xf numFmtId="0" fontId="113" fillId="0" borderId="47" xfId="13" applyFont="1" applyBorder="1" applyAlignment="1">
      <alignment horizontal="center" vertical="center" wrapText="1"/>
    </xf>
    <xf numFmtId="0" fontId="113" fillId="0" borderId="49" xfId="13" applyFont="1" applyBorder="1" applyAlignment="1">
      <alignment horizontal="center" vertical="center" wrapText="1"/>
    </xf>
    <xf numFmtId="0" fontId="113" fillId="0" borderId="51" xfId="13" applyFont="1" applyBorder="1" applyAlignment="1">
      <alignment horizontal="center" vertical="center" wrapText="1"/>
    </xf>
    <xf numFmtId="0" fontId="113" fillId="0" borderId="49" xfId="13" applyFont="1" applyBorder="1" applyAlignment="1">
      <alignment horizontal="center" vertical="center" wrapText="1"/>
    </xf>
    <xf numFmtId="0" fontId="15" fillId="0" borderId="82" xfId="13" applyFont="1" applyFill="1" applyBorder="1" applyAlignment="1">
      <alignment horizontal="left" vertical="center" wrapText="1"/>
    </xf>
    <xf numFmtId="0" fontId="82" fillId="56" borderId="51" xfId="13" applyFont="1" applyFill="1" applyBorder="1" applyAlignment="1">
      <alignment vertical="center" wrapText="1"/>
    </xf>
    <xf numFmtId="4" fontId="15" fillId="56" borderId="51" xfId="644" applyNumberFormat="1" applyFont="1" applyFill="1" applyBorder="1" applyAlignment="1">
      <alignment horizontal="center" vertical="center" wrapText="1"/>
    </xf>
    <xf numFmtId="4" fontId="82" fillId="56" borderId="51" xfId="13" applyNumberFormat="1" applyFont="1" applyFill="1" applyBorder="1" applyAlignment="1">
      <alignment horizontal="center" vertical="center" wrapText="1"/>
    </xf>
    <xf numFmtId="4" fontId="15" fillId="56" borderId="51" xfId="13" applyNumberFormat="1" applyFont="1" applyFill="1" applyBorder="1" applyAlignment="1">
      <alignment horizontal="center" vertical="center" wrapText="1"/>
    </xf>
    <xf numFmtId="4" fontId="247" fillId="56" borderId="51" xfId="13" applyNumberFormat="1" applyFont="1" applyFill="1" applyBorder="1" applyAlignment="1">
      <alignment horizontal="center" vertical="center" wrapText="1"/>
    </xf>
    <xf numFmtId="0" fontId="248" fillId="0" borderId="49" xfId="13" applyFont="1" applyBorder="1" applyAlignment="1">
      <alignment horizontal="center" vertical="center" wrapText="1"/>
    </xf>
    <xf numFmtId="0" fontId="248" fillId="0" borderId="51" xfId="13" applyFont="1" applyBorder="1" applyAlignment="1">
      <alignment vertical="center" wrapText="1"/>
    </xf>
    <xf numFmtId="4" fontId="248" fillId="0" borderId="51" xfId="13" applyNumberFormat="1" applyFont="1" applyBorder="1" applyAlignment="1">
      <alignment horizontal="center" vertical="center" wrapText="1"/>
    </xf>
    <xf numFmtId="4" fontId="248" fillId="0" borderId="51" xfId="13" applyNumberFormat="1" applyFont="1" applyBorder="1" applyAlignment="1">
      <alignment vertical="center" wrapText="1"/>
    </xf>
    <xf numFmtId="0" fontId="86" fillId="45" borderId="61" xfId="13" applyFont="1" applyFill="1" applyBorder="1" applyAlignment="1">
      <alignment horizontal="left" vertical="center" wrapText="1"/>
    </xf>
    <xf numFmtId="0" fontId="86" fillId="45" borderId="60" xfId="13" applyFont="1" applyFill="1" applyBorder="1" applyAlignment="1">
      <alignment horizontal="left" vertical="center" wrapText="1"/>
    </xf>
    <xf numFmtId="0" fontId="86" fillId="45" borderId="59" xfId="13" applyFont="1" applyFill="1" applyBorder="1" applyAlignment="1">
      <alignment horizontal="left" vertical="center" wrapText="1"/>
    </xf>
    <xf numFmtId="4" fontId="82" fillId="56" borderId="51" xfId="644" applyNumberFormat="1" applyFont="1" applyFill="1" applyBorder="1" applyAlignment="1">
      <alignment horizontal="center" vertical="center" wrapText="1"/>
    </xf>
    <xf numFmtId="0" fontId="250" fillId="0" borderId="0" xfId="13" applyFont="1"/>
    <xf numFmtId="0" fontId="250" fillId="0" borderId="0" xfId="13" applyFont="1" applyAlignment="1">
      <alignment horizontal="left" wrapText="1"/>
    </xf>
    <xf numFmtId="0" fontId="250" fillId="0" borderId="0" xfId="13" applyFont="1" applyAlignment="1"/>
    <xf numFmtId="0" fontId="211" fillId="0" borderId="0" xfId="13" applyFont="1" applyBorder="1" applyAlignment="1">
      <alignment horizontal="center" vertical="center" wrapText="1"/>
    </xf>
    <xf numFmtId="49" fontId="213" fillId="7" borderId="0" xfId="13" applyNumberFormat="1" applyFont="1" applyFill="1" applyBorder="1" applyAlignment="1">
      <alignment horizontal="center" vertical="center" wrapText="1"/>
    </xf>
    <xf numFmtId="0" fontId="213" fillId="7" borderId="0" xfId="13" applyFont="1" applyFill="1" applyBorder="1" applyAlignment="1">
      <alignment horizontal="justify" vertical="center" wrapText="1"/>
    </xf>
    <xf numFmtId="0" fontId="212" fillId="7" borderId="0" xfId="13" applyFont="1" applyFill="1" applyBorder="1" applyAlignment="1">
      <alignment horizontal="center" vertical="center" wrapText="1"/>
    </xf>
    <xf numFmtId="4" fontId="213" fillId="7" borderId="0" xfId="13" applyNumberFormat="1" applyFont="1" applyFill="1" applyBorder="1" applyAlignment="1">
      <alignment horizontal="center" vertical="center" wrapText="1"/>
    </xf>
    <xf numFmtId="49" fontId="242" fillId="7" borderId="0" xfId="13" applyNumberFormat="1" applyFont="1" applyFill="1" applyAlignment="1">
      <alignment vertical="center"/>
    </xf>
    <xf numFmtId="4" fontId="64" fillId="0" borderId="33" xfId="0" applyNumberFormat="1" applyFont="1" applyBorder="1" applyAlignment="1">
      <alignment horizontal="center" vertical="center" wrapText="1"/>
    </xf>
  </cellXfs>
  <cellStyles count="46930">
    <cellStyle name=" 1" xfId="111"/>
    <cellStyle name=" 1 2" xfId="42000"/>
    <cellStyle name=" 1 2 2" xfId="42001"/>
    <cellStyle name=" 1 2 3" xfId="44051"/>
    <cellStyle name=" 1 3" xfId="42002"/>
    <cellStyle name=" 1 4" xfId="42003"/>
    <cellStyle name=" 1_Stage1" xfId="42004"/>
    <cellStyle name="%" xfId="42005"/>
    <cellStyle name="%_Inputs" xfId="42006"/>
    <cellStyle name="%_Inputs (const)" xfId="42007"/>
    <cellStyle name="%_Inputs Co" xfId="42008"/>
    <cellStyle name="?" xfId="42009"/>
    <cellStyle name="_2010 СТРУКТУРА СВОД" xfId="112"/>
    <cellStyle name="_2010 СТРУКТУРА-с зарпл." xfId="113"/>
    <cellStyle name="_4.1 и 5 Финпланы" xfId="114"/>
    <cellStyle name="_4.1 и 5 Финпланы (1)" xfId="115"/>
    <cellStyle name="_9 мес ДЭ ПФП ДПН на 2006г с разбивкой по кварталам от 28.02.06г" xfId="45428"/>
    <cellStyle name="_Copy of ДРСК_1" xfId="116"/>
    <cellStyle name="_CPI foodimp" xfId="42010"/>
    <cellStyle name="_Ltre01Лесозав." xfId="45429"/>
    <cellStyle name="_macro 2012 var 1" xfId="42011"/>
    <cellStyle name="_Model_RAB Мой" xfId="42012"/>
    <cellStyle name="_Model_RAB Мой_46EE.2011(v1.0)" xfId="42013"/>
    <cellStyle name="_Model_RAB Мой_ARMRAZR" xfId="42014"/>
    <cellStyle name="_Model_RAB Мой_BALANCE.WARM.2011YEAR.NEW.UPDATE.SCHEME" xfId="42015"/>
    <cellStyle name="_Model_RAB Мой_NADB.JNVLS.APTEKA.2011(v1.3.3)" xfId="42016"/>
    <cellStyle name="_Model_RAB Мой_NADB.JNVLS.APTEKA.2011(v1.3.4)" xfId="42017"/>
    <cellStyle name="_Model_RAB Мой_PR.PROG.WARM.NOTCOMBI.2012.2.16_v1.4(04.04.11) " xfId="42018"/>
    <cellStyle name="_Model_RAB Мой_PREDEL.JKH.UTV.2011(v1.0.1)" xfId="42019"/>
    <cellStyle name="_Model_RAB Мой_UPDATE.46EE.2011.TO.1.1" xfId="42020"/>
    <cellStyle name="_Model_RAB Мой_UPDATE.BALANCE.WARM.2011YEAR.TO.1.1" xfId="42021"/>
    <cellStyle name="_Model_RAB Мой_Книга2_PR.PROG.WARM.NOTCOMBI.2012.2.16_v1.4(04.04.11) " xfId="42022"/>
    <cellStyle name="_Model_RAB_MRSK_svod" xfId="42023"/>
    <cellStyle name="_Model_RAB_MRSK_svod_46EE.2011(v1.0)" xfId="42024"/>
    <cellStyle name="_Model_RAB_MRSK_svod_ARMRAZR" xfId="42025"/>
    <cellStyle name="_Model_RAB_MRSK_svod_BALANCE.WARM.2011YEAR.NEW.UPDATE.SCHEME" xfId="42026"/>
    <cellStyle name="_Model_RAB_MRSK_svod_NADB.JNVLS.APTEKA.2011(v1.3.3)" xfId="42027"/>
    <cellStyle name="_Model_RAB_MRSK_svod_NADB.JNVLS.APTEKA.2011(v1.3.4)" xfId="42028"/>
    <cellStyle name="_Model_RAB_MRSK_svod_PR.PROG.WARM.NOTCOMBI.2012.2.16_v1.4(04.04.11) " xfId="42029"/>
    <cellStyle name="_Model_RAB_MRSK_svod_PREDEL.JKH.UTV.2011(v1.0.1)" xfId="42030"/>
    <cellStyle name="_Model_RAB_MRSK_svod_UPDATE.46EE.2011.TO.1.1" xfId="42031"/>
    <cellStyle name="_Model_RAB_MRSK_svod_UPDATE.BALANCE.WARM.2011YEAR.TO.1.1" xfId="42032"/>
    <cellStyle name="_Model_RAB_MRSK_svod_Книга2_PR.PROG.WARM.NOTCOMBI.2012.2.16_v1.4(04.04.11) " xfId="42033"/>
    <cellStyle name="_SeriesAttributes" xfId="42034"/>
    <cellStyle name="_tipogr_end" xfId="43779"/>
    <cellStyle name="_tipogr_end 2" xfId="44052"/>
    <cellStyle name="_v-2013-2030- 2b17.01.11Нах-cpiнов. курс inn 1-2-Е1xls" xfId="42035"/>
    <cellStyle name="_авансы" xfId="45430"/>
    <cellStyle name="_АРМ_БП_АО Сахэнерго 1" xfId="45431"/>
    <cellStyle name="_АРМ_БП_АО Сахэнерго 1 2" xfId="45432"/>
    <cellStyle name="_АРМ_БП_АО Сахэнерго 1 2 2" xfId="45433"/>
    <cellStyle name="_АРМ_БП_АО Сахэнерго 1 3" xfId="45434"/>
    <cellStyle name="_АРМ_БП_АО Сахэнерго и ТЭП на 2006 г" xfId="45435"/>
    <cellStyle name="_АРМ_БП_АО Сахэнерго и ТЭП на 2006 г 2" xfId="45436"/>
    <cellStyle name="_АРМ_БП_АО Сахэнерго и ТЭП на 2006 г 2 2" xfId="45437"/>
    <cellStyle name="_АРМ_БП_АО Сахэнерго и ТЭП на 2006 г 3" xfId="45438"/>
    <cellStyle name="_АРМ_БП_АО Сахэнерго под факт2004 г." xfId="45439"/>
    <cellStyle name="_АРМ_БП_АО Сахэнерго под факт2004 г. 2" xfId="45440"/>
    <cellStyle name="_АРМ_БП_АО Сахэнерго под факт2004 г. 2 2" xfId="45441"/>
    <cellStyle name="_АРМ_БП_АО Сахэнерго под факт2004 г. 3" xfId="45442"/>
    <cellStyle name="_АРМ_БП_АО Сахэнерго утвержденный  Кср лик див" xfId="45443"/>
    <cellStyle name="_АРМ_БП_АО Сахэнерго утвержденный  Кср лик див 2" xfId="45444"/>
    <cellStyle name="_АРМ_БП_АО Сахэнерго утвержденный  Кср лик див 2 2" xfId="45445"/>
    <cellStyle name="_АРМ_БП_АО Сахэнерго утвержденный  Кср лик див 3" xfId="45446"/>
    <cellStyle name="_АРМ_БП_АО-энерго_V41_обработан_06.05.2005" xfId="45447"/>
    <cellStyle name="_Баланс  прогнозный 2 квартал" xfId="45448"/>
    <cellStyle name="_Баланс  прогнозный 2 квартал 2" xfId="45449"/>
    <cellStyle name="_Баланс  прогнозный 2 квартал 2 2" xfId="45450"/>
    <cellStyle name="_Баланс  прогнозный 2 квартал 3" xfId="45451"/>
    <cellStyle name="_Баланс 2005г прогнозный 2 квартал" xfId="45452"/>
    <cellStyle name="_Баланс 2005г прогнозный 2 квартал 2" xfId="45453"/>
    <cellStyle name="_Баланс 2005г прогнозный 2 квартал 2 2" xfId="45454"/>
    <cellStyle name="_Баланс 2005г прогнозный 2 квартал 3" xfId="45455"/>
    <cellStyle name="_в отчет" xfId="43780"/>
    <cellStyle name="_в отчет 2" xfId="44053"/>
    <cellStyle name="_ВО ОП ТЭС-ОТ- 2007" xfId="42036"/>
    <cellStyle name="_ВФ ОАО ТЭС-ОТ- 2009" xfId="42037"/>
    <cellStyle name="_выручка по присоединениям2" xfId="42038"/>
    <cellStyle name="_ГКПЗ 09 по типам закупки" xfId="42039"/>
    <cellStyle name="_Договор аренды ЯЭ с разбивкой" xfId="42040"/>
    <cellStyle name="_ДРСК, ИПР 2010 Приложение 1свод" xfId="117"/>
    <cellStyle name="_ЕСУ приложения (проект 27_07_09)(v" xfId="42041"/>
    <cellStyle name="_Инвест-структура 2011 26.10.10" xfId="118"/>
    <cellStyle name="_Инвест-структура_ХЭС_22.10.2010" xfId="119"/>
    <cellStyle name="_Инвест-структура_ХЭС_29.10.2010" xfId="120"/>
    <cellStyle name="_ИП 17032006" xfId="42042"/>
    <cellStyle name="_ИП 2009-2011_ОДОБР ПРАВ-ВОМ_09.04.09" xfId="42043"/>
    <cellStyle name="_ИП 2010-2012 ДИПП_07 05 09" xfId="42044"/>
    <cellStyle name="_ИП СО 2006-2010 отпр 22 01 07" xfId="42045"/>
    <cellStyle name="_ИП ФСК 10_10_07 куцанкиной" xfId="42046"/>
    <cellStyle name="_ИП ФСК на 2008-2012 17 12 071" xfId="42047"/>
    <cellStyle name="_ИПР 2011-2017  ХЭС  от 21.02.12" xfId="121"/>
    <cellStyle name="_ИПР 2011-2017 ХЭС  10.01.12 ПРАВИЛЬНЫЙ" xfId="122"/>
    <cellStyle name="_ИПР 2011-2017 ХЭС 16.12.11 на РАО" xfId="123"/>
    <cellStyle name="_ИПР 2012 ХЭС  12.01.12" xfId="124"/>
    <cellStyle name="_ИПР 2014-2018 ХЭС 06.12.12" xfId="125"/>
    <cellStyle name="_Источники финансирования ИП РусГидро 2010-2012" xfId="42048"/>
    <cellStyle name="_ИсточникиИП_2010" xfId="42049"/>
    <cellStyle name="_Исходные данные для модели" xfId="42050"/>
    <cellStyle name="_Книга1" xfId="45456"/>
    <cellStyle name="_Книга1 2" xfId="45457"/>
    <cellStyle name="_Книга1 2 2" xfId="45458"/>
    <cellStyle name="_Книга1 3" xfId="45459"/>
    <cellStyle name="_Книга2" xfId="126"/>
    <cellStyle name="_Книга4" xfId="127"/>
    <cellStyle name="_Книга4 2" xfId="45372"/>
    <cellStyle name="_Копия Прил 2(Показатели ИП)" xfId="42051"/>
    <cellStyle name="_Корректировка инвестиц. программы по итогам 4 месяцев (2)" xfId="45460"/>
    <cellStyle name="_Лист1" xfId="128"/>
    <cellStyle name="_Лист2" xfId="129"/>
    <cellStyle name="_Модель - 2(23)" xfId="42052"/>
    <cellStyle name="_Модель Стратегия Ленэнерго_3" xfId="130"/>
    <cellStyle name="_Модель Стратегия Ленэнерго_3 2" xfId="44054"/>
    <cellStyle name="_Модель Стратегия Ленэнерго_3 3" xfId="44055"/>
    <cellStyle name="_МОДЕЛЬ_1 (2)" xfId="42053"/>
    <cellStyle name="_МОДЕЛЬ_1 (2)_46EE.2011(v1.0)" xfId="42054"/>
    <cellStyle name="_МОДЕЛЬ_1 (2)_ARMRAZR" xfId="42055"/>
    <cellStyle name="_МОДЕЛЬ_1 (2)_BALANCE.WARM.2011YEAR.NEW.UPDATE.SCHEME" xfId="42056"/>
    <cellStyle name="_МОДЕЛЬ_1 (2)_NADB.JNVLS.APTEKA.2011(v1.3.3)" xfId="42057"/>
    <cellStyle name="_МОДЕЛЬ_1 (2)_NADB.JNVLS.APTEKA.2011(v1.3.4)" xfId="42058"/>
    <cellStyle name="_МОДЕЛЬ_1 (2)_PR.PROG.WARM.NOTCOMBI.2012.2.16_v1.4(04.04.11) " xfId="42059"/>
    <cellStyle name="_МОДЕЛЬ_1 (2)_PREDEL.JKH.UTV.2011(v1.0.1)" xfId="42060"/>
    <cellStyle name="_МОДЕЛЬ_1 (2)_UPDATE.46EE.2011.TO.1.1" xfId="42061"/>
    <cellStyle name="_МОДЕЛЬ_1 (2)_UPDATE.BALANCE.WARM.2011YEAR.TO.1.1" xfId="42062"/>
    <cellStyle name="_МОДЕЛЬ_1 (2)_Книга2_PR.PROG.WARM.NOTCOMBI.2012.2.16_v1.4(04.04.11) " xfId="42063"/>
    <cellStyle name="_НВВ 2009 постатейно свод по филиалам_09_02_09" xfId="42064"/>
    <cellStyle name="_НВВ 2009 постатейно свод по филиалам_для Валентина" xfId="42065"/>
    <cellStyle name="_Ожидаемые потери на 2010год" xfId="45461"/>
    <cellStyle name="_Омск" xfId="42066"/>
    <cellStyle name="_ОТ ИД 2009" xfId="42067"/>
    <cellStyle name="_ПЛАН на 2010 год помесячно (1)" xfId="43781"/>
    <cellStyle name="_ПЛАН на 2010 год помесячно (1) 2" xfId="44056"/>
    <cellStyle name="_пр 5 тариф RAB" xfId="42068"/>
    <cellStyle name="_пр 5 тариф RAB_46EE.2011(v1.0)" xfId="42069"/>
    <cellStyle name="_пр 5 тариф RAB_ARMRAZR" xfId="42070"/>
    <cellStyle name="_пр 5 тариф RAB_BALANCE.WARM.2011YEAR.NEW.UPDATE.SCHEME" xfId="42071"/>
    <cellStyle name="_пр 5 тариф RAB_NADB.JNVLS.APTEKA.2011(v1.3.3)" xfId="42072"/>
    <cellStyle name="_пр 5 тариф RAB_NADB.JNVLS.APTEKA.2011(v1.3.4)" xfId="42073"/>
    <cellStyle name="_пр 5 тариф RAB_PR.PROG.WARM.NOTCOMBI.2012.2.16_v1.4(04.04.11) " xfId="42074"/>
    <cellStyle name="_пр 5 тариф RAB_PREDEL.JKH.UTV.2011(v1.0.1)" xfId="42075"/>
    <cellStyle name="_пр 5 тариф RAB_UPDATE.46EE.2011.TO.1.1" xfId="42076"/>
    <cellStyle name="_пр 5 тариф RAB_UPDATE.BALANCE.WARM.2011YEAR.TO.1.1" xfId="42077"/>
    <cellStyle name="_пр 5 тариф RAB_Книга2_PR.PROG.WARM.NOTCOMBI.2012.2.16_v1.4(04.04.11) " xfId="42078"/>
    <cellStyle name="_Предожение _ДБП_2009 г ( согласованные БП)  (2)" xfId="42079"/>
    <cellStyle name="_Прил 14 ( 29 ноября)" xfId="131"/>
    <cellStyle name="_Прил 25а_ЕАО_25.12.2009" xfId="132"/>
    <cellStyle name="_Прил 25а_свод_02.11.2009" xfId="133"/>
    <cellStyle name="_Прил 4.1, 4.3 ИПР 2013-2017 24.01.12 СЕМЫКИН" xfId="134"/>
    <cellStyle name="_Прил 4_21.04.2009_СВОД" xfId="135"/>
    <cellStyle name="_Прил. 1.2, 2.2" xfId="136"/>
    <cellStyle name="_прил. 1.4" xfId="137"/>
    <cellStyle name="_Прил.1 Финансирование ИПР 2011-2013" xfId="138"/>
    <cellStyle name="_Прил.10 Отчет об исполнении  финплана 2009-2010" xfId="139"/>
    <cellStyle name="_Прил.10 Отчет об исполнении  финплана 2009-2010 2" xfId="45373"/>
    <cellStyle name="_Прил.4 Отчет об источниках финансирования ИПР 2009-2010 ХЭС" xfId="140"/>
    <cellStyle name="_Прил.9 Финплан 2011-2013" xfId="141"/>
    <cellStyle name="_Прил.9 Финплан 2011-2013 2" xfId="45374"/>
    <cellStyle name="_Прил1-1 (МГИ) (Дубинину) 22 01 07" xfId="42080"/>
    <cellStyle name="_Прилож. Л к регл. РАО ХЭС 28.11.11 1" xfId="142"/>
    <cellStyle name="_Приложение  2.2; 2.3 ИПР 2013 25.12.12" xfId="143"/>
    <cellStyle name="_Приложение 1 - ЮЯ 2010-2012 гг." xfId="144"/>
    <cellStyle name="_Приложение 1,2" xfId="45462"/>
    <cellStyle name="_Приложение 1.2_ЮЯ" xfId="145"/>
    <cellStyle name="_Приложение 1.4 ИПР 2013г. ХЭС 21.12.12" xfId="146"/>
    <cellStyle name="_Приложение 14" xfId="147"/>
    <cellStyle name="_Приложение 14 ИПР 2013г. ХЭС 24.12.12" xfId="148"/>
    <cellStyle name="_Приложение 2 (3 вариант)" xfId="149"/>
    <cellStyle name="_Приложение 2 в формате Приложения 8" xfId="150"/>
    <cellStyle name="_Приложение 2 фин. модель ДРСК 01.03.2011 г." xfId="151"/>
    <cellStyle name="_Приложение 4 от 11.01.10" xfId="152"/>
    <cellStyle name="_Приложение 5 ИПР 2013-2017" xfId="153"/>
    <cellStyle name="_Приложение 6" xfId="154"/>
    <cellStyle name="_Приложение 6.1_ЕАО от Артура" xfId="155"/>
    <cellStyle name="_Приложение 7" xfId="45463"/>
    <cellStyle name="_Приложение 7 доход расход слайды2 (1)" xfId="45464"/>
    <cellStyle name="_Приложение 7 доход слайд" xfId="45465"/>
    <cellStyle name="_Приложение 7.1" xfId="156"/>
    <cellStyle name="_Приложение 8а" xfId="157"/>
    <cellStyle name="_Приложение №1" xfId="158"/>
    <cellStyle name="_Приложение Ж (инвест.стр-ра)" xfId="159"/>
    <cellStyle name="_Приложение К (Освоение капвложений) от 29.11 источники из БП" xfId="45466"/>
    <cellStyle name="_Приложение МТС-3-КС" xfId="42081"/>
    <cellStyle name="_Приложение-МТС--2-1" xfId="42082"/>
    <cellStyle name="_Приложения  4.1 ОАО ДРСК,4.2 ХЭС" xfId="160"/>
    <cellStyle name="_Приложения 11 г. ХЭС 28.03.11 утв. Чудовым" xfId="161"/>
    <cellStyle name="_Приложения на Прав-во ХЭС 12.01.12" xfId="162"/>
    <cellStyle name="_Приложения по инвестициям на 2006г" xfId="45467"/>
    <cellStyle name="_Приложения по инвестициям на 2006г корректировка" xfId="45468"/>
    <cellStyle name="_Приложения по инвестициям на 2006г корректировка 08.09" xfId="45469"/>
    <cellStyle name="_Приложения по инвестициям на 2006годминим" xfId="45470"/>
    <cellStyle name="_Приложения по инвестициям на 2006годминим новая" xfId="45471"/>
    <cellStyle name="_Программа СО 7-09 для СД от 29 марта" xfId="42083"/>
    <cellStyle name="_птс- БП-2006 ОАО,СКК- 01.09.05" xfId="45472"/>
    <cellStyle name="_ПФП_1_4кв._2006г" xfId="45473"/>
    <cellStyle name="_ПФР 2005г" xfId="45474"/>
    <cellStyle name="_Расчет 0,4 кВ" xfId="43782"/>
    <cellStyle name="_Расчет 0,4 кВ 2" xfId="44057"/>
    <cellStyle name="_Расчет RAB_22072008" xfId="42084"/>
    <cellStyle name="_Расчет RAB_22072008_46EE.2011(v1.0)" xfId="42085"/>
    <cellStyle name="_Расчет RAB_22072008_ARMRAZR" xfId="42086"/>
    <cellStyle name="_Расчет RAB_22072008_BALANCE.WARM.2011YEAR.NEW.UPDATE.SCHEME" xfId="42087"/>
    <cellStyle name="_Расчет RAB_22072008_NADB.JNVLS.APTEKA.2011(v1.3.3)" xfId="42088"/>
    <cellStyle name="_Расчет RAB_22072008_NADB.JNVLS.APTEKA.2011(v1.3.4)" xfId="42089"/>
    <cellStyle name="_Расчет RAB_22072008_PR.PROG.WARM.NOTCOMBI.2012.2.16_v1.4(04.04.11) " xfId="42090"/>
    <cellStyle name="_Расчет RAB_22072008_PREDEL.JKH.UTV.2011(v1.0.1)" xfId="42091"/>
    <cellStyle name="_Расчет RAB_22072008_UPDATE.46EE.2011.TO.1.1" xfId="42092"/>
    <cellStyle name="_Расчет RAB_22072008_UPDATE.BALANCE.WARM.2011YEAR.TO.1.1" xfId="42093"/>
    <cellStyle name="_Расчет RAB_22072008_Книга2_PR.PROG.WARM.NOTCOMBI.2012.2.16_v1.4(04.04.11) " xfId="42094"/>
    <cellStyle name="_Расчет RAB_Лен и МОЭСК_с 2010 года_14.04.2009_со сглаж_version 3.0_без ФСК" xfId="42095"/>
    <cellStyle name="_Расчет RAB_Лен и МОЭСК_с 2010 года_14.04.2009_со сглаж_version 3.0_без ФСК_46EE.2011(v1.0)" xfId="42096"/>
    <cellStyle name="_Расчет RAB_Лен и МОЭСК_с 2010 года_14.04.2009_со сглаж_version 3.0_без ФСК_ARMRAZR" xfId="42097"/>
    <cellStyle name="_Расчет RAB_Лен и МОЭСК_с 2010 года_14.04.2009_со сглаж_version 3.0_без ФСК_BALANCE.WARM.2011YEAR.NEW.UPDATE.SCHEME" xfId="42098"/>
    <cellStyle name="_Расчет RAB_Лен и МОЭСК_с 2010 года_14.04.2009_со сглаж_version 3.0_без ФСК_NADB.JNVLS.APTEKA.2011(v1.3.3)" xfId="42099"/>
    <cellStyle name="_Расчет RAB_Лен и МОЭСК_с 2010 года_14.04.2009_со сглаж_version 3.0_без ФСК_NADB.JNVLS.APTEKA.2011(v1.3.4)" xfId="42100"/>
    <cellStyle name="_Расчет RAB_Лен и МОЭСК_с 2010 года_14.04.2009_со сглаж_version 3.0_без ФСК_PR.PROG.WARM.NOTCOMBI.2012.2.16_v1.4(04.04.11) " xfId="42101"/>
    <cellStyle name="_Расчет RAB_Лен и МОЭСК_с 2010 года_14.04.2009_со сглаж_version 3.0_без ФСК_PREDEL.JKH.UTV.2011(v1.0.1)" xfId="42102"/>
    <cellStyle name="_Расчет RAB_Лен и МОЭСК_с 2010 года_14.04.2009_со сглаж_version 3.0_без ФСК_UPDATE.46EE.2011.TO.1.1" xfId="42103"/>
    <cellStyle name="_Расчет RAB_Лен и МОЭСК_с 2010 года_14.04.2009_со сглаж_version 3.0_без ФСК_UPDATE.BALANCE.WARM.2011YEAR.TO.1.1" xfId="42104"/>
    <cellStyle name="_Расчет RAB_Лен и МОЭСК_с 2010 года_14.04.2009_со сглаж_version 3.0_без ФСК_Книга2_PR.PROG.WARM.NOTCOMBI.2012.2.16_v1.4(04.04.11) " xfId="42105"/>
    <cellStyle name="_расчет выпадающих для RAB (2012-2017) уточнен." xfId="42106"/>
    <cellStyle name="_Расшифровка по приоритетам_МРСК 2" xfId="42107"/>
    <cellStyle name="_Ремонт 2006" xfId="45475"/>
    <cellStyle name="_с фактом" xfId="45476"/>
    <cellStyle name="_с фактом (1)" xfId="45477"/>
    <cellStyle name="_Сб-macro 2020" xfId="42108"/>
    <cellStyle name="_Сб-macro 2020 2" xfId="42109"/>
    <cellStyle name="_Свод по ИПР (2)" xfId="42110"/>
    <cellStyle name="_СО 2006-2010  Прил1-1 (Дубинину)" xfId="42111"/>
    <cellStyle name="_Сравнение Бюджета с РЭКом_16.11" xfId="45478"/>
    <cellStyle name="_Сравнения от 09.05.06 г. поквартальные листы" xfId="45479"/>
    <cellStyle name="_Табл П2-5 (вар18-10-2006)" xfId="42112"/>
    <cellStyle name="_таблица 14 ЕАО." xfId="163"/>
    <cellStyle name="_таблица 14 Перечень ИПР и план финансирования 2010г ЕАО." xfId="164"/>
    <cellStyle name="_таблицы для расчетов28-04-08_2006-2009_прибыль корр_по ИА" xfId="42113"/>
    <cellStyle name="_таблицы для расчетов28-04-08_2006-2009с ИА" xfId="42114"/>
    <cellStyle name="_ТЭП" xfId="45480"/>
    <cellStyle name="_Тэп ОАО Сахалинэнерго на 2006 года для совещания у Мясника" xfId="45481"/>
    <cellStyle name="_Тэп ОАО Сахалинэнерго на 2006 года для совещания у Мясника 2" xfId="45482"/>
    <cellStyle name="_Тэп ОАО Сахалинэнерго на 2006 года для совещания у Мясника 2 2" xfId="45483"/>
    <cellStyle name="_Тэп ОАО Сахалинэнерго на 2006 года для совещания у Мясника 3" xfId="45484"/>
    <cellStyle name="_ТЭП, баланс, ремонтная программа, инвестиции, ПУИ, расчет дивидендов" xfId="45485"/>
    <cellStyle name="_Услуги ТПиР" xfId="42115"/>
    <cellStyle name="_ф 2ГД - форма отчета ГД по закупкам (по видам закупок)" xfId="42116"/>
    <cellStyle name="_Фин расчеты на 2009г" xfId="42117"/>
    <cellStyle name="_Фин расчеты на 2009г по БП" xfId="42118"/>
    <cellStyle name="_Фин расчеты на 2009г по БП_16.02.09" xfId="42119"/>
    <cellStyle name="_Финплан ДРСК 2011-2013 17.02.10 Семыкин" xfId="165"/>
    <cellStyle name="_Финплан ДРСК 2011-2013 17.02.10 Семыкин 2" xfId="45375"/>
    <cellStyle name="_Фин-экон. план 2009" xfId="42120"/>
    <cellStyle name="_Форма 6  РТК.xls(отчет по Адр пр. ЛО)" xfId="42121"/>
    <cellStyle name="_форма_10_1" xfId="45486"/>
    <cellStyle name="_форма_11_1" xfId="45487"/>
    <cellStyle name="_форма_3_1" xfId="45488"/>
    <cellStyle name="_форма_4_1" xfId="45489"/>
    <cellStyle name="_форма_5_1" xfId="45490"/>
    <cellStyle name="_Формат разбивки по МРСК_РСК" xfId="42122"/>
    <cellStyle name="_Формат_для Согласования" xfId="42123"/>
    <cellStyle name="_Формы для ФАО за 9 мес.2006 г." xfId="42124"/>
    <cellStyle name="_экон.форм-т ВО 1 с разбивкой" xfId="42125"/>
    <cellStyle name="_экслуатационные Сахэнерго 2005 корректировка" xfId="45491"/>
    <cellStyle name="_экслуатационные Сахэнерго 2005 корректировка 2" xfId="45492"/>
    <cellStyle name="_экслуатационные Сахэнерго 2005 корректировка 2 2" xfId="45493"/>
    <cellStyle name="_экслуатационные Сахэнерго 2005 корректировка 3" xfId="45494"/>
    <cellStyle name="_Эксплуатационные для Е.Т. вредной но симпотишной" xfId="45495"/>
    <cellStyle name="_Эксплуатационные для Е.Т. вредной но симпотишной 2" xfId="45496"/>
    <cellStyle name="_Эксплуатационные для Е.Т. вредной но симпотишной 2 2" xfId="45497"/>
    <cellStyle name="_Эксплуатационные для Е.Т. вредной но симпотишной 3" xfId="45498"/>
    <cellStyle name="_ЮЯ_РАО ЭСВ (1)" xfId="166"/>
    <cellStyle name="”€ќђќ‘ћ‚›‰" xfId="42126"/>
    <cellStyle name="”€ќђќ‘ћ‚›‰ 2" xfId="45499"/>
    <cellStyle name="”€љ‘€ђћ‚ђќќ›‰" xfId="42127"/>
    <cellStyle name="”€љ‘€ђћ‚ђќќ›‰ 2" xfId="45500"/>
    <cellStyle name="”ќђќ‘ћ‚›‰" xfId="2"/>
    <cellStyle name="”ќђќ‘ћ‚›‰ 2" xfId="167"/>
    <cellStyle name="”ќђќ‘ћ‚›‰ 2 2" xfId="43783"/>
    <cellStyle name="”ќђќ‘ћ‚›‰ 2 2 2" xfId="43899"/>
    <cellStyle name="”ќђќ‘ћ‚›‰ 2 2 2 2" xfId="44058"/>
    <cellStyle name="”ќђќ‘ћ‚›‰ 2 2 3" xfId="44059"/>
    <cellStyle name="”ќђќ‘ћ‚›‰ 2 2 4" xfId="45501"/>
    <cellStyle name="”ќђќ‘ћ‚›‰ 2 3" xfId="43898"/>
    <cellStyle name="”ќђќ‘ћ‚›‰ 2 3 2" xfId="44060"/>
    <cellStyle name="”ќђќ‘ћ‚›‰ 2 4" xfId="44061"/>
    <cellStyle name="”ќђќ‘ћ‚›‰ 2 5" xfId="44062"/>
    <cellStyle name="”ќђќ‘ћ‚›‰ 3" xfId="168"/>
    <cellStyle name="”ќђќ‘ћ‚›‰ 3 2" xfId="43784"/>
    <cellStyle name="”ќђќ‘ћ‚›‰ 3 2 2" xfId="43900"/>
    <cellStyle name="”ќђќ‘ћ‚›‰ 3 2 2 2" xfId="44063"/>
    <cellStyle name="”ќђќ‘ћ‚›‰ 3 2 3" xfId="44064"/>
    <cellStyle name="”ќђќ‘ћ‚›‰ 3 2 4" xfId="45502"/>
    <cellStyle name="”ќђќ‘ћ‚›‰ 3 3" xfId="44065"/>
    <cellStyle name="”ќђќ‘ћ‚›‰ 3 3 2" xfId="45503"/>
    <cellStyle name="”ќђќ‘ћ‚›‰ 3 4" xfId="44066"/>
    <cellStyle name="”ќђќ‘ћ‚›‰ 3 4 2" xfId="45504"/>
    <cellStyle name="”ќђќ‘ћ‚›‰ 4" xfId="43785"/>
    <cellStyle name="”ќђќ‘ћ‚›‰ 4 2" xfId="44067"/>
    <cellStyle name="”ќђќ‘ћ‚›‰ 4 3" xfId="45505"/>
    <cellStyle name="”ќђќ‘ћ‚›‰ 5" xfId="43786"/>
    <cellStyle name="”ќђќ‘ћ‚›‰ 5 2" xfId="43901"/>
    <cellStyle name="”ќђќ‘ћ‚›‰ 5 2 2" xfId="44068"/>
    <cellStyle name="”ќђќ‘ћ‚›‰ 5 3" xfId="44069"/>
    <cellStyle name="”ќђќ‘ћ‚›‰ 5 4" xfId="45506"/>
    <cellStyle name="”ќђќ‘ћ‚›‰ 6" xfId="43897"/>
    <cellStyle name="”ќђќ‘ћ‚›‰ 6 2" xfId="44070"/>
    <cellStyle name="”ќђќ‘ћ‚›‰ 7" xfId="44071"/>
    <cellStyle name="”ќђќ‘ћ‚›‰ 8" xfId="44072"/>
    <cellStyle name="”љ‘ђћ‚ђќќ›‰" xfId="3"/>
    <cellStyle name="”љ‘ђћ‚ђќќ›‰ 2" xfId="169"/>
    <cellStyle name="”љ‘ђћ‚ђќќ›‰ 2 2" xfId="43787"/>
    <cellStyle name="”љ‘ђћ‚ђќќ›‰ 2 2 2" xfId="43904"/>
    <cellStyle name="”љ‘ђћ‚ђќќ›‰ 2 2 2 2" xfId="44073"/>
    <cellStyle name="”љ‘ђћ‚ђќќ›‰ 2 2 3" xfId="44074"/>
    <cellStyle name="”љ‘ђћ‚ђќќ›‰ 2 2 4" xfId="45507"/>
    <cellStyle name="”љ‘ђћ‚ђќќ›‰ 2 3" xfId="43903"/>
    <cellStyle name="”љ‘ђћ‚ђќќ›‰ 2 3 2" xfId="44075"/>
    <cellStyle name="”љ‘ђћ‚ђќќ›‰ 2 4" xfId="44076"/>
    <cellStyle name="”љ‘ђћ‚ђќќ›‰ 2 5" xfId="44077"/>
    <cellStyle name="”љ‘ђћ‚ђќќ›‰ 3" xfId="170"/>
    <cellStyle name="”љ‘ђћ‚ђќќ›‰ 3 2" xfId="43788"/>
    <cellStyle name="”љ‘ђћ‚ђќќ›‰ 3 2 2" xfId="43905"/>
    <cellStyle name="”љ‘ђћ‚ђќќ›‰ 3 2 2 2" xfId="44078"/>
    <cellStyle name="”љ‘ђћ‚ђќќ›‰ 3 2 3" xfId="44079"/>
    <cellStyle name="”љ‘ђћ‚ђќќ›‰ 3 2 4" xfId="45508"/>
    <cellStyle name="”љ‘ђћ‚ђќќ›‰ 3 3" xfId="44080"/>
    <cellStyle name="”љ‘ђћ‚ђќќ›‰ 3 3 2" xfId="45509"/>
    <cellStyle name="”љ‘ђћ‚ђќќ›‰ 3 4" xfId="44081"/>
    <cellStyle name="”љ‘ђћ‚ђќќ›‰ 3 4 2" xfId="45510"/>
    <cellStyle name="”љ‘ђћ‚ђќќ›‰ 4" xfId="43789"/>
    <cellStyle name="”љ‘ђћ‚ђќќ›‰ 4 2" xfId="44082"/>
    <cellStyle name="”љ‘ђћ‚ђќќ›‰ 4 3" xfId="45511"/>
    <cellStyle name="”љ‘ђћ‚ђќќ›‰ 5" xfId="43790"/>
    <cellStyle name="”љ‘ђћ‚ђќќ›‰ 5 2" xfId="43906"/>
    <cellStyle name="”љ‘ђћ‚ђќќ›‰ 5 2 2" xfId="44083"/>
    <cellStyle name="”љ‘ђћ‚ђќќ›‰ 5 3" xfId="44084"/>
    <cellStyle name="”љ‘ђћ‚ђќќ›‰ 5 4" xfId="45512"/>
    <cellStyle name="”љ‘ђћ‚ђќќ›‰ 6" xfId="43902"/>
    <cellStyle name="”љ‘ђћ‚ђќќ›‰ 6 2" xfId="44085"/>
    <cellStyle name="”љ‘ђћ‚ђќќ›‰ 7" xfId="44086"/>
    <cellStyle name="”љ‘ђћ‚ђќќ›‰ 8" xfId="44087"/>
    <cellStyle name="„…ќ…†ќ›‰" xfId="4"/>
    <cellStyle name="„…ќ…†ќ›‰ 2" xfId="171"/>
    <cellStyle name="„…ќ…†ќ›‰ 2 2" xfId="43792"/>
    <cellStyle name="„…ќ…†ќ›‰ 2 2 2" xfId="43909"/>
    <cellStyle name="„…ќ…†ќ›‰ 2 2 2 2" xfId="44088"/>
    <cellStyle name="„…ќ…†ќ›‰ 2 2 3" xfId="44089"/>
    <cellStyle name="„…ќ…†ќ›‰ 2 2 4" xfId="45513"/>
    <cellStyle name="„…ќ…†ќ›‰ 2 3" xfId="43908"/>
    <cellStyle name="„…ќ…†ќ›‰ 2 3 2" xfId="44090"/>
    <cellStyle name="„…ќ…†ќ›‰ 2 3 3" xfId="45514"/>
    <cellStyle name="„…ќ…†ќ›‰ 2 4" xfId="44091"/>
    <cellStyle name="„…ќ…†ќ›‰ 2 5" xfId="44092"/>
    <cellStyle name="„…ќ…†ќ›‰ 3" xfId="172"/>
    <cellStyle name="„…ќ…†ќ›‰ 3 2" xfId="43793"/>
    <cellStyle name="„…ќ…†ќ›‰ 3 2 2" xfId="43910"/>
    <cellStyle name="„…ќ…†ќ›‰ 3 2 2 2" xfId="44093"/>
    <cellStyle name="„…ќ…†ќ›‰ 3 2 3" xfId="44094"/>
    <cellStyle name="„…ќ…†ќ›‰ 3 2 4" xfId="45515"/>
    <cellStyle name="„…ќ…†ќ›‰ 3 3" xfId="44095"/>
    <cellStyle name="„…ќ…†ќ›‰ 3 4" xfId="44096"/>
    <cellStyle name="„…ќ…†ќ›‰ 4" xfId="43794"/>
    <cellStyle name="„…ќ…†ќ›‰ 4 2" xfId="44097"/>
    <cellStyle name="„…ќ…†ќ›‰ 4 3" xfId="45516"/>
    <cellStyle name="„…ќ…†ќ›‰ 5" xfId="43795"/>
    <cellStyle name="„…ќ…†ќ›‰ 5 2" xfId="43911"/>
    <cellStyle name="„…ќ…†ќ›‰ 5 2 2" xfId="44098"/>
    <cellStyle name="„…ќ…†ќ›‰ 5 3" xfId="44099"/>
    <cellStyle name="„…ќ…†ќ›‰ 5 4" xfId="45517"/>
    <cellStyle name="„…ќ…†ќ›‰ 6" xfId="43907"/>
    <cellStyle name="„…ќ…†ќ›‰ 6 2" xfId="44100"/>
    <cellStyle name="„…ќ…†ќ›‰ 7" xfId="44101"/>
    <cellStyle name="„…ќ…†ќ›‰ 8" xfId="44102"/>
    <cellStyle name="„ђ’ђ" xfId="42128"/>
    <cellStyle name="„ђ’ђ 2" xfId="45518"/>
    <cellStyle name="„ђ’ђ 2 2" xfId="45519"/>
    <cellStyle name="„ђ’ђ 3" xfId="45520"/>
    <cellStyle name="€’ћѓћ‚›‰" xfId="42129"/>
    <cellStyle name="€’ћѓћ‚›‰ 2" xfId="45521"/>
    <cellStyle name="=C:\WINNT35\SYSTEM32\COMMAND.COM" xfId="42130"/>
    <cellStyle name="=C:\WINNT35\SYSTEM32\COMMAND.COM 2" xfId="42131"/>
    <cellStyle name="=C:\WINNT35\SYSTEM32\COMMAND.COM 3" xfId="42132"/>
    <cellStyle name="‡ђѓћ‹ћ‚ћљ1" xfId="5"/>
    <cellStyle name="‡ђѓћ‹ћ‚ћљ1 2" xfId="42133"/>
    <cellStyle name="‡ђѓћ‹ћ‚ћљ1 2 2" xfId="44103"/>
    <cellStyle name="‡ђѓћ‹ћ‚ћљ1 2 2 2" xfId="45522"/>
    <cellStyle name="‡ђѓћ‹ћ‚ћљ1 2 3" xfId="43796"/>
    <cellStyle name="‡ђѓћ‹ћ‚ћљ1 3" xfId="44104"/>
    <cellStyle name="‡ђѓћ‹ћ‚ћљ1 3 2" xfId="45523"/>
    <cellStyle name="‡ђѓћ‹ћ‚ћљ1 4" xfId="44105"/>
    <cellStyle name="‡ђѓћ‹ћ‚ћљ2" xfId="6"/>
    <cellStyle name="‡ђѓћ‹ћ‚ћљ2 2" xfId="42134"/>
    <cellStyle name="‡ђѓћ‹ћ‚ћљ2 2 2" xfId="44106"/>
    <cellStyle name="‡ђѓћ‹ћ‚ћљ2 2 2 2" xfId="45524"/>
    <cellStyle name="‡ђѓћ‹ћ‚ћљ2 2 3" xfId="43797"/>
    <cellStyle name="‡ђѓћ‹ћ‚ћљ2 3" xfId="44107"/>
    <cellStyle name="‡ђѓћ‹ћ‚ћљ2 3 2" xfId="45525"/>
    <cellStyle name="‡ђѓћ‹ћ‚ћљ2 4" xfId="44108"/>
    <cellStyle name="’ћѓћ‚›‰" xfId="7"/>
    <cellStyle name="’ћѓћ‚›‰ 2" xfId="42135"/>
    <cellStyle name="’ћѓћ‚›‰ 2 2" xfId="43791"/>
    <cellStyle name="’ћѓћ‚›‰ 2 2 2" xfId="44109"/>
    <cellStyle name="’ћѓћ‚›‰ 2 2 3" xfId="44110"/>
    <cellStyle name="’ћѓћ‚›‰ 2 2 4" xfId="45527"/>
    <cellStyle name="’ћѓћ‚›‰ 2 3" xfId="44111"/>
    <cellStyle name="’ћѓћ‚›‰ 2 3 2" xfId="45529"/>
    <cellStyle name="’ћѓћ‚›‰ 2 3 3" xfId="45528"/>
    <cellStyle name="’ћѓћ‚›‰ 2 4" xfId="44112"/>
    <cellStyle name="’ћѓћ‚›‰ 2 4 2" xfId="45531"/>
    <cellStyle name="’ћѓћ‚›‰ 2 4 3" xfId="45530"/>
    <cellStyle name="’ћѓћ‚›‰ 2 5" xfId="45532"/>
    <cellStyle name="’ћѓћ‚›‰ 2 6" xfId="45526"/>
    <cellStyle name="’ћѓћ‚›‰ 2 7" xfId="43798"/>
    <cellStyle name="’ћѓћ‚›‰ 3" xfId="44113"/>
    <cellStyle name="’ћѓћ‚›‰ 3 2" xfId="45534"/>
    <cellStyle name="’ћѓћ‚›‰ 3 3" xfId="45535"/>
    <cellStyle name="’ћѓћ‚›‰ 3 3 2" xfId="45536"/>
    <cellStyle name="’ћѓћ‚›‰ 3 3 2 2" xfId="45537"/>
    <cellStyle name="’ћѓћ‚›‰ 3 3 3" xfId="45538"/>
    <cellStyle name="’ћѓћ‚›‰ 3 4" xfId="45533"/>
    <cellStyle name="’ћѓћ‚›‰ 4" xfId="44114"/>
    <cellStyle name="’ћѓћ‚›‰ 5" xfId="45386"/>
    <cellStyle name="" xfId="45539"/>
    <cellStyle name="" xfId="45540"/>
    <cellStyle name="" xfId="45541"/>
    <cellStyle name="" xfId="45542"/>
    <cellStyle name="" xfId="45543"/>
    <cellStyle name="1" xfId="45544"/>
    <cellStyle name="2" xfId="45545"/>
    <cellStyle name="1Normal" xfId="42136"/>
    <cellStyle name="20% - Accent1" xfId="42137"/>
    <cellStyle name="20% - Accent1 2" xfId="42138"/>
    <cellStyle name="20% - Accent1_46EE.2011(v1.0)" xfId="42139"/>
    <cellStyle name="20% - Accent2" xfId="42140"/>
    <cellStyle name="20% - Accent2 2" xfId="42141"/>
    <cellStyle name="20% - Accent2_46EE.2011(v1.0)" xfId="42142"/>
    <cellStyle name="20% - Accent3" xfId="42143"/>
    <cellStyle name="20% - Accent3 2" xfId="42144"/>
    <cellStyle name="20% - Accent3_46EE.2011(v1.0)" xfId="42145"/>
    <cellStyle name="20% - Accent4" xfId="42146"/>
    <cellStyle name="20% - Accent4 2" xfId="42147"/>
    <cellStyle name="20% - Accent4_46EE.2011(v1.0)" xfId="42148"/>
    <cellStyle name="20% - Accent5" xfId="42149"/>
    <cellStyle name="20% - Accent5 2" xfId="42150"/>
    <cellStyle name="20% - Accent5_46EE.2011(v1.0)" xfId="42151"/>
    <cellStyle name="20% - Accent6" xfId="42152"/>
    <cellStyle name="20% - Accent6 2" xfId="42153"/>
    <cellStyle name="20% - Accent6_46EE.2011(v1.0)" xfId="42154"/>
    <cellStyle name="20% - Акцент1 2" xfId="173"/>
    <cellStyle name="20% - Акцент1 2 2" xfId="174"/>
    <cellStyle name="20% - Акцент1 2 2 2" xfId="42155"/>
    <cellStyle name="20% - Акцент1 2 2 2 2" xfId="45547"/>
    <cellStyle name="20% - Акцент1 2 2 2 3" xfId="45548"/>
    <cellStyle name="20% - Акцент1 2 2 2 3 2" xfId="45549"/>
    <cellStyle name="20% - Акцент1 2 2 2 4" xfId="45550"/>
    <cellStyle name="20% - Акцент1 2 2 2 5" xfId="45546"/>
    <cellStyle name="20% - Акцент1 2 2 3" xfId="44115"/>
    <cellStyle name="20% - Акцент1 2 2 3 2" xfId="45551"/>
    <cellStyle name="20% - Акцент1 2 2 4" xfId="44116"/>
    <cellStyle name="20% - Акцент1 2 2 4 2" xfId="45553"/>
    <cellStyle name="20% - Акцент1 2 2 4 3" xfId="45552"/>
    <cellStyle name="20% - Акцент1 2 2 5" xfId="45554"/>
    <cellStyle name="20% - Акцент1 2 2 5 2" xfId="45555"/>
    <cellStyle name="20% - Акцент1 2 2 6" xfId="45556"/>
    <cellStyle name="20% - Акцент1 2 2_8 Инвестиции-свод" xfId="45557"/>
    <cellStyle name="20% - Акцент1 2 3" xfId="1715"/>
    <cellStyle name="20% - Акцент1 2 3 2" xfId="45558"/>
    <cellStyle name="20% - Акцент1 2 4" xfId="2808"/>
    <cellStyle name="20% - Акцент1 2 4 2" xfId="45559"/>
    <cellStyle name="20% - Акцент1 2 4 3" xfId="44117"/>
    <cellStyle name="20% - Акцент1 2 5" xfId="44118"/>
    <cellStyle name="20% - Акцент1 2 5 2" xfId="45561"/>
    <cellStyle name="20% - Акцент1 2 5 3" xfId="45560"/>
    <cellStyle name="20% - Акцент1 2 6" xfId="45562"/>
    <cellStyle name="20% - Акцент1 2 6 2" xfId="45563"/>
    <cellStyle name="20% - Акцент1 2 7" xfId="45564"/>
    <cellStyle name="20% - Акцент1 2 7 2" xfId="45565"/>
    <cellStyle name="20% - Акцент1 2 8" xfId="45566"/>
    <cellStyle name="20% - Акцент1 2 8 2" xfId="45567"/>
    <cellStyle name="20% - Акцент1 2 9" xfId="45568"/>
    <cellStyle name="20% - Акцент1 2_46EE.2011(v1.0)" xfId="42156"/>
    <cellStyle name="20% - Акцент1 3" xfId="175"/>
    <cellStyle name="20% - Акцент1 3 2" xfId="176"/>
    <cellStyle name="20% - Акцент1 3 2 2" xfId="42157"/>
    <cellStyle name="20% - Акцент1 3 3" xfId="42158"/>
    <cellStyle name="20% - Акцент1 3_46EE.2011(v1.0)" xfId="42159"/>
    <cellStyle name="20% - Акцент1 4" xfId="42160"/>
    <cellStyle name="20% - Акцент1 4 2" xfId="42161"/>
    <cellStyle name="20% - Акцент1 4 2 2" xfId="45569"/>
    <cellStyle name="20% - Акцент1 4 3" xfId="45570"/>
    <cellStyle name="20% - Акцент1 4_46EE.2011(v1.0)" xfId="42162"/>
    <cellStyle name="20% - Акцент1 5" xfId="42163"/>
    <cellStyle name="20% - Акцент1 5 2" xfId="42164"/>
    <cellStyle name="20% - Акцент1 5 2 2" xfId="45571"/>
    <cellStyle name="20% - Акцент1 5 3" xfId="45572"/>
    <cellStyle name="20% - Акцент1 5_46EE.2011(v1.0)" xfId="42165"/>
    <cellStyle name="20% - Акцент1 6" xfId="42166"/>
    <cellStyle name="20% - Акцент1 6 2" xfId="42167"/>
    <cellStyle name="20% - Акцент1 6 2 2" xfId="45574"/>
    <cellStyle name="20% - Акцент1 6 3" xfId="45573"/>
    <cellStyle name="20% - Акцент1 6_46EE.2011(v1.0)" xfId="42168"/>
    <cellStyle name="20% - Акцент1 7" xfId="42169"/>
    <cellStyle name="20% - Акцент1 7 2" xfId="42170"/>
    <cellStyle name="20% - Акцент1 7 2 2" xfId="45575"/>
    <cellStyle name="20% - Акцент1 7 3" xfId="45576"/>
    <cellStyle name="20% - Акцент1 7_46EE.2011(v1.0)" xfId="42171"/>
    <cellStyle name="20% - Акцент1 8" xfId="42172"/>
    <cellStyle name="20% - Акцент1 8 2" xfId="42173"/>
    <cellStyle name="20% - Акцент1 8_46EE.2011(v1.0)" xfId="42174"/>
    <cellStyle name="20% - Акцент1 9" xfId="42175"/>
    <cellStyle name="20% - Акцент1 9 2" xfId="42176"/>
    <cellStyle name="20% - Акцент1 9_46EE.2011(v1.0)" xfId="42177"/>
    <cellStyle name="20% - Акцент2 2" xfId="177"/>
    <cellStyle name="20% - Акцент2 2 2" xfId="178"/>
    <cellStyle name="20% - Акцент2 2 2 2" xfId="42178"/>
    <cellStyle name="20% - Акцент2 2 2 2 2" xfId="45578"/>
    <cellStyle name="20% - Акцент2 2 2 2 3" xfId="45579"/>
    <cellStyle name="20% - Акцент2 2 2 2 3 2" xfId="45580"/>
    <cellStyle name="20% - Акцент2 2 2 2 4" xfId="45581"/>
    <cellStyle name="20% - Акцент2 2 2 2 5" xfId="45577"/>
    <cellStyle name="20% - Акцент2 2 2 3" xfId="44119"/>
    <cellStyle name="20% - Акцент2 2 2 3 2" xfId="45582"/>
    <cellStyle name="20% - Акцент2 2 2 4" xfId="44120"/>
    <cellStyle name="20% - Акцент2 2 2 4 2" xfId="45584"/>
    <cellStyle name="20% - Акцент2 2 2 4 3" xfId="45583"/>
    <cellStyle name="20% - Акцент2 2 2 5" xfId="45585"/>
    <cellStyle name="20% - Акцент2 2 2 5 2" xfId="45586"/>
    <cellStyle name="20% - Акцент2 2 2 6" xfId="45587"/>
    <cellStyle name="20% - Акцент2 2 2_8 Инвестиции-свод" xfId="45588"/>
    <cellStyle name="20% - Акцент2 2 3" xfId="1743"/>
    <cellStyle name="20% - Акцент2 2 3 2" xfId="45589"/>
    <cellStyle name="20% - Акцент2 2 4" xfId="2850"/>
    <cellStyle name="20% - Акцент2 2 4 2" xfId="45590"/>
    <cellStyle name="20% - Акцент2 2 4 3" xfId="44121"/>
    <cellStyle name="20% - Акцент2 2 5" xfId="44122"/>
    <cellStyle name="20% - Акцент2 2 5 2" xfId="45592"/>
    <cellStyle name="20% - Акцент2 2 5 3" xfId="45591"/>
    <cellStyle name="20% - Акцент2 2 6" xfId="45593"/>
    <cellStyle name="20% - Акцент2 2 6 2" xfId="45594"/>
    <cellStyle name="20% - Акцент2 2 7" xfId="45595"/>
    <cellStyle name="20% - Акцент2 2 7 2" xfId="45596"/>
    <cellStyle name="20% - Акцент2 2 8" xfId="45597"/>
    <cellStyle name="20% - Акцент2 2 8 2" xfId="45598"/>
    <cellStyle name="20% - Акцент2 2 9" xfId="45599"/>
    <cellStyle name="20% - Акцент2 2_46EE.2011(v1.0)" xfId="42179"/>
    <cellStyle name="20% - Акцент2 3" xfId="179"/>
    <cellStyle name="20% - Акцент2 3 2" xfId="180"/>
    <cellStyle name="20% - Акцент2 3 2 2" xfId="42180"/>
    <cellStyle name="20% - Акцент2 3 3" xfId="42181"/>
    <cellStyle name="20% - Акцент2 3_46EE.2011(v1.0)" xfId="42182"/>
    <cellStyle name="20% - Акцент2 4" xfId="42183"/>
    <cellStyle name="20% - Акцент2 4 2" xfId="42184"/>
    <cellStyle name="20% - Акцент2 4 2 2" xfId="45600"/>
    <cellStyle name="20% - Акцент2 4 3" xfId="45601"/>
    <cellStyle name="20% - Акцент2 4_46EE.2011(v1.0)" xfId="42185"/>
    <cellStyle name="20% - Акцент2 5" xfId="42186"/>
    <cellStyle name="20% - Акцент2 5 2" xfId="42187"/>
    <cellStyle name="20% - Акцент2 5 2 2" xfId="45602"/>
    <cellStyle name="20% - Акцент2 5 3" xfId="45603"/>
    <cellStyle name="20% - Акцент2 5_46EE.2011(v1.0)" xfId="42188"/>
    <cellStyle name="20% - Акцент2 6" xfId="42189"/>
    <cellStyle name="20% - Акцент2 6 2" xfId="42190"/>
    <cellStyle name="20% - Акцент2 6 2 2" xfId="45605"/>
    <cellStyle name="20% - Акцент2 6 3" xfId="45604"/>
    <cellStyle name="20% - Акцент2 6_46EE.2011(v1.0)" xfId="42191"/>
    <cellStyle name="20% - Акцент2 7" xfId="42192"/>
    <cellStyle name="20% - Акцент2 7 2" xfId="42193"/>
    <cellStyle name="20% - Акцент2 7 2 2" xfId="45606"/>
    <cellStyle name="20% - Акцент2 7 3" xfId="45607"/>
    <cellStyle name="20% - Акцент2 7_46EE.2011(v1.0)" xfId="42194"/>
    <cellStyle name="20% - Акцент2 8" xfId="42195"/>
    <cellStyle name="20% - Акцент2 8 2" xfId="42196"/>
    <cellStyle name="20% - Акцент2 8_46EE.2011(v1.0)" xfId="42197"/>
    <cellStyle name="20% - Акцент2 9" xfId="42198"/>
    <cellStyle name="20% - Акцент2 9 2" xfId="42199"/>
    <cellStyle name="20% - Акцент2 9_46EE.2011(v1.0)" xfId="42200"/>
    <cellStyle name="20% - Акцент3 2" xfId="181"/>
    <cellStyle name="20% - Акцент3 2 2" xfId="182"/>
    <cellStyle name="20% - Акцент3 2 2 2" xfId="42201"/>
    <cellStyle name="20% - Акцент3 2 2 2 2" xfId="45609"/>
    <cellStyle name="20% - Акцент3 2 2 2 3" xfId="45610"/>
    <cellStyle name="20% - Акцент3 2 2 2 3 2" xfId="45611"/>
    <cellStyle name="20% - Акцент3 2 2 2 4" xfId="45612"/>
    <cellStyle name="20% - Акцент3 2 2 2 5" xfId="45608"/>
    <cellStyle name="20% - Акцент3 2 2 3" xfId="44123"/>
    <cellStyle name="20% - Акцент3 2 2 3 2" xfId="45613"/>
    <cellStyle name="20% - Акцент3 2 2 4" xfId="44124"/>
    <cellStyle name="20% - Акцент3 2 2 4 2" xfId="45615"/>
    <cellStyle name="20% - Акцент3 2 2 4 3" xfId="45614"/>
    <cellStyle name="20% - Акцент3 2 2 5" xfId="45616"/>
    <cellStyle name="20% - Акцент3 2 2 5 2" xfId="45617"/>
    <cellStyle name="20% - Акцент3 2 2 6" xfId="45618"/>
    <cellStyle name="20% - Акцент3 2 2_8 Инвестиции-свод" xfId="45619"/>
    <cellStyle name="20% - Акцент3 2 3" xfId="2833"/>
    <cellStyle name="20% - Акцент3 2 3 2" xfId="45620"/>
    <cellStyle name="20% - Акцент3 2 4" xfId="1205"/>
    <cellStyle name="20% - Акцент3 2 4 2" xfId="45621"/>
    <cellStyle name="20% - Акцент3 2 4 3" xfId="44125"/>
    <cellStyle name="20% - Акцент3 2 5" xfId="44126"/>
    <cellStyle name="20% - Акцент3 2 5 2" xfId="45623"/>
    <cellStyle name="20% - Акцент3 2 5 3" xfId="45622"/>
    <cellStyle name="20% - Акцент3 2 6" xfId="45624"/>
    <cellStyle name="20% - Акцент3 2 6 2" xfId="45625"/>
    <cellStyle name="20% - Акцент3 2 7" xfId="45626"/>
    <cellStyle name="20% - Акцент3 2 7 2" xfId="45627"/>
    <cellStyle name="20% - Акцент3 2 8" xfId="45628"/>
    <cellStyle name="20% - Акцент3 2 8 2" xfId="45629"/>
    <cellStyle name="20% - Акцент3 2 9" xfId="45630"/>
    <cellStyle name="20% - Акцент3 2_46EE.2011(v1.0)" xfId="42202"/>
    <cellStyle name="20% - Акцент3 3" xfId="183"/>
    <cellStyle name="20% - Акцент3 3 2" xfId="184"/>
    <cellStyle name="20% - Акцент3 3 2 2" xfId="42203"/>
    <cellStyle name="20% - Акцент3 3 3" xfId="42204"/>
    <cellStyle name="20% - Акцент3 3_46EE.2011(v1.0)" xfId="42205"/>
    <cellStyle name="20% - Акцент3 4" xfId="42206"/>
    <cellStyle name="20% - Акцент3 4 2" xfId="42207"/>
    <cellStyle name="20% - Акцент3 4 2 2" xfId="45631"/>
    <cellStyle name="20% - Акцент3 4 3" xfId="45632"/>
    <cellStyle name="20% - Акцент3 4_46EE.2011(v1.0)" xfId="42208"/>
    <cellStyle name="20% - Акцент3 5" xfId="42209"/>
    <cellStyle name="20% - Акцент3 5 2" xfId="42210"/>
    <cellStyle name="20% - Акцент3 5 2 2" xfId="45633"/>
    <cellStyle name="20% - Акцент3 5 3" xfId="45634"/>
    <cellStyle name="20% - Акцент3 5_46EE.2011(v1.0)" xfId="42211"/>
    <cellStyle name="20% - Акцент3 6" xfId="42212"/>
    <cellStyle name="20% - Акцент3 6 2" xfId="42213"/>
    <cellStyle name="20% - Акцент3 6 2 2" xfId="45636"/>
    <cellStyle name="20% - Акцент3 6 3" xfId="45635"/>
    <cellStyle name="20% - Акцент3 6_46EE.2011(v1.0)" xfId="42214"/>
    <cellStyle name="20% - Акцент3 7" xfId="42215"/>
    <cellStyle name="20% - Акцент3 7 2" xfId="42216"/>
    <cellStyle name="20% - Акцент3 7 2 2" xfId="45637"/>
    <cellStyle name="20% - Акцент3 7 3" xfId="45638"/>
    <cellStyle name="20% - Акцент3 7_46EE.2011(v1.0)" xfId="42217"/>
    <cellStyle name="20% - Акцент3 8" xfId="42218"/>
    <cellStyle name="20% - Акцент3 8 2" xfId="42219"/>
    <cellStyle name="20% - Акцент3 8_46EE.2011(v1.0)" xfId="42220"/>
    <cellStyle name="20% - Акцент3 9" xfId="42221"/>
    <cellStyle name="20% - Акцент3 9 2" xfId="42222"/>
    <cellStyle name="20% - Акцент3 9_46EE.2011(v1.0)" xfId="42223"/>
    <cellStyle name="20% - Акцент4 2" xfId="185"/>
    <cellStyle name="20% - Акцент4 2 2" xfId="186"/>
    <cellStyle name="20% - Акцент4 2 2 2" xfId="42224"/>
    <cellStyle name="20% - Акцент4 2 2 2 2" xfId="45640"/>
    <cellStyle name="20% - Акцент4 2 2 2 3" xfId="45641"/>
    <cellStyle name="20% - Акцент4 2 2 2 3 2" xfId="45642"/>
    <cellStyle name="20% - Акцент4 2 2 2 4" xfId="45643"/>
    <cellStyle name="20% - Акцент4 2 2 2 5" xfId="45639"/>
    <cellStyle name="20% - Акцент4 2 2 3" xfId="44127"/>
    <cellStyle name="20% - Акцент4 2 2 3 2" xfId="45644"/>
    <cellStyle name="20% - Акцент4 2 2 4" xfId="44128"/>
    <cellStyle name="20% - Акцент4 2 2 4 2" xfId="45646"/>
    <cellStyle name="20% - Акцент4 2 2 4 3" xfId="45645"/>
    <cellStyle name="20% - Акцент4 2 2 5" xfId="45647"/>
    <cellStyle name="20% - Акцент4 2 2 5 2" xfId="45648"/>
    <cellStyle name="20% - Акцент4 2 2 6" xfId="45649"/>
    <cellStyle name="20% - Акцент4 2 2_8 Инвестиции-свод" xfId="45650"/>
    <cellStyle name="20% - Акцент4 2 3" xfId="2804"/>
    <cellStyle name="20% - Акцент4 2 3 2" xfId="45651"/>
    <cellStyle name="20% - Акцент4 2 4" xfId="1698"/>
    <cellStyle name="20% - Акцент4 2 4 2" xfId="45652"/>
    <cellStyle name="20% - Акцент4 2 4 3" xfId="44129"/>
    <cellStyle name="20% - Акцент4 2 5" xfId="44130"/>
    <cellStyle name="20% - Акцент4 2 5 2" xfId="45654"/>
    <cellStyle name="20% - Акцент4 2 5 3" xfId="45653"/>
    <cellStyle name="20% - Акцент4 2 6" xfId="45655"/>
    <cellStyle name="20% - Акцент4 2 6 2" xfId="45656"/>
    <cellStyle name="20% - Акцент4 2 7" xfId="45657"/>
    <cellStyle name="20% - Акцент4 2 7 2" xfId="45658"/>
    <cellStyle name="20% - Акцент4 2 8" xfId="45659"/>
    <cellStyle name="20% - Акцент4 2 8 2" xfId="45660"/>
    <cellStyle name="20% - Акцент4 2 9" xfId="45661"/>
    <cellStyle name="20% - Акцент4 2_46EE.2011(v1.0)" xfId="42225"/>
    <cellStyle name="20% - Акцент4 3" xfId="187"/>
    <cellStyle name="20% - Акцент4 3 2" xfId="188"/>
    <cellStyle name="20% - Акцент4 3 2 2" xfId="42226"/>
    <cellStyle name="20% - Акцент4 3 3" xfId="42227"/>
    <cellStyle name="20% - Акцент4 3_46EE.2011(v1.0)" xfId="42228"/>
    <cellStyle name="20% - Акцент4 4" xfId="42229"/>
    <cellStyle name="20% - Акцент4 4 2" xfId="42230"/>
    <cellStyle name="20% - Акцент4 4 2 2" xfId="45662"/>
    <cellStyle name="20% - Акцент4 4 3" xfId="45663"/>
    <cellStyle name="20% - Акцент4 4_46EE.2011(v1.0)" xfId="42231"/>
    <cellStyle name="20% - Акцент4 5" xfId="42232"/>
    <cellStyle name="20% - Акцент4 5 2" xfId="42233"/>
    <cellStyle name="20% - Акцент4 5 2 2" xfId="45664"/>
    <cellStyle name="20% - Акцент4 5 3" xfId="45665"/>
    <cellStyle name="20% - Акцент4 5_46EE.2011(v1.0)" xfId="42234"/>
    <cellStyle name="20% - Акцент4 6" xfId="42235"/>
    <cellStyle name="20% - Акцент4 6 2" xfId="42236"/>
    <cellStyle name="20% - Акцент4 6 2 2" xfId="45667"/>
    <cellStyle name="20% - Акцент4 6 3" xfId="45666"/>
    <cellStyle name="20% - Акцент4 6_46EE.2011(v1.0)" xfId="42237"/>
    <cellStyle name="20% - Акцент4 7" xfId="42238"/>
    <cellStyle name="20% - Акцент4 7 2" xfId="42239"/>
    <cellStyle name="20% - Акцент4 7 2 2" xfId="45668"/>
    <cellStyle name="20% - Акцент4 7 3" xfId="45669"/>
    <cellStyle name="20% - Акцент4 7_46EE.2011(v1.0)" xfId="42240"/>
    <cellStyle name="20% - Акцент4 8" xfId="42241"/>
    <cellStyle name="20% - Акцент4 8 2" xfId="42242"/>
    <cellStyle name="20% - Акцент4 8_46EE.2011(v1.0)" xfId="42243"/>
    <cellStyle name="20% - Акцент4 9" xfId="42244"/>
    <cellStyle name="20% - Акцент4 9 2" xfId="42245"/>
    <cellStyle name="20% - Акцент4 9_46EE.2011(v1.0)" xfId="42246"/>
    <cellStyle name="20% - Акцент5 2" xfId="189"/>
    <cellStyle name="20% - Акцент5 2 2" xfId="190"/>
    <cellStyle name="20% - Акцент5 2 2 2" xfId="42247"/>
    <cellStyle name="20% - Акцент5 2 2 2 2" xfId="45671"/>
    <cellStyle name="20% - Акцент5 2 2 2 3" xfId="45672"/>
    <cellStyle name="20% - Акцент5 2 2 2 3 2" xfId="45673"/>
    <cellStyle name="20% - Акцент5 2 2 2 4" xfId="45674"/>
    <cellStyle name="20% - Акцент5 2 2 2 5" xfId="45670"/>
    <cellStyle name="20% - Акцент5 2 2 3" xfId="44131"/>
    <cellStyle name="20% - Акцент5 2 2 3 2" xfId="45675"/>
    <cellStyle name="20% - Акцент5 2 2 4" xfId="44132"/>
    <cellStyle name="20% - Акцент5 2 2 4 2" xfId="45677"/>
    <cellStyle name="20% - Акцент5 2 2 4 3" xfId="45676"/>
    <cellStyle name="20% - Акцент5 2 2 5" xfId="45678"/>
    <cellStyle name="20% - Акцент5 2 2_8 Инвестиции-свод" xfId="45679"/>
    <cellStyle name="20% - Акцент5 2 3" xfId="42248"/>
    <cellStyle name="20% - Акцент5 2 3 2" xfId="45680"/>
    <cellStyle name="20% - Акцент5 2 4" xfId="44133"/>
    <cellStyle name="20% - Акцент5 2 4 2" xfId="45681"/>
    <cellStyle name="20% - Акцент5 2 5" xfId="44134"/>
    <cellStyle name="20% - Акцент5 2 5 2" xfId="45683"/>
    <cellStyle name="20% - Акцент5 2 5 3" xfId="45682"/>
    <cellStyle name="20% - Акцент5 2 6" xfId="45684"/>
    <cellStyle name="20% - Акцент5 2 6 2" xfId="45685"/>
    <cellStyle name="20% - Акцент5 2 7" xfId="45686"/>
    <cellStyle name="20% - Акцент5 2 7 2" xfId="45687"/>
    <cellStyle name="20% - Акцент5 2 8" xfId="45688"/>
    <cellStyle name="20% - Акцент5 2_46EE.2011(v1.0)" xfId="42249"/>
    <cellStyle name="20% - Акцент5 3" xfId="42250"/>
    <cellStyle name="20% - Акцент5 3 2" xfId="42251"/>
    <cellStyle name="20% - Акцент5 3 2 2" xfId="45689"/>
    <cellStyle name="20% - Акцент5 3 3" xfId="45690"/>
    <cellStyle name="20% - Акцент5 3_46EE.2011(v1.0)" xfId="42252"/>
    <cellStyle name="20% - Акцент5 4" xfId="42253"/>
    <cellStyle name="20% - Акцент5 4 2" xfId="42254"/>
    <cellStyle name="20% - Акцент5 4 2 2" xfId="45691"/>
    <cellStyle name="20% - Акцент5 4 3" xfId="45692"/>
    <cellStyle name="20% - Акцент5 4_46EE.2011(v1.0)" xfId="42255"/>
    <cellStyle name="20% - Акцент5 5" xfId="42256"/>
    <cellStyle name="20% - Акцент5 5 2" xfId="42257"/>
    <cellStyle name="20% - Акцент5 5 2 2" xfId="45693"/>
    <cellStyle name="20% - Акцент5 5 3" xfId="45694"/>
    <cellStyle name="20% - Акцент5 5_46EE.2011(v1.0)" xfId="42258"/>
    <cellStyle name="20% - Акцент5 6" xfId="42259"/>
    <cellStyle name="20% - Акцент5 6 2" xfId="42260"/>
    <cellStyle name="20% - Акцент5 6 2 2" xfId="45696"/>
    <cellStyle name="20% - Акцент5 6 3" xfId="45695"/>
    <cellStyle name="20% - Акцент5 6_46EE.2011(v1.0)" xfId="42261"/>
    <cellStyle name="20% - Акцент5 7" xfId="42262"/>
    <cellStyle name="20% - Акцент5 7 2" xfId="42263"/>
    <cellStyle name="20% - Акцент5 7 2 2" xfId="45697"/>
    <cellStyle name="20% - Акцент5 7 3" xfId="45698"/>
    <cellStyle name="20% - Акцент5 7_46EE.2011(v1.0)" xfId="42264"/>
    <cellStyle name="20% - Акцент5 8" xfId="42265"/>
    <cellStyle name="20% - Акцент5 8 2" xfId="42266"/>
    <cellStyle name="20% - Акцент5 8_46EE.2011(v1.0)" xfId="42267"/>
    <cellStyle name="20% - Акцент5 9" xfId="42268"/>
    <cellStyle name="20% - Акцент5 9 2" xfId="42269"/>
    <cellStyle name="20% - Акцент5 9_46EE.2011(v1.0)" xfId="42270"/>
    <cellStyle name="20% - Акцент6 2" xfId="191"/>
    <cellStyle name="20% - Акцент6 2 2" xfId="192"/>
    <cellStyle name="20% - Акцент6 2 2 2" xfId="42271"/>
    <cellStyle name="20% - Акцент6 2 2 2 2" xfId="45700"/>
    <cellStyle name="20% - Акцент6 2 2 2 3" xfId="45701"/>
    <cellStyle name="20% - Акцент6 2 2 2 3 2" xfId="45702"/>
    <cellStyle name="20% - Акцент6 2 2 2 4" xfId="45703"/>
    <cellStyle name="20% - Акцент6 2 2 2 5" xfId="45699"/>
    <cellStyle name="20% - Акцент6 2 2 3" xfId="44135"/>
    <cellStyle name="20% - Акцент6 2 2 3 2" xfId="45704"/>
    <cellStyle name="20% - Акцент6 2 2 4" xfId="44136"/>
    <cellStyle name="20% - Акцент6 2 2 4 2" xfId="45706"/>
    <cellStyle name="20% - Акцент6 2 2 4 3" xfId="45705"/>
    <cellStyle name="20% - Акцент6 2 2 5" xfId="45707"/>
    <cellStyle name="20% - Акцент6 2 2_8 Инвестиции-свод" xfId="45708"/>
    <cellStyle name="20% - Акцент6 2 3" xfId="2836"/>
    <cellStyle name="20% - Акцент6 2 3 2" xfId="45709"/>
    <cellStyle name="20% - Акцент6 2 4" xfId="1372"/>
    <cellStyle name="20% - Акцент6 2 4 2" xfId="45710"/>
    <cellStyle name="20% - Акцент6 2 4 3" xfId="44137"/>
    <cellStyle name="20% - Акцент6 2 5" xfId="44138"/>
    <cellStyle name="20% - Акцент6 2 5 2" xfId="45712"/>
    <cellStyle name="20% - Акцент6 2 5 3" xfId="45711"/>
    <cellStyle name="20% - Акцент6 2 6" xfId="45713"/>
    <cellStyle name="20% - Акцент6 2 6 2" xfId="45714"/>
    <cellStyle name="20% - Акцент6 2 7" xfId="45715"/>
    <cellStyle name="20% - Акцент6 2 7 2" xfId="45716"/>
    <cellStyle name="20% - Акцент6 2 8" xfId="45717"/>
    <cellStyle name="20% - Акцент6 2_46EE.2011(v1.0)" xfId="42272"/>
    <cellStyle name="20% - Акцент6 3" xfId="42273"/>
    <cellStyle name="20% - Акцент6 3 2" xfId="42274"/>
    <cellStyle name="20% - Акцент6 3 2 2" xfId="45718"/>
    <cellStyle name="20% - Акцент6 3 3" xfId="45719"/>
    <cellStyle name="20% - Акцент6 3_46EE.2011(v1.0)" xfId="42275"/>
    <cellStyle name="20% - Акцент6 4" xfId="42276"/>
    <cellStyle name="20% - Акцент6 4 2" xfId="42277"/>
    <cellStyle name="20% - Акцент6 4 2 2" xfId="45720"/>
    <cellStyle name="20% - Акцент6 4 3" xfId="45721"/>
    <cellStyle name="20% - Акцент6 4_46EE.2011(v1.0)" xfId="42278"/>
    <cellStyle name="20% - Акцент6 5" xfId="42279"/>
    <cellStyle name="20% - Акцент6 5 2" xfId="42280"/>
    <cellStyle name="20% - Акцент6 5 2 2" xfId="45722"/>
    <cellStyle name="20% - Акцент6 5 3" xfId="45723"/>
    <cellStyle name="20% - Акцент6 5_46EE.2011(v1.0)" xfId="42281"/>
    <cellStyle name="20% - Акцент6 6" xfId="42282"/>
    <cellStyle name="20% - Акцент6 6 2" xfId="42283"/>
    <cellStyle name="20% - Акцент6 6 2 2" xfId="45725"/>
    <cellStyle name="20% - Акцент6 6 3" xfId="45724"/>
    <cellStyle name="20% - Акцент6 6_46EE.2011(v1.0)" xfId="42284"/>
    <cellStyle name="20% - Акцент6 7" xfId="42285"/>
    <cellStyle name="20% - Акцент6 7 2" xfId="42286"/>
    <cellStyle name="20% - Акцент6 7 2 2" xfId="45726"/>
    <cellStyle name="20% - Акцент6 7 3" xfId="45727"/>
    <cellStyle name="20% - Акцент6 7_46EE.2011(v1.0)" xfId="42287"/>
    <cellStyle name="20% - Акцент6 8" xfId="42288"/>
    <cellStyle name="20% - Акцент6 8 2" xfId="42289"/>
    <cellStyle name="20% - Акцент6 8_46EE.2011(v1.0)" xfId="42290"/>
    <cellStyle name="20% - Акцент6 9" xfId="42291"/>
    <cellStyle name="20% - Акцент6 9 2" xfId="42292"/>
    <cellStyle name="20% - Акцент6 9_46EE.2011(v1.0)" xfId="42293"/>
    <cellStyle name="40% - Accent1" xfId="42294"/>
    <cellStyle name="40% - Accent1 2" xfId="42295"/>
    <cellStyle name="40% - Accent1_46EE.2011(v1.0)" xfId="42296"/>
    <cellStyle name="40% - Accent2" xfId="42297"/>
    <cellStyle name="40% - Accent2 2" xfId="42298"/>
    <cellStyle name="40% - Accent2_46EE.2011(v1.0)" xfId="42299"/>
    <cellStyle name="40% - Accent3" xfId="42300"/>
    <cellStyle name="40% - Accent3 2" xfId="42301"/>
    <cellStyle name="40% - Accent3_46EE.2011(v1.0)" xfId="42302"/>
    <cellStyle name="40% - Accent4" xfId="42303"/>
    <cellStyle name="40% - Accent4 2" xfId="42304"/>
    <cellStyle name="40% - Accent4_46EE.2011(v1.0)" xfId="42305"/>
    <cellStyle name="40% - Accent5" xfId="42306"/>
    <cellStyle name="40% - Accent5 2" xfId="42307"/>
    <cellStyle name="40% - Accent5_46EE.2011(v1.0)" xfId="42308"/>
    <cellStyle name="40% - Accent6" xfId="42309"/>
    <cellStyle name="40% - Accent6 2" xfId="42310"/>
    <cellStyle name="40% - Accent6_46EE.2011(v1.0)" xfId="42311"/>
    <cellStyle name="40% - Акцент1 2" xfId="193"/>
    <cellStyle name="40% - Акцент1 2 2" xfId="194"/>
    <cellStyle name="40% - Акцент1 2 2 2" xfId="42312"/>
    <cellStyle name="40% - Акцент1 2 2 2 2" xfId="45729"/>
    <cellStyle name="40% - Акцент1 2 2 2 3" xfId="45730"/>
    <cellStyle name="40% - Акцент1 2 2 2 3 2" xfId="45731"/>
    <cellStyle name="40% - Акцент1 2 2 2 4" xfId="45732"/>
    <cellStyle name="40% - Акцент1 2 2 2 5" xfId="45728"/>
    <cellStyle name="40% - Акцент1 2 2 3" xfId="44139"/>
    <cellStyle name="40% - Акцент1 2 2 3 2" xfId="45733"/>
    <cellStyle name="40% - Акцент1 2 2 4" xfId="44140"/>
    <cellStyle name="40% - Акцент1 2 2 4 2" xfId="45735"/>
    <cellStyle name="40% - Акцент1 2 2 4 3" xfId="45734"/>
    <cellStyle name="40% - Акцент1 2 2 5" xfId="45736"/>
    <cellStyle name="40% - Акцент1 2 2 5 2" xfId="45737"/>
    <cellStyle name="40% - Акцент1 2 2 6" xfId="45738"/>
    <cellStyle name="40% - Акцент1 2 2_8 Инвестиции-свод" xfId="45739"/>
    <cellStyle name="40% - Акцент1 2 3" xfId="2623"/>
    <cellStyle name="40% - Акцент1 2 3 2" xfId="45740"/>
    <cellStyle name="40% - Акцент1 2 4" xfId="1613"/>
    <cellStyle name="40% - Акцент1 2 4 2" xfId="45741"/>
    <cellStyle name="40% - Акцент1 2 4 3" xfId="44141"/>
    <cellStyle name="40% - Акцент1 2 5" xfId="44142"/>
    <cellStyle name="40% - Акцент1 2 5 2" xfId="45743"/>
    <cellStyle name="40% - Акцент1 2 5 3" xfId="45742"/>
    <cellStyle name="40% - Акцент1 2 6" xfId="45744"/>
    <cellStyle name="40% - Акцент1 2 6 2" xfId="45745"/>
    <cellStyle name="40% - Акцент1 2 7" xfId="45746"/>
    <cellStyle name="40% - Акцент1 2 7 2" xfId="45747"/>
    <cellStyle name="40% - Акцент1 2 8" xfId="45748"/>
    <cellStyle name="40% - Акцент1 2 8 2" xfId="45749"/>
    <cellStyle name="40% - Акцент1 2 9" xfId="45750"/>
    <cellStyle name="40% - Акцент1 2_46EE.2011(v1.0)" xfId="42313"/>
    <cellStyle name="40% - Акцент1 3" xfId="195"/>
    <cellStyle name="40% - Акцент1 3 2" xfId="196"/>
    <cellStyle name="40% - Акцент1 3 2 2" xfId="42314"/>
    <cellStyle name="40% - Акцент1 3 3" xfId="42315"/>
    <cellStyle name="40% - Акцент1 3_46EE.2011(v1.0)" xfId="42316"/>
    <cellStyle name="40% - Акцент1 4" xfId="42317"/>
    <cellStyle name="40% - Акцент1 4 2" xfId="42318"/>
    <cellStyle name="40% - Акцент1 4 2 2" xfId="45751"/>
    <cellStyle name="40% - Акцент1 4 3" xfId="45752"/>
    <cellStyle name="40% - Акцент1 4_46EE.2011(v1.0)" xfId="42319"/>
    <cellStyle name="40% - Акцент1 5" xfId="42320"/>
    <cellStyle name="40% - Акцент1 5 2" xfId="42321"/>
    <cellStyle name="40% - Акцент1 5 2 2" xfId="45753"/>
    <cellStyle name="40% - Акцент1 5 3" xfId="45754"/>
    <cellStyle name="40% - Акцент1 5_46EE.2011(v1.0)" xfId="42322"/>
    <cellStyle name="40% - Акцент1 6" xfId="42323"/>
    <cellStyle name="40% - Акцент1 6 2" xfId="42324"/>
    <cellStyle name="40% - Акцент1 6 2 2" xfId="45756"/>
    <cellStyle name="40% - Акцент1 6 3" xfId="45755"/>
    <cellStyle name="40% - Акцент1 6_46EE.2011(v1.0)" xfId="42325"/>
    <cellStyle name="40% - Акцент1 7" xfId="42326"/>
    <cellStyle name="40% - Акцент1 7 2" xfId="42327"/>
    <cellStyle name="40% - Акцент1 7 2 2" xfId="45757"/>
    <cellStyle name="40% - Акцент1 7 3" xfId="45758"/>
    <cellStyle name="40% - Акцент1 7_46EE.2011(v1.0)" xfId="42328"/>
    <cellStyle name="40% - Акцент1 8" xfId="42329"/>
    <cellStyle name="40% - Акцент1 8 2" xfId="42330"/>
    <cellStyle name="40% - Акцент1 8_46EE.2011(v1.0)" xfId="42331"/>
    <cellStyle name="40% - Акцент1 9" xfId="42332"/>
    <cellStyle name="40% - Акцент1 9 2" xfId="42333"/>
    <cellStyle name="40% - Акцент1 9_46EE.2011(v1.0)" xfId="42334"/>
    <cellStyle name="40% - Акцент2 2" xfId="197"/>
    <cellStyle name="40% - Акцент2 2 2" xfId="198"/>
    <cellStyle name="40% - Акцент2 2 2 2" xfId="42335"/>
    <cellStyle name="40% - Акцент2 2 2 2 2" xfId="45760"/>
    <cellStyle name="40% - Акцент2 2 2 2 3" xfId="45761"/>
    <cellStyle name="40% - Акцент2 2 2 2 3 2" xfId="45762"/>
    <cellStyle name="40% - Акцент2 2 2 2 4" xfId="45763"/>
    <cellStyle name="40% - Акцент2 2 2 2 5" xfId="45759"/>
    <cellStyle name="40% - Акцент2 2 2 3" xfId="44143"/>
    <cellStyle name="40% - Акцент2 2 2 3 2" xfId="45764"/>
    <cellStyle name="40% - Акцент2 2 2 4" xfId="44144"/>
    <cellStyle name="40% - Акцент2 2 2 4 2" xfId="45766"/>
    <cellStyle name="40% - Акцент2 2 2 4 3" xfId="45765"/>
    <cellStyle name="40% - Акцент2 2 2 5" xfId="45767"/>
    <cellStyle name="40% - Акцент2 2 2_8 Инвестиции-свод" xfId="45768"/>
    <cellStyle name="40% - Акцент2 2 3" xfId="2605"/>
    <cellStyle name="40% - Акцент2 2 3 2" xfId="45769"/>
    <cellStyle name="40% - Акцент2 2 4" xfId="1671"/>
    <cellStyle name="40% - Акцент2 2 4 2" xfId="45770"/>
    <cellStyle name="40% - Акцент2 2 4 3" xfId="44145"/>
    <cellStyle name="40% - Акцент2 2 5" xfId="44146"/>
    <cellStyle name="40% - Акцент2 2 5 2" xfId="45772"/>
    <cellStyle name="40% - Акцент2 2 5 3" xfId="45771"/>
    <cellStyle name="40% - Акцент2 2 6" xfId="45773"/>
    <cellStyle name="40% - Акцент2 2 6 2" xfId="45774"/>
    <cellStyle name="40% - Акцент2 2 7" xfId="45775"/>
    <cellStyle name="40% - Акцент2 2 7 2" xfId="45776"/>
    <cellStyle name="40% - Акцент2 2 8" xfId="45777"/>
    <cellStyle name="40% - Акцент2 2_46EE.2011(v1.0)" xfId="42336"/>
    <cellStyle name="40% - Акцент2 3" xfId="42337"/>
    <cellStyle name="40% - Акцент2 3 2" xfId="42338"/>
    <cellStyle name="40% - Акцент2 3 2 2" xfId="45778"/>
    <cellStyle name="40% - Акцент2 3 3" xfId="45779"/>
    <cellStyle name="40% - Акцент2 3_46EE.2011(v1.0)" xfId="42339"/>
    <cellStyle name="40% - Акцент2 4" xfId="42340"/>
    <cellStyle name="40% - Акцент2 4 2" xfId="42341"/>
    <cellStyle name="40% - Акцент2 4 2 2" xfId="45780"/>
    <cellStyle name="40% - Акцент2 4 3" xfId="45781"/>
    <cellStyle name="40% - Акцент2 4_46EE.2011(v1.0)" xfId="42342"/>
    <cellStyle name="40% - Акцент2 5" xfId="42343"/>
    <cellStyle name="40% - Акцент2 5 2" xfId="42344"/>
    <cellStyle name="40% - Акцент2 5 2 2" xfId="45782"/>
    <cellStyle name="40% - Акцент2 5 3" xfId="45783"/>
    <cellStyle name="40% - Акцент2 5_46EE.2011(v1.0)" xfId="42345"/>
    <cellStyle name="40% - Акцент2 6" xfId="42346"/>
    <cellStyle name="40% - Акцент2 6 2" xfId="42347"/>
    <cellStyle name="40% - Акцент2 6 2 2" xfId="45785"/>
    <cellStyle name="40% - Акцент2 6 3" xfId="45784"/>
    <cellStyle name="40% - Акцент2 6_46EE.2011(v1.0)" xfId="42348"/>
    <cellStyle name="40% - Акцент2 7" xfId="42349"/>
    <cellStyle name="40% - Акцент2 7 2" xfId="42350"/>
    <cellStyle name="40% - Акцент2 7 2 2" xfId="45786"/>
    <cellStyle name="40% - Акцент2 7 3" xfId="45787"/>
    <cellStyle name="40% - Акцент2 7_46EE.2011(v1.0)" xfId="42351"/>
    <cellStyle name="40% - Акцент2 8" xfId="42352"/>
    <cellStyle name="40% - Акцент2 8 2" xfId="42353"/>
    <cellStyle name="40% - Акцент2 8_46EE.2011(v1.0)" xfId="42354"/>
    <cellStyle name="40% - Акцент2 9" xfId="42355"/>
    <cellStyle name="40% - Акцент2 9 2" xfId="42356"/>
    <cellStyle name="40% - Акцент2 9_46EE.2011(v1.0)" xfId="42357"/>
    <cellStyle name="40% - Акцент3 2" xfId="199"/>
    <cellStyle name="40% - Акцент3 2 2" xfId="200"/>
    <cellStyle name="40% - Акцент3 2 2 2" xfId="42358"/>
    <cellStyle name="40% - Акцент3 2 2 2 2" xfId="45789"/>
    <cellStyle name="40% - Акцент3 2 2 2 3" xfId="45790"/>
    <cellStyle name="40% - Акцент3 2 2 2 3 2" xfId="45791"/>
    <cellStyle name="40% - Акцент3 2 2 2 4" xfId="45792"/>
    <cellStyle name="40% - Акцент3 2 2 2 5" xfId="45788"/>
    <cellStyle name="40% - Акцент3 2 2 3" xfId="44147"/>
    <cellStyle name="40% - Акцент3 2 2 3 2" xfId="45793"/>
    <cellStyle name="40% - Акцент3 2 2 4" xfId="44148"/>
    <cellStyle name="40% - Акцент3 2 2 4 2" xfId="45795"/>
    <cellStyle name="40% - Акцент3 2 2 4 3" xfId="45794"/>
    <cellStyle name="40% - Акцент3 2 2 5" xfId="45796"/>
    <cellStyle name="40% - Акцент3 2 2 5 2" xfId="45797"/>
    <cellStyle name="40% - Акцент3 2 2 6" xfId="45798"/>
    <cellStyle name="40% - Акцент3 2 2_8 Инвестиции-свод" xfId="45799"/>
    <cellStyle name="40% - Акцент3 2 3" xfId="1009"/>
    <cellStyle name="40% - Акцент3 2 3 2" xfId="45800"/>
    <cellStyle name="40% - Акцент3 2 4" xfId="2838"/>
    <cellStyle name="40% - Акцент3 2 4 2" xfId="45801"/>
    <cellStyle name="40% - Акцент3 2 4 3" xfId="44149"/>
    <cellStyle name="40% - Акцент3 2 5" xfId="44150"/>
    <cellStyle name="40% - Акцент3 2 5 2" xfId="45803"/>
    <cellStyle name="40% - Акцент3 2 5 3" xfId="45802"/>
    <cellStyle name="40% - Акцент3 2 6" xfId="45804"/>
    <cellStyle name="40% - Акцент3 2 6 2" xfId="45805"/>
    <cellStyle name="40% - Акцент3 2 7" xfId="45806"/>
    <cellStyle name="40% - Акцент3 2 7 2" xfId="45807"/>
    <cellStyle name="40% - Акцент3 2 8" xfId="45808"/>
    <cellStyle name="40% - Акцент3 2 8 2" xfId="45809"/>
    <cellStyle name="40% - Акцент3 2 9" xfId="45810"/>
    <cellStyle name="40% - Акцент3 2_46EE.2011(v1.0)" xfId="42359"/>
    <cellStyle name="40% - Акцент3 3" xfId="201"/>
    <cellStyle name="40% - Акцент3 3 2" xfId="202"/>
    <cellStyle name="40% - Акцент3 3 2 2" xfId="42360"/>
    <cellStyle name="40% - Акцент3 3 3" xfId="42361"/>
    <cellStyle name="40% - Акцент3 3_46EE.2011(v1.0)" xfId="42362"/>
    <cellStyle name="40% - Акцент3 4" xfId="42363"/>
    <cellStyle name="40% - Акцент3 4 2" xfId="42364"/>
    <cellStyle name="40% - Акцент3 4 2 2" xfId="45811"/>
    <cellStyle name="40% - Акцент3 4 3" xfId="45812"/>
    <cellStyle name="40% - Акцент3 4_46EE.2011(v1.0)" xfId="42365"/>
    <cellStyle name="40% - Акцент3 5" xfId="42366"/>
    <cellStyle name="40% - Акцент3 5 2" xfId="42367"/>
    <cellStyle name="40% - Акцент3 5 2 2" xfId="45813"/>
    <cellStyle name="40% - Акцент3 5 3" xfId="45814"/>
    <cellStyle name="40% - Акцент3 5_46EE.2011(v1.0)" xfId="42368"/>
    <cellStyle name="40% - Акцент3 6" xfId="42369"/>
    <cellStyle name="40% - Акцент3 6 2" xfId="42370"/>
    <cellStyle name="40% - Акцент3 6 2 2" xfId="45816"/>
    <cellStyle name="40% - Акцент3 6 3" xfId="45815"/>
    <cellStyle name="40% - Акцент3 6_46EE.2011(v1.0)" xfId="42371"/>
    <cellStyle name="40% - Акцент3 7" xfId="42372"/>
    <cellStyle name="40% - Акцент3 7 2" xfId="42373"/>
    <cellStyle name="40% - Акцент3 7 2 2" xfId="45817"/>
    <cellStyle name="40% - Акцент3 7 3" xfId="45818"/>
    <cellStyle name="40% - Акцент3 7_46EE.2011(v1.0)" xfId="42374"/>
    <cellStyle name="40% - Акцент3 8" xfId="42375"/>
    <cellStyle name="40% - Акцент3 8 2" xfId="42376"/>
    <cellStyle name="40% - Акцент3 8_46EE.2011(v1.0)" xfId="42377"/>
    <cellStyle name="40% - Акцент3 9" xfId="42378"/>
    <cellStyle name="40% - Акцент3 9 2" xfId="42379"/>
    <cellStyle name="40% - Акцент3 9_46EE.2011(v1.0)" xfId="42380"/>
    <cellStyle name="40% - Акцент4 2" xfId="203"/>
    <cellStyle name="40% - Акцент4 2 2" xfId="204"/>
    <cellStyle name="40% - Акцент4 2 2 2" xfId="42381"/>
    <cellStyle name="40% - Акцент4 2 2 2 2" xfId="45820"/>
    <cellStyle name="40% - Акцент4 2 2 2 3" xfId="45821"/>
    <cellStyle name="40% - Акцент4 2 2 2 3 2" xfId="45822"/>
    <cellStyle name="40% - Акцент4 2 2 2 4" xfId="45823"/>
    <cellStyle name="40% - Акцент4 2 2 2 5" xfId="45819"/>
    <cellStyle name="40% - Акцент4 2 2 3" xfId="44151"/>
    <cellStyle name="40% - Акцент4 2 2 3 2" xfId="45824"/>
    <cellStyle name="40% - Акцент4 2 2 4" xfId="44152"/>
    <cellStyle name="40% - Акцент4 2 2 4 2" xfId="45826"/>
    <cellStyle name="40% - Акцент4 2 2 4 3" xfId="45825"/>
    <cellStyle name="40% - Акцент4 2 2 5" xfId="45827"/>
    <cellStyle name="40% - Акцент4 2 2 5 2" xfId="45828"/>
    <cellStyle name="40% - Акцент4 2 2 6" xfId="45829"/>
    <cellStyle name="40% - Акцент4 2 2_8 Инвестиции-свод" xfId="45830"/>
    <cellStyle name="40% - Акцент4 2 3" xfId="2801"/>
    <cellStyle name="40% - Акцент4 2 3 2" xfId="45831"/>
    <cellStyle name="40% - Акцент4 2 4" xfId="1679"/>
    <cellStyle name="40% - Акцент4 2 4 2" xfId="45832"/>
    <cellStyle name="40% - Акцент4 2 4 3" xfId="44153"/>
    <cellStyle name="40% - Акцент4 2 5" xfId="44154"/>
    <cellStyle name="40% - Акцент4 2 5 2" xfId="45834"/>
    <cellStyle name="40% - Акцент4 2 5 3" xfId="45833"/>
    <cellStyle name="40% - Акцент4 2 6" xfId="45835"/>
    <cellStyle name="40% - Акцент4 2 6 2" xfId="45836"/>
    <cellStyle name="40% - Акцент4 2 7" xfId="45837"/>
    <cellStyle name="40% - Акцент4 2 7 2" xfId="45838"/>
    <cellStyle name="40% - Акцент4 2 8" xfId="45839"/>
    <cellStyle name="40% - Акцент4 2 8 2" xfId="45840"/>
    <cellStyle name="40% - Акцент4 2 9" xfId="45841"/>
    <cellStyle name="40% - Акцент4 2_46EE.2011(v1.0)" xfId="42382"/>
    <cellStyle name="40% - Акцент4 3" xfId="205"/>
    <cellStyle name="40% - Акцент4 3 2" xfId="206"/>
    <cellStyle name="40% - Акцент4 3 2 2" xfId="42383"/>
    <cellStyle name="40% - Акцент4 3 3" xfId="42384"/>
    <cellStyle name="40% - Акцент4 3_46EE.2011(v1.0)" xfId="42385"/>
    <cellStyle name="40% - Акцент4 4" xfId="42386"/>
    <cellStyle name="40% - Акцент4 4 2" xfId="42387"/>
    <cellStyle name="40% - Акцент4 4 2 2" xfId="45842"/>
    <cellStyle name="40% - Акцент4 4 3" xfId="45843"/>
    <cellStyle name="40% - Акцент4 4_46EE.2011(v1.0)" xfId="42388"/>
    <cellStyle name="40% - Акцент4 5" xfId="42389"/>
    <cellStyle name="40% - Акцент4 5 2" xfId="42390"/>
    <cellStyle name="40% - Акцент4 5 2 2" xfId="45844"/>
    <cellStyle name="40% - Акцент4 5 3" xfId="45845"/>
    <cellStyle name="40% - Акцент4 5_46EE.2011(v1.0)" xfId="42391"/>
    <cellStyle name="40% - Акцент4 6" xfId="42392"/>
    <cellStyle name="40% - Акцент4 6 2" xfId="42393"/>
    <cellStyle name="40% - Акцент4 6 2 2" xfId="45847"/>
    <cellStyle name="40% - Акцент4 6 3" xfId="45846"/>
    <cellStyle name="40% - Акцент4 6_46EE.2011(v1.0)" xfId="42394"/>
    <cellStyle name="40% - Акцент4 7" xfId="42395"/>
    <cellStyle name="40% - Акцент4 7 2" xfId="42396"/>
    <cellStyle name="40% - Акцент4 7 2 2" xfId="45848"/>
    <cellStyle name="40% - Акцент4 7 3" xfId="45849"/>
    <cellStyle name="40% - Акцент4 7_46EE.2011(v1.0)" xfId="42397"/>
    <cellStyle name="40% - Акцент4 8" xfId="42398"/>
    <cellStyle name="40% - Акцент4 8 2" xfId="42399"/>
    <cellStyle name="40% - Акцент4 8_46EE.2011(v1.0)" xfId="42400"/>
    <cellStyle name="40% - Акцент4 9" xfId="42401"/>
    <cellStyle name="40% - Акцент4 9 2" xfId="42402"/>
    <cellStyle name="40% - Акцент4 9_46EE.2011(v1.0)" xfId="42403"/>
    <cellStyle name="40% - Акцент5 2" xfId="207"/>
    <cellStyle name="40% - Акцент5 2 2" xfId="208"/>
    <cellStyle name="40% - Акцент5 2 2 2" xfId="42404"/>
    <cellStyle name="40% - Акцент5 2 2 2 2" xfId="45851"/>
    <cellStyle name="40% - Акцент5 2 2 2 3" xfId="45852"/>
    <cellStyle name="40% - Акцент5 2 2 2 3 2" xfId="45853"/>
    <cellStyle name="40% - Акцент5 2 2 2 4" xfId="45854"/>
    <cellStyle name="40% - Акцент5 2 2 2 5" xfId="45850"/>
    <cellStyle name="40% - Акцент5 2 2 3" xfId="44155"/>
    <cellStyle name="40% - Акцент5 2 2 3 2" xfId="45855"/>
    <cellStyle name="40% - Акцент5 2 2 4" xfId="44156"/>
    <cellStyle name="40% - Акцент5 2 2 4 2" xfId="45857"/>
    <cellStyle name="40% - Акцент5 2 2 4 3" xfId="45856"/>
    <cellStyle name="40% - Акцент5 2 2 5" xfId="45858"/>
    <cellStyle name="40% - Акцент5 2 2_8 Инвестиции-свод" xfId="45859"/>
    <cellStyle name="40% - Акцент5 2 3" xfId="960"/>
    <cellStyle name="40% - Акцент5 2 3 2" xfId="45860"/>
    <cellStyle name="40% - Акцент5 2 4" xfId="2841"/>
    <cellStyle name="40% - Акцент5 2 4 2" xfId="45861"/>
    <cellStyle name="40% - Акцент5 2 4 3" xfId="44157"/>
    <cellStyle name="40% - Акцент5 2 5" xfId="44158"/>
    <cellStyle name="40% - Акцент5 2 5 2" xfId="45863"/>
    <cellStyle name="40% - Акцент5 2 5 3" xfId="45862"/>
    <cellStyle name="40% - Акцент5 2 6" xfId="45864"/>
    <cellStyle name="40% - Акцент5 2 6 2" xfId="45865"/>
    <cellStyle name="40% - Акцент5 2 7" xfId="45866"/>
    <cellStyle name="40% - Акцент5 2 7 2" xfId="45867"/>
    <cellStyle name="40% - Акцент5 2 8" xfId="45868"/>
    <cellStyle name="40% - Акцент5 2_46EE.2011(v1.0)" xfId="42405"/>
    <cellStyle name="40% - Акцент5 3" xfId="42406"/>
    <cellStyle name="40% - Акцент5 3 2" xfId="42407"/>
    <cellStyle name="40% - Акцент5 3 2 2" xfId="45869"/>
    <cellStyle name="40% - Акцент5 3 3" xfId="45870"/>
    <cellStyle name="40% - Акцент5 3_46EE.2011(v1.0)" xfId="42408"/>
    <cellStyle name="40% - Акцент5 4" xfId="42409"/>
    <cellStyle name="40% - Акцент5 4 2" xfId="42410"/>
    <cellStyle name="40% - Акцент5 4 2 2" xfId="45871"/>
    <cellStyle name="40% - Акцент5 4 3" xfId="45872"/>
    <cellStyle name="40% - Акцент5 4_46EE.2011(v1.0)" xfId="42411"/>
    <cellStyle name="40% - Акцент5 5" xfId="42412"/>
    <cellStyle name="40% - Акцент5 5 2" xfId="42413"/>
    <cellStyle name="40% - Акцент5 5 2 2" xfId="45873"/>
    <cellStyle name="40% - Акцент5 5 3" xfId="45874"/>
    <cellStyle name="40% - Акцент5 5_46EE.2011(v1.0)" xfId="42414"/>
    <cellStyle name="40% - Акцент5 6" xfId="42415"/>
    <cellStyle name="40% - Акцент5 6 2" xfId="42416"/>
    <cellStyle name="40% - Акцент5 6 2 2" xfId="45876"/>
    <cellStyle name="40% - Акцент5 6 3" xfId="45875"/>
    <cellStyle name="40% - Акцент5 6_46EE.2011(v1.0)" xfId="42417"/>
    <cellStyle name="40% - Акцент5 7" xfId="42418"/>
    <cellStyle name="40% - Акцент5 7 2" xfId="42419"/>
    <cellStyle name="40% - Акцент5 7 2 2" xfId="45877"/>
    <cellStyle name="40% - Акцент5 7 3" xfId="45878"/>
    <cellStyle name="40% - Акцент5 7_46EE.2011(v1.0)" xfId="42420"/>
    <cellStyle name="40% - Акцент5 8" xfId="42421"/>
    <cellStyle name="40% - Акцент5 8 2" xfId="42422"/>
    <cellStyle name="40% - Акцент5 8_46EE.2011(v1.0)" xfId="42423"/>
    <cellStyle name="40% - Акцент5 9" xfId="42424"/>
    <cellStyle name="40% - Акцент5 9 2" xfId="42425"/>
    <cellStyle name="40% - Акцент5 9_46EE.2011(v1.0)" xfId="42426"/>
    <cellStyle name="40% - Акцент6 2" xfId="209"/>
    <cellStyle name="40% - Акцент6 2 2" xfId="210"/>
    <cellStyle name="40% - Акцент6 2 2 2" xfId="42427"/>
    <cellStyle name="40% - Акцент6 2 2 2 2" xfId="45880"/>
    <cellStyle name="40% - Акцент6 2 2 2 3" xfId="45881"/>
    <cellStyle name="40% - Акцент6 2 2 2 3 2" xfId="45882"/>
    <cellStyle name="40% - Акцент6 2 2 2 4" xfId="45883"/>
    <cellStyle name="40% - Акцент6 2 2 2 5" xfId="45879"/>
    <cellStyle name="40% - Акцент6 2 2 3" xfId="44159"/>
    <cellStyle name="40% - Акцент6 2 2 3 2" xfId="45884"/>
    <cellStyle name="40% - Акцент6 2 2 4" xfId="44160"/>
    <cellStyle name="40% - Акцент6 2 2 4 2" xfId="45886"/>
    <cellStyle name="40% - Акцент6 2 2 4 3" xfId="45885"/>
    <cellStyle name="40% - Акцент6 2 2 5" xfId="45887"/>
    <cellStyle name="40% - Акцент6 2 2 5 2" xfId="45888"/>
    <cellStyle name="40% - Акцент6 2 2 6" xfId="45889"/>
    <cellStyle name="40% - Акцент6 2 2_8 Инвестиции-свод" xfId="45890"/>
    <cellStyle name="40% - Акцент6 2 3" xfId="2799"/>
    <cellStyle name="40% - Акцент6 2 3 2" xfId="45891"/>
    <cellStyle name="40% - Акцент6 2 4" xfId="1143"/>
    <cellStyle name="40% - Акцент6 2 4 2" xfId="45892"/>
    <cellStyle name="40% - Акцент6 2 4 3" xfId="44161"/>
    <cellStyle name="40% - Акцент6 2 5" xfId="44162"/>
    <cellStyle name="40% - Акцент6 2 5 2" xfId="45894"/>
    <cellStyle name="40% - Акцент6 2 5 3" xfId="45893"/>
    <cellStyle name="40% - Акцент6 2 6" xfId="45895"/>
    <cellStyle name="40% - Акцент6 2 6 2" xfId="45896"/>
    <cellStyle name="40% - Акцент6 2 7" xfId="45897"/>
    <cellStyle name="40% - Акцент6 2 7 2" xfId="45898"/>
    <cellStyle name="40% - Акцент6 2 8" xfId="45899"/>
    <cellStyle name="40% - Акцент6 2 8 2" xfId="45900"/>
    <cellStyle name="40% - Акцент6 2 9" xfId="45901"/>
    <cellStyle name="40% - Акцент6 2_46EE.2011(v1.0)" xfId="42428"/>
    <cellStyle name="40% - Акцент6 3" xfId="211"/>
    <cellStyle name="40% - Акцент6 3 2" xfId="212"/>
    <cellStyle name="40% - Акцент6 3 2 2" xfId="42429"/>
    <cellStyle name="40% - Акцент6 3 3" xfId="42430"/>
    <cellStyle name="40% - Акцент6 3_46EE.2011(v1.0)" xfId="42431"/>
    <cellStyle name="40% - Акцент6 4" xfId="42432"/>
    <cellStyle name="40% - Акцент6 4 2" xfId="42433"/>
    <cellStyle name="40% - Акцент6 4 2 2" xfId="45902"/>
    <cellStyle name="40% - Акцент6 4 3" xfId="45903"/>
    <cellStyle name="40% - Акцент6 4_46EE.2011(v1.0)" xfId="42434"/>
    <cellStyle name="40% - Акцент6 5" xfId="42435"/>
    <cellStyle name="40% - Акцент6 5 2" xfId="42436"/>
    <cellStyle name="40% - Акцент6 5 2 2" xfId="45904"/>
    <cellStyle name="40% - Акцент6 5 3" xfId="45905"/>
    <cellStyle name="40% - Акцент6 5_46EE.2011(v1.0)" xfId="42437"/>
    <cellStyle name="40% - Акцент6 6" xfId="42438"/>
    <cellStyle name="40% - Акцент6 6 2" xfId="42439"/>
    <cellStyle name="40% - Акцент6 6 2 2" xfId="45907"/>
    <cellStyle name="40% - Акцент6 6 3" xfId="45906"/>
    <cellStyle name="40% - Акцент6 6_46EE.2011(v1.0)" xfId="42440"/>
    <cellStyle name="40% - Акцент6 7" xfId="42441"/>
    <cellStyle name="40% - Акцент6 7 2" xfId="42442"/>
    <cellStyle name="40% - Акцент6 7 2 2" xfId="45908"/>
    <cellStyle name="40% - Акцент6 7 3" xfId="45909"/>
    <cellStyle name="40% - Акцент6 7_46EE.2011(v1.0)" xfId="42443"/>
    <cellStyle name="40% - Акцент6 8" xfId="42444"/>
    <cellStyle name="40% - Акцент6 8 2" xfId="42445"/>
    <cellStyle name="40% - Акцент6 8_46EE.2011(v1.0)" xfId="42446"/>
    <cellStyle name="40% - Акцент6 9" xfId="42447"/>
    <cellStyle name="40% - Акцент6 9 2" xfId="42448"/>
    <cellStyle name="40% - Акцент6 9_46EE.2011(v1.0)" xfId="42449"/>
    <cellStyle name="50%" xfId="43799"/>
    <cellStyle name="50% 2" xfId="43950"/>
    <cellStyle name="50% 2 2" xfId="44163"/>
    <cellStyle name="50% 2 2 2" xfId="45911"/>
    <cellStyle name="50% 2 3" xfId="44164"/>
    <cellStyle name="50% 2 4" xfId="45910"/>
    <cellStyle name="50% 3" xfId="44165"/>
    <cellStyle name="50% 3 2" xfId="45913"/>
    <cellStyle name="50% 3 3" xfId="45912"/>
    <cellStyle name="50% 4" xfId="44166"/>
    <cellStyle name="50% 4 2" xfId="45914"/>
    <cellStyle name="50% 5" xfId="45387"/>
    <cellStyle name="60% - Accent1" xfId="42450"/>
    <cellStyle name="60% - Accent2" xfId="42451"/>
    <cellStyle name="60% - Accent3" xfId="42452"/>
    <cellStyle name="60% - Accent4" xfId="42453"/>
    <cellStyle name="60% - Accent5" xfId="42454"/>
    <cellStyle name="60% - Accent6" xfId="42455"/>
    <cellStyle name="60% - Акцент1 2" xfId="213"/>
    <cellStyle name="60% - Акцент1 2 2" xfId="214"/>
    <cellStyle name="60% - Акцент1 2 2 2" xfId="42456"/>
    <cellStyle name="60% - Акцент1 2 2 2 2" xfId="45916"/>
    <cellStyle name="60% - Акцент1 2 2 3" xfId="42457"/>
    <cellStyle name="60% - Акцент1 2 2 3 2" xfId="45915"/>
    <cellStyle name="60% - Акцент1 2 3" xfId="1407"/>
    <cellStyle name="60% - Акцент1 2 3 2" xfId="45917"/>
    <cellStyle name="60% - Акцент1 2 3 3" xfId="44167"/>
    <cellStyle name="60% - Акцент1 2 4" xfId="2843"/>
    <cellStyle name="60% - Акцент1 3" xfId="42458"/>
    <cellStyle name="60% - Акцент1 3 2" xfId="42459"/>
    <cellStyle name="60% - Акцент1 4" xfId="42460"/>
    <cellStyle name="60% - Акцент1 4 2" xfId="42461"/>
    <cellStyle name="60% - Акцент1 5" xfId="42462"/>
    <cellStyle name="60% - Акцент1 5 2" xfId="42463"/>
    <cellStyle name="60% - Акцент1 6" xfId="42464"/>
    <cellStyle name="60% - Акцент1 6 2" xfId="42465"/>
    <cellStyle name="60% - Акцент1 6 2 2" xfId="45919"/>
    <cellStyle name="60% - Акцент1 6 3" xfId="45918"/>
    <cellStyle name="60% - Акцент1 7" xfId="42466"/>
    <cellStyle name="60% - Акцент1 7 2" xfId="42467"/>
    <cellStyle name="60% - Акцент1 8" xfId="42468"/>
    <cellStyle name="60% - Акцент1 8 2" xfId="42469"/>
    <cellStyle name="60% - Акцент1 9" xfId="42470"/>
    <cellStyle name="60% - Акцент1 9 2" xfId="42471"/>
    <cellStyle name="60% - Акцент2 2" xfId="215"/>
    <cellStyle name="60% - Акцент2 2 2" xfId="216"/>
    <cellStyle name="60% - Акцент2 2 2 2" xfId="42472"/>
    <cellStyle name="60% - Акцент2 2 2 2 2" xfId="45921"/>
    <cellStyle name="60% - Акцент2 2 2 3" xfId="45920"/>
    <cellStyle name="60% - Акцент2 2 3" xfId="2797"/>
    <cellStyle name="60% - Акцент2 2 3 2" xfId="44168"/>
    <cellStyle name="60% - Акцент2 2 4" xfId="1706"/>
    <cellStyle name="60% - Акцент2 3" xfId="42473"/>
    <cellStyle name="60% - Акцент2 3 2" xfId="42474"/>
    <cellStyle name="60% - Акцент2 4" xfId="42475"/>
    <cellStyle name="60% - Акцент2 4 2" xfId="42476"/>
    <cellStyle name="60% - Акцент2 5" xfId="42477"/>
    <cellStyle name="60% - Акцент2 5 2" xfId="42478"/>
    <cellStyle name="60% - Акцент2 6" xfId="42479"/>
    <cellStyle name="60% - Акцент2 6 2" xfId="42480"/>
    <cellStyle name="60% - Акцент2 6 2 2" xfId="45923"/>
    <cellStyle name="60% - Акцент2 6 3" xfId="45922"/>
    <cellStyle name="60% - Акцент2 7" xfId="42481"/>
    <cellStyle name="60% - Акцент2 7 2" xfId="42482"/>
    <cellStyle name="60% - Акцент2 8" xfId="42483"/>
    <cellStyle name="60% - Акцент2 8 2" xfId="42484"/>
    <cellStyle name="60% - Акцент2 9" xfId="42485"/>
    <cellStyle name="60% - Акцент2 9 2" xfId="42486"/>
    <cellStyle name="60% - Акцент3 2" xfId="217"/>
    <cellStyle name="60% - Акцент3 2 2" xfId="218"/>
    <cellStyle name="60% - Акцент3 2 2 2" xfId="42487"/>
    <cellStyle name="60% - Акцент3 2 2 2 2" xfId="45925"/>
    <cellStyle name="60% - Акцент3 2 2 3" xfId="42488"/>
    <cellStyle name="60% - Акцент3 2 2 3 2" xfId="45924"/>
    <cellStyle name="60% - Акцент3 2 3" xfId="2796"/>
    <cellStyle name="60% - Акцент3 2 3 2" xfId="45926"/>
    <cellStyle name="60% - Акцент3 2 3 3" xfId="44169"/>
    <cellStyle name="60% - Акцент3 2 4" xfId="1347"/>
    <cellStyle name="60% - Акцент3 3" xfId="42489"/>
    <cellStyle name="60% - Акцент3 3 2" xfId="42490"/>
    <cellStyle name="60% - Акцент3 4" xfId="42491"/>
    <cellStyle name="60% - Акцент3 4 2" xfId="42492"/>
    <cellStyle name="60% - Акцент3 5" xfId="42493"/>
    <cellStyle name="60% - Акцент3 5 2" xfId="42494"/>
    <cellStyle name="60% - Акцент3 6" xfId="42495"/>
    <cellStyle name="60% - Акцент3 6 2" xfId="42496"/>
    <cellStyle name="60% - Акцент3 6 2 2" xfId="45928"/>
    <cellStyle name="60% - Акцент3 6 3" xfId="45927"/>
    <cellStyle name="60% - Акцент3 7" xfId="42497"/>
    <cellStyle name="60% - Акцент3 7 2" xfId="42498"/>
    <cellStyle name="60% - Акцент3 8" xfId="42499"/>
    <cellStyle name="60% - Акцент3 8 2" xfId="42500"/>
    <cellStyle name="60% - Акцент3 9" xfId="42501"/>
    <cellStyle name="60% - Акцент3 9 2" xfId="42502"/>
    <cellStyle name="60% - Акцент4 2" xfId="219"/>
    <cellStyle name="60% - Акцент4 2 2" xfId="220"/>
    <cellStyle name="60% - Акцент4 2 2 2" xfId="42503"/>
    <cellStyle name="60% - Акцент4 2 2 2 2" xfId="45930"/>
    <cellStyle name="60% - Акцент4 2 2 3" xfId="42504"/>
    <cellStyle name="60% - Акцент4 2 2 3 2" xfId="45929"/>
    <cellStyle name="60% - Акцент4 2 3" xfId="2846"/>
    <cellStyle name="60% - Акцент4 2 3 2" xfId="45931"/>
    <cellStyle name="60% - Акцент4 2 3 3" xfId="44170"/>
    <cellStyle name="60% - Акцент4 2 4" xfId="69"/>
    <cellStyle name="60% - Акцент4 3" xfId="42505"/>
    <cellStyle name="60% - Акцент4 3 2" xfId="42506"/>
    <cellStyle name="60% - Акцент4 4" xfId="42507"/>
    <cellStyle name="60% - Акцент4 4 2" xfId="42508"/>
    <cellStyle name="60% - Акцент4 5" xfId="42509"/>
    <cellStyle name="60% - Акцент4 5 2" xfId="42510"/>
    <cellStyle name="60% - Акцент4 6" xfId="42511"/>
    <cellStyle name="60% - Акцент4 6 2" xfId="42512"/>
    <cellStyle name="60% - Акцент4 6 2 2" xfId="45933"/>
    <cellStyle name="60% - Акцент4 6 3" xfId="45932"/>
    <cellStyle name="60% - Акцент4 7" xfId="42513"/>
    <cellStyle name="60% - Акцент4 7 2" xfId="42514"/>
    <cellStyle name="60% - Акцент4 8" xfId="42515"/>
    <cellStyle name="60% - Акцент4 8 2" xfId="42516"/>
    <cellStyle name="60% - Акцент4 9" xfId="42517"/>
    <cellStyle name="60% - Акцент4 9 2" xfId="42518"/>
    <cellStyle name="60% - Акцент5 2" xfId="221"/>
    <cellStyle name="60% - Акцент5 2 2" xfId="222"/>
    <cellStyle name="60% - Акцент5 2 2 2" xfId="42519"/>
    <cellStyle name="60% - Акцент5 2 2 2 2" xfId="45935"/>
    <cellStyle name="60% - Акцент5 2 2 3" xfId="45934"/>
    <cellStyle name="60% - Акцент5 2 3" xfId="1081"/>
    <cellStyle name="60% - Акцент5 2 3 2" xfId="44171"/>
    <cellStyle name="60% - Акцент5 2 4" xfId="2795"/>
    <cellStyle name="60% - Акцент5 3" xfId="42520"/>
    <cellStyle name="60% - Акцент5 3 2" xfId="42521"/>
    <cellStyle name="60% - Акцент5 4" xfId="42522"/>
    <cellStyle name="60% - Акцент5 4 2" xfId="42523"/>
    <cellStyle name="60% - Акцент5 5" xfId="42524"/>
    <cellStyle name="60% - Акцент5 5 2" xfId="42525"/>
    <cellStyle name="60% - Акцент5 6" xfId="42526"/>
    <cellStyle name="60% - Акцент5 6 2" xfId="42527"/>
    <cellStyle name="60% - Акцент5 6 2 2" xfId="45937"/>
    <cellStyle name="60% - Акцент5 6 3" xfId="45936"/>
    <cellStyle name="60% - Акцент5 7" xfId="42528"/>
    <cellStyle name="60% - Акцент5 7 2" xfId="42529"/>
    <cellStyle name="60% - Акцент5 8" xfId="42530"/>
    <cellStyle name="60% - Акцент5 8 2" xfId="42531"/>
    <cellStyle name="60% - Акцент5 9" xfId="42532"/>
    <cellStyle name="60% - Акцент5 9 2" xfId="42533"/>
    <cellStyle name="60% - Акцент6 2" xfId="223"/>
    <cellStyle name="60% - Акцент6 2 2" xfId="224"/>
    <cellStyle name="60% - Акцент6 2 2 2" xfId="42534"/>
    <cellStyle name="60% - Акцент6 2 2 2 2" xfId="45939"/>
    <cellStyle name="60% - Акцент6 2 2 3" xfId="42535"/>
    <cellStyle name="60% - Акцент6 2 2 3 2" xfId="45938"/>
    <cellStyle name="60% - Акцент6 2 3" xfId="977"/>
    <cellStyle name="60% - Акцент6 2 3 2" xfId="45940"/>
    <cellStyle name="60% - Акцент6 2 3 3" xfId="44172"/>
    <cellStyle name="60% - Акцент6 2 4" xfId="2847"/>
    <cellStyle name="60% - Акцент6 3" xfId="42536"/>
    <cellStyle name="60% - Акцент6 3 2" xfId="42537"/>
    <cellStyle name="60% - Акцент6 4" xfId="42538"/>
    <cellStyle name="60% - Акцент6 4 2" xfId="42539"/>
    <cellStyle name="60% - Акцент6 5" xfId="42540"/>
    <cellStyle name="60% - Акцент6 5 2" xfId="42541"/>
    <cellStyle name="60% - Акцент6 6" xfId="42542"/>
    <cellStyle name="60% - Акцент6 6 2" xfId="42543"/>
    <cellStyle name="60% - Акцент6 6 2 2" xfId="45942"/>
    <cellStyle name="60% - Акцент6 6 3" xfId="45941"/>
    <cellStyle name="60% - Акцент6 7" xfId="42544"/>
    <cellStyle name="60% - Акцент6 7 2" xfId="42545"/>
    <cellStyle name="60% - Акцент6 8" xfId="42546"/>
    <cellStyle name="60% - Акцент6 8 2" xfId="42547"/>
    <cellStyle name="60% - Акцент6 9" xfId="42548"/>
    <cellStyle name="60% - Акцент6 9 2" xfId="42549"/>
    <cellStyle name="75%" xfId="43800"/>
    <cellStyle name="75% 2" xfId="43951"/>
    <cellStyle name="75% 2 2" xfId="44173"/>
    <cellStyle name="75% 2 2 2" xfId="45944"/>
    <cellStyle name="75% 2 3" xfId="44174"/>
    <cellStyle name="75% 2 4" xfId="45943"/>
    <cellStyle name="75% 3" xfId="44175"/>
    <cellStyle name="75% 3 2" xfId="45946"/>
    <cellStyle name="75% 3 3" xfId="45945"/>
    <cellStyle name="75% 4" xfId="44176"/>
    <cellStyle name="75% 4 2" xfId="45947"/>
    <cellStyle name="75% 5" xfId="45388"/>
    <cellStyle name="Accent1" xfId="42550"/>
    <cellStyle name="Accent2" xfId="42551"/>
    <cellStyle name="Accent3" xfId="42552"/>
    <cellStyle name="Accent4" xfId="42553"/>
    <cellStyle name="Accent5" xfId="42554"/>
    <cellStyle name="Accent6" xfId="42555"/>
    <cellStyle name="Ăčďĺđńńűëęŕ" xfId="42556"/>
    <cellStyle name="Áĺççŕůčňíűé" xfId="42557"/>
    <cellStyle name="Äĺíĺćíűé [0]_(ňŕá 3č)" xfId="42558"/>
    <cellStyle name="Äĺíĺćíűé_(ňŕá 3č)" xfId="42559"/>
    <cellStyle name="Assumption" xfId="225"/>
    <cellStyle name="Assumption 2" xfId="43801"/>
    <cellStyle name="Assumption 2 2" xfId="44177"/>
    <cellStyle name="Assumption 3" xfId="44178"/>
    <cellStyle name="Assumption 4" xfId="44179"/>
    <cellStyle name="Bad" xfId="42560"/>
    <cellStyle name="Calculation" xfId="42561"/>
    <cellStyle name="Cells 2" xfId="42562"/>
    <cellStyle name="Check Cell" xfId="42563"/>
    <cellStyle name="Comma [0]_Avtodet1" xfId="43802"/>
    <cellStyle name="Comma_Avtodet1" xfId="43803"/>
    <cellStyle name="Comma0" xfId="42564"/>
    <cellStyle name="Çŕůčňíűé" xfId="42565"/>
    <cellStyle name="Currency [0]" xfId="226"/>
    <cellStyle name="Currency [0] 2" xfId="42566"/>
    <cellStyle name="Currency [0] 2 2" xfId="42567"/>
    <cellStyle name="Currency [0] 2 2 2" xfId="44180"/>
    <cellStyle name="Currency [0] 2 3" xfId="42568"/>
    <cellStyle name="Currency [0] 2 4" xfId="42569"/>
    <cellStyle name="Currency [0] 2 5" xfId="42570"/>
    <cellStyle name="Currency [0] 2 6" xfId="42571"/>
    <cellStyle name="Currency [0] 2 7" xfId="42572"/>
    <cellStyle name="Currency [0] 2 8" xfId="42573"/>
    <cellStyle name="Currency [0] 2 9" xfId="43804"/>
    <cellStyle name="Currency [0] 3" xfId="42574"/>
    <cellStyle name="Currency [0] 3 2" xfId="42575"/>
    <cellStyle name="Currency [0] 3 3" xfId="42576"/>
    <cellStyle name="Currency [0] 3 4" xfId="42577"/>
    <cellStyle name="Currency [0] 3 5" xfId="42578"/>
    <cellStyle name="Currency [0] 3 6" xfId="42579"/>
    <cellStyle name="Currency [0] 3 7" xfId="42580"/>
    <cellStyle name="Currency [0] 3 8" xfId="42581"/>
    <cellStyle name="Currency [0] 4" xfId="42582"/>
    <cellStyle name="Currency [0] 4 2" xfId="42583"/>
    <cellStyle name="Currency [0] 4 3" xfId="42584"/>
    <cellStyle name="Currency [0] 4 4" xfId="42585"/>
    <cellStyle name="Currency [0] 4 5" xfId="42586"/>
    <cellStyle name="Currency [0] 4 6" xfId="42587"/>
    <cellStyle name="Currency [0] 4 7" xfId="42588"/>
    <cellStyle name="Currency [0] 4 8" xfId="42589"/>
    <cellStyle name="Currency [0] 4 9" xfId="44181"/>
    <cellStyle name="Currency [0] 5" xfId="42590"/>
    <cellStyle name="Currency [0] 5 2" xfId="42591"/>
    <cellStyle name="Currency [0] 5 3" xfId="42592"/>
    <cellStyle name="Currency [0] 5 4" xfId="42593"/>
    <cellStyle name="Currency [0] 5 5" xfId="42594"/>
    <cellStyle name="Currency [0] 5 6" xfId="42595"/>
    <cellStyle name="Currency [0] 5 7" xfId="42596"/>
    <cellStyle name="Currency [0] 5 8" xfId="42597"/>
    <cellStyle name="Currency [0] 6" xfId="42598"/>
    <cellStyle name="Currency [0] 6 2" xfId="42599"/>
    <cellStyle name="Currency [0] 7" xfId="42600"/>
    <cellStyle name="Currency [0] 7 2" xfId="42601"/>
    <cellStyle name="Currency [0] 8" xfId="42602"/>
    <cellStyle name="Currency [0] 8 2" xfId="42603"/>
    <cellStyle name="Currency_Avtodet1" xfId="43805"/>
    <cellStyle name="Currency0" xfId="42604"/>
    <cellStyle name="Currency2" xfId="42605"/>
    <cellStyle name="Date" xfId="42606"/>
    <cellStyle name="Dates" xfId="227"/>
    <cellStyle name="Dates 2" xfId="44182"/>
    <cellStyle name="Dates 3" xfId="44183"/>
    <cellStyle name="E-mail" xfId="228"/>
    <cellStyle name="E-mail 2" xfId="43806"/>
    <cellStyle name="E-mail 2 2" xfId="44184"/>
    <cellStyle name="E-mail 3" xfId="44185"/>
    <cellStyle name="E-mail 4" xfId="44186"/>
    <cellStyle name="Euro" xfId="42607"/>
    <cellStyle name="Euro 2" xfId="42608"/>
    <cellStyle name="Euro 2 2" xfId="45949"/>
    <cellStyle name="Euro 3" xfId="45948"/>
    <cellStyle name="Excel Built-in Comma" xfId="42609"/>
    <cellStyle name="Explanatory Text" xfId="42610"/>
    <cellStyle name="F2" xfId="42611"/>
    <cellStyle name="F2 2" xfId="45951"/>
    <cellStyle name="F2 2 2" xfId="45952"/>
    <cellStyle name="F2 3" xfId="45953"/>
    <cellStyle name="F2 4" xfId="45950"/>
    <cellStyle name="F3" xfId="42612"/>
    <cellStyle name="F3 2" xfId="45955"/>
    <cellStyle name="F3 2 2" xfId="45956"/>
    <cellStyle name="F3 3" xfId="45957"/>
    <cellStyle name="F3 4" xfId="45954"/>
    <cellStyle name="F4" xfId="42613"/>
    <cellStyle name="F4 2" xfId="45959"/>
    <cellStyle name="F4 2 2" xfId="45960"/>
    <cellStyle name="F4 3" xfId="45961"/>
    <cellStyle name="F4 4" xfId="45958"/>
    <cellStyle name="F5" xfId="42614"/>
    <cellStyle name="F5 2" xfId="45963"/>
    <cellStyle name="F5 2 2" xfId="45964"/>
    <cellStyle name="F5 3" xfId="45965"/>
    <cellStyle name="F5 4" xfId="45962"/>
    <cellStyle name="F6" xfId="42615"/>
    <cellStyle name="F6 2" xfId="45967"/>
    <cellStyle name="F6 2 2" xfId="45968"/>
    <cellStyle name="F6 3" xfId="45969"/>
    <cellStyle name="F6 4" xfId="45966"/>
    <cellStyle name="F7" xfId="42616"/>
    <cellStyle name="F7 2" xfId="45971"/>
    <cellStyle name="F7 2 2" xfId="45972"/>
    <cellStyle name="F7 3" xfId="45973"/>
    <cellStyle name="F7 4" xfId="45970"/>
    <cellStyle name="F8" xfId="42617"/>
    <cellStyle name="F8 2" xfId="45975"/>
    <cellStyle name="F8 2 2" xfId="45976"/>
    <cellStyle name="F8 3" xfId="45977"/>
    <cellStyle name="F8 4" xfId="45974"/>
    <cellStyle name="Fixed" xfId="42618"/>
    <cellStyle name="Followed Hyperlink" xfId="42619"/>
    <cellStyle name="Good" xfId="42620"/>
    <cellStyle name="Header 3" xfId="42621"/>
    <cellStyle name="Heading" xfId="229"/>
    <cellStyle name="Heading 1" xfId="42622"/>
    <cellStyle name="Heading 2" xfId="42623"/>
    <cellStyle name="Heading 2 2" xfId="44187"/>
    <cellStyle name="Heading 3" xfId="42624"/>
    <cellStyle name="Heading 3 2" xfId="44188"/>
    <cellStyle name="Heading 4" xfId="42625"/>
    <cellStyle name="Heading2" xfId="230"/>
    <cellStyle name="Heading2 2" xfId="43807"/>
    <cellStyle name="Heading2 2 2" xfId="44189"/>
    <cellStyle name="Heading2 3" xfId="44190"/>
    <cellStyle name="Heading2 4" xfId="44191"/>
    <cellStyle name="Hyperlink" xfId="42626"/>
    <cellStyle name="Îáű÷íűé__FES" xfId="42627"/>
    <cellStyle name="Îňęđűâŕâřŕ˙ń˙ ăčďĺđńńűëęŕ" xfId="42628"/>
    <cellStyle name="Input" xfId="42629"/>
    <cellStyle name="Inputs" xfId="231"/>
    <cellStyle name="Inputs (const)" xfId="42630"/>
    <cellStyle name="Inputs 2" xfId="43808"/>
    <cellStyle name="Inputs 2 2" xfId="44192"/>
    <cellStyle name="Inputs 3" xfId="44193"/>
    <cellStyle name="Inputs 4" xfId="44194"/>
    <cellStyle name="Inputs Co" xfId="42631"/>
    <cellStyle name="Inputs_46EE.2011(v1.0)" xfId="42632"/>
    <cellStyle name="Linked Cell" xfId="42633"/>
    <cellStyle name="Neutral" xfId="42634"/>
    <cellStyle name="Norma11l" xfId="42635"/>
    <cellStyle name="normal" xfId="42636"/>
    <cellStyle name="Normal 2" xfId="8"/>
    <cellStyle name="Normal 2 2" xfId="17447"/>
    <cellStyle name="Normal 2 3" xfId="44195"/>
    <cellStyle name="normal 3" xfId="42637"/>
    <cellStyle name="normal 4" xfId="42638"/>
    <cellStyle name="normal 5" xfId="42639"/>
    <cellStyle name="normal 6" xfId="42640"/>
    <cellStyle name="normal 7" xfId="42641"/>
    <cellStyle name="normal 8" xfId="42642"/>
    <cellStyle name="normal 9" xfId="42643"/>
    <cellStyle name="normal_1" xfId="42644"/>
    <cellStyle name="Normal1" xfId="9"/>
    <cellStyle name="Normal1 2" xfId="43809"/>
    <cellStyle name="Normal1 2 2" xfId="44196"/>
    <cellStyle name="Normal1 3" xfId="44197"/>
    <cellStyle name="Normal1 4" xfId="44198"/>
    <cellStyle name="Normal2" xfId="42645"/>
    <cellStyle name="normбlnм_laroux" xfId="42646"/>
    <cellStyle name="normбlnн_laroux" xfId="43810"/>
    <cellStyle name="Note" xfId="42647"/>
    <cellStyle name="Note 2" xfId="42648"/>
    <cellStyle name="Ôčíŕíńîâűé [0]_(ňŕá 3č)" xfId="42649"/>
    <cellStyle name="Ôčíŕíńîâűé_(ňŕá 3č)" xfId="42650"/>
    <cellStyle name="Output" xfId="42651"/>
    <cellStyle name="Percent1" xfId="42652"/>
    <cellStyle name="Price_Body" xfId="10"/>
    <cellStyle name="SAPBEXaggData" xfId="42653"/>
    <cellStyle name="SAPBEXaggData 2" xfId="43952"/>
    <cellStyle name="SAPBEXaggData 2 2" xfId="44199"/>
    <cellStyle name="SAPBEXaggData 2 2 2" xfId="45979"/>
    <cellStyle name="SAPBEXaggData 2 3" xfId="44200"/>
    <cellStyle name="SAPBEXaggData 2 4" xfId="45978"/>
    <cellStyle name="SAPBEXaggData 3" xfId="44201"/>
    <cellStyle name="SAPBEXaggData 3 2" xfId="45981"/>
    <cellStyle name="SAPBEXaggData 3 3" xfId="45980"/>
    <cellStyle name="SAPBEXaggData 4" xfId="44202"/>
    <cellStyle name="SAPBEXaggData 4 2" xfId="45982"/>
    <cellStyle name="SAPBEXaggData 5" xfId="45389"/>
    <cellStyle name="SAPBEXaggDataEmph" xfId="42654"/>
    <cellStyle name="SAPBEXaggDataEmph 2" xfId="43953"/>
    <cellStyle name="SAPBEXaggDataEmph 2 2" xfId="44203"/>
    <cellStyle name="SAPBEXaggDataEmph 2 2 2" xfId="45984"/>
    <cellStyle name="SAPBEXaggDataEmph 2 3" xfId="44204"/>
    <cellStyle name="SAPBEXaggDataEmph 2 4" xfId="45983"/>
    <cellStyle name="SAPBEXaggDataEmph 3" xfId="44205"/>
    <cellStyle name="SAPBEXaggDataEmph 3 2" xfId="45986"/>
    <cellStyle name="SAPBEXaggDataEmph 3 3" xfId="45985"/>
    <cellStyle name="SAPBEXaggDataEmph 4" xfId="44206"/>
    <cellStyle name="SAPBEXaggDataEmph 4 2" xfId="45987"/>
    <cellStyle name="SAPBEXaggDataEmph 5" xfId="45390"/>
    <cellStyle name="SAPBEXaggItem" xfId="42655"/>
    <cellStyle name="SAPBEXaggItem 2" xfId="43954"/>
    <cellStyle name="SAPBEXaggItem 2 2" xfId="44207"/>
    <cellStyle name="SAPBEXaggItem 2 2 2" xfId="45989"/>
    <cellStyle name="SAPBEXaggItem 2 3" xfId="44208"/>
    <cellStyle name="SAPBEXaggItem 2 4" xfId="45988"/>
    <cellStyle name="SAPBEXaggItem 3" xfId="44209"/>
    <cellStyle name="SAPBEXaggItem 3 2" xfId="45991"/>
    <cellStyle name="SAPBEXaggItem 3 3" xfId="45990"/>
    <cellStyle name="SAPBEXaggItem 4" xfId="44210"/>
    <cellStyle name="SAPBEXaggItem 4 2" xfId="45992"/>
    <cellStyle name="SAPBEXaggItem 5" xfId="45391"/>
    <cellStyle name="SAPBEXaggItemX" xfId="42656"/>
    <cellStyle name="SAPBEXaggItemX 2" xfId="43955"/>
    <cellStyle name="SAPBEXaggItemX 2 2" xfId="44211"/>
    <cellStyle name="SAPBEXaggItemX 2 2 2" xfId="45994"/>
    <cellStyle name="SAPBEXaggItemX 2 3" xfId="44212"/>
    <cellStyle name="SAPBEXaggItemX 2 4" xfId="45993"/>
    <cellStyle name="SAPBEXaggItemX 3" xfId="44213"/>
    <cellStyle name="SAPBEXaggItemX 3 2" xfId="45996"/>
    <cellStyle name="SAPBEXaggItemX 3 3" xfId="45995"/>
    <cellStyle name="SAPBEXaggItemX 4" xfId="44214"/>
    <cellStyle name="SAPBEXaggItemX 4 2" xfId="45997"/>
    <cellStyle name="SAPBEXaggItemX 5" xfId="45392"/>
    <cellStyle name="SAPBEXchaText" xfId="42657"/>
    <cellStyle name="SAPBEXchaText 2" xfId="43956"/>
    <cellStyle name="SAPBEXchaText 2 2" xfId="44215"/>
    <cellStyle name="SAPBEXchaText 2 2 2" xfId="45999"/>
    <cellStyle name="SAPBEXchaText 2 3" xfId="44216"/>
    <cellStyle name="SAPBEXchaText 2 4" xfId="45998"/>
    <cellStyle name="SAPBEXchaText 3" xfId="44217"/>
    <cellStyle name="SAPBEXchaText 3 2" xfId="46001"/>
    <cellStyle name="SAPBEXchaText 3 3" xfId="46000"/>
    <cellStyle name="SAPBEXchaText 4" xfId="44218"/>
    <cellStyle name="SAPBEXchaText 4 2" xfId="46002"/>
    <cellStyle name="SAPBEXchaText 5" xfId="45393"/>
    <cellStyle name="SAPBEXexcBad7" xfId="42658"/>
    <cellStyle name="SAPBEXexcBad7 2" xfId="43957"/>
    <cellStyle name="SAPBEXexcBad7 2 2" xfId="44219"/>
    <cellStyle name="SAPBEXexcBad7 2 2 2" xfId="46004"/>
    <cellStyle name="SAPBEXexcBad7 2 3" xfId="44220"/>
    <cellStyle name="SAPBEXexcBad7 2 4" xfId="46003"/>
    <cellStyle name="SAPBEXexcBad7 3" xfId="44221"/>
    <cellStyle name="SAPBEXexcBad7 3 2" xfId="46006"/>
    <cellStyle name="SAPBEXexcBad7 3 3" xfId="46005"/>
    <cellStyle name="SAPBEXexcBad7 4" xfId="44222"/>
    <cellStyle name="SAPBEXexcBad7 4 2" xfId="46007"/>
    <cellStyle name="SAPBEXexcBad7 5" xfId="45394"/>
    <cellStyle name="SAPBEXexcBad8" xfId="42659"/>
    <cellStyle name="SAPBEXexcBad8 2" xfId="43958"/>
    <cellStyle name="SAPBEXexcBad8 2 2" xfId="44223"/>
    <cellStyle name="SAPBEXexcBad8 2 2 2" xfId="46009"/>
    <cellStyle name="SAPBEXexcBad8 2 3" xfId="44224"/>
    <cellStyle name="SAPBEXexcBad8 2 4" xfId="46008"/>
    <cellStyle name="SAPBEXexcBad8 3" xfId="44225"/>
    <cellStyle name="SAPBEXexcBad8 3 2" xfId="46011"/>
    <cellStyle name="SAPBEXexcBad8 3 3" xfId="46010"/>
    <cellStyle name="SAPBEXexcBad8 4" xfId="44226"/>
    <cellStyle name="SAPBEXexcBad8 4 2" xfId="46012"/>
    <cellStyle name="SAPBEXexcBad8 5" xfId="45395"/>
    <cellStyle name="SAPBEXexcBad9" xfId="42660"/>
    <cellStyle name="SAPBEXexcBad9 2" xfId="43959"/>
    <cellStyle name="SAPBEXexcBad9 2 2" xfId="44227"/>
    <cellStyle name="SAPBEXexcBad9 2 2 2" xfId="46014"/>
    <cellStyle name="SAPBEXexcBad9 2 3" xfId="44228"/>
    <cellStyle name="SAPBEXexcBad9 2 4" xfId="46013"/>
    <cellStyle name="SAPBEXexcBad9 3" xfId="44229"/>
    <cellStyle name="SAPBEXexcBad9 3 2" xfId="46016"/>
    <cellStyle name="SAPBEXexcBad9 3 3" xfId="46015"/>
    <cellStyle name="SAPBEXexcBad9 4" xfId="44230"/>
    <cellStyle name="SAPBEXexcBad9 4 2" xfId="46017"/>
    <cellStyle name="SAPBEXexcBad9 5" xfId="45396"/>
    <cellStyle name="SAPBEXexcCritical4" xfId="42661"/>
    <cellStyle name="SAPBEXexcCritical4 2" xfId="43960"/>
    <cellStyle name="SAPBEXexcCritical4 2 2" xfId="44231"/>
    <cellStyle name="SAPBEXexcCritical4 2 2 2" xfId="46019"/>
    <cellStyle name="SAPBEXexcCritical4 2 3" xfId="44232"/>
    <cellStyle name="SAPBEXexcCritical4 2 4" xfId="46018"/>
    <cellStyle name="SAPBEXexcCritical4 3" xfId="44233"/>
    <cellStyle name="SAPBEXexcCritical4 3 2" xfId="46021"/>
    <cellStyle name="SAPBEXexcCritical4 3 3" xfId="46020"/>
    <cellStyle name="SAPBEXexcCritical4 4" xfId="44234"/>
    <cellStyle name="SAPBEXexcCritical4 4 2" xfId="46022"/>
    <cellStyle name="SAPBEXexcCritical4 5" xfId="45397"/>
    <cellStyle name="SAPBEXexcCritical5" xfId="42662"/>
    <cellStyle name="SAPBEXexcCritical5 2" xfId="43961"/>
    <cellStyle name="SAPBEXexcCritical5 2 2" xfId="44235"/>
    <cellStyle name="SAPBEXexcCritical5 2 2 2" xfId="46024"/>
    <cellStyle name="SAPBEXexcCritical5 2 3" xfId="44236"/>
    <cellStyle name="SAPBEXexcCritical5 2 4" xfId="46023"/>
    <cellStyle name="SAPBEXexcCritical5 3" xfId="44237"/>
    <cellStyle name="SAPBEXexcCritical5 3 2" xfId="46026"/>
    <cellStyle name="SAPBEXexcCritical5 3 3" xfId="46025"/>
    <cellStyle name="SAPBEXexcCritical5 4" xfId="44238"/>
    <cellStyle name="SAPBEXexcCritical5 4 2" xfId="46027"/>
    <cellStyle name="SAPBEXexcCritical5 5" xfId="45398"/>
    <cellStyle name="SAPBEXexcCritical6" xfId="42663"/>
    <cellStyle name="SAPBEXexcCritical6 2" xfId="43962"/>
    <cellStyle name="SAPBEXexcCritical6 2 2" xfId="44239"/>
    <cellStyle name="SAPBEXexcCritical6 2 2 2" xfId="46029"/>
    <cellStyle name="SAPBEXexcCritical6 2 3" xfId="44240"/>
    <cellStyle name="SAPBEXexcCritical6 2 4" xfId="46028"/>
    <cellStyle name="SAPBEXexcCritical6 3" xfId="44241"/>
    <cellStyle name="SAPBEXexcCritical6 3 2" xfId="46031"/>
    <cellStyle name="SAPBEXexcCritical6 3 3" xfId="46030"/>
    <cellStyle name="SAPBEXexcCritical6 4" xfId="44242"/>
    <cellStyle name="SAPBEXexcCritical6 4 2" xfId="46032"/>
    <cellStyle name="SAPBEXexcCritical6 5" xfId="45399"/>
    <cellStyle name="SAPBEXexcGood1" xfId="42664"/>
    <cellStyle name="SAPBEXexcGood1 2" xfId="43963"/>
    <cellStyle name="SAPBEXexcGood1 2 2" xfId="44243"/>
    <cellStyle name="SAPBEXexcGood1 2 2 2" xfId="46034"/>
    <cellStyle name="SAPBEXexcGood1 2 3" xfId="44244"/>
    <cellStyle name="SAPBEXexcGood1 2 4" xfId="46033"/>
    <cellStyle name="SAPBEXexcGood1 3" xfId="44245"/>
    <cellStyle name="SAPBEXexcGood1 3 2" xfId="46036"/>
    <cellStyle name="SAPBEXexcGood1 3 3" xfId="46035"/>
    <cellStyle name="SAPBEXexcGood1 4" xfId="44246"/>
    <cellStyle name="SAPBEXexcGood1 4 2" xfId="46037"/>
    <cellStyle name="SAPBEXexcGood1 5" xfId="45400"/>
    <cellStyle name="SAPBEXexcGood2" xfId="42665"/>
    <cellStyle name="SAPBEXexcGood2 2" xfId="43964"/>
    <cellStyle name="SAPBEXexcGood2 2 2" xfId="44247"/>
    <cellStyle name="SAPBEXexcGood2 2 2 2" xfId="46039"/>
    <cellStyle name="SAPBEXexcGood2 2 3" xfId="44248"/>
    <cellStyle name="SAPBEXexcGood2 2 4" xfId="46038"/>
    <cellStyle name="SAPBEXexcGood2 3" xfId="44249"/>
    <cellStyle name="SAPBEXexcGood2 3 2" xfId="46041"/>
    <cellStyle name="SAPBEXexcGood2 3 3" xfId="46040"/>
    <cellStyle name="SAPBEXexcGood2 4" xfId="44250"/>
    <cellStyle name="SAPBEXexcGood2 4 2" xfId="46042"/>
    <cellStyle name="SAPBEXexcGood2 5" xfId="45401"/>
    <cellStyle name="SAPBEXexcGood3" xfId="42666"/>
    <cellStyle name="SAPBEXexcGood3 2" xfId="43965"/>
    <cellStyle name="SAPBEXexcGood3 2 2" xfId="44251"/>
    <cellStyle name="SAPBEXexcGood3 2 2 2" xfId="46044"/>
    <cellStyle name="SAPBEXexcGood3 2 3" xfId="44252"/>
    <cellStyle name="SAPBEXexcGood3 2 4" xfId="46043"/>
    <cellStyle name="SAPBEXexcGood3 3" xfId="44253"/>
    <cellStyle name="SAPBEXexcGood3 3 2" xfId="46046"/>
    <cellStyle name="SAPBEXexcGood3 3 3" xfId="46045"/>
    <cellStyle name="SAPBEXexcGood3 4" xfId="44254"/>
    <cellStyle name="SAPBEXexcGood3 4 2" xfId="46047"/>
    <cellStyle name="SAPBEXexcGood3 5" xfId="45402"/>
    <cellStyle name="SAPBEXfilterDrill" xfId="42667"/>
    <cellStyle name="SAPBEXfilterDrill 2" xfId="43966"/>
    <cellStyle name="SAPBEXfilterDrill 2 2" xfId="44255"/>
    <cellStyle name="SAPBEXfilterDrill 2 2 2" xfId="46049"/>
    <cellStyle name="SAPBEXfilterDrill 2 3" xfId="44256"/>
    <cellStyle name="SAPBEXfilterDrill 2 4" xfId="46048"/>
    <cellStyle name="SAPBEXfilterDrill 3" xfId="44257"/>
    <cellStyle name="SAPBEXfilterDrill 3 2" xfId="46051"/>
    <cellStyle name="SAPBEXfilterDrill 3 3" xfId="46050"/>
    <cellStyle name="SAPBEXfilterDrill 4" xfId="44258"/>
    <cellStyle name="SAPBEXfilterDrill 4 2" xfId="46052"/>
    <cellStyle name="SAPBEXfilterDrill 5" xfId="45403"/>
    <cellStyle name="SAPBEXfilterItem" xfId="42668"/>
    <cellStyle name="SAPBEXfilterItem 2" xfId="43967"/>
    <cellStyle name="SAPBEXfilterItem 2 2" xfId="44259"/>
    <cellStyle name="SAPBEXfilterItem 3" xfId="44260"/>
    <cellStyle name="SAPBEXfilterItem 4" xfId="45404"/>
    <cellStyle name="SAPBEXfilterText" xfId="42669"/>
    <cellStyle name="SAPBEXfilterText 2" xfId="44261"/>
    <cellStyle name="SAPBEXformats" xfId="42670"/>
    <cellStyle name="SAPBEXformats 2" xfId="43968"/>
    <cellStyle name="SAPBEXformats 2 2" xfId="44262"/>
    <cellStyle name="SAPBEXformats 2 2 2" xfId="46054"/>
    <cellStyle name="SAPBEXformats 2 3" xfId="44263"/>
    <cellStyle name="SAPBEXformats 2 4" xfId="46053"/>
    <cellStyle name="SAPBEXformats 3" xfId="44264"/>
    <cellStyle name="SAPBEXformats 3 2" xfId="46056"/>
    <cellStyle name="SAPBEXformats 3 3" xfId="46055"/>
    <cellStyle name="SAPBEXformats 4" xfId="44265"/>
    <cellStyle name="SAPBEXformats 4 2" xfId="46057"/>
    <cellStyle name="SAPBEXformats 5" xfId="45405"/>
    <cellStyle name="SAPBEXheaderItem" xfId="42671"/>
    <cellStyle name="SAPBEXheaderItem 2" xfId="43969"/>
    <cellStyle name="SAPBEXheaderItem 2 2" xfId="44266"/>
    <cellStyle name="SAPBEXheaderItem 2 2 2" xfId="46059"/>
    <cellStyle name="SAPBEXheaderItem 2 3" xfId="44267"/>
    <cellStyle name="SAPBEXheaderItem 2 4" xfId="46058"/>
    <cellStyle name="SAPBEXheaderItem 3" xfId="44268"/>
    <cellStyle name="SAPBEXheaderItem 3 2" xfId="46061"/>
    <cellStyle name="SAPBEXheaderItem 3 3" xfId="46060"/>
    <cellStyle name="SAPBEXheaderItem 4" xfId="44269"/>
    <cellStyle name="SAPBEXheaderItem 4 2" xfId="46062"/>
    <cellStyle name="SAPBEXheaderItem 5" xfId="45406"/>
    <cellStyle name="SAPBEXheaderText" xfId="42672"/>
    <cellStyle name="SAPBEXheaderText 2" xfId="43970"/>
    <cellStyle name="SAPBEXheaderText 2 2" xfId="44270"/>
    <cellStyle name="SAPBEXheaderText 2 2 2" xfId="46064"/>
    <cellStyle name="SAPBEXheaderText 2 3" xfId="44271"/>
    <cellStyle name="SAPBEXheaderText 2 4" xfId="46063"/>
    <cellStyle name="SAPBEXheaderText 3" xfId="44272"/>
    <cellStyle name="SAPBEXheaderText 3 2" xfId="46066"/>
    <cellStyle name="SAPBEXheaderText 3 3" xfId="46065"/>
    <cellStyle name="SAPBEXheaderText 4" xfId="44273"/>
    <cellStyle name="SAPBEXheaderText 4 2" xfId="46067"/>
    <cellStyle name="SAPBEXheaderText 5" xfId="45407"/>
    <cellStyle name="SAPBEXHLevel0" xfId="42673"/>
    <cellStyle name="SAPBEXHLevel0 2" xfId="43971"/>
    <cellStyle name="SAPBEXHLevel0 2 2" xfId="44274"/>
    <cellStyle name="SAPBEXHLevel0 2 2 2" xfId="46069"/>
    <cellStyle name="SAPBEXHLevel0 2 3" xfId="44275"/>
    <cellStyle name="SAPBEXHLevel0 2 4" xfId="46068"/>
    <cellStyle name="SAPBEXHLevel0 3" xfId="44276"/>
    <cellStyle name="SAPBEXHLevel0 3 2" xfId="46071"/>
    <cellStyle name="SAPBEXHLevel0 3 3" xfId="46070"/>
    <cellStyle name="SAPBEXHLevel0 4" xfId="44277"/>
    <cellStyle name="SAPBEXHLevel0 4 2" xfId="46072"/>
    <cellStyle name="SAPBEXHLevel0 5" xfId="45408"/>
    <cellStyle name="SAPBEXHLevel0X" xfId="42674"/>
    <cellStyle name="SAPBEXHLevel0X 2" xfId="43972"/>
    <cellStyle name="SAPBEXHLevel0X 2 2" xfId="44278"/>
    <cellStyle name="SAPBEXHLevel0X 2 2 2" xfId="46074"/>
    <cellStyle name="SAPBEXHLevel0X 2 3" xfId="44279"/>
    <cellStyle name="SAPBEXHLevel0X 2 4" xfId="46073"/>
    <cellStyle name="SAPBEXHLevel0X 3" xfId="44280"/>
    <cellStyle name="SAPBEXHLevel0X 3 2" xfId="46076"/>
    <cellStyle name="SAPBEXHLevel0X 3 3" xfId="46075"/>
    <cellStyle name="SAPBEXHLevel0X 4" xfId="44281"/>
    <cellStyle name="SAPBEXHLevel0X 4 2" xfId="46077"/>
    <cellStyle name="SAPBEXHLevel0X 5" xfId="45409"/>
    <cellStyle name="SAPBEXHLevel1" xfId="42675"/>
    <cellStyle name="SAPBEXHLevel1 2" xfId="43973"/>
    <cellStyle name="SAPBEXHLevel1 2 2" xfId="44282"/>
    <cellStyle name="SAPBEXHLevel1 2 2 2" xfId="46079"/>
    <cellStyle name="SAPBEXHLevel1 2 3" xfId="44283"/>
    <cellStyle name="SAPBEXHLevel1 2 4" xfId="46078"/>
    <cellStyle name="SAPBEXHLevel1 3" xfId="44284"/>
    <cellStyle name="SAPBEXHLevel1 3 2" xfId="46081"/>
    <cellStyle name="SAPBEXHLevel1 3 3" xfId="46080"/>
    <cellStyle name="SAPBEXHLevel1 4" xfId="44285"/>
    <cellStyle name="SAPBEXHLevel1 4 2" xfId="46082"/>
    <cellStyle name="SAPBEXHLevel1 5" xfId="45410"/>
    <cellStyle name="SAPBEXHLevel1X" xfId="42676"/>
    <cellStyle name="SAPBEXHLevel1X 2" xfId="43974"/>
    <cellStyle name="SAPBEXHLevel1X 2 2" xfId="44286"/>
    <cellStyle name="SAPBEXHLevel1X 2 2 2" xfId="46084"/>
    <cellStyle name="SAPBEXHLevel1X 2 3" xfId="44287"/>
    <cellStyle name="SAPBEXHLevel1X 2 4" xfId="46083"/>
    <cellStyle name="SAPBEXHLevel1X 3" xfId="44288"/>
    <cellStyle name="SAPBEXHLevel1X 3 2" xfId="46086"/>
    <cellStyle name="SAPBEXHLevel1X 3 3" xfId="46085"/>
    <cellStyle name="SAPBEXHLevel1X 4" xfId="44289"/>
    <cellStyle name="SAPBEXHLevel1X 4 2" xfId="46087"/>
    <cellStyle name="SAPBEXHLevel1X 5" xfId="45411"/>
    <cellStyle name="SAPBEXHLevel2" xfId="42677"/>
    <cellStyle name="SAPBEXHLevel2 2" xfId="43975"/>
    <cellStyle name="SAPBEXHLevel2 2 2" xfId="44290"/>
    <cellStyle name="SAPBEXHLevel2 2 2 2" xfId="46089"/>
    <cellStyle name="SAPBEXHLevel2 2 3" xfId="44291"/>
    <cellStyle name="SAPBEXHLevel2 2 4" xfId="46088"/>
    <cellStyle name="SAPBEXHLevel2 3" xfId="44292"/>
    <cellStyle name="SAPBEXHLevel2 3 2" xfId="46091"/>
    <cellStyle name="SAPBEXHLevel2 3 3" xfId="46090"/>
    <cellStyle name="SAPBEXHLevel2 4" xfId="44293"/>
    <cellStyle name="SAPBEXHLevel2 4 2" xfId="46092"/>
    <cellStyle name="SAPBEXHLevel2 5" xfId="45412"/>
    <cellStyle name="SAPBEXHLevel2X" xfId="42678"/>
    <cellStyle name="SAPBEXHLevel2X 2" xfId="43976"/>
    <cellStyle name="SAPBEXHLevel2X 2 2" xfId="44294"/>
    <cellStyle name="SAPBEXHLevel2X 2 2 2" xfId="46094"/>
    <cellStyle name="SAPBEXHLevel2X 2 3" xfId="44295"/>
    <cellStyle name="SAPBEXHLevel2X 2 4" xfId="46093"/>
    <cellStyle name="SAPBEXHLevel2X 3" xfId="44296"/>
    <cellStyle name="SAPBEXHLevel2X 3 2" xfId="46096"/>
    <cellStyle name="SAPBEXHLevel2X 3 3" xfId="46095"/>
    <cellStyle name="SAPBEXHLevel2X 4" xfId="44297"/>
    <cellStyle name="SAPBEXHLevel2X 4 2" xfId="46097"/>
    <cellStyle name="SAPBEXHLevel2X 5" xfId="45413"/>
    <cellStyle name="SAPBEXHLevel3" xfId="42679"/>
    <cellStyle name="SAPBEXHLevel3 2" xfId="43977"/>
    <cellStyle name="SAPBEXHLevel3 2 2" xfId="44298"/>
    <cellStyle name="SAPBEXHLevel3 2 2 2" xfId="46099"/>
    <cellStyle name="SAPBEXHLevel3 2 3" xfId="44299"/>
    <cellStyle name="SAPBEXHLevel3 2 4" xfId="46098"/>
    <cellStyle name="SAPBEXHLevel3 3" xfId="44300"/>
    <cellStyle name="SAPBEXHLevel3 3 2" xfId="46101"/>
    <cellStyle name="SAPBEXHLevel3 3 3" xfId="46100"/>
    <cellStyle name="SAPBEXHLevel3 4" xfId="44301"/>
    <cellStyle name="SAPBEXHLevel3 4 2" xfId="46102"/>
    <cellStyle name="SAPBEXHLevel3 5" xfId="45414"/>
    <cellStyle name="SAPBEXHLevel3X" xfId="42680"/>
    <cellStyle name="SAPBEXHLevel3X 2" xfId="43978"/>
    <cellStyle name="SAPBEXHLevel3X 2 2" xfId="44302"/>
    <cellStyle name="SAPBEXHLevel3X 2 2 2" xfId="46104"/>
    <cellStyle name="SAPBEXHLevel3X 2 3" xfId="44303"/>
    <cellStyle name="SAPBEXHLevel3X 2 4" xfId="46103"/>
    <cellStyle name="SAPBEXHLevel3X 3" xfId="44304"/>
    <cellStyle name="SAPBEXHLevel3X 3 2" xfId="46106"/>
    <cellStyle name="SAPBEXHLevel3X 3 3" xfId="46105"/>
    <cellStyle name="SAPBEXHLevel3X 4" xfId="44305"/>
    <cellStyle name="SAPBEXHLevel3X 4 2" xfId="46107"/>
    <cellStyle name="SAPBEXHLevel3X 5" xfId="45415"/>
    <cellStyle name="SAPBEXinputData" xfId="42681"/>
    <cellStyle name="SAPBEXresData" xfId="42682"/>
    <cellStyle name="SAPBEXresData 2" xfId="43979"/>
    <cellStyle name="SAPBEXresData 2 2" xfId="44306"/>
    <cellStyle name="SAPBEXresData 2 2 2" xfId="46109"/>
    <cellStyle name="SAPBEXresData 2 3" xfId="44307"/>
    <cellStyle name="SAPBEXresData 2 4" xfId="46108"/>
    <cellStyle name="SAPBEXresData 3" xfId="44308"/>
    <cellStyle name="SAPBEXresData 3 2" xfId="46111"/>
    <cellStyle name="SAPBEXresData 3 3" xfId="46110"/>
    <cellStyle name="SAPBEXresData 4" xfId="44309"/>
    <cellStyle name="SAPBEXresData 4 2" xfId="46112"/>
    <cellStyle name="SAPBEXresData 5" xfId="45416"/>
    <cellStyle name="SAPBEXresDataEmph" xfId="42683"/>
    <cellStyle name="SAPBEXresDataEmph 2" xfId="43980"/>
    <cellStyle name="SAPBEXresDataEmph 2 2" xfId="44310"/>
    <cellStyle name="SAPBEXresDataEmph 2 2 2" xfId="46114"/>
    <cellStyle name="SAPBEXresDataEmph 2 3" xfId="44311"/>
    <cellStyle name="SAPBEXresDataEmph 2 4" xfId="46113"/>
    <cellStyle name="SAPBEXresDataEmph 3" xfId="44312"/>
    <cellStyle name="SAPBEXresDataEmph 3 2" xfId="46116"/>
    <cellStyle name="SAPBEXresDataEmph 3 3" xfId="46115"/>
    <cellStyle name="SAPBEXresDataEmph 4" xfId="44313"/>
    <cellStyle name="SAPBEXresDataEmph 4 2" xfId="46117"/>
    <cellStyle name="SAPBEXresDataEmph 5" xfId="45417"/>
    <cellStyle name="SAPBEXresItem" xfId="42684"/>
    <cellStyle name="SAPBEXresItem 2" xfId="43981"/>
    <cellStyle name="SAPBEXresItem 2 2" xfId="44314"/>
    <cellStyle name="SAPBEXresItem 2 2 2" xfId="46119"/>
    <cellStyle name="SAPBEXresItem 2 3" xfId="44315"/>
    <cellStyle name="SAPBEXresItem 2 4" xfId="46118"/>
    <cellStyle name="SAPBEXresItem 3" xfId="44316"/>
    <cellStyle name="SAPBEXresItem 3 2" xfId="46121"/>
    <cellStyle name="SAPBEXresItem 3 3" xfId="46120"/>
    <cellStyle name="SAPBEXresItem 4" xfId="44317"/>
    <cellStyle name="SAPBEXresItem 4 2" xfId="46122"/>
    <cellStyle name="SAPBEXresItem 5" xfId="45418"/>
    <cellStyle name="SAPBEXresItemX" xfId="42685"/>
    <cellStyle name="SAPBEXresItemX 2" xfId="43982"/>
    <cellStyle name="SAPBEXresItemX 2 2" xfId="44318"/>
    <cellStyle name="SAPBEXresItemX 2 2 2" xfId="46124"/>
    <cellStyle name="SAPBEXresItemX 2 3" xfId="44319"/>
    <cellStyle name="SAPBEXresItemX 2 4" xfId="46123"/>
    <cellStyle name="SAPBEXresItemX 3" xfId="44320"/>
    <cellStyle name="SAPBEXresItemX 3 2" xfId="46126"/>
    <cellStyle name="SAPBEXresItemX 3 3" xfId="46125"/>
    <cellStyle name="SAPBEXresItemX 4" xfId="44321"/>
    <cellStyle name="SAPBEXresItemX 4 2" xfId="46127"/>
    <cellStyle name="SAPBEXresItemX 5" xfId="45419"/>
    <cellStyle name="SAPBEXstdData" xfId="42686"/>
    <cellStyle name="SAPBEXstdData 2" xfId="43983"/>
    <cellStyle name="SAPBEXstdData 2 2" xfId="44322"/>
    <cellStyle name="SAPBEXstdData 2 2 2" xfId="46129"/>
    <cellStyle name="SAPBEXstdData 2 3" xfId="44323"/>
    <cellStyle name="SAPBEXstdData 2 4" xfId="46128"/>
    <cellStyle name="SAPBEXstdData 3" xfId="44324"/>
    <cellStyle name="SAPBEXstdData 3 2" xfId="46131"/>
    <cellStyle name="SAPBEXstdData 3 3" xfId="46130"/>
    <cellStyle name="SAPBEXstdData 4" xfId="44325"/>
    <cellStyle name="SAPBEXstdData 4 2" xfId="46132"/>
    <cellStyle name="SAPBEXstdData 5" xfId="45420"/>
    <cellStyle name="SAPBEXstdDataEmph" xfId="42687"/>
    <cellStyle name="SAPBEXstdDataEmph 2" xfId="43984"/>
    <cellStyle name="SAPBEXstdDataEmph 2 2" xfId="44326"/>
    <cellStyle name="SAPBEXstdDataEmph 2 2 2" xfId="46134"/>
    <cellStyle name="SAPBEXstdDataEmph 2 3" xfId="44327"/>
    <cellStyle name="SAPBEXstdDataEmph 2 4" xfId="46133"/>
    <cellStyle name="SAPBEXstdDataEmph 3" xfId="44328"/>
    <cellStyle name="SAPBEXstdDataEmph 3 2" xfId="46136"/>
    <cellStyle name="SAPBEXstdDataEmph 3 3" xfId="46135"/>
    <cellStyle name="SAPBEXstdDataEmph 4" xfId="44329"/>
    <cellStyle name="SAPBEXstdDataEmph 4 2" xfId="46137"/>
    <cellStyle name="SAPBEXstdDataEmph 5" xfId="45421"/>
    <cellStyle name="SAPBEXstdItem" xfId="42688"/>
    <cellStyle name="SAPBEXstdItem 2" xfId="43985"/>
    <cellStyle name="SAPBEXstdItem 2 2" xfId="44330"/>
    <cellStyle name="SAPBEXstdItem 2 2 2" xfId="46139"/>
    <cellStyle name="SAPBEXstdItem 2 3" xfId="44331"/>
    <cellStyle name="SAPBEXstdItem 2 4" xfId="46138"/>
    <cellStyle name="SAPBEXstdItem 3" xfId="44332"/>
    <cellStyle name="SAPBEXstdItem 3 2" xfId="46141"/>
    <cellStyle name="SAPBEXstdItem 3 3" xfId="46140"/>
    <cellStyle name="SAPBEXstdItem 4" xfId="44333"/>
    <cellStyle name="SAPBEXstdItem 4 2" xfId="46142"/>
    <cellStyle name="SAPBEXstdItem 5" xfId="45422"/>
    <cellStyle name="SAPBEXstdItemX" xfId="42689"/>
    <cellStyle name="SAPBEXstdItemX 2" xfId="43986"/>
    <cellStyle name="SAPBEXstdItemX 2 2" xfId="44334"/>
    <cellStyle name="SAPBEXstdItemX 2 2 2" xfId="46144"/>
    <cellStyle name="SAPBEXstdItemX 2 3" xfId="44335"/>
    <cellStyle name="SAPBEXstdItemX 2 4" xfId="46143"/>
    <cellStyle name="SAPBEXstdItemX 3" xfId="44336"/>
    <cellStyle name="SAPBEXstdItemX 3 2" xfId="46146"/>
    <cellStyle name="SAPBEXstdItemX 3 3" xfId="46145"/>
    <cellStyle name="SAPBEXstdItemX 4" xfId="44337"/>
    <cellStyle name="SAPBEXstdItemX 4 2" xfId="46147"/>
    <cellStyle name="SAPBEXstdItemX 5" xfId="45423"/>
    <cellStyle name="SAPBEXtitle" xfId="42690"/>
    <cellStyle name="SAPBEXtitle 2" xfId="44338"/>
    <cellStyle name="SAPBEXundefined" xfId="42691"/>
    <cellStyle name="SAPBEXundefined 2" xfId="43987"/>
    <cellStyle name="SAPBEXundefined 2 2" xfId="44339"/>
    <cellStyle name="SAPBEXundefined 2 2 2" xfId="46149"/>
    <cellStyle name="SAPBEXundefined 2 3" xfId="44340"/>
    <cellStyle name="SAPBEXundefined 2 4" xfId="46148"/>
    <cellStyle name="SAPBEXundefined 3" xfId="44341"/>
    <cellStyle name="SAPBEXundefined 3 2" xfId="46151"/>
    <cellStyle name="SAPBEXundefined 3 3" xfId="46150"/>
    <cellStyle name="SAPBEXundefined 4" xfId="44342"/>
    <cellStyle name="SAPBEXundefined 4 2" xfId="46152"/>
    <cellStyle name="SAPBEXundefined 5" xfId="45424"/>
    <cellStyle name="Style 1" xfId="42692"/>
    <cellStyle name="styleColumnTitles" xfId="42693"/>
    <cellStyle name="styleDateRange" xfId="42694"/>
    <cellStyle name="styleHidden" xfId="42695"/>
    <cellStyle name="styleNormal" xfId="42696"/>
    <cellStyle name="styleSeriesAttributes" xfId="42697"/>
    <cellStyle name="styleSeriesData" xfId="42698"/>
    <cellStyle name="styleSeriesDataForecast" xfId="42699"/>
    <cellStyle name="styleSeriesDataForecastNA" xfId="42700"/>
    <cellStyle name="styleSeriesDataNA" xfId="42701"/>
    <cellStyle name="Table Heading" xfId="232"/>
    <cellStyle name="Table Heading 2" xfId="43811"/>
    <cellStyle name="Table Heading 2 2" xfId="44343"/>
    <cellStyle name="Table Heading 3" xfId="44344"/>
    <cellStyle name="Table Heading 4" xfId="44345"/>
    <cellStyle name="TableStyleLight1" xfId="42702"/>
    <cellStyle name="TableStyleLight1 2" xfId="42703"/>
    <cellStyle name="TableStyleLight1 3" xfId="42704"/>
    <cellStyle name="Telephone number" xfId="233"/>
    <cellStyle name="Telephone number 2" xfId="44346"/>
    <cellStyle name="Telephone number 3" xfId="44347"/>
    <cellStyle name="Title" xfId="42705"/>
    <cellStyle name="Title 4" xfId="42706"/>
    <cellStyle name="Total" xfId="42707"/>
    <cellStyle name="Warning Text" xfId="42708"/>
    <cellStyle name="Акцент1 2" xfId="234"/>
    <cellStyle name="Акцент1 2 2" xfId="235"/>
    <cellStyle name="Акцент1 2 2 2" xfId="42709"/>
    <cellStyle name="Акцент1 2 2 2 2" xfId="46154"/>
    <cellStyle name="Акцент1 2 2 3" xfId="42710"/>
    <cellStyle name="Акцент1 2 2 3 2" xfId="46153"/>
    <cellStyle name="Акцент1 2 3" xfId="2789"/>
    <cellStyle name="Акцент1 2 3 2" xfId="46155"/>
    <cellStyle name="Акцент1 2 3 3" xfId="44348"/>
    <cellStyle name="Акцент1 2 4" xfId="1716"/>
    <cellStyle name="Акцент1 3" xfId="42711"/>
    <cellStyle name="Акцент1 3 2" xfId="42712"/>
    <cellStyle name="Акцент1 4" xfId="42713"/>
    <cellStyle name="Акцент1 4 2" xfId="42714"/>
    <cellStyle name="Акцент1 5" xfId="42715"/>
    <cellStyle name="Акцент1 5 2" xfId="42716"/>
    <cellStyle name="Акцент1 6" xfId="42717"/>
    <cellStyle name="Акцент1 6 2" xfId="42718"/>
    <cellStyle name="Акцент1 6 2 2" xfId="46157"/>
    <cellStyle name="Акцент1 6 3" xfId="46156"/>
    <cellStyle name="Акцент1 7" xfId="42719"/>
    <cellStyle name="Акцент1 7 2" xfId="42720"/>
    <cellStyle name="Акцент1 8" xfId="42721"/>
    <cellStyle name="Акцент1 8 2" xfId="42722"/>
    <cellStyle name="Акцент1 9" xfId="42723"/>
    <cellStyle name="Акцент1 9 2" xfId="42724"/>
    <cellStyle name="Акцент2 2" xfId="236"/>
    <cellStyle name="Акцент2 2 2" xfId="237"/>
    <cellStyle name="Акцент2 2 2 2" xfId="42725"/>
    <cellStyle name="Акцент2 2 2 2 2" xfId="46159"/>
    <cellStyle name="Акцент2 2 2 3" xfId="46158"/>
    <cellStyle name="Акцент2 2 3" xfId="1109"/>
    <cellStyle name="Акцент2 2 3 2" xfId="44349"/>
    <cellStyle name="Акцент2 2 4" xfId="2853"/>
    <cellStyle name="Акцент2 3" xfId="42726"/>
    <cellStyle name="Акцент2 3 2" xfId="42727"/>
    <cellStyle name="Акцент2 4" xfId="42728"/>
    <cellStyle name="Акцент2 4 2" xfId="42729"/>
    <cellStyle name="Акцент2 5" xfId="42730"/>
    <cellStyle name="Акцент2 5 2" xfId="42731"/>
    <cellStyle name="Акцент2 6" xfId="42732"/>
    <cellStyle name="Акцент2 6 2" xfId="42733"/>
    <cellStyle name="Акцент2 6 2 2" xfId="46161"/>
    <cellStyle name="Акцент2 6 3" xfId="46160"/>
    <cellStyle name="Акцент2 7" xfId="42734"/>
    <cellStyle name="Акцент2 7 2" xfId="42735"/>
    <cellStyle name="Акцент2 8" xfId="42736"/>
    <cellStyle name="Акцент2 8 2" xfId="42737"/>
    <cellStyle name="Акцент2 9" xfId="42738"/>
    <cellStyle name="Акцент2 9 2" xfId="42739"/>
    <cellStyle name="Акцент3 2" xfId="238"/>
    <cellStyle name="Акцент3 2 2" xfId="239"/>
    <cellStyle name="Акцент3 2 2 2" xfId="42740"/>
    <cellStyle name="Акцент3 2 2 2 2" xfId="46163"/>
    <cellStyle name="Акцент3 2 2 3" xfId="46162"/>
    <cellStyle name="Акцент3 2 3" xfId="959"/>
    <cellStyle name="Акцент3 2 3 2" xfId="44350"/>
    <cellStyle name="Акцент3 2 4" xfId="2788"/>
    <cellStyle name="Акцент3 3" xfId="42741"/>
    <cellStyle name="Акцент3 3 2" xfId="42742"/>
    <cellStyle name="Акцент3 4" xfId="42743"/>
    <cellStyle name="Акцент3 4 2" xfId="42744"/>
    <cellStyle name="Акцент3 5" xfId="42745"/>
    <cellStyle name="Акцент3 5 2" xfId="42746"/>
    <cellStyle name="Акцент3 6" xfId="42747"/>
    <cellStyle name="Акцент3 6 2" xfId="42748"/>
    <cellStyle name="Акцент3 6 2 2" xfId="46165"/>
    <cellStyle name="Акцент3 6 3" xfId="46164"/>
    <cellStyle name="Акцент3 7" xfId="42749"/>
    <cellStyle name="Акцент3 7 2" xfId="42750"/>
    <cellStyle name="Акцент3 8" xfId="42751"/>
    <cellStyle name="Акцент3 8 2" xfId="42752"/>
    <cellStyle name="Акцент3 9" xfId="42753"/>
    <cellStyle name="Акцент3 9 2" xfId="42754"/>
    <cellStyle name="Акцент4 2" xfId="240"/>
    <cellStyle name="Акцент4 2 2" xfId="241"/>
    <cellStyle name="Акцент4 2 2 2" xfId="42755"/>
    <cellStyle name="Акцент4 2 2 2 2" xfId="46167"/>
    <cellStyle name="Акцент4 2 2 3" xfId="42756"/>
    <cellStyle name="Акцент4 2 2 3 2" xfId="46166"/>
    <cellStyle name="Акцент4 2 3" xfId="2787"/>
    <cellStyle name="Акцент4 2 3 2" xfId="46168"/>
    <cellStyle name="Акцент4 2 3 3" xfId="44351"/>
    <cellStyle name="Акцент4 2 4" xfId="2861"/>
    <cellStyle name="Акцент4 3" xfId="42757"/>
    <cellStyle name="Акцент4 3 2" xfId="42758"/>
    <cellStyle name="Акцент4 4" xfId="42759"/>
    <cellStyle name="Акцент4 4 2" xfId="42760"/>
    <cellStyle name="Акцент4 5" xfId="42761"/>
    <cellStyle name="Акцент4 5 2" xfId="42762"/>
    <cellStyle name="Акцент4 6" xfId="42763"/>
    <cellStyle name="Акцент4 6 2" xfId="42764"/>
    <cellStyle name="Акцент4 6 2 2" xfId="46170"/>
    <cellStyle name="Акцент4 6 3" xfId="46169"/>
    <cellStyle name="Акцент4 7" xfId="42765"/>
    <cellStyle name="Акцент4 7 2" xfId="42766"/>
    <cellStyle name="Акцент4 8" xfId="42767"/>
    <cellStyle name="Акцент4 8 2" xfId="42768"/>
    <cellStyle name="Акцент4 9" xfId="42769"/>
    <cellStyle name="Акцент4 9 2" xfId="42770"/>
    <cellStyle name="Акцент5 2" xfId="242"/>
    <cellStyle name="Акцент5 2 2" xfId="243"/>
    <cellStyle name="Акцент5 2 2 2" xfId="42771"/>
    <cellStyle name="Акцент5 2 2 2 2" xfId="46172"/>
    <cellStyle name="Акцент5 2 2 3" xfId="46171"/>
    <cellStyle name="Акцент5 2 3" xfId="1356"/>
    <cellStyle name="Акцент5 2 3 2" xfId="44352"/>
    <cellStyle name="Акцент5 2 4" xfId="2855"/>
    <cellStyle name="Акцент5 3" xfId="42772"/>
    <cellStyle name="Акцент5 3 2" xfId="42773"/>
    <cellStyle name="Акцент5 4" xfId="42774"/>
    <cellStyle name="Акцент5 4 2" xfId="42775"/>
    <cellStyle name="Акцент5 5" xfId="42776"/>
    <cellStyle name="Акцент5 5 2" xfId="42777"/>
    <cellStyle name="Акцент5 6" xfId="42778"/>
    <cellStyle name="Акцент5 6 2" xfId="42779"/>
    <cellStyle name="Акцент5 6 2 2" xfId="46174"/>
    <cellStyle name="Акцент5 6 3" xfId="46173"/>
    <cellStyle name="Акцент5 7" xfId="42780"/>
    <cellStyle name="Акцент5 7 2" xfId="42781"/>
    <cellStyle name="Акцент5 8" xfId="42782"/>
    <cellStyle name="Акцент5 8 2" xfId="42783"/>
    <cellStyle name="Акцент5 9" xfId="42784"/>
    <cellStyle name="Акцент5 9 2" xfId="42785"/>
    <cellStyle name="Акцент6 2" xfId="244"/>
    <cellStyle name="Акцент6 2 2" xfId="245"/>
    <cellStyle name="Акцент6 2 2 2" xfId="42786"/>
    <cellStyle name="Акцент6 2 2 2 2" xfId="46176"/>
    <cellStyle name="Акцент6 2 2 3" xfId="46175"/>
    <cellStyle name="Акцент6 2 3" xfId="1395"/>
    <cellStyle name="Акцент6 2 3 2" xfId="44353"/>
    <cellStyle name="Акцент6 2 4" xfId="2786"/>
    <cellStyle name="Акцент6 3" xfId="42787"/>
    <cellStyle name="Акцент6 3 2" xfId="42788"/>
    <cellStyle name="Акцент6 4" xfId="42789"/>
    <cellStyle name="Акцент6 4 2" xfId="42790"/>
    <cellStyle name="Акцент6 5" xfId="42791"/>
    <cellStyle name="Акцент6 5 2" xfId="42792"/>
    <cellStyle name="Акцент6 6" xfId="42793"/>
    <cellStyle name="Акцент6 6 2" xfId="42794"/>
    <cellStyle name="Акцент6 6 2 2" xfId="46178"/>
    <cellStyle name="Акцент6 6 3" xfId="46177"/>
    <cellStyle name="Акцент6 7" xfId="42795"/>
    <cellStyle name="Акцент6 7 2" xfId="42796"/>
    <cellStyle name="Акцент6 8" xfId="42797"/>
    <cellStyle name="Акцент6 8 2" xfId="42798"/>
    <cellStyle name="Акцент6 9" xfId="42799"/>
    <cellStyle name="Акцент6 9 2" xfId="42800"/>
    <cellStyle name="Беззащитный" xfId="11"/>
    <cellStyle name="Беззащитный 2" xfId="43812"/>
    <cellStyle name="Беззащитный 2 2" xfId="44354"/>
    <cellStyle name="Беззащитный 3" xfId="44355"/>
    <cellStyle name="Беззащитный 4" xfId="44356"/>
    <cellStyle name="Ввод  2" xfId="246"/>
    <cellStyle name="Ввод  2 10" xfId="247"/>
    <cellStyle name="Ввод  2 10 10" xfId="17255"/>
    <cellStyle name="Ввод  2 10 10 2" xfId="32722"/>
    <cellStyle name="Ввод  2 10 11" xfId="10933"/>
    <cellStyle name="Ввод  2 10 12" xfId="12294"/>
    <cellStyle name="Ввод  2 10 2" xfId="939"/>
    <cellStyle name="Ввод  2 10 2 10" xfId="11523"/>
    <cellStyle name="Ввод  2 10 2 11" xfId="27040"/>
    <cellStyle name="Ввод  2 10 2 2" xfId="1263"/>
    <cellStyle name="Ввод  2 10 2 2 2" xfId="1064"/>
    <cellStyle name="Ввод  2 10 2 2 2 2" xfId="6321"/>
    <cellStyle name="Ввод  2 10 2 2 2 2 2" xfId="16543"/>
    <cellStyle name="Ввод  2 10 2 2 2 2 3" xfId="32010"/>
    <cellStyle name="Ввод  2 10 2 2 2 3" xfId="22209"/>
    <cellStyle name="Ввод  2 10 2 2 2 3 2" xfId="37570"/>
    <cellStyle name="Ввод  2 10 2 2 2 4" xfId="11646"/>
    <cellStyle name="Ввод  2 10 2 2 2 5" xfId="27160"/>
    <cellStyle name="Ввод  2 10 2 2 3" xfId="4979"/>
    <cellStyle name="Ввод  2 10 2 2 3 2" xfId="10162"/>
    <cellStyle name="Ввод  2 10 2 2 3 2 2" xfId="21088"/>
    <cellStyle name="Ввод  2 10 2 2 3 2 3" xfId="36449"/>
    <cellStyle name="Ввод  2 10 2 2 3 3" xfId="26049"/>
    <cellStyle name="Ввод  2 10 2 2 3 3 2" xfId="41410"/>
    <cellStyle name="Ввод  2 10 2 2 3 4" xfId="15525"/>
    <cellStyle name="Ввод  2 10 2 2 3 5" xfId="31000"/>
    <cellStyle name="Ввод  2 10 2 2 4" xfId="6516"/>
    <cellStyle name="Ввод  2 10 2 2 4 2" xfId="16345"/>
    <cellStyle name="Ввод  2 10 2 2 4 3" xfId="31812"/>
    <cellStyle name="Ввод  2 10 2 2 5" xfId="22404"/>
    <cellStyle name="Ввод  2 10 2 2 5 2" xfId="37765"/>
    <cellStyle name="Ввод  2 10 2 2 6" xfId="11844"/>
    <cellStyle name="Ввод  2 10 2 2 7" xfId="27355"/>
    <cellStyle name="Ввод  2 10 2 3" xfId="2345"/>
    <cellStyle name="Ввод  2 10 2 3 2" xfId="7581"/>
    <cellStyle name="Ввод  2 10 2 3 2 2" xfId="18483"/>
    <cellStyle name="Ввод  2 10 2 3 2 3" xfId="33844"/>
    <cellStyle name="Ввод  2 10 2 3 3" xfId="23469"/>
    <cellStyle name="Ввод  2 10 2 3 3 2" xfId="38830"/>
    <cellStyle name="Ввод  2 10 2 3 4" xfId="12920"/>
    <cellStyle name="Ввод  2 10 2 3 5" xfId="28420"/>
    <cellStyle name="Ввод  2 10 2 4" xfId="3488"/>
    <cellStyle name="Ввод  2 10 2 4 2" xfId="8675"/>
    <cellStyle name="Ввод  2 10 2 4 2 2" xfId="19602"/>
    <cellStyle name="Ввод  2 10 2 4 2 3" xfId="34963"/>
    <cellStyle name="Ввод  2 10 2 4 3" xfId="24563"/>
    <cellStyle name="Ввод  2 10 2 4 3 2" xfId="39924"/>
    <cellStyle name="Ввод  2 10 2 4 4" xfId="14039"/>
    <cellStyle name="Ввод  2 10 2 4 5" xfId="29514"/>
    <cellStyle name="Ввод  2 10 2 5" xfId="3731"/>
    <cellStyle name="Ввод  2 10 2 5 2" xfId="8918"/>
    <cellStyle name="Ввод  2 10 2 5 2 2" xfId="19845"/>
    <cellStyle name="Ввод  2 10 2 5 2 3" xfId="35206"/>
    <cellStyle name="Ввод  2 10 2 5 3" xfId="24806"/>
    <cellStyle name="Ввод  2 10 2 5 3 2" xfId="40167"/>
    <cellStyle name="Ввод  2 10 2 5 4" xfId="14282"/>
    <cellStyle name="Ввод  2 10 2 5 5" xfId="29757"/>
    <cellStyle name="Ввод  2 10 2 6" xfId="4393"/>
    <cellStyle name="Ввод  2 10 2 6 2" xfId="9580"/>
    <cellStyle name="Ввод  2 10 2 6 2 2" xfId="20507"/>
    <cellStyle name="Ввод  2 10 2 6 2 3" xfId="35868"/>
    <cellStyle name="Ввод  2 10 2 6 3" xfId="25468"/>
    <cellStyle name="Ввод  2 10 2 6 3 2" xfId="40829"/>
    <cellStyle name="Ввод  2 10 2 6 4" xfId="14944"/>
    <cellStyle name="Ввод  2 10 2 6 5" xfId="30419"/>
    <cellStyle name="Ввод  2 10 2 7" xfId="4442"/>
    <cellStyle name="Ввод  2 10 2 7 2" xfId="9629"/>
    <cellStyle name="Ввод  2 10 2 7 2 2" xfId="20556"/>
    <cellStyle name="Ввод  2 10 2 7 2 3" xfId="35917"/>
    <cellStyle name="Ввод  2 10 2 7 3" xfId="25517"/>
    <cellStyle name="Ввод  2 10 2 7 3 2" xfId="40878"/>
    <cellStyle name="Ввод  2 10 2 7 4" xfId="14993"/>
    <cellStyle name="Ввод  2 10 2 7 5" xfId="30468"/>
    <cellStyle name="Ввод  2 10 2 8" xfId="6201"/>
    <cellStyle name="Ввод  2 10 2 8 2" xfId="16666"/>
    <cellStyle name="Ввод  2 10 2 8 3" xfId="32133"/>
    <cellStyle name="Ввод  2 10 2 9" xfId="22089"/>
    <cellStyle name="Ввод  2 10 2 9 2" xfId="37450"/>
    <cellStyle name="Ввод  2 10 3" xfId="1760"/>
    <cellStyle name="Ввод  2 10 3 2" xfId="2784"/>
    <cellStyle name="Ввод  2 10 3 2 2" xfId="8013"/>
    <cellStyle name="Ввод  2 10 3 2 2 2" xfId="18917"/>
    <cellStyle name="Ввод  2 10 3 2 2 3" xfId="34278"/>
    <cellStyle name="Ввод  2 10 3 2 3" xfId="23901"/>
    <cellStyle name="Ввод  2 10 3 2 3 2" xfId="39262"/>
    <cellStyle name="Ввод  2 10 3 2 4" xfId="13354"/>
    <cellStyle name="Ввод  2 10 3 2 5" xfId="28852"/>
    <cellStyle name="Ввод  2 10 3 3" xfId="4980"/>
    <cellStyle name="Ввод  2 10 3 3 2" xfId="10163"/>
    <cellStyle name="Ввод  2 10 3 3 2 2" xfId="21089"/>
    <cellStyle name="Ввод  2 10 3 3 2 3" xfId="36450"/>
    <cellStyle name="Ввод  2 10 3 3 3" xfId="26050"/>
    <cellStyle name="Ввод  2 10 3 3 3 2" xfId="41411"/>
    <cellStyle name="Ввод  2 10 3 3 4" xfId="15526"/>
    <cellStyle name="Ввод  2 10 3 3 5" xfId="31001"/>
    <cellStyle name="Ввод  2 10 3 4" xfId="6999"/>
    <cellStyle name="Ввод  2 10 3 4 2" xfId="17901"/>
    <cellStyle name="Ввод  2 10 3 4 3" xfId="33262"/>
    <cellStyle name="Ввод  2 10 3 5" xfId="22887"/>
    <cellStyle name="Ввод  2 10 3 5 2" xfId="38248"/>
    <cellStyle name="Ввод  2 10 3 6" xfId="12338"/>
    <cellStyle name="Ввод  2 10 3 7" xfId="27838"/>
    <cellStyle name="Ввод  2 10 4" xfId="1102"/>
    <cellStyle name="Ввод  2 10 4 2" xfId="6358"/>
    <cellStyle name="Ввод  2 10 4 2 2" xfId="16505"/>
    <cellStyle name="Ввод  2 10 4 2 3" xfId="31972"/>
    <cellStyle name="Ввод  2 10 4 3" xfId="22246"/>
    <cellStyle name="Ввод  2 10 4 3 2" xfId="37607"/>
    <cellStyle name="Ввод  2 10 4 4" xfId="11684"/>
    <cellStyle name="Ввод  2 10 4 5" xfId="27197"/>
    <cellStyle name="Ввод  2 10 5" xfId="3154"/>
    <cellStyle name="Ввод  2 10 5 2" xfId="8349"/>
    <cellStyle name="Ввод  2 10 5 2 2" xfId="19275"/>
    <cellStyle name="Ввод  2 10 5 2 3" xfId="34636"/>
    <cellStyle name="Ввод  2 10 5 3" xfId="24237"/>
    <cellStyle name="Ввод  2 10 5 3 2" xfId="39598"/>
    <cellStyle name="Ввод  2 10 5 4" xfId="13712"/>
    <cellStyle name="Ввод  2 10 5 5" xfId="29188"/>
    <cellStyle name="Ввод  2 10 6" xfId="3931"/>
    <cellStyle name="Ввод  2 10 6 2" xfId="9118"/>
    <cellStyle name="Ввод  2 10 6 2 2" xfId="20045"/>
    <cellStyle name="Ввод  2 10 6 2 3" xfId="35406"/>
    <cellStyle name="Ввод  2 10 6 3" xfId="25006"/>
    <cellStyle name="Ввод  2 10 6 3 2" xfId="40367"/>
    <cellStyle name="Ввод  2 10 6 4" xfId="14482"/>
    <cellStyle name="Ввод  2 10 6 5" xfId="29957"/>
    <cellStyle name="Ввод  2 10 7" xfId="3958"/>
    <cellStyle name="Ввод  2 10 7 2" xfId="9145"/>
    <cellStyle name="Ввод  2 10 7 2 2" xfId="20072"/>
    <cellStyle name="Ввод  2 10 7 2 3" xfId="35433"/>
    <cellStyle name="Ввод  2 10 7 3" xfId="25033"/>
    <cellStyle name="Ввод  2 10 7 3 2" xfId="40394"/>
    <cellStyle name="Ввод  2 10 7 4" xfId="14509"/>
    <cellStyle name="Ввод  2 10 7 5" xfId="29984"/>
    <cellStyle name="Ввод  2 10 8" xfId="4813"/>
    <cellStyle name="Ввод  2 10 8 2" xfId="10000"/>
    <cellStyle name="Ввод  2 10 8 2 2" xfId="20927"/>
    <cellStyle name="Ввод  2 10 8 2 3" xfId="36288"/>
    <cellStyle name="Ввод  2 10 8 3" xfId="25888"/>
    <cellStyle name="Ввод  2 10 8 3 2" xfId="41249"/>
    <cellStyle name="Ввод  2 10 8 4" xfId="15364"/>
    <cellStyle name="Ввод  2 10 8 5" xfId="30839"/>
    <cellStyle name="Ввод  2 10 9" xfId="5638"/>
    <cellStyle name="Ввод  2 10 9 2" xfId="17253"/>
    <cellStyle name="Ввод  2 10 9 3" xfId="32720"/>
    <cellStyle name="Ввод  2 11" xfId="248"/>
    <cellStyle name="Ввод  2 11 10" xfId="17256"/>
    <cellStyle name="Ввод  2 11 10 2" xfId="32723"/>
    <cellStyle name="Ввод  2 11 11" xfId="10934"/>
    <cellStyle name="Ввод  2 11 12" xfId="13356"/>
    <cellStyle name="Ввод  2 11 2" xfId="938"/>
    <cellStyle name="Ввод  2 11 2 10" xfId="11522"/>
    <cellStyle name="Ввод  2 11 2 11" xfId="27039"/>
    <cellStyle name="Ввод  2 11 2 2" xfId="1170"/>
    <cellStyle name="Ввод  2 11 2 2 2" xfId="1425"/>
    <cellStyle name="Ввод  2 11 2 2 2 2" xfId="6673"/>
    <cellStyle name="Ввод  2 11 2 2 2 2 2" xfId="16185"/>
    <cellStyle name="Ввод  2 11 2 2 2 2 3" xfId="31652"/>
    <cellStyle name="Ввод  2 11 2 2 2 3" xfId="22561"/>
    <cellStyle name="Ввод  2 11 2 2 2 3 2" xfId="37922"/>
    <cellStyle name="Ввод  2 11 2 2 2 4" xfId="12004"/>
    <cellStyle name="Ввод  2 11 2 2 2 5" xfId="27512"/>
    <cellStyle name="Ввод  2 11 2 2 3" xfId="4981"/>
    <cellStyle name="Ввод  2 11 2 2 3 2" xfId="10164"/>
    <cellStyle name="Ввод  2 11 2 2 3 2 2" xfId="21090"/>
    <cellStyle name="Ввод  2 11 2 2 3 2 3" xfId="36451"/>
    <cellStyle name="Ввод  2 11 2 2 3 3" xfId="26051"/>
    <cellStyle name="Ввод  2 11 2 2 3 3 2" xfId="41412"/>
    <cellStyle name="Ввод  2 11 2 2 3 4" xfId="15527"/>
    <cellStyle name="Ввод  2 11 2 2 3 5" xfId="31002"/>
    <cellStyle name="Ввод  2 11 2 2 4" xfId="6424"/>
    <cellStyle name="Ввод  2 11 2 2 4 2" xfId="16438"/>
    <cellStyle name="Ввод  2 11 2 2 4 3" xfId="31905"/>
    <cellStyle name="Ввод  2 11 2 2 5" xfId="22312"/>
    <cellStyle name="Ввод  2 11 2 2 5 2" xfId="37673"/>
    <cellStyle name="Ввод  2 11 2 2 6" xfId="11751"/>
    <cellStyle name="Ввод  2 11 2 2 7" xfId="27263"/>
    <cellStyle name="Ввод  2 11 2 3" xfId="2344"/>
    <cellStyle name="Ввод  2 11 2 3 2" xfId="7580"/>
    <cellStyle name="Ввод  2 11 2 3 2 2" xfId="18482"/>
    <cellStyle name="Ввод  2 11 2 3 2 3" xfId="33843"/>
    <cellStyle name="Ввод  2 11 2 3 3" xfId="23468"/>
    <cellStyle name="Ввод  2 11 2 3 3 2" xfId="38829"/>
    <cellStyle name="Ввод  2 11 2 3 4" xfId="12919"/>
    <cellStyle name="Ввод  2 11 2 3 5" xfId="28419"/>
    <cellStyle name="Ввод  2 11 2 4" xfId="3487"/>
    <cellStyle name="Ввод  2 11 2 4 2" xfId="8674"/>
    <cellStyle name="Ввод  2 11 2 4 2 2" xfId="19601"/>
    <cellStyle name="Ввод  2 11 2 4 2 3" xfId="34962"/>
    <cellStyle name="Ввод  2 11 2 4 3" xfId="24562"/>
    <cellStyle name="Ввод  2 11 2 4 3 2" xfId="39923"/>
    <cellStyle name="Ввод  2 11 2 4 4" xfId="14038"/>
    <cellStyle name="Ввод  2 11 2 4 5" xfId="29513"/>
    <cellStyle name="Ввод  2 11 2 5" xfId="3692"/>
    <cellStyle name="Ввод  2 11 2 5 2" xfId="8879"/>
    <cellStyle name="Ввод  2 11 2 5 2 2" xfId="19806"/>
    <cellStyle name="Ввод  2 11 2 5 2 3" xfId="35167"/>
    <cellStyle name="Ввод  2 11 2 5 3" xfId="24767"/>
    <cellStyle name="Ввод  2 11 2 5 3 2" xfId="40128"/>
    <cellStyle name="Ввод  2 11 2 5 4" xfId="14243"/>
    <cellStyle name="Ввод  2 11 2 5 5" xfId="29718"/>
    <cellStyle name="Ввод  2 11 2 6" xfId="4392"/>
    <cellStyle name="Ввод  2 11 2 6 2" xfId="9579"/>
    <cellStyle name="Ввод  2 11 2 6 2 2" xfId="20506"/>
    <cellStyle name="Ввод  2 11 2 6 2 3" xfId="35867"/>
    <cellStyle name="Ввод  2 11 2 6 3" xfId="25467"/>
    <cellStyle name="Ввод  2 11 2 6 3 2" xfId="40828"/>
    <cellStyle name="Ввод  2 11 2 6 4" xfId="14943"/>
    <cellStyle name="Ввод  2 11 2 6 5" xfId="30418"/>
    <cellStyle name="Ввод  2 11 2 7" xfId="4443"/>
    <cellStyle name="Ввод  2 11 2 7 2" xfId="9630"/>
    <cellStyle name="Ввод  2 11 2 7 2 2" xfId="20557"/>
    <cellStyle name="Ввод  2 11 2 7 2 3" xfId="35918"/>
    <cellStyle name="Ввод  2 11 2 7 3" xfId="25518"/>
    <cellStyle name="Ввод  2 11 2 7 3 2" xfId="40879"/>
    <cellStyle name="Ввод  2 11 2 7 4" xfId="14994"/>
    <cellStyle name="Ввод  2 11 2 7 5" xfId="30469"/>
    <cellStyle name="Ввод  2 11 2 8" xfId="6200"/>
    <cellStyle name="Ввод  2 11 2 8 2" xfId="16667"/>
    <cellStyle name="Ввод  2 11 2 8 3" xfId="32134"/>
    <cellStyle name="Ввод  2 11 2 9" xfId="22088"/>
    <cellStyle name="Ввод  2 11 2 9 2" xfId="37449"/>
    <cellStyle name="Ввод  2 11 3" xfId="1477"/>
    <cellStyle name="Ввод  2 11 3 2" xfId="2783"/>
    <cellStyle name="Ввод  2 11 3 2 2" xfId="8012"/>
    <cellStyle name="Ввод  2 11 3 2 2 2" xfId="18916"/>
    <cellStyle name="Ввод  2 11 3 2 2 3" xfId="34277"/>
    <cellStyle name="Ввод  2 11 3 2 3" xfId="23900"/>
    <cellStyle name="Ввод  2 11 3 2 3 2" xfId="39261"/>
    <cellStyle name="Ввод  2 11 3 2 4" xfId="13353"/>
    <cellStyle name="Ввод  2 11 3 2 5" xfId="28851"/>
    <cellStyle name="Ввод  2 11 3 3" xfId="4982"/>
    <cellStyle name="Ввод  2 11 3 3 2" xfId="10165"/>
    <cellStyle name="Ввод  2 11 3 3 2 2" xfId="21091"/>
    <cellStyle name="Ввод  2 11 3 3 2 3" xfId="36452"/>
    <cellStyle name="Ввод  2 11 3 3 3" xfId="26052"/>
    <cellStyle name="Ввод  2 11 3 3 3 2" xfId="41413"/>
    <cellStyle name="Ввод  2 11 3 3 4" xfId="15528"/>
    <cellStyle name="Ввод  2 11 3 3 5" xfId="31003"/>
    <cellStyle name="Ввод  2 11 3 4" xfId="6724"/>
    <cellStyle name="Ввод  2 11 3 4 2" xfId="16134"/>
    <cellStyle name="Ввод  2 11 3 4 3" xfId="31601"/>
    <cellStyle name="Ввод  2 11 3 5" xfId="22612"/>
    <cellStyle name="Ввод  2 11 3 5 2" xfId="37973"/>
    <cellStyle name="Ввод  2 11 3 6" xfId="12055"/>
    <cellStyle name="Ввод  2 11 3 7" xfId="27563"/>
    <cellStyle name="Ввод  2 11 4" xfId="1547"/>
    <cellStyle name="Ввод  2 11 4 2" xfId="6794"/>
    <cellStyle name="Ввод  2 11 4 2 2" xfId="17689"/>
    <cellStyle name="Ввод  2 11 4 2 3" xfId="33050"/>
    <cellStyle name="Ввод  2 11 4 3" xfId="22682"/>
    <cellStyle name="Ввод  2 11 4 3 2" xfId="38043"/>
    <cellStyle name="Ввод  2 11 4 4" xfId="12125"/>
    <cellStyle name="Ввод  2 11 4 5" xfId="27633"/>
    <cellStyle name="Ввод  2 11 5" xfId="3153"/>
    <cellStyle name="Ввод  2 11 5 2" xfId="8348"/>
    <cellStyle name="Ввод  2 11 5 2 2" xfId="19274"/>
    <cellStyle name="Ввод  2 11 5 2 3" xfId="34635"/>
    <cellStyle name="Ввод  2 11 5 3" xfId="24236"/>
    <cellStyle name="Ввод  2 11 5 3 2" xfId="39597"/>
    <cellStyle name="Ввод  2 11 5 4" xfId="13711"/>
    <cellStyle name="Ввод  2 11 5 5" xfId="29187"/>
    <cellStyle name="Ввод  2 11 6" xfId="3379"/>
    <cellStyle name="Ввод  2 11 6 2" xfId="8573"/>
    <cellStyle name="Ввод  2 11 6 2 2" xfId="19500"/>
    <cellStyle name="Ввод  2 11 6 2 3" xfId="34861"/>
    <cellStyle name="Ввод  2 11 6 3" xfId="24461"/>
    <cellStyle name="Ввод  2 11 6 3 2" xfId="39822"/>
    <cellStyle name="Ввод  2 11 6 4" xfId="13937"/>
    <cellStyle name="Ввод  2 11 6 5" xfId="29412"/>
    <cellStyle name="Ввод  2 11 7" xfId="3957"/>
    <cellStyle name="Ввод  2 11 7 2" xfId="9144"/>
    <cellStyle name="Ввод  2 11 7 2 2" xfId="20071"/>
    <cellStyle name="Ввод  2 11 7 2 3" xfId="35432"/>
    <cellStyle name="Ввод  2 11 7 3" xfId="25032"/>
    <cellStyle name="Ввод  2 11 7 3 2" xfId="40393"/>
    <cellStyle name="Ввод  2 11 7 4" xfId="14508"/>
    <cellStyle name="Ввод  2 11 7 5" xfId="29983"/>
    <cellStyle name="Ввод  2 11 8" xfId="4808"/>
    <cellStyle name="Ввод  2 11 8 2" xfId="9995"/>
    <cellStyle name="Ввод  2 11 8 2 2" xfId="20922"/>
    <cellStyle name="Ввод  2 11 8 2 3" xfId="36283"/>
    <cellStyle name="Ввод  2 11 8 3" xfId="25883"/>
    <cellStyle name="Ввод  2 11 8 3 2" xfId="41244"/>
    <cellStyle name="Ввод  2 11 8 4" xfId="15359"/>
    <cellStyle name="Ввод  2 11 8 5" xfId="30834"/>
    <cellStyle name="Ввод  2 11 9" xfId="5639"/>
    <cellStyle name="Ввод  2 11 9 2" xfId="17252"/>
    <cellStyle name="Ввод  2 11 9 3" xfId="32719"/>
    <cellStyle name="Ввод  2 12" xfId="249"/>
    <cellStyle name="Ввод  2 12 10" xfId="17257"/>
    <cellStyle name="Ввод  2 12 10 2" xfId="32724"/>
    <cellStyle name="Ввод  2 12 11" xfId="10935"/>
    <cellStyle name="Ввод  2 12 12" xfId="10930"/>
    <cellStyle name="Ввод  2 12 2" xfId="937"/>
    <cellStyle name="Ввод  2 12 2 10" xfId="11521"/>
    <cellStyle name="Ввод  2 12 2 11" xfId="27038"/>
    <cellStyle name="Ввод  2 12 2 2" xfId="98"/>
    <cellStyle name="Ввод  2 12 2 2 2" xfId="2859"/>
    <cellStyle name="Ввод  2 12 2 2 2 2" xfId="8067"/>
    <cellStyle name="Ввод  2 12 2 2 2 2 2" xfId="18987"/>
    <cellStyle name="Ввод  2 12 2 2 2 2 3" xfId="34348"/>
    <cellStyle name="Ввод  2 12 2 2 2 3" xfId="23955"/>
    <cellStyle name="Ввод  2 12 2 2 2 3 2" xfId="39316"/>
    <cellStyle name="Ввод  2 12 2 2 2 4" xfId="13424"/>
    <cellStyle name="Ввод  2 12 2 2 2 5" xfId="28906"/>
    <cellStyle name="Ввод  2 12 2 2 3" xfId="4983"/>
    <cellStyle name="Ввод  2 12 2 2 3 2" xfId="10166"/>
    <cellStyle name="Ввод  2 12 2 2 3 2 2" xfId="21092"/>
    <cellStyle name="Ввод  2 12 2 2 3 2 3" xfId="36453"/>
    <cellStyle name="Ввод  2 12 2 2 3 3" xfId="26053"/>
    <cellStyle name="Ввод  2 12 2 2 3 3 2" xfId="41414"/>
    <cellStyle name="Ввод  2 12 2 2 3 4" xfId="15529"/>
    <cellStyle name="Ввод  2 12 2 2 3 5" xfId="31004"/>
    <cellStyle name="Ввод  2 12 2 2 4" xfId="5624"/>
    <cellStyle name="Ввод  2 12 2 2 4 2" xfId="17373"/>
    <cellStyle name="Ввод  2 12 2 2 4 3" xfId="32840"/>
    <cellStyle name="Ввод  2 12 2 2 5" xfId="17421"/>
    <cellStyle name="Ввод  2 12 2 2 5 2" xfId="32888"/>
    <cellStyle name="Ввод  2 12 2 2 6" xfId="10812"/>
    <cellStyle name="Ввод  2 12 2 2 7" xfId="10764"/>
    <cellStyle name="Ввод  2 12 2 3" xfId="2343"/>
    <cellStyle name="Ввод  2 12 2 3 2" xfId="7579"/>
    <cellStyle name="Ввод  2 12 2 3 2 2" xfId="18481"/>
    <cellStyle name="Ввод  2 12 2 3 2 3" xfId="33842"/>
    <cellStyle name="Ввод  2 12 2 3 3" xfId="23467"/>
    <cellStyle name="Ввод  2 12 2 3 3 2" xfId="38828"/>
    <cellStyle name="Ввод  2 12 2 3 4" xfId="12918"/>
    <cellStyle name="Ввод  2 12 2 3 5" xfId="28418"/>
    <cellStyle name="Ввод  2 12 2 4" xfId="3486"/>
    <cellStyle name="Ввод  2 12 2 4 2" xfId="8673"/>
    <cellStyle name="Ввод  2 12 2 4 2 2" xfId="19600"/>
    <cellStyle name="Ввод  2 12 2 4 2 3" xfId="34961"/>
    <cellStyle name="Ввод  2 12 2 4 3" xfId="24561"/>
    <cellStyle name="Ввод  2 12 2 4 3 2" xfId="39922"/>
    <cellStyle name="Ввод  2 12 2 4 4" xfId="14037"/>
    <cellStyle name="Ввод  2 12 2 4 5" xfId="29512"/>
    <cellStyle name="Ввод  2 12 2 5" xfId="3732"/>
    <cellStyle name="Ввод  2 12 2 5 2" xfId="8919"/>
    <cellStyle name="Ввод  2 12 2 5 2 2" xfId="19846"/>
    <cellStyle name="Ввод  2 12 2 5 2 3" xfId="35207"/>
    <cellStyle name="Ввод  2 12 2 5 3" xfId="24807"/>
    <cellStyle name="Ввод  2 12 2 5 3 2" xfId="40168"/>
    <cellStyle name="Ввод  2 12 2 5 4" xfId="14283"/>
    <cellStyle name="Ввод  2 12 2 5 5" xfId="29758"/>
    <cellStyle name="Ввод  2 12 2 6" xfId="4391"/>
    <cellStyle name="Ввод  2 12 2 6 2" xfId="9578"/>
    <cellStyle name="Ввод  2 12 2 6 2 2" xfId="20505"/>
    <cellStyle name="Ввод  2 12 2 6 2 3" xfId="35866"/>
    <cellStyle name="Ввод  2 12 2 6 3" xfId="25466"/>
    <cellStyle name="Ввод  2 12 2 6 3 2" xfId="40827"/>
    <cellStyle name="Ввод  2 12 2 6 4" xfId="14942"/>
    <cellStyle name="Ввод  2 12 2 6 5" xfId="30417"/>
    <cellStyle name="Ввод  2 12 2 7" xfId="4444"/>
    <cellStyle name="Ввод  2 12 2 7 2" xfId="9631"/>
    <cellStyle name="Ввод  2 12 2 7 2 2" xfId="20558"/>
    <cellStyle name="Ввод  2 12 2 7 2 3" xfId="35919"/>
    <cellStyle name="Ввод  2 12 2 7 3" xfId="25519"/>
    <cellStyle name="Ввод  2 12 2 7 3 2" xfId="40880"/>
    <cellStyle name="Ввод  2 12 2 7 4" xfId="14995"/>
    <cellStyle name="Ввод  2 12 2 7 5" xfId="30470"/>
    <cellStyle name="Ввод  2 12 2 8" xfId="6199"/>
    <cellStyle name="Ввод  2 12 2 8 2" xfId="16668"/>
    <cellStyle name="Ввод  2 12 2 8 3" xfId="32135"/>
    <cellStyle name="Ввод  2 12 2 9" xfId="22087"/>
    <cellStyle name="Ввод  2 12 2 9 2" xfId="37448"/>
    <cellStyle name="Ввод  2 12 3" xfId="1689"/>
    <cellStyle name="Ввод  2 12 3 2" xfId="2782"/>
    <cellStyle name="Ввод  2 12 3 2 2" xfId="8011"/>
    <cellStyle name="Ввод  2 12 3 2 2 2" xfId="18915"/>
    <cellStyle name="Ввод  2 12 3 2 2 3" xfId="34276"/>
    <cellStyle name="Ввод  2 12 3 2 3" xfId="23899"/>
    <cellStyle name="Ввод  2 12 3 2 3 2" xfId="39260"/>
    <cellStyle name="Ввод  2 12 3 2 4" xfId="13352"/>
    <cellStyle name="Ввод  2 12 3 2 5" xfId="28850"/>
    <cellStyle name="Ввод  2 12 3 3" xfId="4984"/>
    <cellStyle name="Ввод  2 12 3 3 2" xfId="10167"/>
    <cellStyle name="Ввод  2 12 3 3 2 2" xfId="21093"/>
    <cellStyle name="Ввод  2 12 3 3 2 3" xfId="36454"/>
    <cellStyle name="Ввод  2 12 3 3 3" xfId="26054"/>
    <cellStyle name="Ввод  2 12 3 3 3 2" xfId="41415"/>
    <cellStyle name="Ввод  2 12 3 3 4" xfId="15530"/>
    <cellStyle name="Ввод  2 12 3 3 5" xfId="31005"/>
    <cellStyle name="Ввод  2 12 3 4" xfId="6933"/>
    <cellStyle name="Ввод  2 12 3 4 2" xfId="17831"/>
    <cellStyle name="Ввод  2 12 3 4 3" xfId="33192"/>
    <cellStyle name="Ввод  2 12 3 5" xfId="22821"/>
    <cellStyle name="Ввод  2 12 3 5 2" xfId="38182"/>
    <cellStyle name="Ввод  2 12 3 6" xfId="12267"/>
    <cellStyle name="Ввод  2 12 3 7" xfId="27772"/>
    <cellStyle name="Ввод  2 12 4" xfId="1255"/>
    <cellStyle name="Ввод  2 12 4 2" xfId="6508"/>
    <cellStyle name="Ввод  2 12 4 2 2" xfId="16353"/>
    <cellStyle name="Ввод  2 12 4 2 3" xfId="31820"/>
    <cellStyle name="Ввод  2 12 4 3" xfId="22396"/>
    <cellStyle name="Ввод  2 12 4 3 2" xfId="37757"/>
    <cellStyle name="Ввод  2 12 4 4" xfId="11836"/>
    <cellStyle name="Ввод  2 12 4 5" xfId="27347"/>
    <cellStyle name="Ввод  2 12 5" xfId="3150"/>
    <cellStyle name="Ввод  2 12 5 2" xfId="8345"/>
    <cellStyle name="Ввод  2 12 5 2 2" xfId="19271"/>
    <cellStyle name="Ввод  2 12 5 2 3" xfId="34632"/>
    <cellStyle name="Ввод  2 12 5 3" xfId="24233"/>
    <cellStyle name="Ввод  2 12 5 3 2" xfId="39594"/>
    <cellStyle name="Ввод  2 12 5 4" xfId="13708"/>
    <cellStyle name="Ввод  2 12 5 5" xfId="29184"/>
    <cellStyle name="Ввод  2 12 6" xfId="3229"/>
    <cellStyle name="Ввод  2 12 6 2" xfId="8424"/>
    <cellStyle name="Ввод  2 12 6 2 2" xfId="19350"/>
    <cellStyle name="Ввод  2 12 6 2 3" xfId="34711"/>
    <cellStyle name="Ввод  2 12 6 3" xfId="24312"/>
    <cellStyle name="Ввод  2 12 6 3 2" xfId="39673"/>
    <cellStyle name="Ввод  2 12 6 4" xfId="13787"/>
    <cellStyle name="Ввод  2 12 6 5" xfId="29263"/>
    <cellStyle name="Ввод  2 12 7" xfId="3870"/>
    <cellStyle name="Ввод  2 12 7 2" xfId="9057"/>
    <cellStyle name="Ввод  2 12 7 2 2" xfId="19984"/>
    <cellStyle name="Ввод  2 12 7 2 3" xfId="35345"/>
    <cellStyle name="Ввод  2 12 7 3" xfId="24945"/>
    <cellStyle name="Ввод  2 12 7 3 2" xfId="40306"/>
    <cellStyle name="Ввод  2 12 7 4" xfId="14421"/>
    <cellStyle name="Ввод  2 12 7 5" xfId="29896"/>
    <cellStyle name="Ввод  2 12 8" xfId="4814"/>
    <cellStyle name="Ввод  2 12 8 2" xfId="10001"/>
    <cellStyle name="Ввод  2 12 8 2 2" xfId="20928"/>
    <cellStyle name="Ввод  2 12 8 2 3" xfId="36289"/>
    <cellStyle name="Ввод  2 12 8 3" xfId="25889"/>
    <cellStyle name="Ввод  2 12 8 3 2" xfId="41250"/>
    <cellStyle name="Ввод  2 12 8 4" xfId="15365"/>
    <cellStyle name="Ввод  2 12 8 5" xfId="30840"/>
    <cellStyle name="Ввод  2 12 9" xfId="5640"/>
    <cellStyle name="Ввод  2 12 9 2" xfId="17251"/>
    <cellStyle name="Ввод  2 12 9 3" xfId="32718"/>
    <cellStyle name="Ввод  2 13" xfId="250"/>
    <cellStyle name="Ввод  2 13 10" xfId="17258"/>
    <cellStyle name="Ввод  2 13 10 2" xfId="32725"/>
    <cellStyle name="Ввод  2 13 11" xfId="10936"/>
    <cellStyle name="Ввод  2 13 12" xfId="10929"/>
    <cellStyle name="Ввод  2 13 2" xfId="936"/>
    <cellStyle name="Ввод  2 13 2 10" xfId="11520"/>
    <cellStyle name="Ввод  2 13 2 11" xfId="27037"/>
    <cellStyle name="Ввод  2 13 2 2" xfId="1328"/>
    <cellStyle name="Ввод  2 13 2 2 2" xfId="2860"/>
    <cellStyle name="Ввод  2 13 2 2 2 2" xfId="8068"/>
    <cellStyle name="Ввод  2 13 2 2 2 2 2" xfId="18988"/>
    <cellStyle name="Ввод  2 13 2 2 2 2 3" xfId="34349"/>
    <cellStyle name="Ввод  2 13 2 2 2 3" xfId="23956"/>
    <cellStyle name="Ввод  2 13 2 2 2 3 2" xfId="39317"/>
    <cellStyle name="Ввод  2 13 2 2 2 4" xfId="13425"/>
    <cellStyle name="Ввод  2 13 2 2 2 5" xfId="28907"/>
    <cellStyle name="Ввод  2 13 2 2 3" xfId="4985"/>
    <cellStyle name="Ввод  2 13 2 2 3 2" xfId="10168"/>
    <cellStyle name="Ввод  2 13 2 2 3 2 2" xfId="21094"/>
    <cellStyle name="Ввод  2 13 2 2 3 2 3" xfId="36455"/>
    <cellStyle name="Ввод  2 13 2 2 3 3" xfId="26055"/>
    <cellStyle name="Ввод  2 13 2 2 3 3 2" xfId="41416"/>
    <cellStyle name="Ввод  2 13 2 2 3 4" xfId="15531"/>
    <cellStyle name="Ввод  2 13 2 2 3 5" xfId="31006"/>
    <cellStyle name="Ввод  2 13 2 2 4" xfId="6581"/>
    <cellStyle name="Ввод  2 13 2 2 4 2" xfId="16280"/>
    <cellStyle name="Ввод  2 13 2 2 4 3" xfId="31747"/>
    <cellStyle name="Ввод  2 13 2 2 5" xfId="22469"/>
    <cellStyle name="Ввод  2 13 2 2 5 2" xfId="37830"/>
    <cellStyle name="Ввод  2 13 2 2 6" xfId="11909"/>
    <cellStyle name="Ввод  2 13 2 2 7" xfId="27420"/>
    <cellStyle name="Ввод  2 13 2 3" xfId="2342"/>
    <cellStyle name="Ввод  2 13 2 3 2" xfId="7578"/>
    <cellStyle name="Ввод  2 13 2 3 2 2" xfId="18480"/>
    <cellStyle name="Ввод  2 13 2 3 2 3" xfId="33841"/>
    <cellStyle name="Ввод  2 13 2 3 3" xfId="23466"/>
    <cellStyle name="Ввод  2 13 2 3 3 2" xfId="38827"/>
    <cellStyle name="Ввод  2 13 2 3 4" xfId="12917"/>
    <cellStyle name="Ввод  2 13 2 3 5" xfId="28417"/>
    <cellStyle name="Ввод  2 13 2 4" xfId="3485"/>
    <cellStyle name="Ввод  2 13 2 4 2" xfId="8672"/>
    <cellStyle name="Ввод  2 13 2 4 2 2" xfId="19599"/>
    <cellStyle name="Ввод  2 13 2 4 2 3" xfId="34960"/>
    <cellStyle name="Ввод  2 13 2 4 3" xfId="24560"/>
    <cellStyle name="Ввод  2 13 2 4 3 2" xfId="39921"/>
    <cellStyle name="Ввод  2 13 2 4 4" xfId="14036"/>
    <cellStyle name="Ввод  2 13 2 4 5" xfId="29511"/>
    <cellStyle name="Ввод  2 13 2 5" xfId="3691"/>
    <cellStyle name="Ввод  2 13 2 5 2" xfId="8878"/>
    <cellStyle name="Ввод  2 13 2 5 2 2" xfId="19805"/>
    <cellStyle name="Ввод  2 13 2 5 2 3" xfId="35166"/>
    <cellStyle name="Ввод  2 13 2 5 3" xfId="24766"/>
    <cellStyle name="Ввод  2 13 2 5 3 2" xfId="40127"/>
    <cellStyle name="Ввод  2 13 2 5 4" xfId="14242"/>
    <cellStyle name="Ввод  2 13 2 5 5" xfId="29717"/>
    <cellStyle name="Ввод  2 13 2 6" xfId="4390"/>
    <cellStyle name="Ввод  2 13 2 6 2" xfId="9577"/>
    <cellStyle name="Ввод  2 13 2 6 2 2" xfId="20504"/>
    <cellStyle name="Ввод  2 13 2 6 2 3" xfId="35865"/>
    <cellStyle name="Ввод  2 13 2 6 3" xfId="25465"/>
    <cellStyle name="Ввод  2 13 2 6 3 2" xfId="40826"/>
    <cellStyle name="Ввод  2 13 2 6 4" xfId="14941"/>
    <cellStyle name="Ввод  2 13 2 6 5" xfId="30416"/>
    <cellStyle name="Ввод  2 13 2 7" xfId="4445"/>
    <cellStyle name="Ввод  2 13 2 7 2" xfId="9632"/>
    <cellStyle name="Ввод  2 13 2 7 2 2" xfId="20559"/>
    <cellStyle name="Ввод  2 13 2 7 2 3" xfId="35920"/>
    <cellStyle name="Ввод  2 13 2 7 3" xfId="25520"/>
    <cellStyle name="Ввод  2 13 2 7 3 2" xfId="40881"/>
    <cellStyle name="Ввод  2 13 2 7 4" xfId="14996"/>
    <cellStyle name="Ввод  2 13 2 7 5" xfId="30471"/>
    <cellStyle name="Ввод  2 13 2 8" xfId="6198"/>
    <cellStyle name="Ввод  2 13 2 8 2" xfId="16669"/>
    <cellStyle name="Ввод  2 13 2 8 3" xfId="32136"/>
    <cellStyle name="Ввод  2 13 2 9" xfId="22086"/>
    <cellStyle name="Ввод  2 13 2 9 2" xfId="37447"/>
    <cellStyle name="Ввод  2 13 3" xfId="1222"/>
    <cellStyle name="Ввод  2 13 3 2" xfId="2781"/>
    <cellStyle name="Ввод  2 13 3 2 2" xfId="8010"/>
    <cellStyle name="Ввод  2 13 3 2 2 2" xfId="18914"/>
    <cellStyle name="Ввод  2 13 3 2 2 3" xfId="34275"/>
    <cellStyle name="Ввод  2 13 3 2 3" xfId="23898"/>
    <cellStyle name="Ввод  2 13 3 2 3 2" xfId="39259"/>
    <cellStyle name="Ввод  2 13 3 2 4" xfId="13351"/>
    <cellStyle name="Ввод  2 13 3 2 5" xfId="28849"/>
    <cellStyle name="Ввод  2 13 3 3" xfId="4986"/>
    <cellStyle name="Ввод  2 13 3 3 2" xfId="10169"/>
    <cellStyle name="Ввод  2 13 3 3 2 2" xfId="21095"/>
    <cellStyle name="Ввод  2 13 3 3 2 3" xfId="36456"/>
    <cellStyle name="Ввод  2 13 3 3 3" xfId="26056"/>
    <cellStyle name="Ввод  2 13 3 3 3 2" xfId="41417"/>
    <cellStyle name="Ввод  2 13 3 3 4" xfId="15532"/>
    <cellStyle name="Ввод  2 13 3 3 5" xfId="31007"/>
    <cellStyle name="Ввод  2 13 3 4" xfId="6475"/>
    <cellStyle name="Ввод  2 13 3 4 2" xfId="16386"/>
    <cellStyle name="Ввод  2 13 3 4 3" xfId="31853"/>
    <cellStyle name="Ввод  2 13 3 5" xfId="22363"/>
    <cellStyle name="Ввод  2 13 3 5 2" xfId="37724"/>
    <cellStyle name="Ввод  2 13 3 6" xfId="11803"/>
    <cellStyle name="Ввод  2 13 3 7" xfId="27314"/>
    <cellStyle name="Ввод  2 13 4" xfId="1176"/>
    <cellStyle name="Ввод  2 13 4 2" xfId="6430"/>
    <cellStyle name="Ввод  2 13 4 2 2" xfId="16432"/>
    <cellStyle name="Ввод  2 13 4 2 3" xfId="31899"/>
    <cellStyle name="Ввод  2 13 4 3" xfId="22318"/>
    <cellStyle name="Ввод  2 13 4 3 2" xfId="37679"/>
    <cellStyle name="Ввод  2 13 4 4" xfId="11757"/>
    <cellStyle name="Ввод  2 13 4 5" xfId="27269"/>
    <cellStyle name="Ввод  2 13 5" xfId="3147"/>
    <cellStyle name="Ввод  2 13 5 2" xfId="8342"/>
    <cellStyle name="Ввод  2 13 5 2 2" xfId="19268"/>
    <cellStyle name="Ввод  2 13 5 2 3" xfId="34629"/>
    <cellStyle name="Ввод  2 13 5 3" xfId="24230"/>
    <cellStyle name="Ввод  2 13 5 3 2" xfId="39591"/>
    <cellStyle name="Ввод  2 13 5 4" xfId="13705"/>
    <cellStyle name="Ввод  2 13 5 5" xfId="29181"/>
    <cellStyle name="Ввод  2 13 6" xfId="3868"/>
    <cellStyle name="Ввод  2 13 6 2" xfId="9055"/>
    <cellStyle name="Ввод  2 13 6 2 2" xfId="19982"/>
    <cellStyle name="Ввод  2 13 6 2 3" xfId="35343"/>
    <cellStyle name="Ввод  2 13 6 3" xfId="24943"/>
    <cellStyle name="Ввод  2 13 6 3 2" xfId="40304"/>
    <cellStyle name="Ввод  2 13 6 4" xfId="14419"/>
    <cellStyle name="Ввод  2 13 6 5" xfId="29894"/>
    <cellStyle name="Ввод  2 13 7" xfId="3234"/>
    <cellStyle name="Ввод  2 13 7 2" xfId="8429"/>
    <cellStyle name="Ввод  2 13 7 2 2" xfId="19355"/>
    <cellStyle name="Ввод  2 13 7 2 3" xfId="34716"/>
    <cellStyle name="Ввод  2 13 7 3" xfId="24317"/>
    <cellStyle name="Ввод  2 13 7 3 2" xfId="39678"/>
    <cellStyle name="Ввод  2 13 7 4" xfId="13792"/>
    <cellStyle name="Ввод  2 13 7 5" xfId="29268"/>
    <cellStyle name="Ввод  2 13 8" xfId="4807"/>
    <cellStyle name="Ввод  2 13 8 2" xfId="9994"/>
    <cellStyle name="Ввод  2 13 8 2 2" xfId="20921"/>
    <cellStyle name="Ввод  2 13 8 2 3" xfId="36282"/>
    <cellStyle name="Ввод  2 13 8 3" xfId="25882"/>
    <cellStyle name="Ввод  2 13 8 3 2" xfId="41243"/>
    <cellStyle name="Ввод  2 13 8 4" xfId="15358"/>
    <cellStyle name="Ввод  2 13 8 5" xfId="30833"/>
    <cellStyle name="Ввод  2 13 9" xfId="5641"/>
    <cellStyle name="Ввод  2 13 9 2" xfId="17250"/>
    <cellStyle name="Ввод  2 13 9 3" xfId="32717"/>
    <cellStyle name="Ввод  2 14" xfId="251"/>
    <cellStyle name="Ввод  2 14 10" xfId="17436"/>
    <cellStyle name="Ввод  2 14 10 2" xfId="32903"/>
    <cellStyle name="Ввод  2 14 11" xfId="10937"/>
    <cellStyle name="Ввод  2 14 12" xfId="10928"/>
    <cellStyle name="Ввод  2 14 2" xfId="935"/>
    <cellStyle name="Ввод  2 14 2 10" xfId="11519"/>
    <cellStyle name="Ввод  2 14 2 11" xfId="27036"/>
    <cellStyle name="Ввод  2 14 2 2" xfId="1446"/>
    <cellStyle name="Ввод  2 14 2 2 2" xfId="2780"/>
    <cellStyle name="Ввод  2 14 2 2 2 2" xfId="8009"/>
    <cellStyle name="Ввод  2 14 2 2 2 2 2" xfId="18913"/>
    <cellStyle name="Ввод  2 14 2 2 2 2 3" xfId="34274"/>
    <cellStyle name="Ввод  2 14 2 2 2 3" xfId="23897"/>
    <cellStyle name="Ввод  2 14 2 2 2 3 2" xfId="39258"/>
    <cellStyle name="Ввод  2 14 2 2 2 4" xfId="13350"/>
    <cellStyle name="Ввод  2 14 2 2 2 5" xfId="28848"/>
    <cellStyle name="Ввод  2 14 2 2 3" xfId="4987"/>
    <cellStyle name="Ввод  2 14 2 2 3 2" xfId="10170"/>
    <cellStyle name="Ввод  2 14 2 2 3 2 2" xfId="21096"/>
    <cellStyle name="Ввод  2 14 2 2 3 2 3" xfId="36457"/>
    <cellStyle name="Ввод  2 14 2 2 3 3" xfId="26057"/>
    <cellStyle name="Ввод  2 14 2 2 3 3 2" xfId="41418"/>
    <cellStyle name="Ввод  2 14 2 2 3 4" xfId="15533"/>
    <cellStyle name="Ввод  2 14 2 2 3 5" xfId="31008"/>
    <cellStyle name="Ввод  2 14 2 2 4" xfId="6693"/>
    <cellStyle name="Ввод  2 14 2 2 4 2" xfId="16165"/>
    <cellStyle name="Ввод  2 14 2 2 4 3" xfId="31632"/>
    <cellStyle name="Ввод  2 14 2 2 5" xfId="22581"/>
    <cellStyle name="Ввод  2 14 2 2 5 2" xfId="37942"/>
    <cellStyle name="Ввод  2 14 2 2 6" xfId="12024"/>
    <cellStyle name="Ввод  2 14 2 2 7" xfId="27532"/>
    <cellStyle name="Ввод  2 14 2 3" xfId="2341"/>
    <cellStyle name="Ввод  2 14 2 3 2" xfId="7577"/>
    <cellStyle name="Ввод  2 14 2 3 2 2" xfId="18479"/>
    <cellStyle name="Ввод  2 14 2 3 2 3" xfId="33840"/>
    <cellStyle name="Ввод  2 14 2 3 3" xfId="23465"/>
    <cellStyle name="Ввод  2 14 2 3 3 2" xfId="38826"/>
    <cellStyle name="Ввод  2 14 2 3 4" xfId="12916"/>
    <cellStyle name="Ввод  2 14 2 3 5" xfId="28416"/>
    <cellStyle name="Ввод  2 14 2 4" xfId="3484"/>
    <cellStyle name="Ввод  2 14 2 4 2" xfId="8671"/>
    <cellStyle name="Ввод  2 14 2 4 2 2" xfId="19598"/>
    <cellStyle name="Ввод  2 14 2 4 2 3" xfId="34959"/>
    <cellStyle name="Ввод  2 14 2 4 3" xfId="24559"/>
    <cellStyle name="Ввод  2 14 2 4 3 2" xfId="39920"/>
    <cellStyle name="Ввод  2 14 2 4 4" xfId="14035"/>
    <cellStyle name="Ввод  2 14 2 4 5" xfId="29510"/>
    <cellStyle name="Ввод  2 14 2 5" xfId="3733"/>
    <cellStyle name="Ввод  2 14 2 5 2" xfId="8920"/>
    <cellStyle name="Ввод  2 14 2 5 2 2" xfId="19847"/>
    <cellStyle name="Ввод  2 14 2 5 2 3" xfId="35208"/>
    <cellStyle name="Ввод  2 14 2 5 3" xfId="24808"/>
    <cellStyle name="Ввод  2 14 2 5 3 2" xfId="40169"/>
    <cellStyle name="Ввод  2 14 2 5 4" xfId="14284"/>
    <cellStyle name="Ввод  2 14 2 5 5" xfId="29759"/>
    <cellStyle name="Ввод  2 14 2 6" xfId="4389"/>
    <cellStyle name="Ввод  2 14 2 6 2" xfId="9576"/>
    <cellStyle name="Ввод  2 14 2 6 2 2" xfId="20503"/>
    <cellStyle name="Ввод  2 14 2 6 2 3" xfId="35864"/>
    <cellStyle name="Ввод  2 14 2 6 3" xfId="25464"/>
    <cellStyle name="Ввод  2 14 2 6 3 2" xfId="40825"/>
    <cellStyle name="Ввод  2 14 2 6 4" xfId="14940"/>
    <cellStyle name="Ввод  2 14 2 6 5" xfId="30415"/>
    <cellStyle name="Ввод  2 14 2 7" xfId="4446"/>
    <cellStyle name="Ввод  2 14 2 7 2" xfId="9633"/>
    <cellStyle name="Ввод  2 14 2 7 2 2" xfId="20560"/>
    <cellStyle name="Ввод  2 14 2 7 2 3" xfId="35921"/>
    <cellStyle name="Ввод  2 14 2 7 3" xfId="25521"/>
    <cellStyle name="Ввод  2 14 2 7 3 2" xfId="40882"/>
    <cellStyle name="Ввод  2 14 2 7 4" xfId="14997"/>
    <cellStyle name="Ввод  2 14 2 7 5" xfId="30472"/>
    <cellStyle name="Ввод  2 14 2 8" xfId="6197"/>
    <cellStyle name="Ввод  2 14 2 8 2" xfId="16670"/>
    <cellStyle name="Ввод  2 14 2 8 3" xfId="32137"/>
    <cellStyle name="Ввод  2 14 2 9" xfId="22085"/>
    <cellStyle name="Ввод  2 14 2 9 2" xfId="37446"/>
    <cellStyle name="Ввод  2 14 3" xfId="1004"/>
    <cellStyle name="Ввод  2 14 3 2" xfId="1719"/>
    <cellStyle name="Ввод  2 14 3 2 2" xfId="6959"/>
    <cellStyle name="Ввод  2 14 3 2 2 2" xfId="17860"/>
    <cellStyle name="Ввод  2 14 3 2 2 3" xfId="33221"/>
    <cellStyle name="Ввод  2 14 3 2 3" xfId="22847"/>
    <cellStyle name="Ввод  2 14 3 2 3 2" xfId="38208"/>
    <cellStyle name="Ввод  2 14 3 2 4" xfId="12297"/>
    <cellStyle name="Ввод  2 14 3 2 5" xfId="27798"/>
    <cellStyle name="Ввод  2 14 3 3" xfId="4988"/>
    <cellStyle name="Ввод  2 14 3 3 2" xfId="10171"/>
    <cellStyle name="Ввод  2 14 3 3 2 2" xfId="21097"/>
    <cellStyle name="Ввод  2 14 3 3 2 3" xfId="36458"/>
    <cellStyle name="Ввод  2 14 3 3 3" xfId="26058"/>
    <cellStyle name="Ввод  2 14 3 3 3 2" xfId="41419"/>
    <cellStyle name="Ввод  2 14 3 3 4" xfId="15534"/>
    <cellStyle name="Ввод  2 14 3 3 5" xfId="31009"/>
    <cellStyle name="Ввод  2 14 3 4" xfId="6263"/>
    <cellStyle name="Ввод  2 14 3 4 2" xfId="16602"/>
    <cellStyle name="Ввод  2 14 3 4 3" xfId="32069"/>
    <cellStyle name="Ввод  2 14 3 5" xfId="22151"/>
    <cellStyle name="Ввод  2 14 3 5 2" xfId="37512"/>
    <cellStyle name="Ввод  2 14 3 6" xfId="11587"/>
    <cellStyle name="Ввод  2 14 3 7" xfId="27102"/>
    <cellStyle name="Ввод  2 14 4" xfId="1546"/>
    <cellStyle name="Ввод  2 14 4 2" xfId="6793"/>
    <cellStyle name="Ввод  2 14 4 2 2" xfId="17688"/>
    <cellStyle name="Ввод  2 14 4 2 3" xfId="33049"/>
    <cellStyle name="Ввод  2 14 4 3" xfId="22681"/>
    <cellStyle name="Ввод  2 14 4 3 2" xfId="38042"/>
    <cellStyle name="Ввод  2 14 4 4" xfId="12124"/>
    <cellStyle name="Ввод  2 14 4 5" xfId="27632"/>
    <cellStyle name="Ввод  2 14 5" xfId="3146"/>
    <cellStyle name="Ввод  2 14 5 2" xfId="8341"/>
    <cellStyle name="Ввод  2 14 5 2 2" xfId="19267"/>
    <cellStyle name="Ввод  2 14 5 2 3" xfId="34628"/>
    <cellStyle name="Ввод  2 14 5 3" xfId="24229"/>
    <cellStyle name="Ввод  2 14 5 3 2" xfId="39590"/>
    <cellStyle name="Ввод  2 14 5 4" xfId="13704"/>
    <cellStyle name="Ввод  2 14 5 5" xfId="29180"/>
    <cellStyle name="Ввод  2 14 6" xfId="3932"/>
    <cellStyle name="Ввод  2 14 6 2" xfId="9119"/>
    <cellStyle name="Ввод  2 14 6 2 2" xfId="20046"/>
    <cellStyle name="Ввод  2 14 6 2 3" xfId="35407"/>
    <cellStyle name="Ввод  2 14 6 3" xfId="25007"/>
    <cellStyle name="Ввод  2 14 6 3 2" xfId="40368"/>
    <cellStyle name="Ввод  2 14 6 4" xfId="14483"/>
    <cellStyle name="Ввод  2 14 6 5" xfId="29958"/>
    <cellStyle name="Ввод  2 14 7" xfId="3373"/>
    <cellStyle name="Ввод  2 14 7 2" xfId="8567"/>
    <cellStyle name="Ввод  2 14 7 2 2" xfId="19494"/>
    <cellStyle name="Ввод  2 14 7 2 3" xfId="34855"/>
    <cellStyle name="Ввод  2 14 7 3" xfId="24455"/>
    <cellStyle name="Ввод  2 14 7 3 2" xfId="39816"/>
    <cellStyle name="Ввод  2 14 7 4" xfId="13931"/>
    <cellStyle name="Ввод  2 14 7 5" xfId="29406"/>
    <cellStyle name="Ввод  2 14 8" xfId="4815"/>
    <cellStyle name="Ввод  2 14 8 2" xfId="10002"/>
    <cellStyle name="Ввод  2 14 8 2 2" xfId="20929"/>
    <cellStyle name="Ввод  2 14 8 2 3" xfId="36290"/>
    <cellStyle name="Ввод  2 14 8 3" xfId="25890"/>
    <cellStyle name="Ввод  2 14 8 3 2" xfId="41251"/>
    <cellStyle name="Ввод  2 14 8 4" xfId="15366"/>
    <cellStyle name="Ввод  2 14 8 5" xfId="30841"/>
    <cellStyle name="Ввод  2 14 9" xfId="5642"/>
    <cellStyle name="Ввод  2 14 9 2" xfId="17249"/>
    <cellStyle name="Ввод  2 14 9 3" xfId="32716"/>
    <cellStyle name="Ввод  2 15" xfId="252"/>
    <cellStyle name="Ввод  2 15 10" xfId="17437"/>
    <cellStyle name="Ввод  2 15 10 2" xfId="32904"/>
    <cellStyle name="Ввод  2 15 11" xfId="10938"/>
    <cellStyle name="Ввод  2 15 12" xfId="10927"/>
    <cellStyle name="Ввод  2 15 2" xfId="934"/>
    <cellStyle name="Ввод  2 15 2 10" xfId="11518"/>
    <cellStyle name="Ввод  2 15 2 11" xfId="27035"/>
    <cellStyle name="Ввод  2 15 2 2" xfId="1494"/>
    <cellStyle name="Ввод  2 15 2 2 2" xfId="1303"/>
    <cellStyle name="Ввод  2 15 2 2 2 2" xfId="6556"/>
    <cellStyle name="Ввод  2 15 2 2 2 2 2" xfId="16305"/>
    <cellStyle name="Ввод  2 15 2 2 2 2 3" xfId="31772"/>
    <cellStyle name="Ввод  2 15 2 2 2 3" xfId="22444"/>
    <cellStyle name="Ввод  2 15 2 2 2 3 2" xfId="37805"/>
    <cellStyle name="Ввод  2 15 2 2 2 4" xfId="11884"/>
    <cellStyle name="Ввод  2 15 2 2 2 5" xfId="27395"/>
    <cellStyle name="Ввод  2 15 2 2 3" xfId="4989"/>
    <cellStyle name="Ввод  2 15 2 2 3 2" xfId="10172"/>
    <cellStyle name="Ввод  2 15 2 2 3 2 2" xfId="21098"/>
    <cellStyle name="Ввод  2 15 2 2 3 2 3" xfId="36459"/>
    <cellStyle name="Ввод  2 15 2 2 3 3" xfId="26059"/>
    <cellStyle name="Ввод  2 15 2 2 3 3 2" xfId="41420"/>
    <cellStyle name="Ввод  2 15 2 2 3 4" xfId="15535"/>
    <cellStyle name="Ввод  2 15 2 2 3 5" xfId="31010"/>
    <cellStyle name="Ввод  2 15 2 2 4" xfId="6741"/>
    <cellStyle name="Ввод  2 15 2 2 4 2" xfId="16117"/>
    <cellStyle name="Ввод  2 15 2 2 4 3" xfId="31584"/>
    <cellStyle name="Ввод  2 15 2 2 5" xfId="22629"/>
    <cellStyle name="Ввод  2 15 2 2 5 2" xfId="37990"/>
    <cellStyle name="Ввод  2 15 2 2 6" xfId="12072"/>
    <cellStyle name="Ввод  2 15 2 2 7" xfId="27580"/>
    <cellStyle name="Ввод  2 15 2 3" xfId="2340"/>
    <cellStyle name="Ввод  2 15 2 3 2" xfId="7576"/>
    <cellStyle name="Ввод  2 15 2 3 2 2" xfId="18478"/>
    <cellStyle name="Ввод  2 15 2 3 2 3" xfId="33839"/>
    <cellStyle name="Ввод  2 15 2 3 3" xfId="23464"/>
    <cellStyle name="Ввод  2 15 2 3 3 2" xfId="38825"/>
    <cellStyle name="Ввод  2 15 2 3 4" xfId="12915"/>
    <cellStyle name="Ввод  2 15 2 3 5" xfId="28415"/>
    <cellStyle name="Ввод  2 15 2 4" xfId="3483"/>
    <cellStyle name="Ввод  2 15 2 4 2" xfId="8670"/>
    <cellStyle name="Ввод  2 15 2 4 2 2" xfId="19597"/>
    <cellStyle name="Ввод  2 15 2 4 2 3" xfId="34958"/>
    <cellStyle name="Ввод  2 15 2 4 3" xfId="24558"/>
    <cellStyle name="Ввод  2 15 2 4 3 2" xfId="39919"/>
    <cellStyle name="Ввод  2 15 2 4 4" xfId="14034"/>
    <cellStyle name="Ввод  2 15 2 4 5" xfId="29509"/>
    <cellStyle name="Ввод  2 15 2 5" xfId="3690"/>
    <cellStyle name="Ввод  2 15 2 5 2" xfId="8877"/>
    <cellStyle name="Ввод  2 15 2 5 2 2" xfId="19804"/>
    <cellStyle name="Ввод  2 15 2 5 2 3" xfId="35165"/>
    <cellStyle name="Ввод  2 15 2 5 3" xfId="24765"/>
    <cellStyle name="Ввод  2 15 2 5 3 2" xfId="40126"/>
    <cellStyle name="Ввод  2 15 2 5 4" xfId="14241"/>
    <cellStyle name="Ввод  2 15 2 5 5" xfId="29716"/>
    <cellStyle name="Ввод  2 15 2 6" xfId="4388"/>
    <cellStyle name="Ввод  2 15 2 6 2" xfId="9575"/>
    <cellStyle name="Ввод  2 15 2 6 2 2" xfId="20502"/>
    <cellStyle name="Ввод  2 15 2 6 2 3" xfId="35863"/>
    <cellStyle name="Ввод  2 15 2 6 3" xfId="25463"/>
    <cellStyle name="Ввод  2 15 2 6 3 2" xfId="40824"/>
    <cellStyle name="Ввод  2 15 2 6 4" xfId="14939"/>
    <cellStyle name="Ввод  2 15 2 6 5" xfId="30414"/>
    <cellStyle name="Ввод  2 15 2 7" xfId="4447"/>
    <cellStyle name="Ввод  2 15 2 7 2" xfId="9634"/>
    <cellStyle name="Ввод  2 15 2 7 2 2" xfId="20561"/>
    <cellStyle name="Ввод  2 15 2 7 2 3" xfId="35922"/>
    <cellStyle name="Ввод  2 15 2 7 3" xfId="25522"/>
    <cellStyle name="Ввод  2 15 2 7 3 2" xfId="40883"/>
    <cellStyle name="Ввод  2 15 2 7 4" xfId="14998"/>
    <cellStyle name="Ввод  2 15 2 7 5" xfId="30473"/>
    <cellStyle name="Ввод  2 15 2 8" xfId="6196"/>
    <cellStyle name="Ввод  2 15 2 8 2" xfId="16671"/>
    <cellStyle name="Ввод  2 15 2 8 3" xfId="32138"/>
    <cellStyle name="Ввод  2 15 2 9" xfId="22084"/>
    <cellStyle name="Ввод  2 15 2 9 2" xfId="37445"/>
    <cellStyle name="Ввод  2 15 3" xfId="1025"/>
    <cellStyle name="Ввод  2 15 3 2" xfId="1467"/>
    <cellStyle name="Ввод  2 15 3 2 2" xfId="6714"/>
    <cellStyle name="Ввод  2 15 3 2 2 2" xfId="16144"/>
    <cellStyle name="Ввод  2 15 3 2 2 3" xfId="31611"/>
    <cellStyle name="Ввод  2 15 3 2 3" xfId="22602"/>
    <cellStyle name="Ввод  2 15 3 2 3 2" xfId="37963"/>
    <cellStyle name="Ввод  2 15 3 2 4" xfId="12045"/>
    <cellStyle name="Ввод  2 15 3 2 5" xfId="27553"/>
    <cellStyle name="Ввод  2 15 3 3" xfId="4990"/>
    <cellStyle name="Ввод  2 15 3 3 2" xfId="10173"/>
    <cellStyle name="Ввод  2 15 3 3 2 2" xfId="21099"/>
    <cellStyle name="Ввод  2 15 3 3 2 3" xfId="36460"/>
    <cellStyle name="Ввод  2 15 3 3 3" xfId="26060"/>
    <cellStyle name="Ввод  2 15 3 3 3 2" xfId="41421"/>
    <cellStyle name="Ввод  2 15 3 3 4" xfId="15536"/>
    <cellStyle name="Ввод  2 15 3 3 5" xfId="31011"/>
    <cellStyle name="Ввод  2 15 3 4" xfId="6283"/>
    <cellStyle name="Ввод  2 15 3 4 2" xfId="16581"/>
    <cellStyle name="Ввод  2 15 3 4 3" xfId="32048"/>
    <cellStyle name="Ввод  2 15 3 5" xfId="22171"/>
    <cellStyle name="Ввод  2 15 3 5 2" xfId="37532"/>
    <cellStyle name="Ввод  2 15 3 6" xfId="11608"/>
    <cellStyle name="Ввод  2 15 3 7" xfId="27122"/>
    <cellStyle name="Ввод  2 15 4" xfId="1499"/>
    <cellStyle name="Ввод  2 15 4 2" xfId="6746"/>
    <cellStyle name="Ввод  2 15 4 2 2" xfId="17641"/>
    <cellStyle name="Ввод  2 15 4 2 3" xfId="33002"/>
    <cellStyle name="Ввод  2 15 4 3" xfId="22634"/>
    <cellStyle name="Ввод  2 15 4 3 2" xfId="37995"/>
    <cellStyle name="Ввод  2 15 4 4" xfId="12077"/>
    <cellStyle name="Ввод  2 15 4 5" xfId="27585"/>
    <cellStyle name="Ввод  2 15 5" xfId="3143"/>
    <cellStyle name="Ввод  2 15 5 2" xfId="8338"/>
    <cellStyle name="Ввод  2 15 5 2 2" xfId="19264"/>
    <cellStyle name="Ввод  2 15 5 2 3" xfId="34625"/>
    <cellStyle name="Ввод  2 15 5 3" xfId="24226"/>
    <cellStyle name="Ввод  2 15 5 3 2" xfId="39587"/>
    <cellStyle name="Ввод  2 15 5 4" xfId="13701"/>
    <cellStyle name="Ввод  2 15 5 5" xfId="29177"/>
    <cellStyle name="Ввод  2 15 6" xfId="3382"/>
    <cellStyle name="Ввод  2 15 6 2" xfId="8576"/>
    <cellStyle name="Ввод  2 15 6 2 2" xfId="19503"/>
    <cellStyle name="Ввод  2 15 6 2 3" xfId="34864"/>
    <cellStyle name="Ввод  2 15 6 3" xfId="24464"/>
    <cellStyle name="Ввод  2 15 6 3 2" xfId="39825"/>
    <cellStyle name="Ввод  2 15 6 4" xfId="13940"/>
    <cellStyle name="Ввод  2 15 6 5" xfId="29415"/>
    <cellStyle name="Ввод  2 15 7" xfId="3929"/>
    <cellStyle name="Ввод  2 15 7 2" xfId="9116"/>
    <cellStyle name="Ввод  2 15 7 2 2" xfId="20043"/>
    <cellStyle name="Ввод  2 15 7 2 3" xfId="35404"/>
    <cellStyle name="Ввод  2 15 7 3" xfId="25004"/>
    <cellStyle name="Ввод  2 15 7 3 2" xfId="40365"/>
    <cellStyle name="Ввод  2 15 7 4" xfId="14480"/>
    <cellStyle name="Ввод  2 15 7 5" xfId="29955"/>
    <cellStyle name="Ввод  2 15 8" xfId="4806"/>
    <cellStyle name="Ввод  2 15 8 2" xfId="9993"/>
    <cellStyle name="Ввод  2 15 8 2 2" xfId="20920"/>
    <cellStyle name="Ввод  2 15 8 2 3" xfId="36281"/>
    <cellStyle name="Ввод  2 15 8 3" xfId="25881"/>
    <cellStyle name="Ввод  2 15 8 3 2" xfId="41242"/>
    <cellStyle name="Ввод  2 15 8 4" xfId="15357"/>
    <cellStyle name="Ввод  2 15 8 5" xfId="30832"/>
    <cellStyle name="Ввод  2 15 9" xfId="5643"/>
    <cellStyle name="Ввод  2 15 9 2" xfId="17248"/>
    <cellStyle name="Ввод  2 15 9 3" xfId="32715"/>
    <cellStyle name="Ввод  2 16" xfId="253"/>
    <cellStyle name="Ввод  2 16 10" xfId="17259"/>
    <cellStyle name="Ввод  2 16 10 2" xfId="32726"/>
    <cellStyle name="Ввод  2 16 11" xfId="10939"/>
    <cellStyle name="Ввод  2 16 12" xfId="10749"/>
    <cellStyle name="Ввод  2 16 2" xfId="933"/>
    <cellStyle name="Ввод  2 16 2 10" xfId="11517"/>
    <cellStyle name="Ввод  2 16 2 11" xfId="27034"/>
    <cellStyle name="Ввод  2 16 2 2" xfId="1331"/>
    <cellStyle name="Ввод  2 16 2 2 2" xfId="1589"/>
    <cellStyle name="Ввод  2 16 2 2 2 2" xfId="6836"/>
    <cellStyle name="Ввод  2 16 2 2 2 2 2" xfId="17731"/>
    <cellStyle name="Ввод  2 16 2 2 2 2 3" xfId="33092"/>
    <cellStyle name="Ввод  2 16 2 2 2 3" xfId="22724"/>
    <cellStyle name="Ввод  2 16 2 2 2 3 2" xfId="38085"/>
    <cellStyle name="Ввод  2 16 2 2 2 4" xfId="12167"/>
    <cellStyle name="Ввод  2 16 2 2 2 5" xfId="27675"/>
    <cellStyle name="Ввод  2 16 2 2 3" xfId="4991"/>
    <cellStyle name="Ввод  2 16 2 2 3 2" xfId="10174"/>
    <cellStyle name="Ввод  2 16 2 2 3 2 2" xfId="21100"/>
    <cellStyle name="Ввод  2 16 2 2 3 2 3" xfId="36461"/>
    <cellStyle name="Ввод  2 16 2 2 3 3" xfId="26061"/>
    <cellStyle name="Ввод  2 16 2 2 3 3 2" xfId="41422"/>
    <cellStyle name="Ввод  2 16 2 2 3 4" xfId="15537"/>
    <cellStyle name="Ввод  2 16 2 2 3 5" xfId="31012"/>
    <cellStyle name="Ввод  2 16 2 2 4" xfId="6584"/>
    <cellStyle name="Ввод  2 16 2 2 4 2" xfId="16277"/>
    <cellStyle name="Ввод  2 16 2 2 4 3" xfId="31744"/>
    <cellStyle name="Ввод  2 16 2 2 5" xfId="22472"/>
    <cellStyle name="Ввод  2 16 2 2 5 2" xfId="37833"/>
    <cellStyle name="Ввод  2 16 2 2 6" xfId="11912"/>
    <cellStyle name="Ввод  2 16 2 2 7" xfId="27423"/>
    <cellStyle name="Ввод  2 16 2 3" xfId="2339"/>
    <cellStyle name="Ввод  2 16 2 3 2" xfId="7575"/>
    <cellStyle name="Ввод  2 16 2 3 2 2" xfId="18477"/>
    <cellStyle name="Ввод  2 16 2 3 2 3" xfId="33838"/>
    <cellStyle name="Ввод  2 16 2 3 3" xfId="23463"/>
    <cellStyle name="Ввод  2 16 2 3 3 2" xfId="38824"/>
    <cellStyle name="Ввод  2 16 2 3 4" xfId="12914"/>
    <cellStyle name="Ввод  2 16 2 3 5" xfId="28414"/>
    <cellStyle name="Ввод  2 16 2 4" xfId="3482"/>
    <cellStyle name="Ввод  2 16 2 4 2" xfId="8669"/>
    <cellStyle name="Ввод  2 16 2 4 2 2" xfId="19596"/>
    <cellStyle name="Ввод  2 16 2 4 2 3" xfId="34957"/>
    <cellStyle name="Ввод  2 16 2 4 3" xfId="24557"/>
    <cellStyle name="Ввод  2 16 2 4 3 2" xfId="39918"/>
    <cellStyle name="Ввод  2 16 2 4 4" xfId="14033"/>
    <cellStyle name="Ввод  2 16 2 4 5" xfId="29508"/>
    <cellStyle name="Ввод  2 16 2 5" xfId="3734"/>
    <cellStyle name="Ввод  2 16 2 5 2" xfId="8921"/>
    <cellStyle name="Ввод  2 16 2 5 2 2" xfId="19848"/>
    <cellStyle name="Ввод  2 16 2 5 2 3" xfId="35209"/>
    <cellStyle name="Ввод  2 16 2 5 3" xfId="24809"/>
    <cellStyle name="Ввод  2 16 2 5 3 2" xfId="40170"/>
    <cellStyle name="Ввод  2 16 2 5 4" xfId="14285"/>
    <cellStyle name="Ввод  2 16 2 5 5" xfId="29760"/>
    <cellStyle name="Ввод  2 16 2 6" xfId="4387"/>
    <cellStyle name="Ввод  2 16 2 6 2" xfId="9574"/>
    <cellStyle name="Ввод  2 16 2 6 2 2" xfId="20501"/>
    <cellStyle name="Ввод  2 16 2 6 2 3" xfId="35862"/>
    <cellStyle name="Ввод  2 16 2 6 3" xfId="25462"/>
    <cellStyle name="Ввод  2 16 2 6 3 2" xfId="40823"/>
    <cellStyle name="Ввод  2 16 2 6 4" xfId="14938"/>
    <cellStyle name="Ввод  2 16 2 6 5" xfId="30413"/>
    <cellStyle name="Ввод  2 16 2 7" xfId="4448"/>
    <cellStyle name="Ввод  2 16 2 7 2" xfId="9635"/>
    <cellStyle name="Ввод  2 16 2 7 2 2" xfId="20562"/>
    <cellStyle name="Ввод  2 16 2 7 2 3" xfId="35923"/>
    <cellStyle name="Ввод  2 16 2 7 3" xfId="25523"/>
    <cellStyle name="Ввод  2 16 2 7 3 2" xfId="40884"/>
    <cellStyle name="Ввод  2 16 2 7 4" xfId="14999"/>
    <cellStyle name="Ввод  2 16 2 7 5" xfId="30474"/>
    <cellStyle name="Ввод  2 16 2 8" xfId="6195"/>
    <cellStyle name="Ввод  2 16 2 8 2" xfId="16672"/>
    <cellStyle name="Ввод  2 16 2 8 3" xfId="32139"/>
    <cellStyle name="Ввод  2 16 2 9" xfId="22083"/>
    <cellStyle name="Ввод  2 16 2 9 2" xfId="37444"/>
    <cellStyle name="Ввод  2 16 3" xfId="1084"/>
    <cellStyle name="Ввод  2 16 3 2" xfId="1565"/>
    <cellStyle name="Ввод  2 16 3 2 2" xfId="6812"/>
    <cellStyle name="Ввод  2 16 3 2 2 2" xfId="17707"/>
    <cellStyle name="Ввод  2 16 3 2 2 3" xfId="33068"/>
    <cellStyle name="Ввод  2 16 3 2 3" xfId="22700"/>
    <cellStyle name="Ввод  2 16 3 2 3 2" xfId="38061"/>
    <cellStyle name="Ввод  2 16 3 2 4" xfId="12143"/>
    <cellStyle name="Ввод  2 16 3 2 5" xfId="27651"/>
    <cellStyle name="Ввод  2 16 3 3" xfId="4992"/>
    <cellStyle name="Ввод  2 16 3 3 2" xfId="10175"/>
    <cellStyle name="Ввод  2 16 3 3 2 2" xfId="21101"/>
    <cellStyle name="Ввод  2 16 3 3 2 3" xfId="36462"/>
    <cellStyle name="Ввод  2 16 3 3 3" xfId="26062"/>
    <cellStyle name="Ввод  2 16 3 3 3 2" xfId="41423"/>
    <cellStyle name="Ввод  2 16 3 3 4" xfId="15538"/>
    <cellStyle name="Ввод  2 16 3 3 5" xfId="31013"/>
    <cellStyle name="Ввод  2 16 3 4" xfId="6340"/>
    <cellStyle name="Ввод  2 16 3 4 2" xfId="16523"/>
    <cellStyle name="Ввод  2 16 3 4 3" xfId="31990"/>
    <cellStyle name="Ввод  2 16 3 5" xfId="22228"/>
    <cellStyle name="Ввод  2 16 3 5 2" xfId="37589"/>
    <cellStyle name="Ввод  2 16 3 6" xfId="11666"/>
    <cellStyle name="Ввод  2 16 3 7" xfId="27179"/>
    <cellStyle name="Ввод  2 16 4" xfId="1526"/>
    <cellStyle name="Ввод  2 16 4 2" xfId="6773"/>
    <cellStyle name="Ввод  2 16 4 2 2" xfId="17668"/>
    <cellStyle name="Ввод  2 16 4 2 3" xfId="33029"/>
    <cellStyle name="Ввод  2 16 4 3" xfId="22661"/>
    <cellStyle name="Ввод  2 16 4 3 2" xfId="38022"/>
    <cellStyle name="Ввод  2 16 4 4" xfId="12104"/>
    <cellStyle name="Ввод  2 16 4 5" xfId="27612"/>
    <cellStyle name="Ввод  2 16 5" xfId="3142"/>
    <cellStyle name="Ввод  2 16 5 2" xfId="8337"/>
    <cellStyle name="Ввод  2 16 5 2 2" xfId="19263"/>
    <cellStyle name="Ввод  2 16 5 2 3" xfId="34624"/>
    <cellStyle name="Ввод  2 16 5 3" xfId="24225"/>
    <cellStyle name="Ввод  2 16 5 3 2" xfId="39586"/>
    <cellStyle name="Ввод  2 16 5 4" xfId="13700"/>
    <cellStyle name="Ввод  2 16 5 5" xfId="29176"/>
    <cellStyle name="Ввод  2 16 6" xfId="3226"/>
    <cellStyle name="Ввод  2 16 6 2" xfId="8421"/>
    <cellStyle name="Ввод  2 16 6 2 2" xfId="19347"/>
    <cellStyle name="Ввод  2 16 6 2 3" xfId="34708"/>
    <cellStyle name="Ввод  2 16 6 3" xfId="24309"/>
    <cellStyle name="Ввод  2 16 6 3 2" xfId="39670"/>
    <cellStyle name="Ввод  2 16 6 4" xfId="13784"/>
    <cellStyle name="Ввод  2 16 6 5" xfId="29260"/>
    <cellStyle name="Ввод  2 16 7" xfId="3871"/>
    <cellStyle name="Ввод  2 16 7 2" xfId="9058"/>
    <cellStyle name="Ввод  2 16 7 2 2" xfId="19985"/>
    <cellStyle name="Ввод  2 16 7 2 3" xfId="35346"/>
    <cellStyle name="Ввод  2 16 7 3" xfId="24946"/>
    <cellStyle name="Ввод  2 16 7 3 2" xfId="40307"/>
    <cellStyle name="Ввод  2 16 7 4" xfId="14422"/>
    <cellStyle name="Ввод  2 16 7 5" xfId="29897"/>
    <cellStyle name="Ввод  2 16 8" xfId="4816"/>
    <cellStyle name="Ввод  2 16 8 2" xfId="10003"/>
    <cellStyle name="Ввод  2 16 8 2 2" xfId="20930"/>
    <cellStyle name="Ввод  2 16 8 2 3" xfId="36291"/>
    <cellStyle name="Ввод  2 16 8 3" xfId="25891"/>
    <cellStyle name="Ввод  2 16 8 3 2" xfId="41252"/>
    <cellStyle name="Ввод  2 16 8 4" xfId="15367"/>
    <cellStyle name="Ввод  2 16 8 5" xfId="30842"/>
    <cellStyle name="Ввод  2 16 9" xfId="5644"/>
    <cellStyle name="Ввод  2 16 9 2" xfId="17247"/>
    <cellStyle name="Ввод  2 16 9 3" xfId="32714"/>
    <cellStyle name="Ввод  2 17" xfId="254"/>
    <cellStyle name="Ввод  2 17 10" xfId="17438"/>
    <cellStyle name="Ввод  2 17 10 2" xfId="32905"/>
    <cellStyle name="Ввод  2 17 11" xfId="10940"/>
    <cellStyle name="Ввод  2 17 12" xfId="10748"/>
    <cellStyle name="Ввод  2 17 2" xfId="932"/>
    <cellStyle name="Ввод  2 17 2 10" xfId="11516"/>
    <cellStyle name="Ввод  2 17 2 11" xfId="27033"/>
    <cellStyle name="Ввод  2 17 2 2" xfId="1050"/>
    <cellStyle name="Ввод  2 17 2 2 2" xfId="72"/>
    <cellStyle name="Ввод  2 17 2 2 2 2" xfId="5598"/>
    <cellStyle name="Ввод  2 17 2 2 2 2 2" xfId="17399"/>
    <cellStyle name="Ввод  2 17 2 2 2 2 3" xfId="32866"/>
    <cellStyle name="Ввод  2 17 2 2 2 3" xfId="17428"/>
    <cellStyle name="Ввод  2 17 2 2 2 3 2" xfId="32895"/>
    <cellStyle name="Ввод  2 17 2 2 2 4" xfId="10786"/>
    <cellStyle name="Ввод  2 17 2 2 2 5" xfId="10757"/>
    <cellStyle name="Ввод  2 17 2 2 3" xfId="4993"/>
    <cellStyle name="Ввод  2 17 2 2 3 2" xfId="10176"/>
    <cellStyle name="Ввод  2 17 2 2 3 2 2" xfId="21102"/>
    <cellStyle name="Ввод  2 17 2 2 3 2 3" xfId="36463"/>
    <cellStyle name="Ввод  2 17 2 2 3 3" xfId="26063"/>
    <cellStyle name="Ввод  2 17 2 2 3 3 2" xfId="41424"/>
    <cellStyle name="Ввод  2 17 2 2 3 4" xfId="15539"/>
    <cellStyle name="Ввод  2 17 2 2 3 5" xfId="31014"/>
    <cellStyle name="Ввод  2 17 2 2 4" xfId="6307"/>
    <cellStyle name="Ввод  2 17 2 2 4 2" xfId="16557"/>
    <cellStyle name="Ввод  2 17 2 2 4 3" xfId="32024"/>
    <cellStyle name="Ввод  2 17 2 2 5" xfId="22195"/>
    <cellStyle name="Ввод  2 17 2 2 5 2" xfId="37556"/>
    <cellStyle name="Ввод  2 17 2 2 6" xfId="11632"/>
    <cellStyle name="Ввод  2 17 2 2 7" xfId="27146"/>
    <cellStyle name="Ввод  2 17 2 3" xfId="2338"/>
    <cellStyle name="Ввод  2 17 2 3 2" xfId="7574"/>
    <cellStyle name="Ввод  2 17 2 3 2 2" xfId="18476"/>
    <cellStyle name="Ввод  2 17 2 3 2 3" xfId="33837"/>
    <cellStyle name="Ввод  2 17 2 3 3" xfId="23462"/>
    <cellStyle name="Ввод  2 17 2 3 3 2" xfId="38823"/>
    <cellStyle name="Ввод  2 17 2 3 4" xfId="12913"/>
    <cellStyle name="Ввод  2 17 2 3 5" xfId="28413"/>
    <cellStyle name="Ввод  2 17 2 4" xfId="3481"/>
    <cellStyle name="Ввод  2 17 2 4 2" xfId="8668"/>
    <cellStyle name="Ввод  2 17 2 4 2 2" xfId="19595"/>
    <cellStyle name="Ввод  2 17 2 4 2 3" xfId="34956"/>
    <cellStyle name="Ввод  2 17 2 4 3" xfId="24556"/>
    <cellStyle name="Ввод  2 17 2 4 3 2" xfId="39917"/>
    <cellStyle name="Ввод  2 17 2 4 4" xfId="14032"/>
    <cellStyle name="Ввод  2 17 2 4 5" xfId="29507"/>
    <cellStyle name="Ввод  2 17 2 5" xfId="3689"/>
    <cellStyle name="Ввод  2 17 2 5 2" xfId="8876"/>
    <cellStyle name="Ввод  2 17 2 5 2 2" xfId="19803"/>
    <cellStyle name="Ввод  2 17 2 5 2 3" xfId="35164"/>
    <cellStyle name="Ввод  2 17 2 5 3" xfId="24764"/>
    <cellStyle name="Ввод  2 17 2 5 3 2" xfId="40125"/>
    <cellStyle name="Ввод  2 17 2 5 4" xfId="14240"/>
    <cellStyle name="Ввод  2 17 2 5 5" xfId="29715"/>
    <cellStyle name="Ввод  2 17 2 6" xfId="4386"/>
    <cellStyle name="Ввод  2 17 2 6 2" xfId="9573"/>
    <cellStyle name="Ввод  2 17 2 6 2 2" xfId="20500"/>
    <cellStyle name="Ввод  2 17 2 6 2 3" xfId="35861"/>
    <cellStyle name="Ввод  2 17 2 6 3" xfId="25461"/>
    <cellStyle name="Ввод  2 17 2 6 3 2" xfId="40822"/>
    <cellStyle name="Ввод  2 17 2 6 4" xfId="14937"/>
    <cellStyle name="Ввод  2 17 2 6 5" xfId="30412"/>
    <cellStyle name="Ввод  2 17 2 7" xfId="4449"/>
    <cellStyle name="Ввод  2 17 2 7 2" xfId="9636"/>
    <cellStyle name="Ввод  2 17 2 7 2 2" xfId="20563"/>
    <cellStyle name="Ввод  2 17 2 7 2 3" xfId="35924"/>
    <cellStyle name="Ввод  2 17 2 7 3" xfId="25524"/>
    <cellStyle name="Ввод  2 17 2 7 3 2" xfId="40885"/>
    <cellStyle name="Ввод  2 17 2 7 4" xfId="15000"/>
    <cellStyle name="Ввод  2 17 2 7 5" xfId="30475"/>
    <cellStyle name="Ввод  2 17 2 8" xfId="6194"/>
    <cellStyle name="Ввод  2 17 2 8 2" xfId="16673"/>
    <cellStyle name="Ввод  2 17 2 8 3" xfId="32140"/>
    <cellStyle name="Ввод  2 17 2 9" xfId="22082"/>
    <cellStyle name="Ввод  2 17 2 9 2" xfId="37443"/>
    <cellStyle name="Ввод  2 17 3" xfId="1559"/>
    <cellStyle name="Ввод  2 17 3 2" xfId="1654"/>
    <cellStyle name="Ввод  2 17 3 2 2" xfId="6900"/>
    <cellStyle name="Ввод  2 17 3 2 2 2" xfId="17796"/>
    <cellStyle name="Ввод  2 17 3 2 2 3" xfId="33157"/>
    <cellStyle name="Ввод  2 17 3 2 3" xfId="22788"/>
    <cellStyle name="Ввод  2 17 3 2 3 2" xfId="38149"/>
    <cellStyle name="Ввод  2 17 3 2 4" xfId="12232"/>
    <cellStyle name="Ввод  2 17 3 2 5" xfId="27739"/>
    <cellStyle name="Ввод  2 17 3 3" xfId="4994"/>
    <cellStyle name="Ввод  2 17 3 3 2" xfId="10177"/>
    <cellStyle name="Ввод  2 17 3 3 2 2" xfId="21103"/>
    <cellStyle name="Ввод  2 17 3 3 2 3" xfId="36464"/>
    <cellStyle name="Ввод  2 17 3 3 3" xfId="26064"/>
    <cellStyle name="Ввод  2 17 3 3 3 2" xfId="41425"/>
    <cellStyle name="Ввод  2 17 3 3 4" xfId="15540"/>
    <cellStyle name="Ввод  2 17 3 3 5" xfId="31015"/>
    <cellStyle name="Ввод  2 17 3 4" xfId="6806"/>
    <cellStyle name="Ввод  2 17 3 4 2" xfId="17701"/>
    <cellStyle name="Ввод  2 17 3 4 3" xfId="33062"/>
    <cellStyle name="Ввод  2 17 3 5" xfId="22694"/>
    <cellStyle name="Ввод  2 17 3 5 2" xfId="38055"/>
    <cellStyle name="Ввод  2 17 3 6" xfId="12137"/>
    <cellStyle name="Ввод  2 17 3 7" xfId="27645"/>
    <cellStyle name="Ввод  2 17 4" xfId="1285"/>
    <cellStyle name="Ввод  2 17 4 2" xfId="6538"/>
    <cellStyle name="Ввод  2 17 4 2 2" xfId="16323"/>
    <cellStyle name="Ввод  2 17 4 2 3" xfId="31790"/>
    <cellStyle name="Ввод  2 17 4 3" xfId="22426"/>
    <cellStyle name="Ввод  2 17 4 3 2" xfId="37787"/>
    <cellStyle name="Ввод  2 17 4 4" xfId="11866"/>
    <cellStyle name="Ввод  2 17 4 5" xfId="27377"/>
    <cellStyle name="Ввод  2 17 5" xfId="3139"/>
    <cellStyle name="Ввод  2 17 5 2" xfId="8334"/>
    <cellStyle name="Ввод  2 17 5 2 2" xfId="19260"/>
    <cellStyle name="Ввод  2 17 5 2 3" xfId="34621"/>
    <cellStyle name="Ввод  2 17 5 3" xfId="24222"/>
    <cellStyle name="Ввод  2 17 5 3 2" xfId="39583"/>
    <cellStyle name="Ввод  2 17 5 4" xfId="13697"/>
    <cellStyle name="Ввод  2 17 5 5" xfId="29173"/>
    <cellStyle name="Ввод  2 17 6" xfId="3867"/>
    <cellStyle name="Ввод  2 17 6 2" xfId="9054"/>
    <cellStyle name="Ввод  2 17 6 2 2" xfId="19981"/>
    <cellStyle name="Ввод  2 17 6 2 3" xfId="35342"/>
    <cellStyle name="Ввод  2 17 6 3" xfId="24942"/>
    <cellStyle name="Ввод  2 17 6 3 2" xfId="40303"/>
    <cellStyle name="Ввод  2 17 6 4" xfId="14418"/>
    <cellStyle name="Ввод  2 17 6 5" xfId="29893"/>
    <cellStyle name="Ввод  2 17 7" xfId="3237"/>
    <cellStyle name="Ввод  2 17 7 2" xfId="8432"/>
    <cellStyle name="Ввод  2 17 7 2 2" xfId="19358"/>
    <cellStyle name="Ввод  2 17 7 2 3" xfId="34719"/>
    <cellStyle name="Ввод  2 17 7 3" xfId="24320"/>
    <cellStyle name="Ввод  2 17 7 3 2" xfId="39681"/>
    <cellStyle name="Ввод  2 17 7 4" xfId="13795"/>
    <cellStyle name="Ввод  2 17 7 5" xfId="29271"/>
    <cellStyle name="Ввод  2 17 8" xfId="4805"/>
    <cellStyle name="Ввод  2 17 8 2" xfId="9992"/>
    <cellStyle name="Ввод  2 17 8 2 2" xfId="20919"/>
    <cellStyle name="Ввод  2 17 8 2 3" xfId="36280"/>
    <cellStyle name="Ввод  2 17 8 3" xfId="25880"/>
    <cellStyle name="Ввод  2 17 8 3 2" xfId="41241"/>
    <cellStyle name="Ввод  2 17 8 4" xfId="15356"/>
    <cellStyle name="Ввод  2 17 8 5" xfId="30831"/>
    <cellStyle name="Ввод  2 17 9" xfId="5645"/>
    <cellStyle name="Ввод  2 17 9 2" xfId="17246"/>
    <cellStyle name="Ввод  2 17 9 3" xfId="32713"/>
    <cellStyle name="Ввод  2 18" xfId="255"/>
    <cellStyle name="Ввод  2 18 10" xfId="17260"/>
    <cellStyle name="Ввод  2 18 10 2" xfId="32727"/>
    <cellStyle name="Ввод  2 18 11" xfId="10941"/>
    <cellStyle name="Ввод  2 18 12" xfId="10926"/>
    <cellStyle name="Ввод  2 18 2" xfId="931"/>
    <cellStyle name="Ввод  2 18 2 10" xfId="11515"/>
    <cellStyle name="Ввод  2 18 2 11" xfId="27032"/>
    <cellStyle name="Ввод  2 18 2 2" xfId="1600"/>
    <cellStyle name="Ввод  2 18 2 2 2" xfId="2865"/>
    <cellStyle name="Ввод  2 18 2 2 2 2" xfId="8072"/>
    <cellStyle name="Ввод  2 18 2 2 2 2 2" xfId="18992"/>
    <cellStyle name="Ввод  2 18 2 2 2 2 3" xfId="34353"/>
    <cellStyle name="Ввод  2 18 2 2 2 3" xfId="23960"/>
    <cellStyle name="Ввод  2 18 2 2 2 3 2" xfId="39321"/>
    <cellStyle name="Ввод  2 18 2 2 2 4" xfId="13429"/>
    <cellStyle name="Ввод  2 18 2 2 2 5" xfId="28911"/>
    <cellStyle name="Ввод  2 18 2 2 3" xfId="4995"/>
    <cellStyle name="Ввод  2 18 2 2 3 2" xfId="10178"/>
    <cellStyle name="Ввод  2 18 2 2 3 2 2" xfId="21104"/>
    <cellStyle name="Ввод  2 18 2 2 3 2 3" xfId="36465"/>
    <cellStyle name="Ввод  2 18 2 2 3 3" xfId="26065"/>
    <cellStyle name="Ввод  2 18 2 2 3 3 2" xfId="41426"/>
    <cellStyle name="Ввод  2 18 2 2 3 4" xfId="15541"/>
    <cellStyle name="Ввод  2 18 2 2 3 5" xfId="31016"/>
    <cellStyle name="Ввод  2 18 2 2 4" xfId="6847"/>
    <cellStyle name="Ввод  2 18 2 2 4 2" xfId="17742"/>
    <cellStyle name="Ввод  2 18 2 2 4 3" xfId="33103"/>
    <cellStyle name="Ввод  2 18 2 2 5" xfId="22735"/>
    <cellStyle name="Ввод  2 18 2 2 5 2" xfId="38096"/>
    <cellStyle name="Ввод  2 18 2 2 6" xfId="12178"/>
    <cellStyle name="Ввод  2 18 2 2 7" xfId="27686"/>
    <cellStyle name="Ввод  2 18 2 3" xfId="2337"/>
    <cellStyle name="Ввод  2 18 2 3 2" xfId="7573"/>
    <cellStyle name="Ввод  2 18 2 3 2 2" xfId="18475"/>
    <cellStyle name="Ввод  2 18 2 3 2 3" xfId="33836"/>
    <cellStyle name="Ввод  2 18 2 3 3" xfId="23461"/>
    <cellStyle name="Ввод  2 18 2 3 3 2" xfId="38822"/>
    <cellStyle name="Ввод  2 18 2 3 4" xfId="12912"/>
    <cellStyle name="Ввод  2 18 2 3 5" xfId="28412"/>
    <cellStyle name="Ввод  2 18 2 4" xfId="3480"/>
    <cellStyle name="Ввод  2 18 2 4 2" xfId="8667"/>
    <cellStyle name="Ввод  2 18 2 4 2 2" xfId="19594"/>
    <cellStyle name="Ввод  2 18 2 4 2 3" xfId="34955"/>
    <cellStyle name="Ввод  2 18 2 4 3" xfId="24555"/>
    <cellStyle name="Ввод  2 18 2 4 3 2" xfId="39916"/>
    <cellStyle name="Ввод  2 18 2 4 4" xfId="14031"/>
    <cellStyle name="Ввод  2 18 2 4 5" xfId="29506"/>
    <cellStyle name="Ввод  2 18 2 5" xfId="3771"/>
    <cellStyle name="Ввод  2 18 2 5 2" xfId="8958"/>
    <cellStyle name="Ввод  2 18 2 5 2 2" xfId="19885"/>
    <cellStyle name="Ввод  2 18 2 5 2 3" xfId="35246"/>
    <cellStyle name="Ввод  2 18 2 5 3" xfId="24846"/>
    <cellStyle name="Ввод  2 18 2 5 3 2" xfId="40207"/>
    <cellStyle name="Ввод  2 18 2 5 4" xfId="14322"/>
    <cellStyle name="Ввод  2 18 2 5 5" xfId="29797"/>
    <cellStyle name="Ввод  2 18 2 6" xfId="4385"/>
    <cellStyle name="Ввод  2 18 2 6 2" xfId="9572"/>
    <cellStyle name="Ввод  2 18 2 6 2 2" xfId="20499"/>
    <cellStyle name="Ввод  2 18 2 6 2 3" xfId="35860"/>
    <cellStyle name="Ввод  2 18 2 6 3" xfId="25460"/>
    <cellStyle name="Ввод  2 18 2 6 3 2" xfId="40821"/>
    <cellStyle name="Ввод  2 18 2 6 4" xfId="14936"/>
    <cellStyle name="Ввод  2 18 2 6 5" xfId="30411"/>
    <cellStyle name="Ввод  2 18 2 7" xfId="4450"/>
    <cellStyle name="Ввод  2 18 2 7 2" xfId="9637"/>
    <cellStyle name="Ввод  2 18 2 7 2 2" xfId="20564"/>
    <cellStyle name="Ввод  2 18 2 7 2 3" xfId="35925"/>
    <cellStyle name="Ввод  2 18 2 7 3" xfId="25525"/>
    <cellStyle name="Ввод  2 18 2 7 3 2" xfId="40886"/>
    <cellStyle name="Ввод  2 18 2 7 4" xfId="15001"/>
    <cellStyle name="Ввод  2 18 2 7 5" xfId="30476"/>
    <cellStyle name="Ввод  2 18 2 8" xfId="6193"/>
    <cellStyle name="Ввод  2 18 2 8 2" xfId="16674"/>
    <cellStyle name="Ввод  2 18 2 8 3" xfId="32141"/>
    <cellStyle name="Ввод  2 18 2 9" xfId="22081"/>
    <cellStyle name="Ввод  2 18 2 9 2" xfId="37442"/>
    <cellStyle name="Ввод  2 18 3" xfId="1492"/>
    <cellStyle name="Ввод  2 18 3 2" xfId="1481"/>
    <cellStyle name="Ввод  2 18 3 2 2" xfId="6728"/>
    <cellStyle name="Ввод  2 18 3 2 2 2" xfId="16130"/>
    <cellStyle name="Ввод  2 18 3 2 2 3" xfId="31597"/>
    <cellStyle name="Ввод  2 18 3 2 3" xfId="22616"/>
    <cellStyle name="Ввод  2 18 3 2 3 2" xfId="37977"/>
    <cellStyle name="Ввод  2 18 3 2 4" xfId="12059"/>
    <cellStyle name="Ввод  2 18 3 2 5" xfId="27567"/>
    <cellStyle name="Ввод  2 18 3 3" xfId="4996"/>
    <cellStyle name="Ввод  2 18 3 3 2" xfId="10179"/>
    <cellStyle name="Ввод  2 18 3 3 2 2" xfId="21105"/>
    <cellStyle name="Ввод  2 18 3 3 2 3" xfId="36466"/>
    <cellStyle name="Ввод  2 18 3 3 3" xfId="26066"/>
    <cellStyle name="Ввод  2 18 3 3 3 2" xfId="41427"/>
    <cellStyle name="Ввод  2 18 3 3 4" xfId="15542"/>
    <cellStyle name="Ввод  2 18 3 3 5" xfId="31017"/>
    <cellStyle name="Ввод  2 18 3 4" xfId="6739"/>
    <cellStyle name="Ввод  2 18 3 4 2" xfId="16119"/>
    <cellStyle name="Ввод  2 18 3 4 3" xfId="31586"/>
    <cellStyle name="Ввод  2 18 3 5" xfId="22627"/>
    <cellStyle name="Ввод  2 18 3 5 2" xfId="37988"/>
    <cellStyle name="Ввод  2 18 3 6" xfId="12070"/>
    <cellStyle name="Ввод  2 18 3 7" xfId="27578"/>
    <cellStyle name="Ввод  2 18 4" xfId="1119"/>
    <cellStyle name="Ввод  2 18 4 2" xfId="6374"/>
    <cellStyle name="Ввод  2 18 4 2 2" xfId="16489"/>
    <cellStyle name="Ввод  2 18 4 2 3" xfId="31956"/>
    <cellStyle name="Ввод  2 18 4 3" xfId="22262"/>
    <cellStyle name="Ввод  2 18 4 3 2" xfId="37623"/>
    <cellStyle name="Ввод  2 18 4 4" xfId="11700"/>
    <cellStyle name="Ввод  2 18 4 5" xfId="27213"/>
    <cellStyle name="Ввод  2 18 5" xfId="3138"/>
    <cellStyle name="Ввод  2 18 5 2" xfId="8333"/>
    <cellStyle name="Ввод  2 18 5 2 2" xfId="19259"/>
    <cellStyle name="Ввод  2 18 5 2 3" xfId="34620"/>
    <cellStyle name="Ввод  2 18 5 3" xfId="24221"/>
    <cellStyle name="Ввод  2 18 5 3 2" xfId="39582"/>
    <cellStyle name="Ввод  2 18 5 4" xfId="13696"/>
    <cellStyle name="Ввод  2 18 5 5" xfId="29172"/>
    <cellStyle name="Ввод  2 18 6" xfId="3211"/>
    <cellStyle name="Ввод  2 18 6 2" xfId="8406"/>
    <cellStyle name="Ввод  2 18 6 2 2" xfId="19332"/>
    <cellStyle name="Ввод  2 18 6 2 3" xfId="34693"/>
    <cellStyle name="Ввод  2 18 6 3" xfId="24294"/>
    <cellStyle name="Ввод  2 18 6 3 2" xfId="39655"/>
    <cellStyle name="Ввод  2 18 6 4" xfId="13769"/>
    <cellStyle name="Ввод  2 18 6 5" xfId="29245"/>
    <cellStyle name="Ввод  2 18 7" xfId="3370"/>
    <cellStyle name="Ввод  2 18 7 2" xfId="8564"/>
    <cellStyle name="Ввод  2 18 7 2 2" xfId="19491"/>
    <cellStyle name="Ввод  2 18 7 2 3" xfId="34852"/>
    <cellStyle name="Ввод  2 18 7 3" xfId="24452"/>
    <cellStyle name="Ввод  2 18 7 3 2" xfId="39813"/>
    <cellStyle name="Ввод  2 18 7 4" xfId="13928"/>
    <cellStyle name="Ввод  2 18 7 5" xfId="29403"/>
    <cellStyle name="Ввод  2 18 8" xfId="4831"/>
    <cellStyle name="Ввод  2 18 8 2" xfId="10018"/>
    <cellStyle name="Ввод  2 18 8 2 2" xfId="20945"/>
    <cellStyle name="Ввод  2 18 8 2 3" xfId="36306"/>
    <cellStyle name="Ввод  2 18 8 3" xfId="25906"/>
    <cellStyle name="Ввод  2 18 8 3 2" xfId="41267"/>
    <cellStyle name="Ввод  2 18 8 4" xfId="15382"/>
    <cellStyle name="Ввод  2 18 8 5" xfId="30857"/>
    <cellStyle name="Ввод  2 18 9" xfId="5646"/>
    <cellStyle name="Ввод  2 18 9 2" xfId="17245"/>
    <cellStyle name="Ввод  2 18 9 3" xfId="32712"/>
    <cellStyle name="Ввод  2 19" xfId="256"/>
    <cellStyle name="Ввод  2 19 10" xfId="17261"/>
    <cellStyle name="Ввод  2 19 10 2" xfId="32728"/>
    <cellStyle name="Ввод  2 19 11" xfId="10942"/>
    <cellStyle name="Ввод  2 19 12" xfId="10747"/>
    <cellStyle name="Ввод  2 19 2" xfId="930"/>
    <cellStyle name="Ввод  2 19 2 10" xfId="11514"/>
    <cellStyle name="Ввод  2 19 2 11" xfId="27031"/>
    <cellStyle name="Ввод  2 19 2 2" xfId="1636"/>
    <cellStyle name="Ввод  2 19 2 2 2" xfId="2866"/>
    <cellStyle name="Ввод  2 19 2 2 2 2" xfId="8073"/>
    <cellStyle name="Ввод  2 19 2 2 2 2 2" xfId="18993"/>
    <cellStyle name="Ввод  2 19 2 2 2 2 3" xfId="34354"/>
    <cellStyle name="Ввод  2 19 2 2 2 3" xfId="23961"/>
    <cellStyle name="Ввод  2 19 2 2 2 3 2" xfId="39322"/>
    <cellStyle name="Ввод  2 19 2 2 2 4" xfId="13430"/>
    <cellStyle name="Ввод  2 19 2 2 2 5" xfId="28912"/>
    <cellStyle name="Ввод  2 19 2 2 3" xfId="4997"/>
    <cellStyle name="Ввод  2 19 2 2 3 2" xfId="10180"/>
    <cellStyle name="Ввод  2 19 2 2 3 2 2" xfId="21106"/>
    <cellStyle name="Ввод  2 19 2 2 3 2 3" xfId="36467"/>
    <cellStyle name="Ввод  2 19 2 2 3 3" xfId="26067"/>
    <cellStyle name="Ввод  2 19 2 2 3 3 2" xfId="41428"/>
    <cellStyle name="Ввод  2 19 2 2 3 4" xfId="15543"/>
    <cellStyle name="Ввод  2 19 2 2 3 5" xfId="31018"/>
    <cellStyle name="Ввод  2 19 2 2 4" xfId="6882"/>
    <cellStyle name="Ввод  2 19 2 2 4 2" xfId="17778"/>
    <cellStyle name="Ввод  2 19 2 2 4 3" xfId="33139"/>
    <cellStyle name="Ввод  2 19 2 2 5" xfId="22770"/>
    <cellStyle name="Ввод  2 19 2 2 5 2" xfId="38131"/>
    <cellStyle name="Ввод  2 19 2 2 6" xfId="12214"/>
    <cellStyle name="Ввод  2 19 2 2 7" xfId="27721"/>
    <cellStyle name="Ввод  2 19 2 3" xfId="2336"/>
    <cellStyle name="Ввод  2 19 2 3 2" xfId="7572"/>
    <cellStyle name="Ввод  2 19 2 3 2 2" xfId="18474"/>
    <cellStyle name="Ввод  2 19 2 3 2 3" xfId="33835"/>
    <cellStyle name="Ввод  2 19 2 3 3" xfId="23460"/>
    <cellStyle name="Ввод  2 19 2 3 3 2" xfId="38821"/>
    <cellStyle name="Ввод  2 19 2 3 4" xfId="12911"/>
    <cellStyle name="Ввод  2 19 2 3 5" xfId="28411"/>
    <cellStyle name="Ввод  2 19 2 4" xfId="3479"/>
    <cellStyle name="Ввод  2 19 2 4 2" xfId="8666"/>
    <cellStyle name="Ввод  2 19 2 4 2 2" xfId="19593"/>
    <cellStyle name="Ввод  2 19 2 4 2 3" xfId="34954"/>
    <cellStyle name="Ввод  2 19 2 4 3" xfId="24554"/>
    <cellStyle name="Ввод  2 19 2 4 3 2" xfId="39915"/>
    <cellStyle name="Ввод  2 19 2 4 4" xfId="14030"/>
    <cellStyle name="Ввод  2 19 2 4 5" xfId="29505"/>
    <cellStyle name="Ввод  2 19 2 5" xfId="3735"/>
    <cellStyle name="Ввод  2 19 2 5 2" xfId="8922"/>
    <cellStyle name="Ввод  2 19 2 5 2 2" xfId="19849"/>
    <cellStyle name="Ввод  2 19 2 5 2 3" xfId="35210"/>
    <cellStyle name="Ввод  2 19 2 5 3" xfId="24810"/>
    <cellStyle name="Ввод  2 19 2 5 3 2" xfId="40171"/>
    <cellStyle name="Ввод  2 19 2 5 4" xfId="14286"/>
    <cellStyle name="Ввод  2 19 2 5 5" xfId="29761"/>
    <cellStyle name="Ввод  2 19 2 6" xfId="4384"/>
    <cellStyle name="Ввод  2 19 2 6 2" xfId="9571"/>
    <cellStyle name="Ввод  2 19 2 6 2 2" xfId="20498"/>
    <cellStyle name="Ввод  2 19 2 6 2 3" xfId="35859"/>
    <cellStyle name="Ввод  2 19 2 6 3" xfId="25459"/>
    <cellStyle name="Ввод  2 19 2 6 3 2" xfId="40820"/>
    <cellStyle name="Ввод  2 19 2 6 4" xfId="14935"/>
    <cellStyle name="Ввод  2 19 2 6 5" xfId="30410"/>
    <cellStyle name="Ввод  2 19 2 7" xfId="4451"/>
    <cellStyle name="Ввод  2 19 2 7 2" xfId="9638"/>
    <cellStyle name="Ввод  2 19 2 7 2 2" xfId="20565"/>
    <cellStyle name="Ввод  2 19 2 7 2 3" xfId="35926"/>
    <cellStyle name="Ввод  2 19 2 7 3" xfId="25526"/>
    <cellStyle name="Ввод  2 19 2 7 3 2" xfId="40887"/>
    <cellStyle name="Ввод  2 19 2 7 4" xfId="15002"/>
    <cellStyle name="Ввод  2 19 2 7 5" xfId="30477"/>
    <cellStyle name="Ввод  2 19 2 8" xfId="6192"/>
    <cellStyle name="Ввод  2 19 2 8 2" xfId="16675"/>
    <cellStyle name="Ввод  2 19 2 8 3" xfId="32142"/>
    <cellStyle name="Ввод  2 19 2 9" xfId="22080"/>
    <cellStyle name="Ввод  2 19 2 9 2" xfId="37441"/>
    <cellStyle name="Ввод  2 19 3" xfId="1104"/>
    <cellStyle name="Ввод  2 19 3 2" xfId="1783"/>
    <cellStyle name="Ввод  2 19 3 2 2" xfId="7022"/>
    <cellStyle name="Ввод  2 19 3 2 2 2" xfId="17924"/>
    <cellStyle name="Ввод  2 19 3 2 2 3" xfId="33285"/>
    <cellStyle name="Ввод  2 19 3 2 3" xfId="22910"/>
    <cellStyle name="Ввод  2 19 3 2 3 2" xfId="38271"/>
    <cellStyle name="Ввод  2 19 3 2 4" xfId="12361"/>
    <cellStyle name="Ввод  2 19 3 2 5" xfId="27861"/>
    <cellStyle name="Ввод  2 19 3 3" xfId="4998"/>
    <cellStyle name="Ввод  2 19 3 3 2" xfId="10181"/>
    <cellStyle name="Ввод  2 19 3 3 2 2" xfId="21107"/>
    <cellStyle name="Ввод  2 19 3 3 2 3" xfId="36468"/>
    <cellStyle name="Ввод  2 19 3 3 3" xfId="26068"/>
    <cellStyle name="Ввод  2 19 3 3 3 2" xfId="41429"/>
    <cellStyle name="Ввод  2 19 3 3 4" xfId="15544"/>
    <cellStyle name="Ввод  2 19 3 3 5" xfId="31019"/>
    <cellStyle name="Ввод  2 19 3 4" xfId="6360"/>
    <cellStyle name="Ввод  2 19 3 4 2" xfId="16503"/>
    <cellStyle name="Ввод  2 19 3 4 3" xfId="31970"/>
    <cellStyle name="Ввод  2 19 3 5" xfId="22248"/>
    <cellStyle name="Ввод  2 19 3 5 2" xfId="37609"/>
    <cellStyle name="Ввод  2 19 3 6" xfId="11686"/>
    <cellStyle name="Ввод  2 19 3 7" xfId="27199"/>
    <cellStyle name="Ввод  2 19 4" xfId="1650"/>
    <cellStyle name="Ввод  2 19 4 2" xfId="6896"/>
    <cellStyle name="Ввод  2 19 4 2 2" xfId="17792"/>
    <cellStyle name="Ввод  2 19 4 2 3" xfId="33153"/>
    <cellStyle name="Ввод  2 19 4 3" xfId="22784"/>
    <cellStyle name="Ввод  2 19 4 3 2" xfId="38145"/>
    <cellStyle name="Ввод  2 19 4 4" xfId="12228"/>
    <cellStyle name="Ввод  2 19 4 5" xfId="27735"/>
    <cellStyle name="Ввод  2 19 5" xfId="3135"/>
    <cellStyle name="Ввод  2 19 5 2" xfId="8330"/>
    <cellStyle name="Ввод  2 19 5 2 2" xfId="19256"/>
    <cellStyle name="Ввод  2 19 5 2 3" xfId="34617"/>
    <cellStyle name="Ввод  2 19 5 3" xfId="24218"/>
    <cellStyle name="Ввод  2 19 5 3 2" xfId="39579"/>
    <cellStyle name="Ввод  2 19 5 4" xfId="13693"/>
    <cellStyle name="Ввод  2 19 5 5" xfId="29169"/>
    <cellStyle name="Ввод  2 19 6" xfId="3933"/>
    <cellStyle name="Ввод  2 19 6 2" xfId="9120"/>
    <cellStyle name="Ввод  2 19 6 2 2" xfId="20047"/>
    <cellStyle name="Ввод  2 19 6 2 3" xfId="35408"/>
    <cellStyle name="Ввод  2 19 6 3" xfId="25008"/>
    <cellStyle name="Ввод  2 19 6 3 2" xfId="40369"/>
    <cellStyle name="Ввод  2 19 6 4" xfId="14484"/>
    <cellStyle name="Ввод  2 19 6 5" xfId="29959"/>
    <cellStyle name="Ввод  2 19 7" xfId="3928"/>
    <cellStyle name="Ввод  2 19 7 2" xfId="9115"/>
    <cellStyle name="Ввод  2 19 7 2 2" xfId="20042"/>
    <cellStyle name="Ввод  2 19 7 2 3" xfId="35403"/>
    <cellStyle name="Ввод  2 19 7 3" xfId="25003"/>
    <cellStyle name="Ввод  2 19 7 3 2" xfId="40364"/>
    <cellStyle name="Ввод  2 19 7 4" xfId="14479"/>
    <cellStyle name="Ввод  2 19 7 5" xfId="29954"/>
    <cellStyle name="Ввод  2 19 8" xfId="4817"/>
    <cellStyle name="Ввод  2 19 8 2" xfId="10004"/>
    <cellStyle name="Ввод  2 19 8 2 2" xfId="20931"/>
    <cellStyle name="Ввод  2 19 8 2 3" xfId="36292"/>
    <cellStyle name="Ввод  2 19 8 3" xfId="25892"/>
    <cellStyle name="Ввод  2 19 8 3 2" xfId="41253"/>
    <cellStyle name="Ввод  2 19 8 4" xfId="15368"/>
    <cellStyle name="Ввод  2 19 8 5" xfId="30843"/>
    <cellStyle name="Ввод  2 19 9" xfId="5647"/>
    <cellStyle name="Ввод  2 19 9 2" xfId="17244"/>
    <cellStyle name="Ввод  2 19 9 3" xfId="32711"/>
    <cellStyle name="Ввод  2 2" xfId="257"/>
    <cellStyle name="Ввод  2 2 10" xfId="258"/>
    <cellStyle name="Ввод  2 2 10 10" xfId="17263"/>
    <cellStyle name="Ввод  2 2 10 10 2" xfId="32730"/>
    <cellStyle name="Ввод  2 2 10 11" xfId="10944"/>
    <cellStyle name="Ввод  2 2 10 12" xfId="10924"/>
    <cellStyle name="Ввод  2 2 10 2" xfId="928"/>
    <cellStyle name="Ввод  2 2 10 2 10" xfId="11512"/>
    <cellStyle name="Ввод  2 2 10 2 11" xfId="27029"/>
    <cellStyle name="Ввод  2 2 10 2 2" xfId="1361"/>
    <cellStyle name="Ввод  2 2 10 2 2 2" xfId="1126"/>
    <cellStyle name="Ввод  2 2 10 2 2 2 2" xfId="6381"/>
    <cellStyle name="Ввод  2 2 10 2 2 2 2 2" xfId="16482"/>
    <cellStyle name="Ввод  2 2 10 2 2 2 2 3" xfId="31949"/>
    <cellStyle name="Ввод  2 2 10 2 2 2 3" xfId="22269"/>
    <cellStyle name="Ввод  2 2 10 2 2 2 3 2" xfId="37630"/>
    <cellStyle name="Ввод  2 2 10 2 2 2 4" xfId="11707"/>
    <cellStyle name="Ввод  2 2 10 2 2 2 5" xfId="27220"/>
    <cellStyle name="Ввод  2 2 10 2 2 3" xfId="4999"/>
    <cellStyle name="Ввод  2 2 10 2 2 3 2" xfId="10182"/>
    <cellStyle name="Ввод  2 2 10 2 2 3 2 2" xfId="21108"/>
    <cellStyle name="Ввод  2 2 10 2 2 3 2 3" xfId="36469"/>
    <cellStyle name="Ввод  2 2 10 2 2 3 3" xfId="26069"/>
    <cellStyle name="Ввод  2 2 10 2 2 3 3 2" xfId="41430"/>
    <cellStyle name="Ввод  2 2 10 2 2 3 4" xfId="15545"/>
    <cellStyle name="Ввод  2 2 10 2 2 3 5" xfId="31020"/>
    <cellStyle name="Ввод  2 2 10 2 2 4" xfId="6612"/>
    <cellStyle name="Ввод  2 2 10 2 2 4 2" xfId="16248"/>
    <cellStyle name="Ввод  2 2 10 2 2 4 3" xfId="31715"/>
    <cellStyle name="Ввод  2 2 10 2 2 5" xfId="22500"/>
    <cellStyle name="Ввод  2 2 10 2 2 5 2" xfId="37861"/>
    <cellStyle name="Ввод  2 2 10 2 2 6" xfId="11941"/>
    <cellStyle name="Ввод  2 2 10 2 2 7" xfId="27451"/>
    <cellStyle name="Ввод  2 2 10 2 3" xfId="2334"/>
    <cellStyle name="Ввод  2 2 10 2 3 2" xfId="7570"/>
    <cellStyle name="Ввод  2 2 10 2 3 2 2" xfId="18472"/>
    <cellStyle name="Ввод  2 2 10 2 3 2 3" xfId="33833"/>
    <cellStyle name="Ввод  2 2 10 2 3 3" xfId="23458"/>
    <cellStyle name="Ввод  2 2 10 2 3 3 2" xfId="38819"/>
    <cellStyle name="Ввод  2 2 10 2 3 4" xfId="12909"/>
    <cellStyle name="Ввод  2 2 10 2 3 5" xfId="28409"/>
    <cellStyle name="Ввод  2 2 10 2 4" xfId="3477"/>
    <cellStyle name="Ввод  2 2 10 2 4 2" xfId="8664"/>
    <cellStyle name="Ввод  2 2 10 2 4 2 2" xfId="19591"/>
    <cellStyle name="Ввод  2 2 10 2 4 2 3" xfId="34952"/>
    <cellStyle name="Ввод  2 2 10 2 4 3" xfId="24552"/>
    <cellStyle name="Ввод  2 2 10 2 4 3 2" xfId="39913"/>
    <cellStyle name="Ввод  2 2 10 2 4 4" xfId="14028"/>
    <cellStyle name="Ввод  2 2 10 2 4 5" xfId="29503"/>
    <cellStyle name="Ввод  2 2 10 2 5" xfId="3736"/>
    <cellStyle name="Ввод  2 2 10 2 5 2" xfId="8923"/>
    <cellStyle name="Ввод  2 2 10 2 5 2 2" xfId="19850"/>
    <cellStyle name="Ввод  2 2 10 2 5 2 3" xfId="35211"/>
    <cellStyle name="Ввод  2 2 10 2 5 3" xfId="24811"/>
    <cellStyle name="Ввод  2 2 10 2 5 3 2" xfId="40172"/>
    <cellStyle name="Ввод  2 2 10 2 5 4" xfId="14287"/>
    <cellStyle name="Ввод  2 2 10 2 5 5" xfId="29762"/>
    <cellStyle name="Ввод  2 2 10 2 6" xfId="4382"/>
    <cellStyle name="Ввод  2 2 10 2 6 2" xfId="9569"/>
    <cellStyle name="Ввод  2 2 10 2 6 2 2" xfId="20496"/>
    <cellStyle name="Ввод  2 2 10 2 6 2 3" xfId="35857"/>
    <cellStyle name="Ввод  2 2 10 2 6 3" xfId="25457"/>
    <cellStyle name="Ввод  2 2 10 2 6 3 2" xfId="40818"/>
    <cellStyle name="Ввод  2 2 10 2 6 4" xfId="14933"/>
    <cellStyle name="Ввод  2 2 10 2 6 5" xfId="30408"/>
    <cellStyle name="Ввод  2 2 10 2 7" xfId="4453"/>
    <cellStyle name="Ввод  2 2 10 2 7 2" xfId="9640"/>
    <cellStyle name="Ввод  2 2 10 2 7 2 2" xfId="20567"/>
    <cellStyle name="Ввод  2 2 10 2 7 2 3" xfId="35928"/>
    <cellStyle name="Ввод  2 2 10 2 7 3" xfId="25528"/>
    <cellStyle name="Ввод  2 2 10 2 7 3 2" xfId="40889"/>
    <cellStyle name="Ввод  2 2 10 2 7 4" xfId="15004"/>
    <cellStyle name="Ввод  2 2 10 2 7 5" xfId="30479"/>
    <cellStyle name="Ввод  2 2 10 2 8" xfId="6190"/>
    <cellStyle name="Ввод  2 2 10 2 8 2" xfId="16677"/>
    <cellStyle name="Ввод  2 2 10 2 8 3" xfId="32144"/>
    <cellStyle name="Ввод  2 2 10 2 9" xfId="22078"/>
    <cellStyle name="Ввод  2 2 10 2 9 2" xfId="37439"/>
    <cellStyle name="Ввод  2 2 10 3" xfId="1180"/>
    <cellStyle name="Ввод  2 2 10 3 2" xfId="1045"/>
    <cellStyle name="Ввод  2 2 10 3 2 2" xfId="6303"/>
    <cellStyle name="Ввод  2 2 10 3 2 2 2" xfId="16561"/>
    <cellStyle name="Ввод  2 2 10 3 2 2 3" xfId="32028"/>
    <cellStyle name="Ввод  2 2 10 3 2 3" xfId="22191"/>
    <cellStyle name="Ввод  2 2 10 3 2 3 2" xfId="37552"/>
    <cellStyle name="Ввод  2 2 10 3 2 4" xfId="11628"/>
    <cellStyle name="Ввод  2 2 10 3 2 5" xfId="27142"/>
    <cellStyle name="Ввод  2 2 10 3 3" xfId="5000"/>
    <cellStyle name="Ввод  2 2 10 3 3 2" xfId="10183"/>
    <cellStyle name="Ввод  2 2 10 3 3 2 2" xfId="21109"/>
    <cellStyle name="Ввод  2 2 10 3 3 2 3" xfId="36470"/>
    <cellStyle name="Ввод  2 2 10 3 3 3" xfId="26070"/>
    <cellStyle name="Ввод  2 2 10 3 3 3 2" xfId="41431"/>
    <cellStyle name="Ввод  2 2 10 3 3 4" xfId="15546"/>
    <cellStyle name="Ввод  2 2 10 3 3 5" xfId="31021"/>
    <cellStyle name="Ввод  2 2 10 3 4" xfId="6434"/>
    <cellStyle name="Ввод  2 2 10 3 4 2" xfId="16428"/>
    <cellStyle name="Ввод  2 2 10 3 4 3" xfId="31895"/>
    <cellStyle name="Ввод  2 2 10 3 5" xfId="22322"/>
    <cellStyle name="Ввод  2 2 10 3 5 2" xfId="37683"/>
    <cellStyle name="Ввод  2 2 10 3 6" xfId="11761"/>
    <cellStyle name="Ввод  2 2 10 3 7" xfId="27273"/>
    <cellStyle name="Ввод  2 2 10 4" xfId="1183"/>
    <cellStyle name="Ввод  2 2 10 4 2" xfId="6437"/>
    <cellStyle name="Ввод  2 2 10 4 2 2" xfId="16425"/>
    <cellStyle name="Ввод  2 2 10 4 2 3" xfId="31892"/>
    <cellStyle name="Ввод  2 2 10 4 3" xfId="22325"/>
    <cellStyle name="Ввод  2 2 10 4 3 2" xfId="37686"/>
    <cellStyle name="Ввод  2 2 10 4 4" xfId="11764"/>
    <cellStyle name="Ввод  2 2 10 4 5" xfId="27276"/>
    <cellStyle name="Ввод  2 2 10 5" xfId="3131"/>
    <cellStyle name="Ввод  2 2 10 5 2" xfId="8326"/>
    <cellStyle name="Ввод  2 2 10 5 2 2" xfId="19252"/>
    <cellStyle name="Ввод  2 2 10 5 2 3" xfId="34613"/>
    <cellStyle name="Ввод  2 2 10 5 3" xfId="24214"/>
    <cellStyle name="Ввод  2 2 10 5 3 2" xfId="39575"/>
    <cellStyle name="Ввод  2 2 10 5 4" xfId="13689"/>
    <cellStyle name="Ввод  2 2 10 5 5" xfId="29165"/>
    <cellStyle name="Ввод  2 2 10 6" xfId="3225"/>
    <cellStyle name="Ввод  2 2 10 6 2" xfId="8420"/>
    <cellStyle name="Ввод  2 2 10 6 2 2" xfId="19346"/>
    <cellStyle name="Ввод  2 2 10 6 2 3" xfId="34707"/>
    <cellStyle name="Ввод  2 2 10 6 3" xfId="24308"/>
    <cellStyle name="Ввод  2 2 10 6 3 2" xfId="39669"/>
    <cellStyle name="Ввод  2 2 10 6 4" xfId="13783"/>
    <cellStyle name="Ввод  2 2 10 6 5" xfId="29259"/>
    <cellStyle name="Ввод  2 2 10 7" xfId="3238"/>
    <cellStyle name="Ввод  2 2 10 7 2" xfId="8433"/>
    <cellStyle name="Ввод  2 2 10 7 2 2" xfId="19359"/>
    <cellStyle name="Ввод  2 2 10 7 2 3" xfId="34720"/>
    <cellStyle name="Ввод  2 2 10 7 3" xfId="24321"/>
    <cellStyle name="Ввод  2 2 10 7 3 2" xfId="39682"/>
    <cellStyle name="Ввод  2 2 10 7 4" xfId="13796"/>
    <cellStyle name="Ввод  2 2 10 7 5" xfId="29272"/>
    <cellStyle name="Ввод  2 2 10 8" xfId="4818"/>
    <cellStyle name="Ввод  2 2 10 8 2" xfId="10005"/>
    <cellStyle name="Ввод  2 2 10 8 2 2" xfId="20932"/>
    <cellStyle name="Ввод  2 2 10 8 2 3" xfId="36293"/>
    <cellStyle name="Ввод  2 2 10 8 3" xfId="25893"/>
    <cellStyle name="Ввод  2 2 10 8 3 2" xfId="41254"/>
    <cellStyle name="Ввод  2 2 10 8 4" xfId="15369"/>
    <cellStyle name="Ввод  2 2 10 8 5" xfId="30844"/>
    <cellStyle name="Ввод  2 2 10 9" xfId="5649"/>
    <cellStyle name="Ввод  2 2 10 9 2" xfId="17242"/>
    <cellStyle name="Ввод  2 2 10 9 3" xfId="32709"/>
    <cellStyle name="Ввод  2 2 11" xfId="259"/>
    <cellStyle name="Ввод  2 2 11 10" xfId="17264"/>
    <cellStyle name="Ввод  2 2 11 10 2" xfId="32731"/>
    <cellStyle name="Ввод  2 2 11 11" xfId="10945"/>
    <cellStyle name="Ввод  2 2 11 12" xfId="10923"/>
    <cellStyle name="Ввод  2 2 11 2" xfId="927"/>
    <cellStyle name="Ввод  2 2 11 2 10" xfId="11511"/>
    <cellStyle name="Ввод  2 2 11 2 11" xfId="27028"/>
    <cellStyle name="Ввод  2 2 11 2 2" xfId="1039"/>
    <cellStyle name="Ввод  2 2 11 2 2 2" xfId="1431"/>
    <cellStyle name="Ввод  2 2 11 2 2 2 2" xfId="6679"/>
    <cellStyle name="Ввод  2 2 11 2 2 2 2 2" xfId="16179"/>
    <cellStyle name="Ввод  2 2 11 2 2 2 2 3" xfId="31646"/>
    <cellStyle name="Ввод  2 2 11 2 2 2 3" xfId="22567"/>
    <cellStyle name="Ввод  2 2 11 2 2 2 3 2" xfId="37928"/>
    <cellStyle name="Ввод  2 2 11 2 2 2 4" xfId="12010"/>
    <cellStyle name="Ввод  2 2 11 2 2 2 5" xfId="27518"/>
    <cellStyle name="Ввод  2 2 11 2 2 3" xfId="5001"/>
    <cellStyle name="Ввод  2 2 11 2 2 3 2" xfId="10184"/>
    <cellStyle name="Ввод  2 2 11 2 2 3 2 2" xfId="21110"/>
    <cellStyle name="Ввод  2 2 11 2 2 3 2 3" xfId="36471"/>
    <cellStyle name="Ввод  2 2 11 2 2 3 3" xfId="26071"/>
    <cellStyle name="Ввод  2 2 11 2 2 3 3 2" xfId="41432"/>
    <cellStyle name="Ввод  2 2 11 2 2 3 4" xfId="15547"/>
    <cellStyle name="Ввод  2 2 11 2 2 3 5" xfId="31022"/>
    <cellStyle name="Ввод  2 2 11 2 2 4" xfId="6297"/>
    <cellStyle name="Ввод  2 2 11 2 2 4 2" xfId="16567"/>
    <cellStyle name="Ввод  2 2 11 2 2 4 3" xfId="32034"/>
    <cellStyle name="Ввод  2 2 11 2 2 5" xfId="22185"/>
    <cellStyle name="Ввод  2 2 11 2 2 5 2" xfId="37546"/>
    <cellStyle name="Ввод  2 2 11 2 2 6" xfId="11622"/>
    <cellStyle name="Ввод  2 2 11 2 2 7" xfId="27136"/>
    <cellStyle name="Ввод  2 2 11 2 3" xfId="2333"/>
    <cellStyle name="Ввод  2 2 11 2 3 2" xfId="7569"/>
    <cellStyle name="Ввод  2 2 11 2 3 2 2" xfId="18471"/>
    <cellStyle name="Ввод  2 2 11 2 3 2 3" xfId="33832"/>
    <cellStyle name="Ввод  2 2 11 2 3 3" xfId="23457"/>
    <cellStyle name="Ввод  2 2 11 2 3 3 2" xfId="38818"/>
    <cellStyle name="Ввод  2 2 11 2 3 4" xfId="12908"/>
    <cellStyle name="Ввод  2 2 11 2 3 5" xfId="28408"/>
    <cellStyle name="Ввод  2 2 11 2 4" xfId="3476"/>
    <cellStyle name="Ввод  2 2 11 2 4 2" xfId="8663"/>
    <cellStyle name="Ввод  2 2 11 2 4 2 2" xfId="19590"/>
    <cellStyle name="Ввод  2 2 11 2 4 2 3" xfId="34951"/>
    <cellStyle name="Ввод  2 2 11 2 4 3" xfId="24551"/>
    <cellStyle name="Ввод  2 2 11 2 4 3 2" xfId="39912"/>
    <cellStyle name="Ввод  2 2 11 2 4 4" xfId="14027"/>
    <cellStyle name="Ввод  2 2 11 2 4 5" xfId="29502"/>
    <cellStyle name="Ввод  2 2 11 2 5" xfId="3687"/>
    <cellStyle name="Ввод  2 2 11 2 5 2" xfId="8874"/>
    <cellStyle name="Ввод  2 2 11 2 5 2 2" xfId="19801"/>
    <cellStyle name="Ввод  2 2 11 2 5 2 3" xfId="35162"/>
    <cellStyle name="Ввод  2 2 11 2 5 3" xfId="24762"/>
    <cellStyle name="Ввод  2 2 11 2 5 3 2" xfId="40123"/>
    <cellStyle name="Ввод  2 2 11 2 5 4" xfId="14238"/>
    <cellStyle name="Ввод  2 2 11 2 5 5" xfId="29713"/>
    <cellStyle name="Ввод  2 2 11 2 6" xfId="4381"/>
    <cellStyle name="Ввод  2 2 11 2 6 2" xfId="9568"/>
    <cellStyle name="Ввод  2 2 11 2 6 2 2" xfId="20495"/>
    <cellStyle name="Ввод  2 2 11 2 6 2 3" xfId="35856"/>
    <cellStyle name="Ввод  2 2 11 2 6 3" xfId="25456"/>
    <cellStyle name="Ввод  2 2 11 2 6 3 2" xfId="40817"/>
    <cellStyle name="Ввод  2 2 11 2 6 4" xfId="14932"/>
    <cellStyle name="Ввод  2 2 11 2 6 5" xfId="30407"/>
    <cellStyle name="Ввод  2 2 11 2 7" xfId="4454"/>
    <cellStyle name="Ввод  2 2 11 2 7 2" xfId="9641"/>
    <cellStyle name="Ввод  2 2 11 2 7 2 2" xfId="20568"/>
    <cellStyle name="Ввод  2 2 11 2 7 2 3" xfId="35929"/>
    <cellStyle name="Ввод  2 2 11 2 7 3" xfId="25529"/>
    <cellStyle name="Ввод  2 2 11 2 7 3 2" xfId="40890"/>
    <cellStyle name="Ввод  2 2 11 2 7 4" xfId="15005"/>
    <cellStyle name="Ввод  2 2 11 2 7 5" xfId="30480"/>
    <cellStyle name="Ввод  2 2 11 2 8" xfId="6189"/>
    <cellStyle name="Ввод  2 2 11 2 8 2" xfId="16678"/>
    <cellStyle name="Ввод  2 2 11 2 8 3" xfId="32145"/>
    <cellStyle name="Ввод  2 2 11 2 9" xfId="22077"/>
    <cellStyle name="Ввод  2 2 11 2 9 2" xfId="37438"/>
    <cellStyle name="Ввод  2 2 11 3" xfId="1525"/>
    <cellStyle name="Ввод  2 2 11 3 2" xfId="1488"/>
    <cellStyle name="Ввод  2 2 11 3 2 2" xfId="6735"/>
    <cellStyle name="Ввод  2 2 11 3 2 2 2" xfId="16123"/>
    <cellStyle name="Ввод  2 2 11 3 2 2 3" xfId="31590"/>
    <cellStyle name="Ввод  2 2 11 3 2 3" xfId="22623"/>
    <cellStyle name="Ввод  2 2 11 3 2 3 2" xfId="37984"/>
    <cellStyle name="Ввод  2 2 11 3 2 4" xfId="12066"/>
    <cellStyle name="Ввод  2 2 11 3 2 5" xfId="27574"/>
    <cellStyle name="Ввод  2 2 11 3 3" xfId="5002"/>
    <cellStyle name="Ввод  2 2 11 3 3 2" xfId="10185"/>
    <cellStyle name="Ввод  2 2 11 3 3 2 2" xfId="21111"/>
    <cellStyle name="Ввод  2 2 11 3 3 2 3" xfId="36472"/>
    <cellStyle name="Ввод  2 2 11 3 3 3" xfId="26072"/>
    <cellStyle name="Ввод  2 2 11 3 3 3 2" xfId="41433"/>
    <cellStyle name="Ввод  2 2 11 3 3 4" xfId="15548"/>
    <cellStyle name="Ввод  2 2 11 3 3 5" xfId="31023"/>
    <cellStyle name="Ввод  2 2 11 3 4" xfId="6772"/>
    <cellStyle name="Ввод  2 2 11 3 4 2" xfId="17667"/>
    <cellStyle name="Ввод  2 2 11 3 4 3" xfId="33028"/>
    <cellStyle name="Ввод  2 2 11 3 5" xfId="22660"/>
    <cellStyle name="Ввод  2 2 11 3 5 2" xfId="38021"/>
    <cellStyle name="Ввод  2 2 11 3 6" xfId="12103"/>
    <cellStyle name="Ввод  2 2 11 3 7" xfId="27611"/>
    <cellStyle name="Ввод  2 2 11 4" xfId="1775"/>
    <cellStyle name="Ввод  2 2 11 4 2" xfId="7014"/>
    <cellStyle name="Ввод  2 2 11 4 2 2" xfId="17916"/>
    <cellStyle name="Ввод  2 2 11 4 2 3" xfId="33277"/>
    <cellStyle name="Ввод  2 2 11 4 3" xfId="22902"/>
    <cellStyle name="Ввод  2 2 11 4 3 2" xfId="38263"/>
    <cellStyle name="Ввод  2 2 11 4 4" xfId="12353"/>
    <cellStyle name="Ввод  2 2 11 4 5" xfId="27853"/>
    <cellStyle name="Ввод  2 2 11 5" xfId="3130"/>
    <cellStyle name="Ввод  2 2 11 5 2" xfId="8325"/>
    <cellStyle name="Ввод  2 2 11 5 2 2" xfId="19251"/>
    <cellStyle name="Ввод  2 2 11 5 2 3" xfId="34612"/>
    <cellStyle name="Ввод  2 2 11 5 3" xfId="24213"/>
    <cellStyle name="Ввод  2 2 11 5 3 2" xfId="39574"/>
    <cellStyle name="Ввод  2 2 11 5 4" xfId="13688"/>
    <cellStyle name="Ввод  2 2 11 5 5" xfId="29164"/>
    <cellStyle name="Ввод  2 2 11 6" xfId="3866"/>
    <cellStyle name="Ввод  2 2 11 6 2" xfId="9053"/>
    <cellStyle name="Ввод  2 2 11 6 2 2" xfId="19980"/>
    <cellStyle name="Ввод  2 2 11 6 2 3" xfId="35341"/>
    <cellStyle name="Ввод  2 2 11 6 3" xfId="24941"/>
    <cellStyle name="Ввод  2 2 11 6 3 2" xfId="40302"/>
    <cellStyle name="Ввод  2 2 11 6 4" xfId="14417"/>
    <cellStyle name="Ввод  2 2 11 6 5" xfId="29892"/>
    <cellStyle name="Ввод  2 2 11 7" xfId="3369"/>
    <cellStyle name="Ввод  2 2 11 7 2" xfId="8563"/>
    <cellStyle name="Ввод  2 2 11 7 2 2" xfId="19490"/>
    <cellStyle name="Ввод  2 2 11 7 2 3" xfId="34851"/>
    <cellStyle name="Ввод  2 2 11 7 3" xfId="24451"/>
    <cellStyle name="Ввод  2 2 11 7 3 2" xfId="39812"/>
    <cellStyle name="Ввод  2 2 11 7 4" xfId="13927"/>
    <cellStyle name="Ввод  2 2 11 7 5" xfId="29402"/>
    <cellStyle name="Ввод  2 2 11 8" xfId="4803"/>
    <cellStyle name="Ввод  2 2 11 8 2" xfId="9990"/>
    <cellStyle name="Ввод  2 2 11 8 2 2" xfId="20917"/>
    <cellStyle name="Ввод  2 2 11 8 2 3" xfId="36278"/>
    <cellStyle name="Ввод  2 2 11 8 3" xfId="25878"/>
    <cellStyle name="Ввод  2 2 11 8 3 2" xfId="41239"/>
    <cellStyle name="Ввод  2 2 11 8 4" xfId="15354"/>
    <cellStyle name="Ввод  2 2 11 8 5" xfId="30829"/>
    <cellStyle name="Ввод  2 2 11 9" xfId="5650"/>
    <cellStyle name="Ввод  2 2 11 9 2" xfId="17241"/>
    <cellStyle name="Ввод  2 2 11 9 3" xfId="32708"/>
    <cellStyle name="Ввод  2 2 12" xfId="260"/>
    <cellStyle name="Ввод  2 2 12 10" xfId="17265"/>
    <cellStyle name="Ввод  2 2 12 10 2" xfId="32732"/>
    <cellStyle name="Ввод  2 2 12 11" xfId="10946"/>
    <cellStyle name="Ввод  2 2 12 12" xfId="10922"/>
    <cellStyle name="Ввод  2 2 12 2" xfId="926"/>
    <cellStyle name="Ввод  2 2 12 2 10" xfId="11510"/>
    <cellStyle name="Ввод  2 2 12 2 11" xfId="27027"/>
    <cellStyle name="Ввод  2 2 12 2 2" xfId="1753"/>
    <cellStyle name="Ввод  2 2 12 2 2 2" xfId="2058"/>
    <cellStyle name="Ввод  2 2 12 2 2 2 2" xfId="7294"/>
    <cellStyle name="Ввод  2 2 12 2 2 2 2 2" xfId="18196"/>
    <cellStyle name="Ввод  2 2 12 2 2 2 2 3" xfId="33557"/>
    <cellStyle name="Ввод  2 2 12 2 2 2 3" xfId="23182"/>
    <cellStyle name="Ввод  2 2 12 2 2 2 3 2" xfId="38543"/>
    <cellStyle name="Ввод  2 2 12 2 2 2 4" xfId="12633"/>
    <cellStyle name="Ввод  2 2 12 2 2 2 5" xfId="28133"/>
    <cellStyle name="Ввод  2 2 12 2 2 3" xfId="5003"/>
    <cellStyle name="Ввод  2 2 12 2 2 3 2" xfId="10186"/>
    <cellStyle name="Ввод  2 2 12 2 2 3 2 2" xfId="21112"/>
    <cellStyle name="Ввод  2 2 12 2 2 3 2 3" xfId="36473"/>
    <cellStyle name="Ввод  2 2 12 2 2 3 3" xfId="26073"/>
    <cellStyle name="Ввод  2 2 12 2 2 3 3 2" xfId="41434"/>
    <cellStyle name="Ввод  2 2 12 2 2 3 4" xfId="15549"/>
    <cellStyle name="Ввод  2 2 12 2 2 3 5" xfId="31024"/>
    <cellStyle name="Ввод  2 2 12 2 2 4" xfId="6992"/>
    <cellStyle name="Ввод  2 2 12 2 2 4 2" xfId="17894"/>
    <cellStyle name="Ввод  2 2 12 2 2 4 3" xfId="33255"/>
    <cellStyle name="Ввод  2 2 12 2 2 5" xfId="22880"/>
    <cellStyle name="Ввод  2 2 12 2 2 5 2" xfId="38241"/>
    <cellStyle name="Ввод  2 2 12 2 2 6" xfId="12331"/>
    <cellStyle name="Ввод  2 2 12 2 2 7" xfId="27831"/>
    <cellStyle name="Ввод  2 2 12 2 3" xfId="2332"/>
    <cellStyle name="Ввод  2 2 12 2 3 2" xfId="7568"/>
    <cellStyle name="Ввод  2 2 12 2 3 2 2" xfId="18470"/>
    <cellStyle name="Ввод  2 2 12 2 3 2 3" xfId="33831"/>
    <cellStyle name="Ввод  2 2 12 2 3 3" xfId="23456"/>
    <cellStyle name="Ввод  2 2 12 2 3 3 2" xfId="38817"/>
    <cellStyle name="Ввод  2 2 12 2 3 4" xfId="12907"/>
    <cellStyle name="Ввод  2 2 12 2 3 5" xfId="28407"/>
    <cellStyle name="Ввод  2 2 12 2 4" xfId="3475"/>
    <cellStyle name="Ввод  2 2 12 2 4 2" xfId="8662"/>
    <cellStyle name="Ввод  2 2 12 2 4 2 2" xfId="19589"/>
    <cellStyle name="Ввод  2 2 12 2 4 2 3" xfId="34950"/>
    <cellStyle name="Ввод  2 2 12 2 4 3" xfId="24550"/>
    <cellStyle name="Ввод  2 2 12 2 4 3 2" xfId="39911"/>
    <cellStyle name="Ввод  2 2 12 2 4 4" xfId="14026"/>
    <cellStyle name="Ввод  2 2 12 2 4 5" xfId="29501"/>
    <cellStyle name="Ввод  2 2 12 2 5" xfId="3737"/>
    <cellStyle name="Ввод  2 2 12 2 5 2" xfId="8924"/>
    <cellStyle name="Ввод  2 2 12 2 5 2 2" xfId="19851"/>
    <cellStyle name="Ввод  2 2 12 2 5 2 3" xfId="35212"/>
    <cellStyle name="Ввод  2 2 12 2 5 3" xfId="24812"/>
    <cellStyle name="Ввод  2 2 12 2 5 3 2" xfId="40173"/>
    <cellStyle name="Ввод  2 2 12 2 5 4" xfId="14288"/>
    <cellStyle name="Ввод  2 2 12 2 5 5" xfId="29763"/>
    <cellStyle name="Ввод  2 2 12 2 6" xfId="4380"/>
    <cellStyle name="Ввод  2 2 12 2 6 2" xfId="9567"/>
    <cellStyle name="Ввод  2 2 12 2 6 2 2" xfId="20494"/>
    <cellStyle name="Ввод  2 2 12 2 6 2 3" xfId="35855"/>
    <cellStyle name="Ввод  2 2 12 2 6 3" xfId="25455"/>
    <cellStyle name="Ввод  2 2 12 2 6 3 2" xfId="40816"/>
    <cellStyle name="Ввод  2 2 12 2 6 4" xfId="14931"/>
    <cellStyle name="Ввод  2 2 12 2 6 5" xfId="30406"/>
    <cellStyle name="Ввод  2 2 12 2 7" xfId="4455"/>
    <cellStyle name="Ввод  2 2 12 2 7 2" xfId="9642"/>
    <cellStyle name="Ввод  2 2 12 2 7 2 2" xfId="20569"/>
    <cellStyle name="Ввод  2 2 12 2 7 2 3" xfId="35930"/>
    <cellStyle name="Ввод  2 2 12 2 7 3" xfId="25530"/>
    <cellStyle name="Ввод  2 2 12 2 7 3 2" xfId="40891"/>
    <cellStyle name="Ввод  2 2 12 2 7 4" xfId="15006"/>
    <cellStyle name="Ввод  2 2 12 2 7 5" xfId="30481"/>
    <cellStyle name="Ввод  2 2 12 2 8" xfId="6188"/>
    <cellStyle name="Ввод  2 2 12 2 8 2" xfId="16679"/>
    <cellStyle name="Ввод  2 2 12 2 8 3" xfId="32146"/>
    <cellStyle name="Ввод  2 2 12 2 9" xfId="22076"/>
    <cellStyle name="Ввод  2 2 12 2 9 2" xfId="37437"/>
    <cellStyle name="Ввод  2 2 12 3" xfId="1651"/>
    <cellStyle name="Ввод  2 2 12 3 2" xfId="1772"/>
    <cellStyle name="Ввод  2 2 12 3 2 2" xfId="7011"/>
    <cellStyle name="Ввод  2 2 12 3 2 2 2" xfId="17913"/>
    <cellStyle name="Ввод  2 2 12 3 2 2 3" xfId="33274"/>
    <cellStyle name="Ввод  2 2 12 3 2 3" xfId="22899"/>
    <cellStyle name="Ввод  2 2 12 3 2 3 2" xfId="38260"/>
    <cellStyle name="Ввод  2 2 12 3 2 4" xfId="12350"/>
    <cellStyle name="Ввод  2 2 12 3 2 5" xfId="27850"/>
    <cellStyle name="Ввод  2 2 12 3 3" xfId="5004"/>
    <cellStyle name="Ввод  2 2 12 3 3 2" xfId="10187"/>
    <cellStyle name="Ввод  2 2 12 3 3 2 2" xfId="21113"/>
    <cellStyle name="Ввод  2 2 12 3 3 2 3" xfId="36474"/>
    <cellStyle name="Ввод  2 2 12 3 3 3" xfId="26074"/>
    <cellStyle name="Ввод  2 2 12 3 3 3 2" xfId="41435"/>
    <cellStyle name="Ввод  2 2 12 3 3 4" xfId="15550"/>
    <cellStyle name="Ввод  2 2 12 3 3 5" xfId="31025"/>
    <cellStyle name="Ввод  2 2 12 3 4" xfId="6897"/>
    <cellStyle name="Ввод  2 2 12 3 4 2" xfId="17793"/>
    <cellStyle name="Ввод  2 2 12 3 4 3" xfId="33154"/>
    <cellStyle name="Ввод  2 2 12 3 5" xfId="22785"/>
    <cellStyle name="Ввод  2 2 12 3 5 2" xfId="38146"/>
    <cellStyle name="Ввод  2 2 12 3 6" xfId="12229"/>
    <cellStyle name="Ввод  2 2 12 3 7" xfId="27736"/>
    <cellStyle name="Ввод  2 2 12 4" xfId="1761"/>
    <cellStyle name="Ввод  2 2 12 4 2" xfId="7000"/>
    <cellStyle name="Ввод  2 2 12 4 2 2" xfId="17902"/>
    <cellStyle name="Ввод  2 2 12 4 2 3" xfId="33263"/>
    <cellStyle name="Ввод  2 2 12 4 3" xfId="22888"/>
    <cellStyle name="Ввод  2 2 12 4 3 2" xfId="38249"/>
    <cellStyle name="Ввод  2 2 12 4 4" xfId="12339"/>
    <cellStyle name="Ввод  2 2 12 4 5" xfId="27839"/>
    <cellStyle name="Ввод  2 2 12 5" xfId="3127"/>
    <cellStyle name="Ввод  2 2 12 5 2" xfId="8322"/>
    <cellStyle name="Ввод  2 2 12 5 2 2" xfId="19248"/>
    <cellStyle name="Ввод  2 2 12 5 2 3" xfId="34609"/>
    <cellStyle name="Ввод  2 2 12 5 3" xfId="24210"/>
    <cellStyle name="Ввод  2 2 12 5 3 2" xfId="39571"/>
    <cellStyle name="Ввод  2 2 12 5 4" xfId="13685"/>
    <cellStyle name="Ввод  2 2 12 5 5" xfId="29161"/>
    <cellStyle name="Ввод  2 2 12 6" xfId="3934"/>
    <cellStyle name="Ввод  2 2 12 6 2" xfId="9121"/>
    <cellStyle name="Ввод  2 2 12 6 2 2" xfId="20048"/>
    <cellStyle name="Ввод  2 2 12 6 2 3" xfId="35409"/>
    <cellStyle name="Ввод  2 2 12 6 3" xfId="25009"/>
    <cellStyle name="Ввод  2 2 12 6 3 2" xfId="40370"/>
    <cellStyle name="Ввод  2 2 12 6 4" xfId="14485"/>
    <cellStyle name="Ввод  2 2 12 6 5" xfId="29960"/>
    <cellStyle name="Ввод  2 2 12 7" xfId="3927"/>
    <cellStyle name="Ввод  2 2 12 7 2" xfId="9114"/>
    <cellStyle name="Ввод  2 2 12 7 2 2" xfId="20041"/>
    <cellStyle name="Ввод  2 2 12 7 2 3" xfId="35402"/>
    <cellStyle name="Ввод  2 2 12 7 3" xfId="25002"/>
    <cellStyle name="Ввод  2 2 12 7 3 2" xfId="40363"/>
    <cellStyle name="Ввод  2 2 12 7 4" xfId="14478"/>
    <cellStyle name="Ввод  2 2 12 7 5" xfId="29953"/>
    <cellStyle name="Ввод  2 2 12 8" xfId="4819"/>
    <cellStyle name="Ввод  2 2 12 8 2" xfId="10006"/>
    <cellStyle name="Ввод  2 2 12 8 2 2" xfId="20933"/>
    <cellStyle name="Ввод  2 2 12 8 2 3" xfId="36294"/>
    <cellStyle name="Ввод  2 2 12 8 3" xfId="25894"/>
    <cellStyle name="Ввод  2 2 12 8 3 2" xfId="41255"/>
    <cellStyle name="Ввод  2 2 12 8 4" xfId="15370"/>
    <cellStyle name="Ввод  2 2 12 8 5" xfId="30845"/>
    <cellStyle name="Ввод  2 2 12 9" xfId="5651"/>
    <cellStyle name="Ввод  2 2 12 9 2" xfId="17240"/>
    <cellStyle name="Ввод  2 2 12 9 3" xfId="32707"/>
    <cellStyle name="Ввод  2 2 13" xfId="261"/>
    <cellStyle name="Ввод  2 2 13 10" xfId="17266"/>
    <cellStyle name="Ввод  2 2 13 10 2" xfId="32733"/>
    <cellStyle name="Ввод  2 2 13 11" xfId="10947"/>
    <cellStyle name="Ввод  2 2 13 12" xfId="10921"/>
    <cellStyle name="Ввод  2 2 13 2" xfId="925"/>
    <cellStyle name="Ввод  2 2 13 2 10" xfId="11509"/>
    <cellStyle name="Ввод  2 2 13 2 11" xfId="27026"/>
    <cellStyle name="Ввод  2 2 13 2 2" xfId="1566"/>
    <cellStyle name="Ввод  2 2 13 2 2 2" xfId="2354"/>
    <cellStyle name="Ввод  2 2 13 2 2 2 2" xfId="7590"/>
    <cellStyle name="Ввод  2 2 13 2 2 2 2 2" xfId="18492"/>
    <cellStyle name="Ввод  2 2 13 2 2 2 2 3" xfId="33853"/>
    <cellStyle name="Ввод  2 2 13 2 2 2 3" xfId="23478"/>
    <cellStyle name="Ввод  2 2 13 2 2 2 3 2" xfId="38839"/>
    <cellStyle name="Ввод  2 2 13 2 2 2 4" xfId="12929"/>
    <cellStyle name="Ввод  2 2 13 2 2 2 5" xfId="28429"/>
    <cellStyle name="Ввод  2 2 13 2 2 3" xfId="5005"/>
    <cellStyle name="Ввод  2 2 13 2 2 3 2" xfId="10188"/>
    <cellStyle name="Ввод  2 2 13 2 2 3 2 2" xfId="21114"/>
    <cellStyle name="Ввод  2 2 13 2 2 3 2 3" xfId="36475"/>
    <cellStyle name="Ввод  2 2 13 2 2 3 3" xfId="26075"/>
    <cellStyle name="Ввод  2 2 13 2 2 3 3 2" xfId="41436"/>
    <cellStyle name="Ввод  2 2 13 2 2 3 4" xfId="15551"/>
    <cellStyle name="Ввод  2 2 13 2 2 3 5" xfId="31026"/>
    <cellStyle name="Ввод  2 2 13 2 2 4" xfId="6813"/>
    <cellStyle name="Ввод  2 2 13 2 2 4 2" xfId="17708"/>
    <cellStyle name="Ввод  2 2 13 2 2 4 3" xfId="33069"/>
    <cellStyle name="Ввод  2 2 13 2 2 5" xfId="22701"/>
    <cellStyle name="Ввод  2 2 13 2 2 5 2" xfId="38062"/>
    <cellStyle name="Ввод  2 2 13 2 2 6" xfId="12144"/>
    <cellStyle name="Ввод  2 2 13 2 2 7" xfId="27652"/>
    <cellStyle name="Ввод  2 2 13 2 3" xfId="2331"/>
    <cellStyle name="Ввод  2 2 13 2 3 2" xfId="7567"/>
    <cellStyle name="Ввод  2 2 13 2 3 2 2" xfId="18469"/>
    <cellStyle name="Ввод  2 2 13 2 3 2 3" xfId="33830"/>
    <cellStyle name="Ввод  2 2 13 2 3 3" xfId="23455"/>
    <cellStyle name="Ввод  2 2 13 2 3 3 2" xfId="38816"/>
    <cellStyle name="Ввод  2 2 13 2 3 4" xfId="12906"/>
    <cellStyle name="Ввод  2 2 13 2 3 5" xfId="28406"/>
    <cellStyle name="Ввод  2 2 13 2 4" xfId="3474"/>
    <cellStyle name="Ввод  2 2 13 2 4 2" xfId="8661"/>
    <cellStyle name="Ввод  2 2 13 2 4 2 2" xfId="19588"/>
    <cellStyle name="Ввод  2 2 13 2 4 2 3" xfId="34949"/>
    <cellStyle name="Ввод  2 2 13 2 4 3" xfId="24549"/>
    <cellStyle name="Ввод  2 2 13 2 4 3 2" xfId="39910"/>
    <cellStyle name="Ввод  2 2 13 2 4 4" xfId="14025"/>
    <cellStyle name="Ввод  2 2 13 2 4 5" xfId="29500"/>
    <cellStyle name="Ввод  2 2 13 2 5" xfId="3686"/>
    <cellStyle name="Ввод  2 2 13 2 5 2" xfId="8873"/>
    <cellStyle name="Ввод  2 2 13 2 5 2 2" xfId="19800"/>
    <cellStyle name="Ввод  2 2 13 2 5 2 3" xfId="35161"/>
    <cellStyle name="Ввод  2 2 13 2 5 3" xfId="24761"/>
    <cellStyle name="Ввод  2 2 13 2 5 3 2" xfId="40122"/>
    <cellStyle name="Ввод  2 2 13 2 5 4" xfId="14237"/>
    <cellStyle name="Ввод  2 2 13 2 5 5" xfId="29712"/>
    <cellStyle name="Ввод  2 2 13 2 6" xfId="4379"/>
    <cellStyle name="Ввод  2 2 13 2 6 2" xfId="9566"/>
    <cellStyle name="Ввод  2 2 13 2 6 2 2" xfId="20493"/>
    <cellStyle name="Ввод  2 2 13 2 6 2 3" xfId="35854"/>
    <cellStyle name="Ввод  2 2 13 2 6 3" xfId="25454"/>
    <cellStyle name="Ввод  2 2 13 2 6 3 2" xfId="40815"/>
    <cellStyle name="Ввод  2 2 13 2 6 4" xfId="14930"/>
    <cellStyle name="Ввод  2 2 13 2 6 5" xfId="30405"/>
    <cellStyle name="Ввод  2 2 13 2 7" xfId="4456"/>
    <cellStyle name="Ввод  2 2 13 2 7 2" xfId="9643"/>
    <cellStyle name="Ввод  2 2 13 2 7 2 2" xfId="20570"/>
    <cellStyle name="Ввод  2 2 13 2 7 2 3" xfId="35931"/>
    <cellStyle name="Ввод  2 2 13 2 7 3" xfId="25531"/>
    <cellStyle name="Ввод  2 2 13 2 7 3 2" xfId="40892"/>
    <cellStyle name="Ввод  2 2 13 2 7 4" xfId="15007"/>
    <cellStyle name="Ввод  2 2 13 2 7 5" xfId="30482"/>
    <cellStyle name="Ввод  2 2 13 2 8" xfId="6187"/>
    <cellStyle name="Ввод  2 2 13 2 8 2" xfId="16680"/>
    <cellStyle name="Ввод  2 2 13 2 8 3" xfId="32147"/>
    <cellStyle name="Ввод  2 2 13 2 9" xfId="22075"/>
    <cellStyle name="Ввод  2 2 13 2 9 2" xfId="37436"/>
    <cellStyle name="Ввод  2 2 13 3" xfId="1748"/>
    <cellStyle name="Ввод  2 2 13 3 2" xfId="2870"/>
    <cellStyle name="Ввод  2 2 13 3 2 2" xfId="8077"/>
    <cellStyle name="Ввод  2 2 13 3 2 2 2" xfId="18997"/>
    <cellStyle name="Ввод  2 2 13 3 2 2 3" xfId="34358"/>
    <cellStyle name="Ввод  2 2 13 3 2 3" xfId="23965"/>
    <cellStyle name="Ввод  2 2 13 3 2 3 2" xfId="39326"/>
    <cellStyle name="Ввод  2 2 13 3 2 4" xfId="13434"/>
    <cellStyle name="Ввод  2 2 13 3 2 5" xfId="28916"/>
    <cellStyle name="Ввод  2 2 13 3 3" xfId="5006"/>
    <cellStyle name="Ввод  2 2 13 3 3 2" xfId="10189"/>
    <cellStyle name="Ввод  2 2 13 3 3 2 2" xfId="21115"/>
    <cellStyle name="Ввод  2 2 13 3 3 2 3" xfId="36476"/>
    <cellStyle name="Ввод  2 2 13 3 3 3" xfId="26076"/>
    <cellStyle name="Ввод  2 2 13 3 3 3 2" xfId="41437"/>
    <cellStyle name="Ввод  2 2 13 3 3 4" xfId="15552"/>
    <cellStyle name="Ввод  2 2 13 3 3 5" xfId="31027"/>
    <cellStyle name="Ввод  2 2 13 3 4" xfId="6987"/>
    <cellStyle name="Ввод  2 2 13 3 4 2" xfId="17889"/>
    <cellStyle name="Ввод  2 2 13 3 4 3" xfId="33250"/>
    <cellStyle name="Ввод  2 2 13 3 5" xfId="22875"/>
    <cellStyle name="Ввод  2 2 13 3 5 2" xfId="38236"/>
    <cellStyle name="Ввод  2 2 13 3 6" xfId="12326"/>
    <cellStyle name="Ввод  2 2 13 3 7" xfId="27826"/>
    <cellStyle name="Ввод  2 2 13 4" xfId="89"/>
    <cellStyle name="Ввод  2 2 13 4 2" xfId="5615"/>
    <cellStyle name="Ввод  2 2 13 4 2 2" xfId="17382"/>
    <cellStyle name="Ввод  2 2 13 4 2 3" xfId="32849"/>
    <cellStyle name="Ввод  2 2 13 4 3" xfId="21451"/>
    <cellStyle name="Ввод  2 2 13 4 3 2" xfId="36812"/>
    <cellStyle name="Ввод  2 2 13 4 4" xfId="10803"/>
    <cellStyle name="Ввод  2 2 13 4 5" xfId="15888"/>
    <cellStyle name="Ввод  2 2 13 5" xfId="3126"/>
    <cellStyle name="Ввод  2 2 13 5 2" xfId="8321"/>
    <cellStyle name="Ввод  2 2 13 5 2 2" xfId="19247"/>
    <cellStyle name="Ввод  2 2 13 5 2 3" xfId="34608"/>
    <cellStyle name="Ввод  2 2 13 5 3" xfId="24209"/>
    <cellStyle name="Ввод  2 2 13 5 3 2" xfId="39570"/>
    <cellStyle name="Ввод  2 2 13 5 4" xfId="13684"/>
    <cellStyle name="Ввод  2 2 13 5 5" xfId="29160"/>
    <cellStyle name="Ввод  2 2 13 6" xfId="3386"/>
    <cellStyle name="Ввод  2 2 13 6 2" xfId="8580"/>
    <cellStyle name="Ввод  2 2 13 6 2 2" xfId="19507"/>
    <cellStyle name="Ввод  2 2 13 6 2 3" xfId="34868"/>
    <cellStyle name="Ввод  2 2 13 6 3" xfId="24468"/>
    <cellStyle name="Ввод  2 2 13 6 3 2" xfId="39829"/>
    <cellStyle name="Ввод  2 2 13 6 4" xfId="13944"/>
    <cellStyle name="Ввод  2 2 13 6 5" xfId="29419"/>
    <cellStyle name="Ввод  2 2 13 7" xfId="3873"/>
    <cellStyle name="Ввод  2 2 13 7 2" xfId="9060"/>
    <cellStyle name="Ввод  2 2 13 7 2 2" xfId="19987"/>
    <cellStyle name="Ввод  2 2 13 7 2 3" xfId="35348"/>
    <cellStyle name="Ввод  2 2 13 7 3" xfId="24948"/>
    <cellStyle name="Ввод  2 2 13 7 3 2" xfId="40309"/>
    <cellStyle name="Ввод  2 2 13 7 4" xfId="14424"/>
    <cellStyle name="Ввод  2 2 13 7 5" xfId="29899"/>
    <cellStyle name="Ввод  2 2 13 8" xfId="4802"/>
    <cellStyle name="Ввод  2 2 13 8 2" xfId="9989"/>
    <cellStyle name="Ввод  2 2 13 8 2 2" xfId="20916"/>
    <cellStyle name="Ввод  2 2 13 8 2 3" xfId="36277"/>
    <cellStyle name="Ввод  2 2 13 8 3" xfId="25877"/>
    <cellStyle name="Ввод  2 2 13 8 3 2" xfId="41238"/>
    <cellStyle name="Ввод  2 2 13 8 4" xfId="15353"/>
    <cellStyle name="Ввод  2 2 13 8 5" xfId="30828"/>
    <cellStyle name="Ввод  2 2 13 9" xfId="5652"/>
    <cellStyle name="Ввод  2 2 13 9 2" xfId="17239"/>
    <cellStyle name="Ввод  2 2 13 9 3" xfId="32706"/>
    <cellStyle name="Ввод  2 2 14" xfId="262"/>
    <cellStyle name="Ввод  2 2 14 10" xfId="17267"/>
    <cellStyle name="Ввод  2 2 14 10 2" xfId="32734"/>
    <cellStyle name="Ввод  2 2 14 11" xfId="10948"/>
    <cellStyle name="Ввод  2 2 14 12" xfId="10920"/>
    <cellStyle name="Ввод  2 2 14 2" xfId="924"/>
    <cellStyle name="Ввод  2 2 14 2 10" xfId="11508"/>
    <cellStyle name="Ввод  2 2 14 2 11" xfId="27025"/>
    <cellStyle name="Ввод  2 2 14 2 2" xfId="1043"/>
    <cellStyle name="Ввод  2 2 14 2 2 2" xfId="2356"/>
    <cellStyle name="Ввод  2 2 14 2 2 2 2" xfId="7592"/>
    <cellStyle name="Ввод  2 2 14 2 2 2 2 2" xfId="18494"/>
    <cellStyle name="Ввод  2 2 14 2 2 2 2 3" xfId="33855"/>
    <cellStyle name="Ввод  2 2 14 2 2 2 3" xfId="23480"/>
    <cellStyle name="Ввод  2 2 14 2 2 2 3 2" xfId="38841"/>
    <cellStyle name="Ввод  2 2 14 2 2 2 4" xfId="12931"/>
    <cellStyle name="Ввод  2 2 14 2 2 2 5" xfId="28431"/>
    <cellStyle name="Ввод  2 2 14 2 2 3" xfId="5007"/>
    <cellStyle name="Ввод  2 2 14 2 2 3 2" xfId="10190"/>
    <cellStyle name="Ввод  2 2 14 2 2 3 2 2" xfId="21116"/>
    <cellStyle name="Ввод  2 2 14 2 2 3 2 3" xfId="36477"/>
    <cellStyle name="Ввод  2 2 14 2 2 3 3" xfId="26077"/>
    <cellStyle name="Ввод  2 2 14 2 2 3 3 2" xfId="41438"/>
    <cellStyle name="Ввод  2 2 14 2 2 3 4" xfId="15553"/>
    <cellStyle name="Ввод  2 2 14 2 2 3 5" xfId="31028"/>
    <cellStyle name="Ввод  2 2 14 2 2 4" xfId="6301"/>
    <cellStyle name="Ввод  2 2 14 2 2 4 2" xfId="16563"/>
    <cellStyle name="Ввод  2 2 14 2 2 4 3" xfId="32030"/>
    <cellStyle name="Ввод  2 2 14 2 2 5" xfId="22189"/>
    <cellStyle name="Ввод  2 2 14 2 2 5 2" xfId="37550"/>
    <cellStyle name="Ввод  2 2 14 2 2 6" xfId="11626"/>
    <cellStyle name="Ввод  2 2 14 2 2 7" xfId="27140"/>
    <cellStyle name="Ввод  2 2 14 2 3" xfId="2330"/>
    <cellStyle name="Ввод  2 2 14 2 3 2" xfId="7566"/>
    <cellStyle name="Ввод  2 2 14 2 3 2 2" xfId="18468"/>
    <cellStyle name="Ввод  2 2 14 2 3 2 3" xfId="33829"/>
    <cellStyle name="Ввод  2 2 14 2 3 3" xfId="23454"/>
    <cellStyle name="Ввод  2 2 14 2 3 3 2" xfId="38815"/>
    <cellStyle name="Ввод  2 2 14 2 3 4" xfId="12905"/>
    <cellStyle name="Ввод  2 2 14 2 3 5" xfId="28405"/>
    <cellStyle name="Ввод  2 2 14 2 4" xfId="3473"/>
    <cellStyle name="Ввод  2 2 14 2 4 2" xfId="8660"/>
    <cellStyle name="Ввод  2 2 14 2 4 2 2" xfId="19587"/>
    <cellStyle name="Ввод  2 2 14 2 4 2 3" xfId="34948"/>
    <cellStyle name="Ввод  2 2 14 2 4 3" xfId="24548"/>
    <cellStyle name="Ввод  2 2 14 2 4 3 2" xfId="39909"/>
    <cellStyle name="Ввод  2 2 14 2 4 4" xfId="14024"/>
    <cellStyle name="Ввод  2 2 14 2 4 5" xfId="29499"/>
    <cellStyle name="Ввод  2 2 14 2 5" xfId="3738"/>
    <cellStyle name="Ввод  2 2 14 2 5 2" xfId="8925"/>
    <cellStyle name="Ввод  2 2 14 2 5 2 2" xfId="19852"/>
    <cellStyle name="Ввод  2 2 14 2 5 2 3" xfId="35213"/>
    <cellStyle name="Ввод  2 2 14 2 5 3" xfId="24813"/>
    <cellStyle name="Ввод  2 2 14 2 5 3 2" xfId="40174"/>
    <cellStyle name="Ввод  2 2 14 2 5 4" xfId="14289"/>
    <cellStyle name="Ввод  2 2 14 2 5 5" xfId="29764"/>
    <cellStyle name="Ввод  2 2 14 2 6" xfId="4378"/>
    <cellStyle name="Ввод  2 2 14 2 6 2" xfId="9565"/>
    <cellStyle name="Ввод  2 2 14 2 6 2 2" xfId="20492"/>
    <cellStyle name="Ввод  2 2 14 2 6 2 3" xfId="35853"/>
    <cellStyle name="Ввод  2 2 14 2 6 3" xfId="25453"/>
    <cellStyle name="Ввод  2 2 14 2 6 3 2" xfId="40814"/>
    <cellStyle name="Ввод  2 2 14 2 6 4" xfId="14929"/>
    <cellStyle name="Ввод  2 2 14 2 6 5" xfId="30404"/>
    <cellStyle name="Ввод  2 2 14 2 7" xfId="4457"/>
    <cellStyle name="Ввод  2 2 14 2 7 2" xfId="9644"/>
    <cellStyle name="Ввод  2 2 14 2 7 2 2" xfId="20571"/>
    <cellStyle name="Ввод  2 2 14 2 7 2 3" xfId="35932"/>
    <cellStyle name="Ввод  2 2 14 2 7 3" xfId="25532"/>
    <cellStyle name="Ввод  2 2 14 2 7 3 2" xfId="40893"/>
    <cellStyle name="Ввод  2 2 14 2 7 4" xfId="15008"/>
    <cellStyle name="Ввод  2 2 14 2 7 5" xfId="30483"/>
    <cellStyle name="Ввод  2 2 14 2 8" xfId="6186"/>
    <cellStyle name="Ввод  2 2 14 2 8 2" xfId="16681"/>
    <cellStyle name="Ввод  2 2 14 2 8 3" xfId="32148"/>
    <cellStyle name="Ввод  2 2 14 2 9" xfId="22074"/>
    <cellStyle name="Ввод  2 2 14 2 9 2" xfId="37435"/>
    <cellStyle name="Ввод  2 2 14 3" xfId="1287"/>
    <cellStyle name="Ввод  2 2 14 3 2" xfId="2871"/>
    <cellStyle name="Ввод  2 2 14 3 2 2" xfId="8078"/>
    <cellStyle name="Ввод  2 2 14 3 2 2 2" xfId="18998"/>
    <cellStyle name="Ввод  2 2 14 3 2 2 3" xfId="34359"/>
    <cellStyle name="Ввод  2 2 14 3 2 3" xfId="23966"/>
    <cellStyle name="Ввод  2 2 14 3 2 3 2" xfId="39327"/>
    <cellStyle name="Ввод  2 2 14 3 2 4" xfId="13435"/>
    <cellStyle name="Ввод  2 2 14 3 2 5" xfId="28917"/>
    <cellStyle name="Ввод  2 2 14 3 3" xfId="5008"/>
    <cellStyle name="Ввод  2 2 14 3 3 2" xfId="10191"/>
    <cellStyle name="Ввод  2 2 14 3 3 2 2" xfId="21117"/>
    <cellStyle name="Ввод  2 2 14 3 3 2 3" xfId="36478"/>
    <cellStyle name="Ввод  2 2 14 3 3 3" xfId="26078"/>
    <cellStyle name="Ввод  2 2 14 3 3 3 2" xfId="41439"/>
    <cellStyle name="Ввод  2 2 14 3 3 4" xfId="15554"/>
    <cellStyle name="Ввод  2 2 14 3 3 5" xfId="31029"/>
    <cellStyle name="Ввод  2 2 14 3 4" xfId="6540"/>
    <cellStyle name="Ввод  2 2 14 3 4 2" xfId="16321"/>
    <cellStyle name="Ввод  2 2 14 3 4 3" xfId="31788"/>
    <cellStyle name="Ввод  2 2 14 3 5" xfId="22428"/>
    <cellStyle name="Ввод  2 2 14 3 5 2" xfId="37789"/>
    <cellStyle name="Ввод  2 2 14 3 6" xfId="11868"/>
    <cellStyle name="Ввод  2 2 14 3 7" xfId="27379"/>
    <cellStyle name="Ввод  2 2 14 4" xfId="1351"/>
    <cellStyle name="Ввод  2 2 14 4 2" xfId="6603"/>
    <cellStyle name="Ввод  2 2 14 4 2 2" xfId="16257"/>
    <cellStyle name="Ввод  2 2 14 4 2 3" xfId="31724"/>
    <cellStyle name="Ввод  2 2 14 4 3" xfId="22491"/>
    <cellStyle name="Ввод  2 2 14 4 3 2" xfId="37852"/>
    <cellStyle name="Ввод  2 2 14 4 4" xfId="11932"/>
    <cellStyle name="Ввод  2 2 14 4 5" xfId="27442"/>
    <cellStyle name="Ввод  2 2 14 5" xfId="3123"/>
    <cellStyle name="Ввод  2 2 14 5 2" xfId="8318"/>
    <cellStyle name="Ввод  2 2 14 5 2 2" xfId="19244"/>
    <cellStyle name="Ввод  2 2 14 5 2 3" xfId="34605"/>
    <cellStyle name="Ввод  2 2 14 5 3" xfId="24206"/>
    <cellStyle name="Ввод  2 2 14 5 3 2" xfId="39567"/>
    <cellStyle name="Ввод  2 2 14 5 4" xfId="13681"/>
    <cellStyle name="Ввод  2 2 14 5 5" xfId="29157"/>
    <cellStyle name="Ввод  2 2 14 6" xfId="3222"/>
    <cellStyle name="Ввод  2 2 14 6 2" xfId="8417"/>
    <cellStyle name="Ввод  2 2 14 6 2 2" xfId="19343"/>
    <cellStyle name="Ввод  2 2 14 6 2 3" xfId="34704"/>
    <cellStyle name="Ввод  2 2 14 6 3" xfId="24305"/>
    <cellStyle name="Ввод  2 2 14 6 3 2" xfId="39666"/>
    <cellStyle name="Ввод  2 2 14 6 4" xfId="13780"/>
    <cellStyle name="Ввод  2 2 14 6 5" xfId="29256"/>
    <cellStyle name="Ввод  2 2 14 7" xfId="3241"/>
    <cellStyle name="Ввод  2 2 14 7 2" xfId="8436"/>
    <cellStyle name="Ввод  2 2 14 7 2 2" xfId="19362"/>
    <cellStyle name="Ввод  2 2 14 7 2 3" xfId="34723"/>
    <cellStyle name="Ввод  2 2 14 7 3" xfId="24324"/>
    <cellStyle name="Ввод  2 2 14 7 3 2" xfId="39685"/>
    <cellStyle name="Ввод  2 2 14 7 4" xfId="13799"/>
    <cellStyle name="Ввод  2 2 14 7 5" xfId="29275"/>
    <cellStyle name="Ввод  2 2 14 8" xfId="4820"/>
    <cellStyle name="Ввод  2 2 14 8 2" xfId="10007"/>
    <cellStyle name="Ввод  2 2 14 8 2 2" xfId="20934"/>
    <cellStyle name="Ввод  2 2 14 8 2 3" xfId="36295"/>
    <cellStyle name="Ввод  2 2 14 8 3" xfId="25895"/>
    <cellStyle name="Ввод  2 2 14 8 3 2" xfId="41256"/>
    <cellStyle name="Ввод  2 2 14 8 4" xfId="15371"/>
    <cellStyle name="Ввод  2 2 14 8 5" xfId="30846"/>
    <cellStyle name="Ввод  2 2 14 9" xfId="5653"/>
    <cellStyle name="Ввод  2 2 14 9 2" xfId="17238"/>
    <cellStyle name="Ввод  2 2 14 9 3" xfId="32705"/>
    <cellStyle name="Ввод  2 2 15" xfId="263"/>
    <cellStyle name="Ввод  2 2 15 10" xfId="17268"/>
    <cellStyle name="Ввод  2 2 15 10 2" xfId="32735"/>
    <cellStyle name="Ввод  2 2 15 11" xfId="10949"/>
    <cellStyle name="Ввод  2 2 15 12" xfId="10919"/>
    <cellStyle name="Ввод  2 2 15 2" xfId="923"/>
    <cellStyle name="Ввод  2 2 15 2 10" xfId="11507"/>
    <cellStyle name="Ввод  2 2 15 2 11" xfId="27024"/>
    <cellStyle name="Ввод  2 2 15 2 2" xfId="1596"/>
    <cellStyle name="Ввод  2 2 15 2 2 2" xfId="2872"/>
    <cellStyle name="Ввод  2 2 15 2 2 2 2" xfId="8079"/>
    <cellStyle name="Ввод  2 2 15 2 2 2 2 2" xfId="18999"/>
    <cellStyle name="Ввод  2 2 15 2 2 2 2 3" xfId="34360"/>
    <cellStyle name="Ввод  2 2 15 2 2 2 3" xfId="23967"/>
    <cellStyle name="Ввод  2 2 15 2 2 2 3 2" xfId="39328"/>
    <cellStyle name="Ввод  2 2 15 2 2 2 4" xfId="13436"/>
    <cellStyle name="Ввод  2 2 15 2 2 2 5" xfId="28918"/>
    <cellStyle name="Ввод  2 2 15 2 2 3" xfId="5009"/>
    <cellStyle name="Ввод  2 2 15 2 2 3 2" xfId="10192"/>
    <cellStyle name="Ввод  2 2 15 2 2 3 2 2" xfId="21118"/>
    <cellStyle name="Ввод  2 2 15 2 2 3 2 3" xfId="36479"/>
    <cellStyle name="Ввод  2 2 15 2 2 3 3" xfId="26079"/>
    <cellStyle name="Ввод  2 2 15 2 2 3 3 2" xfId="41440"/>
    <cellStyle name="Ввод  2 2 15 2 2 3 4" xfId="15555"/>
    <cellStyle name="Ввод  2 2 15 2 2 3 5" xfId="31030"/>
    <cellStyle name="Ввод  2 2 15 2 2 4" xfId="6843"/>
    <cellStyle name="Ввод  2 2 15 2 2 4 2" xfId="17738"/>
    <cellStyle name="Ввод  2 2 15 2 2 4 3" xfId="33099"/>
    <cellStyle name="Ввод  2 2 15 2 2 5" xfId="22731"/>
    <cellStyle name="Ввод  2 2 15 2 2 5 2" xfId="38092"/>
    <cellStyle name="Ввод  2 2 15 2 2 6" xfId="12174"/>
    <cellStyle name="Ввод  2 2 15 2 2 7" xfId="27682"/>
    <cellStyle name="Ввод  2 2 15 2 3" xfId="2329"/>
    <cellStyle name="Ввод  2 2 15 2 3 2" xfId="7565"/>
    <cellStyle name="Ввод  2 2 15 2 3 2 2" xfId="18467"/>
    <cellStyle name="Ввод  2 2 15 2 3 2 3" xfId="33828"/>
    <cellStyle name="Ввод  2 2 15 2 3 3" xfId="23453"/>
    <cellStyle name="Ввод  2 2 15 2 3 3 2" xfId="38814"/>
    <cellStyle name="Ввод  2 2 15 2 3 4" xfId="12904"/>
    <cellStyle name="Ввод  2 2 15 2 3 5" xfId="28404"/>
    <cellStyle name="Ввод  2 2 15 2 4" xfId="3472"/>
    <cellStyle name="Ввод  2 2 15 2 4 2" xfId="8659"/>
    <cellStyle name="Ввод  2 2 15 2 4 2 2" xfId="19586"/>
    <cellStyle name="Ввод  2 2 15 2 4 2 3" xfId="34947"/>
    <cellStyle name="Ввод  2 2 15 2 4 3" xfId="24547"/>
    <cellStyle name="Ввод  2 2 15 2 4 3 2" xfId="39908"/>
    <cellStyle name="Ввод  2 2 15 2 4 4" xfId="14023"/>
    <cellStyle name="Ввод  2 2 15 2 4 5" xfId="29498"/>
    <cellStyle name="Ввод  2 2 15 2 5" xfId="3685"/>
    <cellStyle name="Ввод  2 2 15 2 5 2" xfId="8872"/>
    <cellStyle name="Ввод  2 2 15 2 5 2 2" xfId="19799"/>
    <cellStyle name="Ввод  2 2 15 2 5 2 3" xfId="35160"/>
    <cellStyle name="Ввод  2 2 15 2 5 3" xfId="24760"/>
    <cellStyle name="Ввод  2 2 15 2 5 3 2" xfId="40121"/>
    <cellStyle name="Ввод  2 2 15 2 5 4" xfId="14236"/>
    <cellStyle name="Ввод  2 2 15 2 5 5" xfId="29711"/>
    <cellStyle name="Ввод  2 2 15 2 6" xfId="4377"/>
    <cellStyle name="Ввод  2 2 15 2 6 2" xfId="9564"/>
    <cellStyle name="Ввод  2 2 15 2 6 2 2" xfId="20491"/>
    <cellStyle name="Ввод  2 2 15 2 6 2 3" xfId="35852"/>
    <cellStyle name="Ввод  2 2 15 2 6 3" xfId="25452"/>
    <cellStyle name="Ввод  2 2 15 2 6 3 2" xfId="40813"/>
    <cellStyle name="Ввод  2 2 15 2 6 4" xfId="14928"/>
    <cellStyle name="Ввод  2 2 15 2 6 5" xfId="30403"/>
    <cellStyle name="Ввод  2 2 15 2 7" xfId="4458"/>
    <cellStyle name="Ввод  2 2 15 2 7 2" xfId="9645"/>
    <cellStyle name="Ввод  2 2 15 2 7 2 2" xfId="20572"/>
    <cellStyle name="Ввод  2 2 15 2 7 2 3" xfId="35933"/>
    <cellStyle name="Ввод  2 2 15 2 7 3" xfId="25533"/>
    <cellStyle name="Ввод  2 2 15 2 7 3 2" xfId="40894"/>
    <cellStyle name="Ввод  2 2 15 2 7 4" xfId="15009"/>
    <cellStyle name="Ввод  2 2 15 2 7 5" xfId="30484"/>
    <cellStyle name="Ввод  2 2 15 2 8" xfId="6185"/>
    <cellStyle name="Ввод  2 2 15 2 8 2" xfId="16682"/>
    <cellStyle name="Ввод  2 2 15 2 8 3" xfId="32149"/>
    <cellStyle name="Ввод  2 2 15 2 9" xfId="22073"/>
    <cellStyle name="Ввод  2 2 15 2 9 2" xfId="37434"/>
    <cellStyle name="Ввод  2 2 15 3" xfId="1458"/>
    <cellStyle name="Ввод  2 2 15 3 2" xfId="2057"/>
    <cellStyle name="Ввод  2 2 15 3 2 2" xfId="7293"/>
    <cellStyle name="Ввод  2 2 15 3 2 2 2" xfId="18195"/>
    <cellStyle name="Ввод  2 2 15 3 2 2 3" xfId="33556"/>
    <cellStyle name="Ввод  2 2 15 3 2 3" xfId="23181"/>
    <cellStyle name="Ввод  2 2 15 3 2 3 2" xfId="38542"/>
    <cellStyle name="Ввод  2 2 15 3 2 4" xfId="12632"/>
    <cellStyle name="Ввод  2 2 15 3 2 5" xfId="28132"/>
    <cellStyle name="Ввод  2 2 15 3 3" xfId="5010"/>
    <cellStyle name="Ввод  2 2 15 3 3 2" xfId="10193"/>
    <cellStyle name="Ввод  2 2 15 3 3 2 2" xfId="21119"/>
    <cellStyle name="Ввод  2 2 15 3 3 2 3" xfId="36480"/>
    <cellStyle name="Ввод  2 2 15 3 3 3" xfId="26080"/>
    <cellStyle name="Ввод  2 2 15 3 3 3 2" xfId="41441"/>
    <cellStyle name="Ввод  2 2 15 3 3 4" xfId="15556"/>
    <cellStyle name="Ввод  2 2 15 3 3 5" xfId="31031"/>
    <cellStyle name="Ввод  2 2 15 3 4" xfId="6705"/>
    <cellStyle name="Ввод  2 2 15 3 4 2" xfId="16153"/>
    <cellStyle name="Ввод  2 2 15 3 4 3" xfId="31620"/>
    <cellStyle name="Ввод  2 2 15 3 5" xfId="22593"/>
    <cellStyle name="Ввод  2 2 15 3 5 2" xfId="37954"/>
    <cellStyle name="Ввод  2 2 15 3 6" xfId="12036"/>
    <cellStyle name="Ввод  2 2 15 3 7" xfId="27544"/>
    <cellStyle name="Ввод  2 2 15 4" xfId="1781"/>
    <cellStyle name="Ввод  2 2 15 4 2" xfId="7020"/>
    <cellStyle name="Ввод  2 2 15 4 2 2" xfId="17922"/>
    <cellStyle name="Ввод  2 2 15 4 2 3" xfId="33283"/>
    <cellStyle name="Ввод  2 2 15 4 3" xfId="22908"/>
    <cellStyle name="Ввод  2 2 15 4 3 2" xfId="38269"/>
    <cellStyle name="Ввод  2 2 15 4 4" xfId="12359"/>
    <cellStyle name="Ввод  2 2 15 4 5" xfId="27859"/>
    <cellStyle name="Ввод  2 2 15 5" xfId="3122"/>
    <cellStyle name="Ввод  2 2 15 5 2" xfId="8317"/>
    <cellStyle name="Ввод  2 2 15 5 2 2" xfId="19243"/>
    <cellStyle name="Ввод  2 2 15 5 2 3" xfId="34604"/>
    <cellStyle name="Ввод  2 2 15 5 3" xfId="24205"/>
    <cellStyle name="Ввод  2 2 15 5 3 2" xfId="39566"/>
    <cellStyle name="Ввод  2 2 15 5 4" xfId="13680"/>
    <cellStyle name="Ввод  2 2 15 5 5" xfId="29156"/>
    <cellStyle name="Ввод  2 2 15 6" xfId="3865"/>
    <cellStyle name="Ввод  2 2 15 6 2" xfId="9052"/>
    <cellStyle name="Ввод  2 2 15 6 2 2" xfId="19979"/>
    <cellStyle name="Ввод  2 2 15 6 2 3" xfId="35340"/>
    <cellStyle name="Ввод  2 2 15 6 3" xfId="24940"/>
    <cellStyle name="Ввод  2 2 15 6 3 2" xfId="40301"/>
    <cellStyle name="Ввод  2 2 15 6 4" xfId="14416"/>
    <cellStyle name="Ввод  2 2 15 6 5" xfId="29891"/>
    <cellStyle name="Ввод  2 2 15 7" xfId="3366"/>
    <cellStyle name="Ввод  2 2 15 7 2" xfId="8560"/>
    <cellStyle name="Ввод  2 2 15 7 2 2" xfId="19487"/>
    <cellStyle name="Ввод  2 2 15 7 2 3" xfId="34848"/>
    <cellStyle name="Ввод  2 2 15 7 3" xfId="24448"/>
    <cellStyle name="Ввод  2 2 15 7 3 2" xfId="39809"/>
    <cellStyle name="Ввод  2 2 15 7 4" xfId="13924"/>
    <cellStyle name="Ввод  2 2 15 7 5" xfId="29399"/>
    <cellStyle name="Ввод  2 2 15 8" xfId="4801"/>
    <cellStyle name="Ввод  2 2 15 8 2" xfId="9988"/>
    <cellStyle name="Ввод  2 2 15 8 2 2" xfId="20915"/>
    <cellStyle name="Ввод  2 2 15 8 2 3" xfId="36276"/>
    <cellStyle name="Ввод  2 2 15 8 3" xfId="25876"/>
    <cellStyle name="Ввод  2 2 15 8 3 2" xfId="41237"/>
    <cellStyle name="Ввод  2 2 15 8 4" xfId="15352"/>
    <cellStyle name="Ввод  2 2 15 8 5" xfId="30827"/>
    <cellStyle name="Ввод  2 2 15 9" xfId="5654"/>
    <cellStyle name="Ввод  2 2 15 9 2" xfId="17237"/>
    <cellStyle name="Ввод  2 2 15 9 3" xfId="32704"/>
    <cellStyle name="Ввод  2 2 16" xfId="264"/>
    <cellStyle name="Ввод  2 2 16 10" xfId="17269"/>
    <cellStyle name="Ввод  2 2 16 10 2" xfId="32736"/>
    <cellStyle name="Ввод  2 2 16 11" xfId="10950"/>
    <cellStyle name="Ввод  2 2 16 12" xfId="10918"/>
    <cellStyle name="Ввод  2 2 16 2" xfId="922"/>
    <cellStyle name="Ввод  2 2 16 2 10" xfId="11506"/>
    <cellStyle name="Ввод  2 2 16 2 11" xfId="27023"/>
    <cellStyle name="Ввод  2 2 16 2 2" xfId="1464"/>
    <cellStyle name="Ввод  2 2 16 2 2 2" xfId="2873"/>
    <cellStyle name="Ввод  2 2 16 2 2 2 2" xfId="8080"/>
    <cellStyle name="Ввод  2 2 16 2 2 2 2 2" xfId="19000"/>
    <cellStyle name="Ввод  2 2 16 2 2 2 2 3" xfId="34361"/>
    <cellStyle name="Ввод  2 2 16 2 2 2 3" xfId="23968"/>
    <cellStyle name="Ввод  2 2 16 2 2 2 3 2" xfId="39329"/>
    <cellStyle name="Ввод  2 2 16 2 2 2 4" xfId="13437"/>
    <cellStyle name="Ввод  2 2 16 2 2 2 5" xfId="28919"/>
    <cellStyle name="Ввод  2 2 16 2 2 3" xfId="5011"/>
    <cellStyle name="Ввод  2 2 16 2 2 3 2" xfId="10194"/>
    <cellStyle name="Ввод  2 2 16 2 2 3 2 2" xfId="21120"/>
    <cellStyle name="Ввод  2 2 16 2 2 3 2 3" xfId="36481"/>
    <cellStyle name="Ввод  2 2 16 2 2 3 3" xfId="26081"/>
    <cellStyle name="Ввод  2 2 16 2 2 3 3 2" xfId="41442"/>
    <cellStyle name="Ввод  2 2 16 2 2 3 4" xfId="15557"/>
    <cellStyle name="Ввод  2 2 16 2 2 3 5" xfId="31032"/>
    <cellStyle name="Ввод  2 2 16 2 2 4" xfId="6711"/>
    <cellStyle name="Ввод  2 2 16 2 2 4 2" xfId="16147"/>
    <cellStyle name="Ввод  2 2 16 2 2 4 3" xfId="31614"/>
    <cellStyle name="Ввод  2 2 16 2 2 5" xfId="22599"/>
    <cellStyle name="Ввод  2 2 16 2 2 5 2" xfId="37960"/>
    <cellStyle name="Ввод  2 2 16 2 2 6" xfId="12042"/>
    <cellStyle name="Ввод  2 2 16 2 2 7" xfId="27550"/>
    <cellStyle name="Ввод  2 2 16 2 3" xfId="2328"/>
    <cellStyle name="Ввод  2 2 16 2 3 2" xfId="7564"/>
    <cellStyle name="Ввод  2 2 16 2 3 2 2" xfId="18466"/>
    <cellStyle name="Ввод  2 2 16 2 3 2 3" xfId="33827"/>
    <cellStyle name="Ввод  2 2 16 2 3 3" xfId="23452"/>
    <cellStyle name="Ввод  2 2 16 2 3 3 2" xfId="38813"/>
    <cellStyle name="Ввод  2 2 16 2 3 4" xfId="12903"/>
    <cellStyle name="Ввод  2 2 16 2 3 5" xfId="28403"/>
    <cellStyle name="Ввод  2 2 16 2 4" xfId="3471"/>
    <cellStyle name="Ввод  2 2 16 2 4 2" xfId="8658"/>
    <cellStyle name="Ввод  2 2 16 2 4 2 2" xfId="19585"/>
    <cellStyle name="Ввод  2 2 16 2 4 2 3" xfId="34946"/>
    <cellStyle name="Ввод  2 2 16 2 4 3" xfId="24546"/>
    <cellStyle name="Ввод  2 2 16 2 4 3 2" xfId="39907"/>
    <cellStyle name="Ввод  2 2 16 2 4 4" xfId="14022"/>
    <cellStyle name="Ввод  2 2 16 2 4 5" xfId="29497"/>
    <cellStyle name="Ввод  2 2 16 2 5" xfId="3739"/>
    <cellStyle name="Ввод  2 2 16 2 5 2" xfId="8926"/>
    <cellStyle name="Ввод  2 2 16 2 5 2 2" xfId="19853"/>
    <cellStyle name="Ввод  2 2 16 2 5 2 3" xfId="35214"/>
    <cellStyle name="Ввод  2 2 16 2 5 3" xfId="24814"/>
    <cellStyle name="Ввод  2 2 16 2 5 3 2" xfId="40175"/>
    <cellStyle name="Ввод  2 2 16 2 5 4" xfId="14290"/>
    <cellStyle name="Ввод  2 2 16 2 5 5" xfId="29765"/>
    <cellStyle name="Ввод  2 2 16 2 6" xfId="4376"/>
    <cellStyle name="Ввод  2 2 16 2 6 2" xfId="9563"/>
    <cellStyle name="Ввод  2 2 16 2 6 2 2" xfId="20490"/>
    <cellStyle name="Ввод  2 2 16 2 6 2 3" xfId="35851"/>
    <cellStyle name="Ввод  2 2 16 2 6 3" xfId="25451"/>
    <cellStyle name="Ввод  2 2 16 2 6 3 2" xfId="40812"/>
    <cellStyle name="Ввод  2 2 16 2 6 4" xfId="14927"/>
    <cellStyle name="Ввод  2 2 16 2 6 5" xfId="30402"/>
    <cellStyle name="Ввод  2 2 16 2 7" xfId="4459"/>
    <cellStyle name="Ввод  2 2 16 2 7 2" xfId="9646"/>
    <cellStyle name="Ввод  2 2 16 2 7 2 2" xfId="20573"/>
    <cellStyle name="Ввод  2 2 16 2 7 2 3" xfId="35934"/>
    <cellStyle name="Ввод  2 2 16 2 7 3" xfId="25534"/>
    <cellStyle name="Ввод  2 2 16 2 7 3 2" xfId="40895"/>
    <cellStyle name="Ввод  2 2 16 2 7 4" xfId="15010"/>
    <cellStyle name="Ввод  2 2 16 2 7 5" xfId="30485"/>
    <cellStyle name="Ввод  2 2 16 2 8" xfId="6184"/>
    <cellStyle name="Ввод  2 2 16 2 8 2" xfId="16683"/>
    <cellStyle name="Ввод  2 2 16 2 8 3" xfId="32150"/>
    <cellStyle name="Ввод  2 2 16 2 9" xfId="22072"/>
    <cellStyle name="Ввод  2 2 16 2 9 2" xfId="37433"/>
    <cellStyle name="Ввод  2 2 16 3" xfId="1534"/>
    <cellStyle name="Ввод  2 2 16 3 2" xfId="2360"/>
    <cellStyle name="Ввод  2 2 16 3 2 2" xfId="7596"/>
    <cellStyle name="Ввод  2 2 16 3 2 2 2" xfId="18498"/>
    <cellStyle name="Ввод  2 2 16 3 2 2 3" xfId="33859"/>
    <cellStyle name="Ввод  2 2 16 3 2 3" xfId="23484"/>
    <cellStyle name="Ввод  2 2 16 3 2 3 2" xfId="38845"/>
    <cellStyle name="Ввод  2 2 16 3 2 4" xfId="12935"/>
    <cellStyle name="Ввод  2 2 16 3 2 5" xfId="28435"/>
    <cellStyle name="Ввод  2 2 16 3 3" xfId="5012"/>
    <cellStyle name="Ввод  2 2 16 3 3 2" xfId="10195"/>
    <cellStyle name="Ввод  2 2 16 3 3 2 2" xfId="21121"/>
    <cellStyle name="Ввод  2 2 16 3 3 2 3" xfId="36482"/>
    <cellStyle name="Ввод  2 2 16 3 3 3" xfId="26082"/>
    <cellStyle name="Ввод  2 2 16 3 3 3 2" xfId="41443"/>
    <cellStyle name="Ввод  2 2 16 3 3 4" xfId="15558"/>
    <cellStyle name="Ввод  2 2 16 3 3 5" xfId="31033"/>
    <cellStyle name="Ввод  2 2 16 3 4" xfId="6781"/>
    <cellStyle name="Ввод  2 2 16 3 4 2" xfId="17676"/>
    <cellStyle name="Ввод  2 2 16 3 4 3" xfId="33037"/>
    <cellStyle name="Ввод  2 2 16 3 5" xfId="22669"/>
    <cellStyle name="Ввод  2 2 16 3 5 2" xfId="38030"/>
    <cellStyle name="Ввод  2 2 16 3 6" xfId="12112"/>
    <cellStyle name="Ввод  2 2 16 3 7" xfId="27620"/>
    <cellStyle name="Ввод  2 2 16 4" xfId="1019"/>
    <cellStyle name="Ввод  2 2 16 4 2" xfId="6277"/>
    <cellStyle name="Ввод  2 2 16 4 2 2" xfId="16587"/>
    <cellStyle name="Ввод  2 2 16 4 2 3" xfId="32054"/>
    <cellStyle name="Ввод  2 2 16 4 3" xfId="22165"/>
    <cellStyle name="Ввод  2 2 16 4 3 2" xfId="37526"/>
    <cellStyle name="Ввод  2 2 16 4 4" xfId="11602"/>
    <cellStyle name="Ввод  2 2 16 4 5" xfId="27116"/>
    <cellStyle name="Ввод  2 2 16 5" xfId="3119"/>
    <cellStyle name="Ввод  2 2 16 5 2" xfId="8314"/>
    <cellStyle name="Ввод  2 2 16 5 2 2" xfId="19240"/>
    <cellStyle name="Ввод  2 2 16 5 2 3" xfId="34601"/>
    <cellStyle name="Ввод  2 2 16 5 3" xfId="24202"/>
    <cellStyle name="Ввод  2 2 16 5 3 2" xfId="39563"/>
    <cellStyle name="Ввод  2 2 16 5 4" xfId="13677"/>
    <cellStyle name="Ввод  2 2 16 5 5" xfId="29153"/>
    <cellStyle name="Ввод  2 2 16 6" xfId="3935"/>
    <cellStyle name="Ввод  2 2 16 6 2" xfId="9122"/>
    <cellStyle name="Ввод  2 2 16 6 2 2" xfId="20049"/>
    <cellStyle name="Ввод  2 2 16 6 2 3" xfId="35410"/>
    <cellStyle name="Ввод  2 2 16 6 3" xfId="25010"/>
    <cellStyle name="Ввод  2 2 16 6 3 2" xfId="40371"/>
    <cellStyle name="Ввод  2 2 16 6 4" xfId="14486"/>
    <cellStyle name="Ввод  2 2 16 6 5" xfId="29961"/>
    <cellStyle name="Ввод  2 2 16 7" xfId="3926"/>
    <cellStyle name="Ввод  2 2 16 7 2" xfId="9113"/>
    <cellStyle name="Ввод  2 2 16 7 2 2" xfId="20040"/>
    <cellStyle name="Ввод  2 2 16 7 2 3" xfId="35401"/>
    <cellStyle name="Ввод  2 2 16 7 3" xfId="25001"/>
    <cellStyle name="Ввод  2 2 16 7 3 2" xfId="40362"/>
    <cellStyle name="Ввод  2 2 16 7 4" xfId="14477"/>
    <cellStyle name="Ввод  2 2 16 7 5" xfId="29952"/>
    <cellStyle name="Ввод  2 2 16 8" xfId="4821"/>
    <cellStyle name="Ввод  2 2 16 8 2" xfId="10008"/>
    <cellStyle name="Ввод  2 2 16 8 2 2" xfId="20935"/>
    <cellStyle name="Ввод  2 2 16 8 2 3" xfId="36296"/>
    <cellStyle name="Ввод  2 2 16 8 3" xfId="25896"/>
    <cellStyle name="Ввод  2 2 16 8 3 2" xfId="41257"/>
    <cellStyle name="Ввод  2 2 16 8 4" xfId="15372"/>
    <cellStyle name="Ввод  2 2 16 8 5" xfId="30847"/>
    <cellStyle name="Ввод  2 2 16 9" xfId="5655"/>
    <cellStyle name="Ввод  2 2 16 9 2" xfId="17236"/>
    <cellStyle name="Ввод  2 2 16 9 3" xfId="32703"/>
    <cellStyle name="Ввод  2 2 17" xfId="265"/>
    <cellStyle name="Ввод  2 2 17 10" xfId="18977"/>
    <cellStyle name="Ввод  2 2 17 10 2" xfId="34338"/>
    <cellStyle name="Ввод  2 2 17 11" xfId="10951"/>
    <cellStyle name="Ввод  2 2 17 12" xfId="10917"/>
    <cellStyle name="Ввод  2 2 17 2" xfId="921"/>
    <cellStyle name="Ввод  2 2 17 2 10" xfId="11505"/>
    <cellStyle name="Ввод  2 2 17 2 11" xfId="27022"/>
    <cellStyle name="Ввод  2 2 17 2 2" xfId="1632"/>
    <cellStyle name="Ввод  2 2 17 2 2 2" xfId="2874"/>
    <cellStyle name="Ввод  2 2 17 2 2 2 2" xfId="8081"/>
    <cellStyle name="Ввод  2 2 17 2 2 2 2 2" xfId="19001"/>
    <cellStyle name="Ввод  2 2 17 2 2 2 2 3" xfId="34362"/>
    <cellStyle name="Ввод  2 2 17 2 2 2 3" xfId="23969"/>
    <cellStyle name="Ввод  2 2 17 2 2 2 3 2" xfId="39330"/>
    <cellStyle name="Ввод  2 2 17 2 2 2 4" xfId="13438"/>
    <cellStyle name="Ввод  2 2 17 2 2 2 5" xfId="28920"/>
    <cellStyle name="Ввод  2 2 17 2 2 3" xfId="5013"/>
    <cellStyle name="Ввод  2 2 17 2 2 3 2" xfId="10196"/>
    <cellStyle name="Ввод  2 2 17 2 2 3 2 2" xfId="21122"/>
    <cellStyle name="Ввод  2 2 17 2 2 3 2 3" xfId="36483"/>
    <cellStyle name="Ввод  2 2 17 2 2 3 3" xfId="26083"/>
    <cellStyle name="Ввод  2 2 17 2 2 3 3 2" xfId="41444"/>
    <cellStyle name="Ввод  2 2 17 2 2 3 4" xfId="15559"/>
    <cellStyle name="Ввод  2 2 17 2 2 3 5" xfId="31034"/>
    <cellStyle name="Ввод  2 2 17 2 2 4" xfId="6878"/>
    <cellStyle name="Ввод  2 2 17 2 2 4 2" xfId="17774"/>
    <cellStyle name="Ввод  2 2 17 2 2 4 3" xfId="33135"/>
    <cellStyle name="Ввод  2 2 17 2 2 5" xfId="22766"/>
    <cellStyle name="Ввод  2 2 17 2 2 5 2" xfId="38127"/>
    <cellStyle name="Ввод  2 2 17 2 2 6" xfId="12210"/>
    <cellStyle name="Ввод  2 2 17 2 2 7" xfId="27717"/>
    <cellStyle name="Ввод  2 2 17 2 3" xfId="2327"/>
    <cellStyle name="Ввод  2 2 17 2 3 2" xfId="7563"/>
    <cellStyle name="Ввод  2 2 17 2 3 2 2" xfId="18465"/>
    <cellStyle name="Ввод  2 2 17 2 3 2 3" xfId="33826"/>
    <cellStyle name="Ввод  2 2 17 2 3 3" xfId="23451"/>
    <cellStyle name="Ввод  2 2 17 2 3 3 2" xfId="38812"/>
    <cellStyle name="Ввод  2 2 17 2 3 4" xfId="12902"/>
    <cellStyle name="Ввод  2 2 17 2 3 5" xfId="28402"/>
    <cellStyle name="Ввод  2 2 17 2 4" xfId="3470"/>
    <cellStyle name="Ввод  2 2 17 2 4 2" xfId="8657"/>
    <cellStyle name="Ввод  2 2 17 2 4 2 2" xfId="19584"/>
    <cellStyle name="Ввод  2 2 17 2 4 2 3" xfId="34945"/>
    <cellStyle name="Ввод  2 2 17 2 4 3" xfId="24545"/>
    <cellStyle name="Ввод  2 2 17 2 4 3 2" xfId="39906"/>
    <cellStyle name="Ввод  2 2 17 2 4 4" xfId="14021"/>
    <cellStyle name="Ввод  2 2 17 2 4 5" xfId="29496"/>
    <cellStyle name="Ввод  2 2 17 2 5" xfId="3684"/>
    <cellStyle name="Ввод  2 2 17 2 5 2" xfId="8871"/>
    <cellStyle name="Ввод  2 2 17 2 5 2 2" xfId="19798"/>
    <cellStyle name="Ввод  2 2 17 2 5 2 3" xfId="35159"/>
    <cellStyle name="Ввод  2 2 17 2 5 3" xfId="24759"/>
    <cellStyle name="Ввод  2 2 17 2 5 3 2" xfId="40120"/>
    <cellStyle name="Ввод  2 2 17 2 5 4" xfId="14235"/>
    <cellStyle name="Ввод  2 2 17 2 5 5" xfId="29710"/>
    <cellStyle name="Ввод  2 2 17 2 6" xfId="4375"/>
    <cellStyle name="Ввод  2 2 17 2 6 2" xfId="9562"/>
    <cellStyle name="Ввод  2 2 17 2 6 2 2" xfId="20489"/>
    <cellStyle name="Ввод  2 2 17 2 6 2 3" xfId="35850"/>
    <cellStyle name="Ввод  2 2 17 2 6 3" xfId="25450"/>
    <cellStyle name="Ввод  2 2 17 2 6 3 2" xfId="40811"/>
    <cellStyle name="Ввод  2 2 17 2 6 4" xfId="14926"/>
    <cellStyle name="Ввод  2 2 17 2 6 5" xfId="30401"/>
    <cellStyle name="Ввод  2 2 17 2 7" xfId="4460"/>
    <cellStyle name="Ввод  2 2 17 2 7 2" xfId="9647"/>
    <cellStyle name="Ввод  2 2 17 2 7 2 2" xfId="20574"/>
    <cellStyle name="Ввод  2 2 17 2 7 2 3" xfId="35935"/>
    <cellStyle name="Ввод  2 2 17 2 7 3" xfId="25535"/>
    <cellStyle name="Ввод  2 2 17 2 7 3 2" xfId="40896"/>
    <cellStyle name="Ввод  2 2 17 2 7 4" xfId="15011"/>
    <cellStyle name="Ввод  2 2 17 2 7 5" xfId="30486"/>
    <cellStyle name="Ввод  2 2 17 2 8" xfId="6183"/>
    <cellStyle name="Ввод  2 2 17 2 8 2" xfId="16684"/>
    <cellStyle name="Ввод  2 2 17 2 8 3" xfId="32151"/>
    <cellStyle name="Ввод  2 2 17 2 9" xfId="22071"/>
    <cellStyle name="Ввод  2 2 17 2 9 2" xfId="37432"/>
    <cellStyle name="Ввод  2 2 17 3" xfId="1154"/>
    <cellStyle name="Ввод  2 2 17 3 2" xfId="2362"/>
    <cellStyle name="Ввод  2 2 17 3 2 2" xfId="7598"/>
    <cellStyle name="Ввод  2 2 17 3 2 2 2" xfId="18500"/>
    <cellStyle name="Ввод  2 2 17 3 2 2 3" xfId="33861"/>
    <cellStyle name="Ввод  2 2 17 3 2 3" xfId="23486"/>
    <cellStyle name="Ввод  2 2 17 3 2 3 2" xfId="38847"/>
    <cellStyle name="Ввод  2 2 17 3 2 4" xfId="12937"/>
    <cellStyle name="Ввод  2 2 17 3 2 5" xfId="28437"/>
    <cellStyle name="Ввод  2 2 17 3 3" xfId="5014"/>
    <cellStyle name="Ввод  2 2 17 3 3 2" xfId="10197"/>
    <cellStyle name="Ввод  2 2 17 3 3 2 2" xfId="21123"/>
    <cellStyle name="Ввод  2 2 17 3 3 2 3" xfId="36484"/>
    <cellStyle name="Ввод  2 2 17 3 3 3" xfId="26084"/>
    <cellStyle name="Ввод  2 2 17 3 3 3 2" xfId="41445"/>
    <cellStyle name="Ввод  2 2 17 3 3 4" xfId="15560"/>
    <cellStyle name="Ввод  2 2 17 3 3 5" xfId="31035"/>
    <cellStyle name="Ввод  2 2 17 3 4" xfId="6408"/>
    <cellStyle name="Ввод  2 2 17 3 4 2" xfId="16454"/>
    <cellStyle name="Ввод  2 2 17 3 4 3" xfId="31921"/>
    <cellStyle name="Ввод  2 2 17 3 5" xfId="22296"/>
    <cellStyle name="Ввод  2 2 17 3 5 2" xfId="37657"/>
    <cellStyle name="Ввод  2 2 17 3 6" xfId="11735"/>
    <cellStyle name="Ввод  2 2 17 3 7" xfId="27247"/>
    <cellStyle name="Ввод  2 2 17 4" xfId="1254"/>
    <cellStyle name="Ввод  2 2 17 4 2" xfId="6507"/>
    <cellStyle name="Ввод  2 2 17 4 2 2" xfId="16354"/>
    <cellStyle name="Ввод  2 2 17 4 2 3" xfId="31821"/>
    <cellStyle name="Ввод  2 2 17 4 3" xfId="22395"/>
    <cellStyle name="Ввод  2 2 17 4 3 2" xfId="37756"/>
    <cellStyle name="Ввод  2 2 17 4 4" xfId="11835"/>
    <cellStyle name="Ввод  2 2 17 4 5" xfId="27346"/>
    <cellStyle name="Ввод  2 2 17 5" xfId="3118"/>
    <cellStyle name="Ввод  2 2 17 5 2" xfId="8313"/>
    <cellStyle name="Ввод  2 2 17 5 2 2" xfId="19239"/>
    <cellStyle name="Ввод  2 2 17 5 2 3" xfId="34600"/>
    <cellStyle name="Ввод  2 2 17 5 3" xfId="24201"/>
    <cellStyle name="Ввод  2 2 17 5 3 2" xfId="39562"/>
    <cellStyle name="Ввод  2 2 17 5 4" xfId="13676"/>
    <cellStyle name="Ввод  2 2 17 5 5" xfId="29152"/>
    <cellStyle name="Ввод  2 2 17 6" xfId="3387"/>
    <cellStyle name="Ввод  2 2 17 6 2" xfId="8581"/>
    <cellStyle name="Ввод  2 2 17 6 2 2" xfId="19508"/>
    <cellStyle name="Ввод  2 2 17 6 2 3" xfId="34869"/>
    <cellStyle name="Ввод  2 2 17 6 3" xfId="24469"/>
    <cellStyle name="Ввод  2 2 17 6 3 2" xfId="39830"/>
    <cellStyle name="Ввод  2 2 17 6 4" xfId="13945"/>
    <cellStyle name="Ввод  2 2 17 6 5" xfId="29420"/>
    <cellStyle name="Ввод  2 2 17 7" xfId="3874"/>
    <cellStyle name="Ввод  2 2 17 7 2" xfId="9061"/>
    <cellStyle name="Ввод  2 2 17 7 2 2" xfId="19988"/>
    <cellStyle name="Ввод  2 2 17 7 2 3" xfId="35349"/>
    <cellStyle name="Ввод  2 2 17 7 3" xfId="24949"/>
    <cellStyle name="Ввод  2 2 17 7 3 2" xfId="40310"/>
    <cellStyle name="Ввод  2 2 17 7 4" xfId="14425"/>
    <cellStyle name="Ввод  2 2 17 7 5" xfId="29900"/>
    <cellStyle name="Ввод  2 2 17 8" xfId="4800"/>
    <cellStyle name="Ввод  2 2 17 8 2" xfId="9987"/>
    <cellStyle name="Ввод  2 2 17 8 2 2" xfId="20914"/>
    <cellStyle name="Ввод  2 2 17 8 2 3" xfId="36275"/>
    <cellStyle name="Ввод  2 2 17 8 3" xfId="25875"/>
    <cellStyle name="Ввод  2 2 17 8 3 2" xfId="41236"/>
    <cellStyle name="Ввод  2 2 17 8 4" xfId="15351"/>
    <cellStyle name="Ввод  2 2 17 8 5" xfId="30826"/>
    <cellStyle name="Ввод  2 2 17 9" xfId="5656"/>
    <cellStyle name="Ввод  2 2 17 9 2" xfId="17235"/>
    <cellStyle name="Ввод  2 2 17 9 3" xfId="32702"/>
    <cellStyle name="Ввод  2 2 18" xfId="266"/>
    <cellStyle name="Ввод  2 2 18 10" xfId="16629"/>
    <cellStyle name="Ввод  2 2 18 10 2" xfId="32096"/>
    <cellStyle name="Ввод  2 2 18 11" xfId="10952"/>
    <cellStyle name="Ввод  2 2 18 12" xfId="10916"/>
    <cellStyle name="Ввод  2 2 18 2" xfId="920"/>
    <cellStyle name="Ввод  2 2 18 2 10" xfId="11504"/>
    <cellStyle name="Ввод  2 2 18 2 11" xfId="27021"/>
    <cellStyle name="Ввод  2 2 18 2 2" xfId="1608"/>
    <cellStyle name="Ввод  2 2 18 2 2 2" xfId="2875"/>
    <cellStyle name="Ввод  2 2 18 2 2 2 2" xfId="8082"/>
    <cellStyle name="Ввод  2 2 18 2 2 2 2 2" xfId="19002"/>
    <cellStyle name="Ввод  2 2 18 2 2 2 2 3" xfId="34363"/>
    <cellStyle name="Ввод  2 2 18 2 2 2 3" xfId="23970"/>
    <cellStyle name="Ввод  2 2 18 2 2 2 3 2" xfId="39331"/>
    <cellStyle name="Ввод  2 2 18 2 2 2 4" xfId="13439"/>
    <cellStyle name="Ввод  2 2 18 2 2 2 5" xfId="28921"/>
    <cellStyle name="Ввод  2 2 18 2 2 3" xfId="5015"/>
    <cellStyle name="Ввод  2 2 18 2 2 3 2" xfId="10198"/>
    <cellStyle name="Ввод  2 2 18 2 2 3 2 2" xfId="21124"/>
    <cellStyle name="Ввод  2 2 18 2 2 3 2 3" xfId="36485"/>
    <cellStyle name="Ввод  2 2 18 2 2 3 3" xfId="26085"/>
    <cellStyle name="Ввод  2 2 18 2 2 3 3 2" xfId="41446"/>
    <cellStyle name="Ввод  2 2 18 2 2 3 4" xfId="15561"/>
    <cellStyle name="Ввод  2 2 18 2 2 3 5" xfId="31036"/>
    <cellStyle name="Ввод  2 2 18 2 2 4" xfId="6855"/>
    <cellStyle name="Ввод  2 2 18 2 2 4 2" xfId="17750"/>
    <cellStyle name="Ввод  2 2 18 2 2 4 3" xfId="33111"/>
    <cellStyle name="Ввод  2 2 18 2 2 5" xfId="22743"/>
    <cellStyle name="Ввод  2 2 18 2 2 5 2" xfId="38104"/>
    <cellStyle name="Ввод  2 2 18 2 2 6" xfId="12186"/>
    <cellStyle name="Ввод  2 2 18 2 2 7" xfId="27694"/>
    <cellStyle name="Ввод  2 2 18 2 3" xfId="2326"/>
    <cellStyle name="Ввод  2 2 18 2 3 2" xfId="7562"/>
    <cellStyle name="Ввод  2 2 18 2 3 2 2" xfId="18464"/>
    <cellStyle name="Ввод  2 2 18 2 3 2 3" xfId="33825"/>
    <cellStyle name="Ввод  2 2 18 2 3 3" xfId="23450"/>
    <cellStyle name="Ввод  2 2 18 2 3 3 2" xfId="38811"/>
    <cellStyle name="Ввод  2 2 18 2 3 4" xfId="12901"/>
    <cellStyle name="Ввод  2 2 18 2 3 5" xfId="28401"/>
    <cellStyle name="Ввод  2 2 18 2 4" xfId="3469"/>
    <cellStyle name="Ввод  2 2 18 2 4 2" xfId="8656"/>
    <cellStyle name="Ввод  2 2 18 2 4 2 2" xfId="19583"/>
    <cellStyle name="Ввод  2 2 18 2 4 2 3" xfId="34944"/>
    <cellStyle name="Ввод  2 2 18 2 4 3" xfId="24544"/>
    <cellStyle name="Ввод  2 2 18 2 4 3 2" xfId="39905"/>
    <cellStyle name="Ввод  2 2 18 2 4 4" xfId="14020"/>
    <cellStyle name="Ввод  2 2 18 2 4 5" xfId="29495"/>
    <cellStyle name="Ввод  2 2 18 2 5" xfId="3740"/>
    <cellStyle name="Ввод  2 2 18 2 5 2" xfId="8927"/>
    <cellStyle name="Ввод  2 2 18 2 5 2 2" xfId="19854"/>
    <cellStyle name="Ввод  2 2 18 2 5 2 3" xfId="35215"/>
    <cellStyle name="Ввод  2 2 18 2 5 3" xfId="24815"/>
    <cellStyle name="Ввод  2 2 18 2 5 3 2" xfId="40176"/>
    <cellStyle name="Ввод  2 2 18 2 5 4" xfId="14291"/>
    <cellStyle name="Ввод  2 2 18 2 5 5" xfId="29766"/>
    <cellStyle name="Ввод  2 2 18 2 6" xfId="4374"/>
    <cellStyle name="Ввод  2 2 18 2 6 2" xfId="9561"/>
    <cellStyle name="Ввод  2 2 18 2 6 2 2" xfId="20488"/>
    <cellStyle name="Ввод  2 2 18 2 6 2 3" xfId="35849"/>
    <cellStyle name="Ввод  2 2 18 2 6 3" xfId="25449"/>
    <cellStyle name="Ввод  2 2 18 2 6 3 2" xfId="40810"/>
    <cellStyle name="Ввод  2 2 18 2 6 4" xfId="14925"/>
    <cellStyle name="Ввод  2 2 18 2 6 5" xfId="30400"/>
    <cellStyle name="Ввод  2 2 18 2 7" xfId="4461"/>
    <cellStyle name="Ввод  2 2 18 2 7 2" xfId="9648"/>
    <cellStyle name="Ввод  2 2 18 2 7 2 2" xfId="20575"/>
    <cellStyle name="Ввод  2 2 18 2 7 2 3" xfId="35936"/>
    <cellStyle name="Ввод  2 2 18 2 7 3" xfId="25536"/>
    <cellStyle name="Ввод  2 2 18 2 7 3 2" xfId="40897"/>
    <cellStyle name="Ввод  2 2 18 2 7 4" xfId="15012"/>
    <cellStyle name="Ввод  2 2 18 2 7 5" xfId="30487"/>
    <cellStyle name="Ввод  2 2 18 2 8" xfId="6182"/>
    <cellStyle name="Ввод  2 2 18 2 8 2" xfId="16685"/>
    <cellStyle name="Ввод  2 2 18 2 8 3" xfId="32152"/>
    <cellStyle name="Ввод  2 2 18 2 9" xfId="22070"/>
    <cellStyle name="Ввод  2 2 18 2 9 2" xfId="37431"/>
    <cellStyle name="Ввод  2 2 18 3" xfId="978"/>
    <cellStyle name="Ввод  2 2 18 3 2" xfId="2364"/>
    <cellStyle name="Ввод  2 2 18 3 2 2" xfId="7600"/>
    <cellStyle name="Ввод  2 2 18 3 2 2 2" xfId="18502"/>
    <cellStyle name="Ввод  2 2 18 3 2 2 3" xfId="33863"/>
    <cellStyle name="Ввод  2 2 18 3 2 3" xfId="23488"/>
    <cellStyle name="Ввод  2 2 18 3 2 3 2" xfId="38849"/>
    <cellStyle name="Ввод  2 2 18 3 2 4" xfId="12939"/>
    <cellStyle name="Ввод  2 2 18 3 2 5" xfId="28439"/>
    <cellStyle name="Ввод  2 2 18 3 3" xfId="5016"/>
    <cellStyle name="Ввод  2 2 18 3 3 2" xfId="10199"/>
    <cellStyle name="Ввод  2 2 18 3 3 2 2" xfId="21125"/>
    <cellStyle name="Ввод  2 2 18 3 3 2 3" xfId="36486"/>
    <cellStyle name="Ввод  2 2 18 3 3 3" xfId="26086"/>
    <cellStyle name="Ввод  2 2 18 3 3 3 2" xfId="41447"/>
    <cellStyle name="Ввод  2 2 18 3 3 4" xfId="15562"/>
    <cellStyle name="Ввод  2 2 18 3 3 5" xfId="31037"/>
    <cellStyle name="Ввод  2 2 18 3 4" xfId="6237"/>
    <cellStyle name="Ввод  2 2 18 3 4 2" xfId="16628"/>
    <cellStyle name="Ввод  2 2 18 3 4 3" xfId="32095"/>
    <cellStyle name="Ввод  2 2 18 3 5" xfId="22125"/>
    <cellStyle name="Ввод  2 2 18 3 5 2" xfId="37486"/>
    <cellStyle name="Ввод  2 2 18 3 6" xfId="11561"/>
    <cellStyle name="Ввод  2 2 18 3 7" xfId="27076"/>
    <cellStyle name="Ввод  2 2 18 4" xfId="1316"/>
    <cellStyle name="Ввод  2 2 18 4 2" xfId="6569"/>
    <cellStyle name="Ввод  2 2 18 4 2 2" xfId="16292"/>
    <cellStyle name="Ввод  2 2 18 4 2 3" xfId="31759"/>
    <cellStyle name="Ввод  2 2 18 4 3" xfId="22457"/>
    <cellStyle name="Ввод  2 2 18 4 3 2" xfId="37818"/>
    <cellStyle name="Ввод  2 2 18 4 4" xfId="11897"/>
    <cellStyle name="Ввод  2 2 18 4 5" xfId="27408"/>
    <cellStyle name="Ввод  2 2 18 5" xfId="3115"/>
    <cellStyle name="Ввод  2 2 18 5 2" xfId="8310"/>
    <cellStyle name="Ввод  2 2 18 5 2 2" xfId="19236"/>
    <cellStyle name="Ввод  2 2 18 5 2 3" xfId="34597"/>
    <cellStyle name="Ввод  2 2 18 5 3" xfId="24198"/>
    <cellStyle name="Ввод  2 2 18 5 3 2" xfId="39559"/>
    <cellStyle name="Ввод  2 2 18 5 4" xfId="13673"/>
    <cellStyle name="Ввод  2 2 18 5 5" xfId="29149"/>
    <cellStyle name="Ввод  2 2 18 6" xfId="3221"/>
    <cellStyle name="Ввод  2 2 18 6 2" xfId="8416"/>
    <cellStyle name="Ввод  2 2 18 6 2 2" xfId="19342"/>
    <cellStyle name="Ввод  2 2 18 6 2 3" xfId="34703"/>
    <cellStyle name="Ввод  2 2 18 6 3" xfId="24304"/>
    <cellStyle name="Ввод  2 2 18 6 3 2" xfId="39665"/>
    <cellStyle name="Ввод  2 2 18 6 4" xfId="13779"/>
    <cellStyle name="Ввод  2 2 18 6 5" xfId="29255"/>
    <cellStyle name="Ввод  2 2 18 7" xfId="3242"/>
    <cellStyle name="Ввод  2 2 18 7 2" xfId="8437"/>
    <cellStyle name="Ввод  2 2 18 7 2 2" xfId="19363"/>
    <cellStyle name="Ввод  2 2 18 7 2 3" xfId="34724"/>
    <cellStyle name="Ввод  2 2 18 7 3" xfId="24325"/>
    <cellStyle name="Ввод  2 2 18 7 3 2" xfId="39686"/>
    <cellStyle name="Ввод  2 2 18 7 4" xfId="13800"/>
    <cellStyle name="Ввод  2 2 18 7 5" xfId="29276"/>
    <cellStyle name="Ввод  2 2 18 8" xfId="4822"/>
    <cellStyle name="Ввод  2 2 18 8 2" xfId="10009"/>
    <cellStyle name="Ввод  2 2 18 8 2 2" xfId="20936"/>
    <cellStyle name="Ввод  2 2 18 8 2 3" xfId="36297"/>
    <cellStyle name="Ввод  2 2 18 8 3" xfId="25897"/>
    <cellStyle name="Ввод  2 2 18 8 3 2" xfId="41258"/>
    <cellStyle name="Ввод  2 2 18 8 4" xfId="15373"/>
    <cellStyle name="Ввод  2 2 18 8 5" xfId="30848"/>
    <cellStyle name="Ввод  2 2 18 9" xfId="5657"/>
    <cellStyle name="Ввод  2 2 18 9 2" xfId="17234"/>
    <cellStyle name="Ввод  2 2 18 9 3" xfId="32701"/>
    <cellStyle name="Ввод  2 2 19" xfId="267"/>
    <cellStyle name="Ввод  2 2 19 10" xfId="17270"/>
    <cellStyle name="Ввод  2 2 19 10 2" xfId="32737"/>
    <cellStyle name="Ввод  2 2 19 11" xfId="10953"/>
    <cellStyle name="Ввод  2 2 19 12" xfId="13414"/>
    <cellStyle name="Ввод  2 2 19 2" xfId="919"/>
    <cellStyle name="Ввод  2 2 19 2 10" xfId="11503"/>
    <cellStyle name="Ввод  2 2 19 2 11" xfId="27020"/>
    <cellStyle name="Ввод  2 2 19 2 2" xfId="1327"/>
    <cellStyle name="Ввод  2 2 19 2 2 2" xfId="1116"/>
    <cellStyle name="Ввод  2 2 19 2 2 2 2" xfId="6371"/>
    <cellStyle name="Ввод  2 2 19 2 2 2 2 2" xfId="16492"/>
    <cellStyle name="Ввод  2 2 19 2 2 2 2 3" xfId="31959"/>
    <cellStyle name="Ввод  2 2 19 2 2 2 3" xfId="22259"/>
    <cellStyle name="Ввод  2 2 19 2 2 2 3 2" xfId="37620"/>
    <cellStyle name="Ввод  2 2 19 2 2 2 4" xfId="11697"/>
    <cellStyle name="Ввод  2 2 19 2 2 2 5" xfId="27210"/>
    <cellStyle name="Ввод  2 2 19 2 2 3" xfId="5017"/>
    <cellStyle name="Ввод  2 2 19 2 2 3 2" xfId="10200"/>
    <cellStyle name="Ввод  2 2 19 2 2 3 2 2" xfId="21126"/>
    <cellStyle name="Ввод  2 2 19 2 2 3 2 3" xfId="36487"/>
    <cellStyle name="Ввод  2 2 19 2 2 3 3" xfId="26087"/>
    <cellStyle name="Ввод  2 2 19 2 2 3 3 2" xfId="41448"/>
    <cellStyle name="Ввод  2 2 19 2 2 3 4" xfId="15563"/>
    <cellStyle name="Ввод  2 2 19 2 2 3 5" xfId="31038"/>
    <cellStyle name="Ввод  2 2 19 2 2 4" xfId="6580"/>
    <cellStyle name="Ввод  2 2 19 2 2 4 2" xfId="16281"/>
    <cellStyle name="Ввод  2 2 19 2 2 4 3" xfId="31748"/>
    <cellStyle name="Ввод  2 2 19 2 2 5" xfId="22468"/>
    <cellStyle name="Ввод  2 2 19 2 2 5 2" xfId="37829"/>
    <cellStyle name="Ввод  2 2 19 2 2 6" xfId="11908"/>
    <cellStyle name="Ввод  2 2 19 2 2 7" xfId="27419"/>
    <cellStyle name="Ввод  2 2 19 2 3" xfId="2325"/>
    <cellStyle name="Ввод  2 2 19 2 3 2" xfId="7561"/>
    <cellStyle name="Ввод  2 2 19 2 3 2 2" xfId="18463"/>
    <cellStyle name="Ввод  2 2 19 2 3 2 3" xfId="33824"/>
    <cellStyle name="Ввод  2 2 19 2 3 3" xfId="23449"/>
    <cellStyle name="Ввод  2 2 19 2 3 3 2" xfId="38810"/>
    <cellStyle name="Ввод  2 2 19 2 3 4" xfId="12900"/>
    <cellStyle name="Ввод  2 2 19 2 3 5" xfId="28400"/>
    <cellStyle name="Ввод  2 2 19 2 4" xfId="3468"/>
    <cellStyle name="Ввод  2 2 19 2 4 2" xfId="8655"/>
    <cellStyle name="Ввод  2 2 19 2 4 2 2" xfId="19582"/>
    <cellStyle name="Ввод  2 2 19 2 4 2 3" xfId="34943"/>
    <cellStyle name="Ввод  2 2 19 2 4 3" xfId="24543"/>
    <cellStyle name="Ввод  2 2 19 2 4 3 2" xfId="39904"/>
    <cellStyle name="Ввод  2 2 19 2 4 4" xfId="14019"/>
    <cellStyle name="Ввод  2 2 19 2 4 5" xfId="29494"/>
    <cellStyle name="Ввод  2 2 19 2 5" xfId="3683"/>
    <cellStyle name="Ввод  2 2 19 2 5 2" xfId="8870"/>
    <cellStyle name="Ввод  2 2 19 2 5 2 2" xfId="19797"/>
    <cellStyle name="Ввод  2 2 19 2 5 2 3" xfId="35158"/>
    <cellStyle name="Ввод  2 2 19 2 5 3" xfId="24758"/>
    <cellStyle name="Ввод  2 2 19 2 5 3 2" xfId="40119"/>
    <cellStyle name="Ввод  2 2 19 2 5 4" xfId="14234"/>
    <cellStyle name="Ввод  2 2 19 2 5 5" xfId="29709"/>
    <cellStyle name="Ввод  2 2 19 2 6" xfId="4373"/>
    <cellStyle name="Ввод  2 2 19 2 6 2" xfId="9560"/>
    <cellStyle name="Ввод  2 2 19 2 6 2 2" xfId="20487"/>
    <cellStyle name="Ввод  2 2 19 2 6 2 3" xfId="35848"/>
    <cellStyle name="Ввод  2 2 19 2 6 3" xfId="25448"/>
    <cellStyle name="Ввод  2 2 19 2 6 3 2" xfId="40809"/>
    <cellStyle name="Ввод  2 2 19 2 6 4" xfId="14924"/>
    <cellStyle name="Ввод  2 2 19 2 6 5" xfId="30399"/>
    <cellStyle name="Ввод  2 2 19 2 7" xfId="4462"/>
    <cellStyle name="Ввод  2 2 19 2 7 2" xfId="9649"/>
    <cellStyle name="Ввод  2 2 19 2 7 2 2" xfId="20576"/>
    <cellStyle name="Ввод  2 2 19 2 7 2 3" xfId="35937"/>
    <cellStyle name="Ввод  2 2 19 2 7 3" xfId="25537"/>
    <cellStyle name="Ввод  2 2 19 2 7 3 2" xfId="40898"/>
    <cellStyle name="Ввод  2 2 19 2 7 4" xfId="15013"/>
    <cellStyle name="Ввод  2 2 19 2 7 5" xfId="30488"/>
    <cellStyle name="Ввод  2 2 19 2 8" xfId="6181"/>
    <cellStyle name="Ввод  2 2 19 2 8 2" xfId="16686"/>
    <cellStyle name="Ввод  2 2 19 2 8 3" xfId="32153"/>
    <cellStyle name="Ввод  2 2 19 2 9" xfId="22069"/>
    <cellStyle name="Ввод  2 2 19 2 9 2" xfId="37430"/>
    <cellStyle name="Ввод  2 2 19 3" xfId="1221"/>
    <cellStyle name="Ввод  2 2 19 3 2" xfId="2365"/>
    <cellStyle name="Ввод  2 2 19 3 2 2" xfId="7601"/>
    <cellStyle name="Ввод  2 2 19 3 2 2 2" xfId="18503"/>
    <cellStyle name="Ввод  2 2 19 3 2 2 3" xfId="33864"/>
    <cellStyle name="Ввод  2 2 19 3 2 3" xfId="23489"/>
    <cellStyle name="Ввод  2 2 19 3 2 3 2" xfId="38850"/>
    <cellStyle name="Ввод  2 2 19 3 2 4" xfId="12940"/>
    <cellStyle name="Ввод  2 2 19 3 2 5" xfId="28440"/>
    <cellStyle name="Ввод  2 2 19 3 3" xfId="5018"/>
    <cellStyle name="Ввод  2 2 19 3 3 2" xfId="10201"/>
    <cellStyle name="Ввод  2 2 19 3 3 2 2" xfId="21127"/>
    <cellStyle name="Ввод  2 2 19 3 3 2 3" xfId="36488"/>
    <cellStyle name="Ввод  2 2 19 3 3 3" xfId="26088"/>
    <cellStyle name="Ввод  2 2 19 3 3 3 2" xfId="41449"/>
    <cellStyle name="Ввод  2 2 19 3 3 4" xfId="15564"/>
    <cellStyle name="Ввод  2 2 19 3 3 5" xfId="31039"/>
    <cellStyle name="Ввод  2 2 19 3 4" xfId="6474"/>
    <cellStyle name="Ввод  2 2 19 3 4 2" xfId="16387"/>
    <cellStyle name="Ввод  2 2 19 3 4 3" xfId="31854"/>
    <cellStyle name="Ввод  2 2 19 3 5" xfId="22362"/>
    <cellStyle name="Ввод  2 2 19 3 5 2" xfId="37723"/>
    <cellStyle name="Ввод  2 2 19 3 6" xfId="11802"/>
    <cellStyle name="Ввод  2 2 19 3 7" xfId="27313"/>
    <cellStyle name="Ввод  2 2 19 4" xfId="1248"/>
    <cellStyle name="Ввод  2 2 19 4 2" xfId="6501"/>
    <cellStyle name="Ввод  2 2 19 4 2 2" xfId="16360"/>
    <cellStyle name="Ввод  2 2 19 4 2 3" xfId="31827"/>
    <cellStyle name="Ввод  2 2 19 4 3" xfId="22389"/>
    <cellStyle name="Ввод  2 2 19 4 3 2" xfId="37750"/>
    <cellStyle name="Ввод  2 2 19 4 4" xfId="11829"/>
    <cellStyle name="Ввод  2 2 19 4 5" xfId="27340"/>
    <cellStyle name="Ввод  2 2 19 5" xfId="3114"/>
    <cellStyle name="Ввод  2 2 19 5 2" xfId="8309"/>
    <cellStyle name="Ввод  2 2 19 5 2 2" xfId="19235"/>
    <cellStyle name="Ввод  2 2 19 5 2 3" xfId="34596"/>
    <cellStyle name="Ввод  2 2 19 5 3" xfId="24197"/>
    <cellStyle name="Ввод  2 2 19 5 3 2" xfId="39558"/>
    <cellStyle name="Ввод  2 2 19 5 4" xfId="13672"/>
    <cellStyle name="Ввод  2 2 19 5 5" xfId="29148"/>
    <cellStyle name="Ввод  2 2 19 6" xfId="3864"/>
    <cellStyle name="Ввод  2 2 19 6 2" xfId="9051"/>
    <cellStyle name="Ввод  2 2 19 6 2 2" xfId="19978"/>
    <cellStyle name="Ввод  2 2 19 6 2 3" xfId="35339"/>
    <cellStyle name="Ввод  2 2 19 6 3" xfId="24939"/>
    <cellStyle name="Ввод  2 2 19 6 3 2" xfId="40300"/>
    <cellStyle name="Ввод  2 2 19 6 4" xfId="14415"/>
    <cellStyle name="Ввод  2 2 19 6 5" xfId="29890"/>
    <cellStyle name="Ввод  2 2 19 7" xfId="3930"/>
    <cellStyle name="Ввод  2 2 19 7 2" xfId="9117"/>
    <cellStyle name="Ввод  2 2 19 7 2 2" xfId="20044"/>
    <cellStyle name="Ввод  2 2 19 7 2 3" xfId="35405"/>
    <cellStyle name="Ввод  2 2 19 7 3" xfId="25005"/>
    <cellStyle name="Ввод  2 2 19 7 3 2" xfId="40366"/>
    <cellStyle name="Ввод  2 2 19 7 4" xfId="14481"/>
    <cellStyle name="Ввод  2 2 19 7 5" xfId="29956"/>
    <cellStyle name="Ввод  2 2 19 8" xfId="4799"/>
    <cellStyle name="Ввод  2 2 19 8 2" xfId="9986"/>
    <cellStyle name="Ввод  2 2 19 8 2 2" xfId="20913"/>
    <cellStyle name="Ввод  2 2 19 8 2 3" xfId="36274"/>
    <cellStyle name="Ввод  2 2 19 8 3" xfId="25874"/>
    <cellStyle name="Ввод  2 2 19 8 3 2" xfId="41235"/>
    <cellStyle name="Ввод  2 2 19 8 4" xfId="15350"/>
    <cellStyle name="Ввод  2 2 19 8 5" xfId="30825"/>
    <cellStyle name="Ввод  2 2 19 9" xfId="5658"/>
    <cellStyle name="Ввод  2 2 19 9 2" xfId="17233"/>
    <cellStyle name="Ввод  2 2 19 9 3" xfId="32700"/>
    <cellStyle name="Ввод  2 2 2" xfId="268"/>
    <cellStyle name="Ввод  2 2 2 10" xfId="17271"/>
    <cellStyle name="Ввод  2 2 2 10 2" xfId="32738"/>
    <cellStyle name="Ввод  2 2 2 11" xfId="10954"/>
    <cellStyle name="Ввод  2 2 2 12" xfId="11560"/>
    <cellStyle name="Ввод  2 2 2 2" xfId="918"/>
    <cellStyle name="Ввод  2 2 2 2 10" xfId="11502"/>
    <cellStyle name="Ввод  2 2 2 2 11" xfId="27019"/>
    <cellStyle name="Ввод  2 2 2 2 2" xfId="1516"/>
    <cellStyle name="Ввод  2 2 2 2 2 2" xfId="1537"/>
    <cellStyle name="Ввод  2 2 2 2 2 2 2" xfId="6784"/>
    <cellStyle name="Ввод  2 2 2 2 2 2 2 2" xfId="17679"/>
    <cellStyle name="Ввод  2 2 2 2 2 2 2 3" xfId="33040"/>
    <cellStyle name="Ввод  2 2 2 2 2 2 3" xfId="22672"/>
    <cellStyle name="Ввод  2 2 2 2 2 2 3 2" xfId="38033"/>
    <cellStyle name="Ввод  2 2 2 2 2 2 4" xfId="12115"/>
    <cellStyle name="Ввод  2 2 2 2 2 2 5" xfId="27623"/>
    <cellStyle name="Ввод  2 2 2 2 2 3" xfId="5019"/>
    <cellStyle name="Ввод  2 2 2 2 2 3 2" xfId="10202"/>
    <cellStyle name="Ввод  2 2 2 2 2 3 2 2" xfId="21128"/>
    <cellStyle name="Ввод  2 2 2 2 2 3 2 3" xfId="36489"/>
    <cellStyle name="Ввод  2 2 2 2 2 3 3" xfId="26089"/>
    <cellStyle name="Ввод  2 2 2 2 2 3 3 2" xfId="41450"/>
    <cellStyle name="Ввод  2 2 2 2 2 3 4" xfId="15565"/>
    <cellStyle name="Ввод  2 2 2 2 2 3 5" xfId="31040"/>
    <cellStyle name="Ввод  2 2 2 2 2 4" xfId="6763"/>
    <cellStyle name="Ввод  2 2 2 2 2 4 2" xfId="17658"/>
    <cellStyle name="Ввод  2 2 2 2 2 4 3" xfId="33019"/>
    <cellStyle name="Ввод  2 2 2 2 2 4 4" xfId="46181"/>
    <cellStyle name="Ввод  2 2 2 2 2 5" xfId="22651"/>
    <cellStyle name="Ввод  2 2 2 2 2 5 2" xfId="38012"/>
    <cellStyle name="Ввод  2 2 2 2 2 6" xfId="12094"/>
    <cellStyle name="Ввод  2 2 2 2 2 7" xfId="27602"/>
    <cellStyle name="Ввод  2 2 2 2 3" xfId="2324"/>
    <cellStyle name="Ввод  2 2 2 2 3 2" xfId="7560"/>
    <cellStyle name="Ввод  2 2 2 2 3 2 2" xfId="18462"/>
    <cellStyle name="Ввод  2 2 2 2 3 2 3" xfId="33823"/>
    <cellStyle name="Ввод  2 2 2 2 3 3" xfId="23448"/>
    <cellStyle name="Ввод  2 2 2 2 3 3 2" xfId="38809"/>
    <cellStyle name="Ввод  2 2 2 2 3 4" xfId="12899"/>
    <cellStyle name="Ввод  2 2 2 2 3 5" xfId="28399"/>
    <cellStyle name="Ввод  2 2 2 2 4" xfId="3467"/>
    <cellStyle name="Ввод  2 2 2 2 4 2" xfId="8654"/>
    <cellStyle name="Ввод  2 2 2 2 4 2 2" xfId="19581"/>
    <cellStyle name="Ввод  2 2 2 2 4 2 3" xfId="34942"/>
    <cellStyle name="Ввод  2 2 2 2 4 3" xfId="24542"/>
    <cellStyle name="Ввод  2 2 2 2 4 3 2" xfId="39903"/>
    <cellStyle name="Ввод  2 2 2 2 4 4" xfId="14018"/>
    <cellStyle name="Ввод  2 2 2 2 4 5" xfId="29493"/>
    <cellStyle name="Ввод  2 2 2 2 5" xfId="3741"/>
    <cellStyle name="Ввод  2 2 2 2 5 2" xfId="8928"/>
    <cellStyle name="Ввод  2 2 2 2 5 2 2" xfId="19855"/>
    <cellStyle name="Ввод  2 2 2 2 5 2 3" xfId="35216"/>
    <cellStyle name="Ввод  2 2 2 2 5 3" xfId="24816"/>
    <cellStyle name="Ввод  2 2 2 2 5 3 2" xfId="40177"/>
    <cellStyle name="Ввод  2 2 2 2 5 4" xfId="14292"/>
    <cellStyle name="Ввод  2 2 2 2 5 5" xfId="29767"/>
    <cellStyle name="Ввод  2 2 2 2 6" xfId="4372"/>
    <cellStyle name="Ввод  2 2 2 2 6 2" xfId="9559"/>
    <cellStyle name="Ввод  2 2 2 2 6 2 2" xfId="20486"/>
    <cellStyle name="Ввод  2 2 2 2 6 2 3" xfId="35847"/>
    <cellStyle name="Ввод  2 2 2 2 6 3" xfId="25447"/>
    <cellStyle name="Ввод  2 2 2 2 6 3 2" xfId="40808"/>
    <cellStyle name="Ввод  2 2 2 2 6 4" xfId="14923"/>
    <cellStyle name="Ввод  2 2 2 2 6 5" xfId="30398"/>
    <cellStyle name="Ввод  2 2 2 2 6 6" xfId="46180"/>
    <cellStyle name="Ввод  2 2 2 2 7" xfId="4463"/>
    <cellStyle name="Ввод  2 2 2 2 7 2" xfId="9650"/>
    <cellStyle name="Ввод  2 2 2 2 7 2 2" xfId="20577"/>
    <cellStyle name="Ввод  2 2 2 2 7 2 3" xfId="35938"/>
    <cellStyle name="Ввод  2 2 2 2 7 3" xfId="25538"/>
    <cellStyle name="Ввод  2 2 2 2 7 3 2" xfId="40899"/>
    <cellStyle name="Ввод  2 2 2 2 7 4" xfId="15014"/>
    <cellStyle name="Ввод  2 2 2 2 7 5" xfId="30489"/>
    <cellStyle name="Ввод  2 2 2 2 8" xfId="6180"/>
    <cellStyle name="Ввод  2 2 2 2 8 2" xfId="16687"/>
    <cellStyle name="Ввод  2 2 2 2 8 3" xfId="32154"/>
    <cellStyle name="Ввод  2 2 2 2 9" xfId="22068"/>
    <cellStyle name="Ввод  2 2 2 2 9 2" xfId="37429"/>
    <cellStyle name="Ввод  2 2 2 3" xfId="1247"/>
    <cellStyle name="Ввод  2 2 2 3 2" xfId="2367"/>
    <cellStyle name="Ввод  2 2 2 3 2 2" xfId="7603"/>
    <cellStyle name="Ввод  2 2 2 3 2 2 2" xfId="18505"/>
    <cellStyle name="Ввод  2 2 2 3 2 2 3" xfId="33866"/>
    <cellStyle name="Ввод  2 2 2 3 2 3" xfId="23491"/>
    <cellStyle name="Ввод  2 2 2 3 2 3 2" xfId="38852"/>
    <cellStyle name="Ввод  2 2 2 3 2 4" xfId="12942"/>
    <cellStyle name="Ввод  2 2 2 3 2 4 2" xfId="46183"/>
    <cellStyle name="Ввод  2 2 2 3 2 5" xfId="28442"/>
    <cellStyle name="Ввод  2 2 2 3 3" xfId="5020"/>
    <cellStyle name="Ввод  2 2 2 3 3 2" xfId="10203"/>
    <cellStyle name="Ввод  2 2 2 3 3 2 2" xfId="21129"/>
    <cellStyle name="Ввод  2 2 2 3 3 2 3" xfId="36490"/>
    <cellStyle name="Ввод  2 2 2 3 3 3" xfId="26090"/>
    <cellStyle name="Ввод  2 2 2 3 3 3 2" xfId="41451"/>
    <cellStyle name="Ввод  2 2 2 3 3 4" xfId="15566"/>
    <cellStyle name="Ввод  2 2 2 3 3 5" xfId="31041"/>
    <cellStyle name="Ввод  2 2 2 3 4" xfId="6500"/>
    <cellStyle name="Ввод  2 2 2 3 4 2" xfId="16361"/>
    <cellStyle name="Ввод  2 2 2 3 4 3" xfId="31828"/>
    <cellStyle name="Ввод  2 2 2 3 5" xfId="22388"/>
    <cellStyle name="Ввод  2 2 2 3 5 2" xfId="37749"/>
    <cellStyle name="Ввод  2 2 2 3 5 3" xfId="46182"/>
    <cellStyle name="Ввод  2 2 2 3 6" xfId="11828"/>
    <cellStyle name="Ввод  2 2 2 3 7" xfId="27339"/>
    <cellStyle name="Ввод  2 2 2 4" xfId="1666"/>
    <cellStyle name="Ввод  2 2 2 4 2" xfId="6912"/>
    <cellStyle name="Ввод  2 2 2 4 2 2" xfId="17808"/>
    <cellStyle name="Ввод  2 2 2 4 2 3" xfId="33169"/>
    <cellStyle name="Ввод  2 2 2 4 3" xfId="22800"/>
    <cellStyle name="Ввод  2 2 2 4 3 2" xfId="38161"/>
    <cellStyle name="Ввод  2 2 2 4 4" xfId="12244"/>
    <cellStyle name="Ввод  2 2 2 4 4 2" xfId="46184"/>
    <cellStyle name="Ввод  2 2 2 4 5" xfId="27751"/>
    <cellStyle name="Ввод  2 2 2 5" xfId="3111"/>
    <cellStyle name="Ввод  2 2 2 5 2" xfId="8306"/>
    <cellStyle name="Ввод  2 2 2 5 2 2" xfId="19232"/>
    <cellStyle name="Ввод  2 2 2 5 2 3" xfId="34593"/>
    <cellStyle name="Ввод  2 2 2 5 3" xfId="24194"/>
    <cellStyle name="Ввод  2 2 2 5 3 2" xfId="39555"/>
    <cellStyle name="Ввод  2 2 2 5 4" xfId="13669"/>
    <cellStyle name="Ввод  2 2 2 5 5" xfId="29145"/>
    <cellStyle name="Ввод  2 2 2 6" xfId="3936"/>
    <cellStyle name="Ввод  2 2 2 6 2" xfId="9123"/>
    <cellStyle name="Ввод  2 2 2 6 2 2" xfId="20050"/>
    <cellStyle name="Ввод  2 2 2 6 2 3" xfId="35411"/>
    <cellStyle name="Ввод  2 2 2 6 3" xfId="25011"/>
    <cellStyle name="Ввод  2 2 2 6 3 2" xfId="40372"/>
    <cellStyle name="Ввод  2 2 2 6 4" xfId="14487"/>
    <cellStyle name="Ввод  2 2 2 6 5" xfId="29962"/>
    <cellStyle name="Ввод  2 2 2 6 6" xfId="44357"/>
    <cellStyle name="Ввод  2 2 2 7" xfId="3365"/>
    <cellStyle name="Ввод  2 2 2 7 2" xfId="8559"/>
    <cellStyle name="Ввод  2 2 2 7 2 2" xfId="19486"/>
    <cellStyle name="Ввод  2 2 2 7 2 3" xfId="34847"/>
    <cellStyle name="Ввод  2 2 2 7 3" xfId="24447"/>
    <cellStyle name="Ввод  2 2 2 7 3 2" xfId="39808"/>
    <cellStyle name="Ввод  2 2 2 7 4" xfId="13923"/>
    <cellStyle name="Ввод  2 2 2 7 5" xfId="29398"/>
    <cellStyle name="Ввод  2 2 2 8" xfId="4823"/>
    <cellStyle name="Ввод  2 2 2 8 2" xfId="10010"/>
    <cellStyle name="Ввод  2 2 2 8 2 2" xfId="20937"/>
    <cellStyle name="Ввод  2 2 2 8 2 3" xfId="36298"/>
    <cellStyle name="Ввод  2 2 2 8 3" xfId="25898"/>
    <cellStyle name="Ввод  2 2 2 8 3 2" xfId="41259"/>
    <cellStyle name="Ввод  2 2 2 8 4" xfId="15374"/>
    <cellStyle name="Ввод  2 2 2 8 5" xfId="30849"/>
    <cellStyle name="Ввод  2 2 2 9" xfId="5659"/>
    <cellStyle name="Ввод  2 2 2 9 2" xfId="17232"/>
    <cellStyle name="Ввод  2 2 2 9 3" xfId="32699"/>
    <cellStyle name="Ввод  2 2 20" xfId="269"/>
    <cellStyle name="Ввод  2 2 20 10" xfId="18925"/>
    <cellStyle name="Ввод  2 2 20 10 2" xfId="34286"/>
    <cellStyle name="Ввод  2 2 20 11" xfId="10955"/>
    <cellStyle name="Ввод  2 2 20 12" xfId="10915"/>
    <cellStyle name="Ввод  2 2 20 2" xfId="917"/>
    <cellStyle name="Ввод  2 2 20 2 10" xfId="11501"/>
    <cellStyle name="Ввод  2 2 20 2 11" xfId="27018"/>
    <cellStyle name="Ввод  2 2 20 2 2" xfId="1394"/>
    <cellStyle name="Ввод  2 2 20 2 2 2" xfId="961"/>
    <cellStyle name="Ввод  2 2 20 2 2 2 2" xfId="6221"/>
    <cellStyle name="Ввод  2 2 20 2 2 2 2 2" xfId="16645"/>
    <cellStyle name="Ввод  2 2 20 2 2 2 2 3" xfId="32112"/>
    <cellStyle name="Ввод  2 2 20 2 2 2 3" xfId="22109"/>
    <cellStyle name="Ввод  2 2 20 2 2 2 3 2" xfId="37470"/>
    <cellStyle name="Ввод  2 2 20 2 2 2 4" xfId="11544"/>
    <cellStyle name="Ввод  2 2 20 2 2 2 5" xfId="27060"/>
    <cellStyle name="Ввод  2 2 20 2 2 3" xfId="5021"/>
    <cellStyle name="Ввод  2 2 20 2 2 3 2" xfId="10204"/>
    <cellStyle name="Ввод  2 2 20 2 2 3 2 2" xfId="21130"/>
    <cellStyle name="Ввод  2 2 20 2 2 3 2 3" xfId="36491"/>
    <cellStyle name="Ввод  2 2 20 2 2 3 3" xfId="26091"/>
    <cellStyle name="Ввод  2 2 20 2 2 3 3 2" xfId="41452"/>
    <cellStyle name="Ввод  2 2 20 2 2 3 4" xfId="15567"/>
    <cellStyle name="Ввод  2 2 20 2 2 3 5" xfId="31042"/>
    <cellStyle name="Ввод  2 2 20 2 2 4" xfId="6644"/>
    <cellStyle name="Ввод  2 2 20 2 2 4 2" xfId="16215"/>
    <cellStyle name="Ввод  2 2 20 2 2 4 3" xfId="31682"/>
    <cellStyle name="Ввод  2 2 20 2 2 5" xfId="22532"/>
    <cellStyle name="Ввод  2 2 20 2 2 5 2" xfId="37893"/>
    <cellStyle name="Ввод  2 2 20 2 2 6" xfId="11974"/>
    <cellStyle name="Ввод  2 2 20 2 2 7" xfId="27483"/>
    <cellStyle name="Ввод  2 2 20 2 3" xfId="2323"/>
    <cellStyle name="Ввод  2 2 20 2 3 2" xfId="7559"/>
    <cellStyle name="Ввод  2 2 20 2 3 2 2" xfId="18461"/>
    <cellStyle name="Ввод  2 2 20 2 3 2 3" xfId="33822"/>
    <cellStyle name="Ввод  2 2 20 2 3 3" xfId="23447"/>
    <cellStyle name="Ввод  2 2 20 2 3 3 2" xfId="38808"/>
    <cellStyle name="Ввод  2 2 20 2 3 4" xfId="12898"/>
    <cellStyle name="Ввод  2 2 20 2 3 5" xfId="28398"/>
    <cellStyle name="Ввод  2 2 20 2 4" xfId="3466"/>
    <cellStyle name="Ввод  2 2 20 2 4 2" xfId="8653"/>
    <cellStyle name="Ввод  2 2 20 2 4 2 2" xfId="19580"/>
    <cellStyle name="Ввод  2 2 20 2 4 2 3" xfId="34941"/>
    <cellStyle name="Ввод  2 2 20 2 4 3" xfId="24541"/>
    <cellStyle name="Ввод  2 2 20 2 4 3 2" xfId="39902"/>
    <cellStyle name="Ввод  2 2 20 2 4 4" xfId="14017"/>
    <cellStyle name="Ввод  2 2 20 2 4 5" xfId="29492"/>
    <cellStyle name="Ввод  2 2 20 2 5" xfId="3682"/>
    <cellStyle name="Ввод  2 2 20 2 5 2" xfId="8869"/>
    <cellStyle name="Ввод  2 2 20 2 5 2 2" xfId="19796"/>
    <cellStyle name="Ввод  2 2 20 2 5 2 3" xfId="35157"/>
    <cellStyle name="Ввод  2 2 20 2 5 3" xfId="24757"/>
    <cellStyle name="Ввод  2 2 20 2 5 3 2" xfId="40118"/>
    <cellStyle name="Ввод  2 2 20 2 5 4" xfId="14233"/>
    <cellStyle name="Ввод  2 2 20 2 5 5" xfId="29708"/>
    <cellStyle name="Ввод  2 2 20 2 6" xfId="4371"/>
    <cellStyle name="Ввод  2 2 20 2 6 2" xfId="9558"/>
    <cellStyle name="Ввод  2 2 20 2 6 2 2" xfId="20485"/>
    <cellStyle name="Ввод  2 2 20 2 6 2 3" xfId="35846"/>
    <cellStyle name="Ввод  2 2 20 2 6 3" xfId="25446"/>
    <cellStyle name="Ввод  2 2 20 2 6 3 2" xfId="40807"/>
    <cellStyle name="Ввод  2 2 20 2 6 4" xfId="14922"/>
    <cellStyle name="Ввод  2 2 20 2 6 5" xfId="30397"/>
    <cellStyle name="Ввод  2 2 20 2 7" xfId="4464"/>
    <cellStyle name="Ввод  2 2 20 2 7 2" xfId="9651"/>
    <cellStyle name="Ввод  2 2 20 2 7 2 2" xfId="20578"/>
    <cellStyle name="Ввод  2 2 20 2 7 2 3" xfId="35939"/>
    <cellStyle name="Ввод  2 2 20 2 7 3" xfId="25539"/>
    <cellStyle name="Ввод  2 2 20 2 7 3 2" xfId="40900"/>
    <cellStyle name="Ввод  2 2 20 2 7 4" xfId="15015"/>
    <cellStyle name="Ввод  2 2 20 2 7 5" xfId="30490"/>
    <cellStyle name="Ввод  2 2 20 2 8" xfId="6179"/>
    <cellStyle name="Ввод  2 2 20 2 8 2" xfId="16688"/>
    <cellStyle name="Ввод  2 2 20 2 8 3" xfId="32155"/>
    <cellStyle name="Ввод  2 2 20 2 9" xfId="22067"/>
    <cellStyle name="Ввод  2 2 20 2 9 2" xfId="37428"/>
    <cellStyle name="Ввод  2 2 20 3" xfId="1210"/>
    <cellStyle name="Ввод  2 2 20 3 2" xfId="2369"/>
    <cellStyle name="Ввод  2 2 20 3 2 2" xfId="7605"/>
    <cellStyle name="Ввод  2 2 20 3 2 2 2" xfId="18507"/>
    <cellStyle name="Ввод  2 2 20 3 2 2 3" xfId="33868"/>
    <cellStyle name="Ввод  2 2 20 3 2 3" xfId="23493"/>
    <cellStyle name="Ввод  2 2 20 3 2 3 2" xfId="38854"/>
    <cellStyle name="Ввод  2 2 20 3 2 4" xfId="12944"/>
    <cellStyle name="Ввод  2 2 20 3 2 5" xfId="28444"/>
    <cellStyle name="Ввод  2 2 20 3 3" xfId="5022"/>
    <cellStyle name="Ввод  2 2 20 3 3 2" xfId="10205"/>
    <cellStyle name="Ввод  2 2 20 3 3 2 2" xfId="21131"/>
    <cellStyle name="Ввод  2 2 20 3 3 2 3" xfId="36492"/>
    <cellStyle name="Ввод  2 2 20 3 3 3" xfId="26092"/>
    <cellStyle name="Ввод  2 2 20 3 3 3 2" xfId="41453"/>
    <cellStyle name="Ввод  2 2 20 3 3 4" xfId="15568"/>
    <cellStyle name="Ввод  2 2 20 3 3 5" xfId="31043"/>
    <cellStyle name="Ввод  2 2 20 3 4" xfId="6463"/>
    <cellStyle name="Ввод  2 2 20 3 4 2" xfId="16398"/>
    <cellStyle name="Ввод  2 2 20 3 4 3" xfId="31865"/>
    <cellStyle name="Ввод  2 2 20 3 5" xfId="22351"/>
    <cellStyle name="Ввод  2 2 20 3 5 2" xfId="37712"/>
    <cellStyle name="Ввод  2 2 20 3 6" xfId="11791"/>
    <cellStyle name="Ввод  2 2 20 3 7" xfId="27302"/>
    <cellStyle name="Ввод  2 2 20 4" xfId="1533"/>
    <cellStyle name="Ввод  2 2 20 4 2" xfId="6780"/>
    <cellStyle name="Ввод  2 2 20 4 2 2" xfId="17675"/>
    <cellStyle name="Ввод  2 2 20 4 2 3" xfId="33036"/>
    <cellStyle name="Ввод  2 2 20 4 3" xfId="22668"/>
    <cellStyle name="Ввод  2 2 20 4 3 2" xfId="38029"/>
    <cellStyle name="Ввод  2 2 20 4 4" xfId="12111"/>
    <cellStyle name="Ввод  2 2 20 4 5" xfId="27619"/>
    <cellStyle name="Ввод  2 2 20 5" xfId="3110"/>
    <cellStyle name="Ввод  2 2 20 5 2" xfId="8305"/>
    <cellStyle name="Ввод  2 2 20 5 2 2" xfId="19231"/>
    <cellStyle name="Ввод  2 2 20 5 2 3" xfId="34592"/>
    <cellStyle name="Ввод  2 2 20 5 3" xfId="24193"/>
    <cellStyle name="Ввод  2 2 20 5 3 2" xfId="39554"/>
    <cellStyle name="Ввод  2 2 20 5 4" xfId="13668"/>
    <cellStyle name="Ввод  2 2 20 5 5" xfId="29144"/>
    <cellStyle name="Ввод  2 2 20 6" xfId="3390"/>
    <cellStyle name="Ввод  2 2 20 6 2" xfId="8584"/>
    <cellStyle name="Ввод  2 2 20 6 2 2" xfId="19511"/>
    <cellStyle name="Ввод  2 2 20 6 2 3" xfId="34872"/>
    <cellStyle name="Ввод  2 2 20 6 3" xfId="24472"/>
    <cellStyle name="Ввод  2 2 20 6 3 2" xfId="39833"/>
    <cellStyle name="Ввод  2 2 20 6 4" xfId="13948"/>
    <cellStyle name="Ввод  2 2 20 6 5" xfId="29423"/>
    <cellStyle name="Ввод  2 2 20 7" xfId="3925"/>
    <cellStyle name="Ввод  2 2 20 7 2" xfId="9112"/>
    <cellStyle name="Ввод  2 2 20 7 2 2" xfId="20039"/>
    <cellStyle name="Ввод  2 2 20 7 2 3" xfId="35400"/>
    <cellStyle name="Ввод  2 2 20 7 3" xfId="25000"/>
    <cellStyle name="Ввод  2 2 20 7 3 2" xfId="40361"/>
    <cellStyle name="Ввод  2 2 20 7 4" xfId="14476"/>
    <cellStyle name="Ввод  2 2 20 7 5" xfId="29951"/>
    <cellStyle name="Ввод  2 2 20 8" xfId="4798"/>
    <cellStyle name="Ввод  2 2 20 8 2" xfId="9985"/>
    <cellStyle name="Ввод  2 2 20 8 2 2" xfId="20912"/>
    <cellStyle name="Ввод  2 2 20 8 2 3" xfId="36273"/>
    <cellStyle name="Ввод  2 2 20 8 3" xfId="25873"/>
    <cellStyle name="Ввод  2 2 20 8 3 2" xfId="41234"/>
    <cellStyle name="Ввод  2 2 20 8 4" xfId="15349"/>
    <cellStyle name="Ввод  2 2 20 8 5" xfId="30824"/>
    <cellStyle name="Ввод  2 2 20 9" xfId="5660"/>
    <cellStyle name="Ввод  2 2 20 9 2" xfId="17231"/>
    <cellStyle name="Ввод  2 2 20 9 3" xfId="32698"/>
    <cellStyle name="Ввод  2 2 21" xfId="270"/>
    <cellStyle name="Ввод  2 2 21 10" xfId="16526"/>
    <cellStyle name="Ввод  2 2 21 10 2" xfId="31993"/>
    <cellStyle name="Ввод  2 2 21 11" xfId="10956"/>
    <cellStyle name="Ввод  2 2 21 12" xfId="10914"/>
    <cellStyle name="Ввод  2 2 21 2" xfId="916"/>
    <cellStyle name="Ввод  2 2 21 2 10" xfId="11500"/>
    <cellStyle name="Ввод  2 2 21 2 11" xfId="27017"/>
    <cellStyle name="Ввод  2 2 21 2 2" xfId="948"/>
    <cellStyle name="Ввод  2 2 21 2 2 2" xfId="1399"/>
    <cellStyle name="Ввод  2 2 21 2 2 2 2" xfId="6648"/>
    <cellStyle name="Ввод  2 2 21 2 2 2 2 2" xfId="16211"/>
    <cellStyle name="Ввод  2 2 21 2 2 2 2 3" xfId="31678"/>
    <cellStyle name="Ввод  2 2 21 2 2 2 3" xfId="22536"/>
    <cellStyle name="Ввод  2 2 21 2 2 2 3 2" xfId="37897"/>
    <cellStyle name="Ввод  2 2 21 2 2 2 4" xfId="11978"/>
    <cellStyle name="Ввод  2 2 21 2 2 2 5" xfId="27487"/>
    <cellStyle name="Ввод  2 2 21 2 2 3" xfId="5023"/>
    <cellStyle name="Ввод  2 2 21 2 2 3 2" xfId="10206"/>
    <cellStyle name="Ввод  2 2 21 2 2 3 2 2" xfId="21132"/>
    <cellStyle name="Ввод  2 2 21 2 2 3 2 3" xfId="36493"/>
    <cellStyle name="Ввод  2 2 21 2 2 3 3" xfId="26093"/>
    <cellStyle name="Ввод  2 2 21 2 2 3 3 2" xfId="41454"/>
    <cellStyle name="Ввод  2 2 21 2 2 3 4" xfId="15569"/>
    <cellStyle name="Ввод  2 2 21 2 2 3 5" xfId="31044"/>
    <cellStyle name="Ввод  2 2 21 2 2 4" xfId="6210"/>
    <cellStyle name="Ввод  2 2 21 2 2 4 2" xfId="16657"/>
    <cellStyle name="Ввод  2 2 21 2 2 4 3" xfId="32124"/>
    <cellStyle name="Ввод  2 2 21 2 2 5" xfId="22098"/>
    <cellStyle name="Ввод  2 2 21 2 2 5 2" xfId="37459"/>
    <cellStyle name="Ввод  2 2 21 2 2 6" xfId="11532"/>
    <cellStyle name="Ввод  2 2 21 2 2 7" xfId="27049"/>
    <cellStyle name="Ввод  2 2 21 2 3" xfId="2322"/>
    <cellStyle name="Ввод  2 2 21 2 3 2" xfId="7558"/>
    <cellStyle name="Ввод  2 2 21 2 3 2 2" xfId="18460"/>
    <cellStyle name="Ввод  2 2 21 2 3 2 3" xfId="33821"/>
    <cellStyle name="Ввод  2 2 21 2 3 3" xfId="23446"/>
    <cellStyle name="Ввод  2 2 21 2 3 3 2" xfId="38807"/>
    <cellStyle name="Ввод  2 2 21 2 3 4" xfId="12897"/>
    <cellStyle name="Ввод  2 2 21 2 3 5" xfId="28397"/>
    <cellStyle name="Ввод  2 2 21 2 4" xfId="3465"/>
    <cellStyle name="Ввод  2 2 21 2 4 2" xfId="8652"/>
    <cellStyle name="Ввод  2 2 21 2 4 2 2" xfId="19579"/>
    <cellStyle name="Ввод  2 2 21 2 4 2 3" xfId="34940"/>
    <cellStyle name="Ввод  2 2 21 2 4 3" xfId="24540"/>
    <cellStyle name="Ввод  2 2 21 2 4 3 2" xfId="39901"/>
    <cellStyle name="Ввод  2 2 21 2 4 4" xfId="14016"/>
    <cellStyle name="Ввод  2 2 21 2 4 5" xfId="29491"/>
    <cellStyle name="Ввод  2 2 21 2 5" xfId="3742"/>
    <cellStyle name="Ввод  2 2 21 2 5 2" xfId="8929"/>
    <cellStyle name="Ввод  2 2 21 2 5 2 2" xfId="19856"/>
    <cellStyle name="Ввод  2 2 21 2 5 2 3" xfId="35217"/>
    <cellStyle name="Ввод  2 2 21 2 5 3" xfId="24817"/>
    <cellStyle name="Ввод  2 2 21 2 5 3 2" xfId="40178"/>
    <cellStyle name="Ввод  2 2 21 2 5 4" xfId="14293"/>
    <cellStyle name="Ввод  2 2 21 2 5 5" xfId="29768"/>
    <cellStyle name="Ввод  2 2 21 2 6" xfId="4370"/>
    <cellStyle name="Ввод  2 2 21 2 6 2" xfId="9557"/>
    <cellStyle name="Ввод  2 2 21 2 6 2 2" xfId="20484"/>
    <cellStyle name="Ввод  2 2 21 2 6 2 3" xfId="35845"/>
    <cellStyle name="Ввод  2 2 21 2 6 3" xfId="25445"/>
    <cellStyle name="Ввод  2 2 21 2 6 3 2" xfId="40806"/>
    <cellStyle name="Ввод  2 2 21 2 6 4" xfId="14921"/>
    <cellStyle name="Ввод  2 2 21 2 6 5" xfId="30396"/>
    <cellStyle name="Ввод  2 2 21 2 7" xfId="4465"/>
    <cellStyle name="Ввод  2 2 21 2 7 2" xfId="9652"/>
    <cellStyle name="Ввод  2 2 21 2 7 2 2" xfId="20579"/>
    <cellStyle name="Ввод  2 2 21 2 7 2 3" xfId="35940"/>
    <cellStyle name="Ввод  2 2 21 2 7 3" xfId="25540"/>
    <cellStyle name="Ввод  2 2 21 2 7 3 2" xfId="40901"/>
    <cellStyle name="Ввод  2 2 21 2 7 4" xfId="15016"/>
    <cellStyle name="Ввод  2 2 21 2 7 5" xfId="30491"/>
    <cellStyle name="Ввод  2 2 21 2 8" xfId="6178"/>
    <cellStyle name="Ввод  2 2 21 2 8 2" xfId="16689"/>
    <cellStyle name="Ввод  2 2 21 2 8 3" xfId="32156"/>
    <cellStyle name="Ввод  2 2 21 2 9" xfId="22066"/>
    <cellStyle name="Ввод  2 2 21 2 9 2" xfId="37427"/>
    <cellStyle name="Ввод  2 2 21 3" xfId="950"/>
    <cellStyle name="Ввод  2 2 21 3 2" xfId="2371"/>
    <cellStyle name="Ввод  2 2 21 3 2 2" xfId="7607"/>
    <cellStyle name="Ввод  2 2 21 3 2 2 2" xfId="18509"/>
    <cellStyle name="Ввод  2 2 21 3 2 2 3" xfId="33870"/>
    <cellStyle name="Ввод  2 2 21 3 2 3" xfId="23495"/>
    <cellStyle name="Ввод  2 2 21 3 2 3 2" xfId="38856"/>
    <cellStyle name="Ввод  2 2 21 3 2 4" xfId="12946"/>
    <cellStyle name="Ввод  2 2 21 3 2 5" xfId="28446"/>
    <cellStyle name="Ввод  2 2 21 3 3" xfId="5024"/>
    <cellStyle name="Ввод  2 2 21 3 3 2" xfId="10207"/>
    <cellStyle name="Ввод  2 2 21 3 3 2 2" xfId="21133"/>
    <cellStyle name="Ввод  2 2 21 3 3 2 3" xfId="36494"/>
    <cellStyle name="Ввод  2 2 21 3 3 3" xfId="26094"/>
    <cellStyle name="Ввод  2 2 21 3 3 3 2" xfId="41455"/>
    <cellStyle name="Ввод  2 2 21 3 3 4" xfId="15570"/>
    <cellStyle name="Ввод  2 2 21 3 3 5" xfId="31045"/>
    <cellStyle name="Ввод  2 2 21 3 4" xfId="6212"/>
    <cellStyle name="Ввод  2 2 21 3 4 2" xfId="16655"/>
    <cellStyle name="Ввод  2 2 21 3 4 3" xfId="32122"/>
    <cellStyle name="Ввод  2 2 21 3 5" xfId="22100"/>
    <cellStyle name="Ввод  2 2 21 3 5 2" xfId="37461"/>
    <cellStyle name="Ввод  2 2 21 3 6" xfId="11534"/>
    <cellStyle name="Ввод  2 2 21 3 7" xfId="27051"/>
    <cellStyle name="Ввод  2 2 21 4" xfId="1435"/>
    <cellStyle name="Ввод  2 2 21 4 2" xfId="6683"/>
    <cellStyle name="Ввод  2 2 21 4 2 2" xfId="16175"/>
    <cellStyle name="Ввод  2 2 21 4 2 3" xfId="31642"/>
    <cellStyle name="Ввод  2 2 21 4 3" xfId="22571"/>
    <cellStyle name="Ввод  2 2 21 4 3 2" xfId="37932"/>
    <cellStyle name="Ввод  2 2 21 4 4" xfId="12014"/>
    <cellStyle name="Ввод  2 2 21 4 5" xfId="27522"/>
    <cellStyle name="Ввод  2 2 21 5" xfId="3107"/>
    <cellStyle name="Ввод  2 2 21 5 2" xfId="8302"/>
    <cellStyle name="Ввод  2 2 21 5 2 2" xfId="19228"/>
    <cellStyle name="Ввод  2 2 21 5 2 3" xfId="34589"/>
    <cellStyle name="Ввод  2 2 21 5 3" xfId="24190"/>
    <cellStyle name="Ввод  2 2 21 5 3 2" xfId="39551"/>
    <cellStyle name="Ввод  2 2 21 5 4" xfId="13665"/>
    <cellStyle name="Ввод  2 2 21 5 5" xfId="29141"/>
    <cellStyle name="Ввод  2 2 21 6" xfId="3218"/>
    <cellStyle name="Ввод  2 2 21 6 2" xfId="8413"/>
    <cellStyle name="Ввод  2 2 21 6 2 2" xfId="19339"/>
    <cellStyle name="Ввод  2 2 21 6 2 3" xfId="34700"/>
    <cellStyle name="Ввод  2 2 21 6 3" xfId="24301"/>
    <cellStyle name="Ввод  2 2 21 6 3 2" xfId="39662"/>
    <cellStyle name="Ввод  2 2 21 6 4" xfId="13776"/>
    <cellStyle name="Ввод  2 2 21 6 5" xfId="29252"/>
    <cellStyle name="Ввод  2 2 21 7" xfId="3875"/>
    <cellStyle name="Ввод  2 2 21 7 2" xfId="9062"/>
    <cellStyle name="Ввод  2 2 21 7 2 2" xfId="19989"/>
    <cellStyle name="Ввод  2 2 21 7 2 3" xfId="35350"/>
    <cellStyle name="Ввод  2 2 21 7 3" xfId="24950"/>
    <cellStyle name="Ввод  2 2 21 7 3 2" xfId="40311"/>
    <cellStyle name="Ввод  2 2 21 7 4" xfId="14426"/>
    <cellStyle name="Ввод  2 2 21 7 5" xfId="29901"/>
    <cellStyle name="Ввод  2 2 21 8" xfId="4824"/>
    <cellStyle name="Ввод  2 2 21 8 2" xfId="10011"/>
    <cellStyle name="Ввод  2 2 21 8 2 2" xfId="20938"/>
    <cellStyle name="Ввод  2 2 21 8 2 3" xfId="36299"/>
    <cellStyle name="Ввод  2 2 21 8 3" xfId="25899"/>
    <cellStyle name="Ввод  2 2 21 8 3 2" xfId="41260"/>
    <cellStyle name="Ввод  2 2 21 8 4" xfId="15375"/>
    <cellStyle name="Ввод  2 2 21 8 5" xfId="30850"/>
    <cellStyle name="Ввод  2 2 21 9" xfId="5661"/>
    <cellStyle name="Ввод  2 2 21 9 2" xfId="17230"/>
    <cellStyle name="Ввод  2 2 21 9 3" xfId="32697"/>
    <cellStyle name="Ввод  2 2 22" xfId="271"/>
    <cellStyle name="Ввод  2 2 22 10" xfId="17272"/>
    <cellStyle name="Ввод  2 2 22 10 2" xfId="32739"/>
    <cellStyle name="Ввод  2 2 22 11" xfId="10957"/>
    <cellStyle name="Ввод  2 2 22 12" xfId="13362"/>
    <cellStyle name="Ввод  2 2 22 2" xfId="915"/>
    <cellStyle name="Ввод  2 2 22 2 10" xfId="11499"/>
    <cellStyle name="Ввод  2 2 22 2 11" xfId="27016"/>
    <cellStyle name="Ввод  2 2 22 2 2" xfId="1365"/>
    <cellStyle name="Ввод  2 2 22 2 2 2" xfId="73"/>
    <cellStyle name="Ввод  2 2 22 2 2 2 2" xfId="5599"/>
    <cellStyle name="Ввод  2 2 22 2 2 2 2 2" xfId="17398"/>
    <cellStyle name="Ввод  2 2 22 2 2 2 2 3" xfId="32865"/>
    <cellStyle name="Ввод  2 2 22 2 2 2 3" xfId="17429"/>
    <cellStyle name="Ввод  2 2 22 2 2 2 3 2" xfId="32896"/>
    <cellStyle name="Ввод  2 2 22 2 2 2 4" xfId="10787"/>
    <cellStyle name="Ввод  2 2 22 2 2 2 5" xfId="10756"/>
    <cellStyle name="Ввод  2 2 22 2 2 3" xfId="5025"/>
    <cellStyle name="Ввод  2 2 22 2 2 3 2" xfId="10208"/>
    <cellStyle name="Ввод  2 2 22 2 2 3 2 2" xfId="21134"/>
    <cellStyle name="Ввод  2 2 22 2 2 3 2 3" xfId="36495"/>
    <cellStyle name="Ввод  2 2 22 2 2 3 3" xfId="26095"/>
    <cellStyle name="Ввод  2 2 22 2 2 3 3 2" xfId="41456"/>
    <cellStyle name="Ввод  2 2 22 2 2 3 4" xfId="15571"/>
    <cellStyle name="Ввод  2 2 22 2 2 3 5" xfId="31046"/>
    <cellStyle name="Ввод  2 2 22 2 2 4" xfId="6616"/>
    <cellStyle name="Ввод  2 2 22 2 2 4 2" xfId="16244"/>
    <cellStyle name="Ввод  2 2 22 2 2 4 3" xfId="31711"/>
    <cellStyle name="Ввод  2 2 22 2 2 5" xfId="22504"/>
    <cellStyle name="Ввод  2 2 22 2 2 5 2" xfId="37865"/>
    <cellStyle name="Ввод  2 2 22 2 2 6" xfId="11945"/>
    <cellStyle name="Ввод  2 2 22 2 2 7" xfId="27455"/>
    <cellStyle name="Ввод  2 2 22 2 3" xfId="2321"/>
    <cellStyle name="Ввод  2 2 22 2 3 2" xfId="7557"/>
    <cellStyle name="Ввод  2 2 22 2 3 2 2" xfId="18459"/>
    <cellStyle name="Ввод  2 2 22 2 3 2 3" xfId="33820"/>
    <cellStyle name="Ввод  2 2 22 2 3 3" xfId="23445"/>
    <cellStyle name="Ввод  2 2 22 2 3 3 2" xfId="38806"/>
    <cellStyle name="Ввод  2 2 22 2 3 4" xfId="12896"/>
    <cellStyle name="Ввод  2 2 22 2 3 5" xfId="28396"/>
    <cellStyle name="Ввод  2 2 22 2 4" xfId="3464"/>
    <cellStyle name="Ввод  2 2 22 2 4 2" xfId="8651"/>
    <cellStyle name="Ввод  2 2 22 2 4 2 2" xfId="19578"/>
    <cellStyle name="Ввод  2 2 22 2 4 2 3" xfId="34939"/>
    <cellStyle name="Ввод  2 2 22 2 4 3" xfId="24539"/>
    <cellStyle name="Ввод  2 2 22 2 4 3 2" xfId="39900"/>
    <cellStyle name="Ввод  2 2 22 2 4 4" xfId="14015"/>
    <cellStyle name="Ввод  2 2 22 2 4 5" xfId="29490"/>
    <cellStyle name="Ввод  2 2 22 2 5" xfId="3681"/>
    <cellStyle name="Ввод  2 2 22 2 5 2" xfId="8868"/>
    <cellStyle name="Ввод  2 2 22 2 5 2 2" xfId="19795"/>
    <cellStyle name="Ввод  2 2 22 2 5 2 3" xfId="35156"/>
    <cellStyle name="Ввод  2 2 22 2 5 3" xfId="24756"/>
    <cellStyle name="Ввод  2 2 22 2 5 3 2" xfId="40117"/>
    <cellStyle name="Ввод  2 2 22 2 5 4" xfId="14232"/>
    <cellStyle name="Ввод  2 2 22 2 5 5" xfId="29707"/>
    <cellStyle name="Ввод  2 2 22 2 6" xfId="4369"/>
    <cellStyle name="Ввод  2 2 22 2 6 2" xfId="9556"/>
    <cellStyle name="Ввод  2 2 22 2 6 2 2" xfId="20483"/>
    <cellStyle name="Ввод  2 2 22 2 6 2 3" xfId="35844"/>
    <cellStyle name="Ввод  2 2 22 2 6 3" xfId="25444"/>
    <cellStyle name="Ввод  2 2 22 2 6 3 2" xfId="40805"/>
    <cellStyle name="Ввод  2 2 22 2 6 4" xfId="14920"/>
    <cellStyle name="Ввод  2 2 22 2 6 5" xfId="30395"/>
    <cellStyle name="Ввод  2 2 22 2 7" xfId="4466"/>
    <cellStyle name="Ввод  2 2 22 2 7 2" xfId="9653"/>
    <cellStyle name="Ввод  2 2 22 2 7 2 2" xfId="20580"/>
    <cellStyle name="Ввод  2 2 22 2 7 2 3" xfId="35941"/>
    <cellStyle name="Ввод  2 2 22 2 7 3" xfId="25541"/>
    <cellStyle name="Ввод  2 2 22 2 7 3 2" xfId="40902"/>
    <cellStyle name="Ввод  2 2 22 2 7 4" xfId="15017"/>
    <cellStyle name="Ввод  2 2 22 2 7 5" xfId="30492"/>
    <cellStyle name="Ввод  2 2 22 2 8" xfId="6177"/>
    <cellStyle name="Ввод  2 2 22 2 8 2" xfId="16690"/>
    <cellStyle name="Ввод  2 2 22 2 8 3" xfId="32157"/>
    <cellStyle name="Ввод  2 2 22 2 9" xfId="22065"/>
    <cellStyle name="Ввод  2 2 22 2 9 2" xfId="37426"/>
    <cellStyle name="Ввод  2 2 22 3" xfId="1401"/>
    <cellStyle name="Ввод  2 2 22 3 2" xfId="2373"/>
    <cellStyle name="Ввод  2 2 22 3 2 2" xfId="7609"/>
    <cellStyle name="Ввод  2 2 22 3 2 2 2" xfId="18511"/>
    <cellStyle name="Ввод  2 2 22 3 2 2 3" xfId="33872"/>
    <cellStyle name="Ввод  2 2 22 3 2 3" xfId="23497"/>
    <cellStyle name="Ввод  2 2 22 3 2 3 2" xfId="38858"/>
    <cellStyle name="Ввод  2 2 22 3 2 4" xfId="12948"/>
    <cellStyle name="Ввод  2 2 22 3 2 5" xfId="28448"/>
    <cellStyle name="Ввод  2 2 22 3 3" xfId="5026"/>
    <cellStyle name="Ввод  2 2 22 3 3 2" xfId="10209"/>
    <cellStyle name="Ввод  2 2 22 3 3 2 2" xfId="21135"/>
    <cellStyle name="Ввод  2 2 22 3 3 2 3" xfId="36496"/>
    <cellStyle name="Ввод  2 2 22 3 3 3" xfId="26096"/>
    <cellStyle name="Ввод  2 2 22 3 3 3 2" xfId="41457"/>
    <cellStyle name="Ввод  2 2 22 3 3 4" xfId="15572"/>
    <cellStyle name="Ввод  2 2 22 3 3 5" xfId="31047"/>
    <cellStyle name="Ввод  2 2 22 3 4" xfId="6650"/>
    <cellStyle name="Ввод  2 2 22 3 4 2" xfId="16209"/>
    <cellStyle name="Ввод  2 2 22 3 4 3" xfId="31676"/>
    <cellStyle name="Ввод  2 2 22 3 5" xfId="22538"/>
    <cellStyle name="Ввод  2 2 22 3 5 2" xfId="37899"/>
    <cellStyle name="Ввод  2 2 22 3 6" xfId="11980"/>
    <cellStyle name="Ввод  2 2 22 3 7" xfId="27489"/>
    <cellStyle name="Ввод  2 2 22 4" xfId="1710"/>
    <cellStyle name="Ввод  2 2 22 4 2" xfId="6952"/>
    <cellStyle name="Ввод  2 2 22 4 2 2" xfId="17852"/>
    <cellStyle name="Ввод  2 2 22 4 2 3" xfId="33213"/>
    <cellStyle name="Ввод  2 2 22 4 3" xfId="22840"/>
    <cellStyle name="Ввод  2 2 22 4 3 2" xfId="38201"/>
    <cellStyle name="Ввод  2 2 22 4 4" xfId="12288"/>
    <cellStyle name="Ввод  2 2 22 4 5" xfId="27791"/>
    <cellStyle name="Ввод  2 2 22 5" xfId="3106"/>
    <cellStyle name="Ввод  2 2 22 5 2" xfId="8301"/>
    <cellStyle name="Ввод  2 2 22 5 2 2" xfId="19227"/>
    <cellStyle name="Ввод  2 2 22 5 2 3" xfId="34588"/>
    <cellStyle name="Ввод  2 2 22 5 3" xfId="24189"/>
    <cellStyle name="Ввод  2 2 22 5 3 2" xfId="39550"/>
    <cellStyle name="Ввод  2 2 22 5 4" xfId="13664"/>
    <cellStyle name="Ввод  2 2 22 5 5" xfId="29140"/>
    <cellStyle name="Ввод  2 2 22 6" xfId="3863"/>
    <cellStyle name="Ввод  2 2 22 6 2" xfId="9050"/>
    <cellStyle name="Ввод  2 2 22 6 2 2" xfId="19977"/>
    <cellStyle name="Ввод  2 2 22 6 2 3" xfId="35338"/>
    <cellStyle name="Ввод  2 2 22 6 3" xfId="24938"/>
    <cellStyle name="Ввод  2 2 22 6 3 2" xfId="40299"/>
    <cellStyle name="Ввод  2 2 22 6 4" xfId="14414"/>
    <cellStyle name="Ввод  2 2 22 6 5" xfId="29889"/>
    <cellStyle name="Ввод  2 2 22 7" xfId="3245"/>
    <cellStyle name="Ввод  2 2 22 7 2" xfId="8440"/>
    <cellStyle name="Ввод  2 2 22 7 2 2" xfId="19366"/>
    <cellStyle name="Ввод  2 2 22 7 2 3" xfId="34727"/>
    <cellStyle name="Ввод  2 2 22 7 3" xfId="24328"/>
    <cellStyle name="Ввод  2 2 22 7 3 2" xfId="39689"/>
    <cellStyle name="Ввод  2 2 22 7 4" xfId="13803"/>
    <cellStyle name="Ввод  2 2 22 7 5" xfId="29279"/>
    <cellStyle name="Ввод  2 2 22 8" xfId="4797"/>
    <cellStyle name="Ввод  2 2 22 8 2" xfId="9984"/>
    <cellStyle name="Ввод  2 2 22 8 2 2" xfId="20911"/>
    <cellStyle name="Ввод  2 2 22 8 2 3" xfId="36272"/>
    <cellStyle name="Ввод  2 2 22 8 3" xfId="25872"/>
    <cellStyle name="Ввод  2 2 22 8 3 2" xfId="41233"/>
    <cellStyle name="Ввод  2 2 22 8 4" xfId="15348"/>
    <cellStyle name="Ввод  2 2 22 8 5" xfId="30823"/>
    <cellStyle name="Ввод  2 2 22 9" xfId="5662"/>
    <cellStyle name="Ввод  2 2 22 9 2" xfId="17229"/>
    <cellStyle name="Ввод  2 2 22 9 3" xfId="32696"/>
    <cellStyle name="Ввод  2 2 23" xfId="929"/>
    <cellStyle name="Ввод  2 2 23 10" xfId="11513"/>
    <cellStyle name="Ввод  2 2 23 11" xfId="27030"/>
    <cellStyle name="Ввод  2 2 23 2" xfId="1266"/>
    <cellStyle name="Ввод  2 2 23 2 2" xfId="2374"/>
    <cellStyle name="Ввод  2 2 23 2 2 2" xfId="7610"/>
    <cellStyle name="Ввод  2 2 23 2 2 2 2" xfId="18512"/>
    <cellStyle name="Ввод  2 2 23 2 2 2 3" xfId="33873"/>
    <cellStyle name="Ввод  2 2 23 2 2 3" xfId="23498"/>
    <cellStyle name="Ввод  2 2 23 2 2 3 2" xfId="38859"/>
    <cellStyle name="Ввод  2 2 23 2 2 4" xfId="12949"/>
    <cellStyle name="Ввод  2 2 23 2 2 5" xfId="28449"/>
    <cellStyle name="Ввод  2 2 23 2 3" xfId="5027"/>
    <cellStyle name="Ввод  2 2 23 2 3 2" xfId="10210"/>
    <cellStyle name="Ввод  2 2 23 2 3 2 2" xfId="21136"/>
    <cellStyle name="Ввод  2 2 23 2 3 2 3" xfId="36497"/>
    <cellStyle name="Ввод  2 2 23 2 3 3" xfId="26097"/>
    <cellStyle name="Ввод  2 2 23 2 3 3 2" xfId="41458"/>
    <cellStyle name="Ввод  2 2 23 2 3 4" xfId="15573"/>
    <cellStyle name="Ввод  2 2 23 2 3 5" xfId="31048"/>
    <cellStyle name="Ввод  2 2 23 2 4" xfId="6519"/>
    <cellStyle name="Ввод  2 2 23 2 4 2" xfId="16342"/>
    <cellStyle name="Ввод  2 2 23 2 4 3" xfId="31809"/>
    <cellStyle name="Ввод  2 2 23 2 5" xfId="22407"/>
    <cellStyle name="Ввод  2 2 23 2 5 2" xfId="37768"/>
    <cellStyle name="Ввод  2 2 23 2 6" xfId="11847"/>
    <cellStyle name="Ввод  2 2 23 2 7" xfId="27358"/>
    <cellStyle name="Ввод  2 2 23 3" xfId="2335"/>
    <cellStyle name="Ввод  2 2 23 3 2" xfId="7571"/>
    <cellStyle name="Ввод  2 2 23 3 2 2" xfId="18473"/>
    <cellStyle name="Ввод  2 2 23 3 2 3" xfId="33834"/>
    <cellStyle name="Ввод  2 2 23 3 3" xfId="23459"/>
    <cellStyle name="Ввод  2 2 23 3 3 2" xfId="38820"/>
    <cellStyle name="Ввод  2 2 23 3 4" xfId="12910"/>
    <cellStyle name="Ввод  2 2 23 3 5" xfId="28410"/>
    <cellStyle name="Ввод  2 2 23 4" xfId="3478"/>
    <cellStyle name="Ввод  2 2 23 4 2" xfId="8665"/>
    <cellStyle name="Ввод  2 2 23 4 2 2" xfId="19592"/>
    <cellStyle name="Ввод  2 2 23 4 2 3" xfId="34953"/>
    <cellStyle name="Ввод  2 2 23 4 3" xfId="24553"/>
    <cellStyle name="Ввод  2 2 23 4 3 2" xfId="39914"/>
    <cellStyle name="Ввод  2 2 23 4 4" xfId="14029"/>
    <cellStyle name="Ввод  2 2 23 4 5" xfId="29504"/>
    <cellStyle name="Ввод  2 2 23 5" xfId="3688"/>
    <cellStyle name="Ввод  2 2 23 5 2" xfId="8875"/>
    <cellStyle name="Ввод  2 2 23 5 2 2" xfId="19802"/>
    <cellStyle name="Ввод  2 2 23 5 2 3" xfId="35163"/>
    <cellStyle name="Ввод  2 2 23 5 3" xfId="24763"/>
    <cellStyle name="Ввод  2 2 23 5 3 2" xfId="40124"/>
    <cellStyle name="Ввод  2 2 23 5 4" xfId="14239"/>
    <cellStyle name="Ввод  2 2 23 5 5" xfId="29714"/>
    <cellStyle name="Ввод  2 2 23 6" xfId="4383"/>
    <cellStyle name="Ввод  2 2 23 6 2" xfId="9570"/>
    <cellStyle name="Ввод  2 2 23 6 2 2" xfId="20497"/>
    <cellStyle name="Ввод  2 2 23 6 2 3" xfId="35858"/>
    <cellStyle name="Ввод  2 2 23 6 3" xfId="25458"/>
    <cellStyle name="Ввод  2 2 23 6 3 2" xfId="40819"/>
    <cellStyle name="Ввод  2 2 23 6 4" xfId="14934"/>
    <cellStyle name="Ввод  2 2 23 6 5" xfId="30409"/>
    <cellStyle name="Ввод  2 2 23 7" xfId="4452"/>
    <cellStyle name="Ввод  2 2 23 7 2" xfId="9639"/>
    <cellStyle name="Ввод  2 2 23 7 2 2" xfId="20566"/>
    <cellStyle name="Ввод  2 2 23 7 2 3" xfId="35927"/>
    <cellStyle name="Ввод  2 2 23 7 3" xfId="25527"/>
    <cellStyle name="Ввод  2 2 23 7 3 2" xfId="40888"/>
    <cellStyle name="Ввод  2 2 23 7 4" xfId="15003"/>
    <cellStyle name="Ввод  2 2 23 7 5" xfId="30478"/>
    <cellStyle name="Ввод  2 2 23 8" xfId="6191"/>
    <cellStyle name="Ввод  2 2 23 8 2" xfId="16676"/>
    <cellStyle name="Ввод  2 2 23 8 3" xfId="32143"/>
    <cellStyle name="Ввод  2 2 23 9" xfId="22079"/>
    <cellStyle name="Ввод  2 2 23 9 2" xfId="37440"/>
    <cellStyle name="Ввод  2 2 24" xfId="1240"/>
    <cellStyle name="Ввод  2 2 24 2" xfId="1711"/>
    <cellStyle name="Ввод  2 2 24 2 2" xfId="6953"/>
    <cellStyle name="Ввод  2 2 24 2 2 2" xfId="17853"/>
    <cellStyle name="Ввод  2 2 24 2 2 3" xfId="33214"/>
    <cellStyle name="Ввод  2 2 24 2 3" xfId="22841"/>
    <cellStyle name="Ввод  2 2 24 2 3 2" xfId="38202"/>
    <cellStyle name="Ввод  2 2 24 2 4" xfId="12289"/>
    <cellStyle name="Ввод  2 2 24 2 5" xfId="27792"/>
    <cellStyle name="Ввод  2 2 24 3" xfId="5028"/>
    <cellStyle name="Ввод  2 2 24 3 2" xfId="10211"/>
    <cellStyle name="Ввод  2 2 24 3 2 2" xfId="21137"/>
    <cellStyle name="Ввод  2 2 24 3 2 3" xfId="36498"/>
    <cellStyle name="Ввод  2 2 24 3 3" xfId="26098"/>
    <cellStyle name="Ввод  2 2 24 3 3 2" xfId="41459"/>
    <cellStyle name="Ввод  2 2 24 3 4" xfId="15574"/>
    <cellStyle name="Ввод  2 2 24 3 5" xfId="31049"/>
    <cellStyle name="Ввод  2 2 24 4" xfId="6493"/>
    <cellStyle name="Ввод  2 2 24 4 2" xfId="16368"/>
    <cellStyle name="Ввод  2 2 24 4 3" xfId="31835"/>
    <cellStyle name="Ввод  2 2 24 5" xfId="22381"/>
    <cellStyle name="Ввод  2 2 24 5 2" xfId="37742"/>
    <cellStyle name="Ввод  2 2 24 6" xfId="11821"/>
    <cellStyle name="Ввод  2 2 24 7" xfId="27332"/>
    <cellStyle name="Ввод  2 2 25" xfId="1558"/>
    <cellStyle name="Ввод  2 2 25 2" xfId="6805"/>
    <cellStyle name="Ввод  2 2 25 2 2" xfId="17700"/>
    <cellStyle name="Ввод  2 2 25 2 3" xfId="33061"/>
    <cellStyle name="Ввод  2 2 25 3" xfId="22693"/>
    <cellStyle name="Ввод  2 2 25 3 2" xfId="38054"/>
    <cellStyle name="Ввод  2 2 25 4" xfId="12136"/>
    <cellStyle name="Ввод  2 2 25 5" xfId="27644"/>
    <cellStyle name="Ввод  2 2 26" xfId="3134"/>
    <cellStyle name="Ввод  2 2 26 2" xfId="8329"/>
    <cellStyle name="Ввод  2 2 26 2 2" xfId="19255"/>
    <cellStyle name="Ввод  2 2 26 2 3" xfId="34616"/>
    <cellStyle name="Ввод  2 2 26 3" xfId="24217"/>
    <cellStyle name="Ввод  2 2 26 3 2" xfId="39578"/>
    <cellStyle name="Ввод  2 2 26 4" xfId="13692"/>
    <cellStyle name="Ввод  2 2 26 5" xfId="29168"/>
    <cellStyle name="Ввод  2 2 27" xfId="3383"/>
    <cellStyle name="Ввод  2 2 27 2" xfId="8577"/>
    <cellStyle name="Ввод  2 2 27 2 2" xfId="19504"/>
    <cellStyle name="Ввод  2 2 27 2 3" xfId="34865"/>
    <cellStyle name="Ввод  2 2 27 3" xfId="24465"/>
    <cellStyle name="Ввод  2 2 27 3 2" xfId="39826"/>
    <cellStyle name="Ввод  2 2 27 4" xfId="13941"/>
    <cellStyle name="Ввод  2 2 27 5" xfId="29416"/>
    <cellStyle name="Ввод  2 2 27 6" xfId="46179"/>
    <cellStyle name="Ввод  2 2 28" xfId="3872"/>
    <cellStyle name="Ввод  2 2 28 2" xfId="9059"/>
    <cellStyle name="Ввод  2 2 28 2 2" xfId="19986"/>
    <cellStyle name="Ввод  2 2 28 2 3" xfId="35347"/>
    <cellStyle name="Ввод  2 2 28 3" xfId="24947"/>
    <cellStyle name="Ввод  2 2 28 3 2" xfId="40308"/>
    <cellStyle name="Ввод  2 2 28 4" xfId="14423"/>
    <cellStyle name="Ввод  2 2 28 5" xfId="29898"/>
    <cellStyle name="Ввод  2 2 29" xfId="4804"/>
    <cellStyle name="Ввод  2 2 29 2" xfId="9991"/>
    <cellStyle name="Ввод  2 2 29 2 2" xfId="20918"/>
    <cellStyle name="Ввод  2 2 29 2 3" xfId="36279"/>
    <cellStyle name="Ввод  2 2 29 3" xfId="25879"/>
    <cellStyle name="Ввод  2 2 29 3 2" xfId="41240"/>
    <cellStyle name="Ввод  2 2 29 4" xfId="15355"/>
    <cellStyle name="Ввод  2 2 29 5" xfId="30830"/>
    <cellStyle name="Ввод  2 2 3" xfId="272"/>
    <cellStyle name="Ввод  2 2 3 10" xfId="17273"/>
    <cellStyle name="Ввод  2 2 3 10 2" xfId="32740"/>
    <cellStyle name="Ввод  2 2 3 11" xfId="10958"/>
    <cellStyle name="Ввод  2 2 3 12" xfId="11663"/>
    <cellStyle name="Ввод  2 2 3 2" xfId="914"/>
    <cellStyle name="Ввод  2 2 3 2 10" xfId="11498"/>
    <cellStyle name="Ввод  2 2 3 2 11" xfId="27015"/>
    <cellStyle name="Ввод  2 2 3 2 2" xfId="1262"/>
    <cellStyle name="Ввод  2 2 3 2 2 2" xfId="2376"/>
    <cellStyle name="Ввод  2 2 3 2 2 2 2" xfId="7612"/>
    <cellStyle name="Ввод  2 2 3 2 2 2 2 2" xfId="18514"/>
    <cellStyle name="Ввод  2 2 3 2 2 2 2 3" xfId="33875"/>
    <cellStyle name="Ввод  2 2 3 2 2 2 3" xfId="23500"/>
    <cellStyle name="Ввод  2 2 3 2 2 2 3 2" xfId="38861"/>
    <cellStyle name="Ввод  2 2 3 2 2 2 4" xfId="12951"/>
    <cellStyle name="Ввод  2 2 3 2 2 2 5" xfId="28451"/>
    <cellStyle name="Ввод  2 2 3 2 2 3" xfId="5029"/>
    <cellStyle name="Ввод  2 2 3 2 2 3 2" xfId="10212"/>
    <cellStyle name="Ввод  2 2 3 2 2 3 2 2" xfId="21138"/>
    <cellStyle name="Ввод  2 2 3 2 2 3 2 3" xfId="36499"/>
    <cellStyle name="Ввод  2 2 3 2 2 3 3" xfId="26099"/>
    <cellStyle name="Ввод  2 2 3 2 2 3 3 2" xfId="41460"/>
    <cellStyle name="Ввод  2 2 3 2 2 3 4" xfId="15575"/>
    <cellStyle name="Ввод  2 2 3 2 2 3 5" xfId="31050"/>
    <cellStyle name="Ввод  2 2 3 2 2 4" xfId="6515"/>
    <cellStyle name="Ввод  2 2 3 2 2 4 2" xfId="16346"/>
    <cellStyle name="Ввод  2 2 3 2 2 4 3" xfId="31813"/>
    <cellStyle name="Ввод  2 2 3 2 2 5" xfId="22403"/>
    <cellStyle name="Ввод  2 2 3 2 2 5 2" xfId="37764"/>
    <cellStyle name="Ввод  2 2 3 2 2 6" xfId="11843"/>
    <cellStyle name="Ввод  2 2 3 2 2 7" xfId="27354"/>
    <cellStyle name="Ввод  2 2 3 2 3" xfId="2320"/>
    <cellStyle name="Ввод  2 2 3 2 3 2" xfId="7556"/>
    <cellStyle name="Ввод  2 2 3 2 3 2 2" xfId="18458"/>
    <cellStyle name="Ввод  2 2 3 2 3 2 3" xfId="33819"/>
    <cellStyle name="Ввод  2 2 3 2 3 3" xfId="23444"/>
    <cellStyle name="Ввод  2 2 3 2 3 3 2" xfId="38805"/>
    <cellStyle name="Ввод  2 2 3 2 3 4" xfId="12895"/>
    <cellStyle name="Ввод  2 2 3 2 3 5" xfId="28395"/>
    <cellStyle name="Ввод  2 2 3 2 4" xfId="3463"/>
    <cellStyle name="Ввод  2 2 3 2 4 2" xfId="8650"/>
    <cellStyle name="Ввод  2 2 3 2 4 2 2" xfId="19577"/>
    <cellStyle name="Ввод  2 2 3 2 4 2 3" xfId="34938"/>
    <cellStyle name="Ввод  2 2 3 2 4 3" xfId="24538"/>
    <cellStyle name="Ввод  2 2 3 2 4 3 2" xfId="39899"/>
    <cellStyle name="Ввод  2 2 3 2 4 4" xfId="14014"/>
    <cellStyle name="Ввод  2 2 3 2 4 5" xfId="29489"/>
    <cellStyle name="Ввод  2 2 3 2 5" xfId="3743"/>
    <cellStyle name="Ввод  2 2 3 2 5 2" xfId="8930"/>
    <cellStyle name="Ввод  2 2 3 2 5 2 2" xfId="19857"/>
    <cellStyle name="Ввод  2 2 3 2 5 2 3" xfId="35218"/>
    <cellStyle name="Ввод  2 2 3 2 5 3" xfId="24818"/>
    <cellStyle name="Ввод  2 2 3 2 5 3 2" xfId="40179"/>
    <cellStyle name="Ввод  2 2 3 2 5 4" xfId="14294"/>
    <cellStyle name="Ввод  2 2 3 2 5 5" xfId="29769"/>
    <cellStyle name="Ввод  2 2 3 2 5 6" xfId="46186"/>
    <cellStyle name="Ввод  2 2 3 2 6" xfId="4368"/>
    <cellStyle name="Ввод  2 2 3 2 6 2" xfId="9555"/>
    <cellStyle name="Ввод  2 2 3 2 6 2 2" xfId="20482"/>
    <cellStyle name="Ввод  2 2 3 2 6 2 3" xfId="35843"/>
    <cellStyle name="Ввод  2 2 3 2 6 3" xfId="25443"/>
    <cellStyle name="Ввод  2 2 3 2 6 3 2" xfId="40804"/>
    <cellStyle name="Ввод  2 2 3 2 6 4" xfId="14919"/>
    <cellStyle name="Ввод  2 2 3 2 6 5" xfId="30394"/>
    <cellStyle name="Ввод  2 2 3 2 7" xfId="4467"/>
    <cellStyle name="Ввод  2 2 3 2 7 2" xfId="9654"/>
    <cellStyle name="Ввод  2 2 3 2 7 2 2" xfId="20581"/>
    <cellStyle name="Ввод  2 2 3 2 7 2 3" xfId="35942"/>
    <cellStyle name="Ввод  2 2 3 2 7 3" xfId="25542"/>
    <cellStyle name="Ввод  2 2 3 2 7 3 2" xfId="40903"/>
    <cellStyle name="Ввод  2 2 3 2 7 4" xfId="15018"/>
    <cellStyle name="Ввод  2 2 3 2 7 5" xfId="30493"/>
    <cellStyle name="Ввод  2 2 3 2 8" xfId="6176"/>
    <cellStyle name="Ввод  2 2 3 2 8 2" xfId="16691"/>
    <cellStyle name="Ввод  2 2 3 2 8 3" xfId="32158"/>
    <cellStyle name="Ввод  2 2 3 2 9" xfId="22064"/>
    <cellStyle name="Ввод  2 2 3 2 9 2" xfId="37425"/>
    <cellStyle name="Ввод  2 2 3 3" xfId="1231"/>
    <cellStyle name="Ввод  2 2 3 3 2" xfId="1299"/>
    <cellStyle name="Ввод  2 2 3 3 2 2" xfId="6552"/>
    <cellStyle name="Ввод  2 2 3 3 2 2 2" xfId="16309"/>
    <cellStyle name="Ввод  2 2 3 3 2 2 3" xfId="31776"/>
    <cellStyle name="Ввод  2 2 3 3 2 3" xfId="22440"/>
    <cellStyle name="Ввод  2 2 3 3 2 3 2" xfId="37801"/>
    <cellStyle name="Ввод  2 2 3 3 2 4" xfId="11880"/>
    <cellStyle name="Ввод  2 2 3 3 2 5" xfId="27391"/>
    <cellStyle name="Ввод  2 2 3 3 3" xfId="5030"/>
    <cellStyle name="Ввод  2 2 3 3 3 2" xfId="10213"/>
    <cellStyle name="Ввод  2 2 3 3 3 2 2" xfId="21139"/>
    <cellStyle name="Ввод  2 2 3 3 3 2 3" xfId="36500"/>
    <cellStyle name="Ввод  2 2 3 3 3 3" xfId="26100"/>
    <cellStyle name="Ввод  2 2 3 3 3 3 2" xfId="41461"/>
    <cellStyle name="Ввод  2 2 3 3 3 4" xfId="15576"/>
    <cellStyle name="Ввод  2 2 3 3 3 5" xfId="31051"/>
    <cellStyle name="Ввод  2 2 3 3 4" xfId="6484"/>
    <cellStyle name="Ввод  2 2 3 3 4 2" xfId="16377"/>
    <cellStyle name="Ввод  2 2 3 3 4 3" xfId="31844"/>
    <cellStyle name="Ввод  2 2 3 3 5" xfId="22372"/>
    <cellStyle name="Ввод  2 2 3 3 5 2" xfId="37733"/>
    <cellStyle name="Ввод  2 2 3 3 6" xfId="11812"/>
    <cellStyle name="Ввод  2 2 3 3 7" xfId="27323"/>
    <cellStyle name="Ввод  2 2 3 4" xfId="1279"/>
    <cellStyle name="Ввод  2 2 3 4 2" xfId="6532"/>
    <cellStyle name="Ввод  2 2 3 4 2 2" xfId="16329"/>
    <cellStyle name="Ввод  2 2 3 4 2 3" xfId="31796"/>
    <cellStyle name="Ввод  2 2 3 4 3" xfId="22420"/>
    <cellStyle name="Ввод  2 2 3 4 3 2" xfId="37781"/>
    <cellStyle name="Ввод  2 2 3 4 4" xfId="11860"/>
    <cellStyle name="Ввод  2 2 3 4 5" xfId="27371"/>
    <cellStyle name="Ввод  2 2 3 5" xfId="3103"/>
    <cellStyle name="Ввод  2 2 3 5 2" xfId="8298"/>
    <cellStyle name="Ввод  2 2 3 5 2 2" xfId="19224"/>
    <cellStyle name="Ввод  2 2 3 5 2 3" xfId="34585"/>
    <cellStyle name="Ввод  2 2 3 5 3" xfId="24186"/>
    <cellStyle name="Ввод  2 2 3 5 3 2" xfId="39547"/>
    <cellStyle name="Ввод  2 2 3 5 4" xfId="13661"/>
    <cellStyle name="Ввод  2 2 3 5 5" xfId="29137"/>
    <cellStyle name="Ввод  2 2 3 6" xfId="3937"/>
    <cellStyle name="Ввод  2 2 3 6 2" xfId="9124"/>
    <cellStyle name="Ввод  2 2 3 6 2 2" xfId="20051"/>
    <cellStyle name="Ввод  2 2 3 6 2 3" xfId="35412"/>
    <cellStyle name="Ввод  2 2 3 6 3" xfId="25012"/>
    <cellStyle name="Ввод  2 2 3 6 3 2" xfId="40373"/>
    <cellStyle name="Ввод  2 2 3 6 4" xfId="14488"/>
    <cellStyle name="Ввод  2 2 3 6 5" xfId="29963"/>
    <cellStyle name="Ввод  2 2 3 6 6" xfId="46185"/>
    <cellStyle name="Ввод  2 2 3 7" xfId="3362"/>
    <cellStyle name="Ввод  2 2 3 7 2" xfId="8556"/>
    <cellStyle name="Ввод  2 2 3 7 2 2" xfId="19483"/>
    <cellStyle name="Ввод  2 2 3 7 2 3" xfId="34844"/>
    <cellStyle name="Ввод  2 2 3 7 3" xfId="24444"/>
    <cellStyle name="Ввод  2 2 3 7 3 2" xfId="39805"/>
    <cellStyle name="Ввод  2 2 3 7 4" xfId="13920"/>
    <cellStyle name="Ввод  2 2 3 7 5" xfId="29395"/>
    <cellStyle name="Ввод  2 2 3 8" xfId="4825"/>
    <cellStyle name="Ввод  2 2 3 8 2" xfId="10012"/>
    <cellStyle name="Ввод  2 2 3 8 2 2" xfId="20939"/>
    <cellStyle name="Ввод  2 2 3 8 2 3" xfId="36300"/>
    <cellStyle name="Ввод  2 2 3 8 3" xfId="25900"/>
    <cellStyle name="Ввод  2 2 3 8 3 2" xfId="41261"/>
    <cellStyle name="Ввод  2 2 3 8 4" xfId="15376"/>
    <cellStyle name="Ввод  2 2 3 8 5" xfId="30851"/>
    <cellStyle name="Ввод  2 2 3 9" xfId="5663"/>
    <cellStyle name="Ввод  2 2 3 9 2" xfId="17228"/>
    <cellStyle name="Ввод  2 2 3 9 3" xfId="32695"/>
    <cellStyle name="Ввод  2 2 30" xfId="5648"/>
    <cellStyle name="Ввод  2 2 30 2" xfId="17243"/>
    <cellStyle name="Ввод  2 2 30 3" xfId="32710"/>
    <cellStyle name="Ввод  2 2 31" xfId="17262"/>
    <cellStyle name="Ввод  2 2 31 2" xfId="32729"/>
    <cellStyle name="Ввод  2 2 32" xfId="10943"/>
    <cellStyle name="Ввод  2 2 33" xfId="10925"/>
    <cellStyle name="Ввод  2 2 4" xfId="273"/>
    <cellStyle name="Ввод  2 2 4 10" xfId="17402"/>
    <cellStyle name="Ввод  2 2 4 10 2" xfId="32869"/>
    <cellStyle name="Ввод  2 2 4 11" xfId="10959"/>
    <cellStyle name="Ввод  2 2 4 12" xfId="10913"/>
    <cellStyle name="Ввод  2 2 4 2" xfId="913"/>
    <cellStyle name="Ввод  2 2 4 2 10" xfId="11497"/>
    <cellStyle name="Ввод  2 2 4 2 11" xfId="27014"/>
    <cellStyle name="Ввод  2 2 4 2 2" xfId="1267"/>
    <cellStyle name="Ввод  2 2 4 2 2 2" xfId="2771"/>
    <cellStyle name="Ввод  2 2 4 2 2 2 2" xfId="8000"/>
    <cellStyle name="Ввод  2 2 4 2 2 2 2 2" xfId="18904"/>
    <cellStyle name="Ввод  2 2 4 2 2 2 2 3" xfId="34265"/>
    <cellStyle name="Ввод  2 2 4 2 2 2 3" xfId="23888"/>
    <cellStyle name="Ввод  2 2 4 2 2 2 3 2" xfId="39249"/>
    <cellStyle name="Ввод  2 2 4 2 2 2 4" xfId="13341"/>
    <cellStyle name="Ввод  2 2 4 2 2 2 5" xfId="28839"/>
    <cellStyle name="Ввод  2 2 4 2 2 3" xfId="5031"/>
    <cellStyle name="Ввод  2 2 4 2 2 3 2" xfId="10214"/>
    <cellStyle name="Ввод  2 2 4 2 2 3 2 2" xfId="21140"/>
    <cellStyle name="Ввод  2 2 4 2 2 3 2 3" xfId="36501"/>
    <cellStyle name="Ввод  2 2 4 2 2 3 3" xfId="26101"/>
    <cellStyle name="Ввод  2 2 4 2 2 3 3 2" xfId="41462"/>
    <cellStyle name="Ввод  2 2 4 2 2 3 4" xfId="15577"/>
    <cellStyle name="Ввод  2 2 4 2 2 3 5" xfId="31052"/>
    <cellStyle name="Ввод  2 2 4 2 2 4" xfId="6520"/>
    <cellStyle name="Ввод  2 2 4 2 2 4 2" xfId="16341"/>
    <cellStyle name="Ввод  2 2 4 2 2 4 3" xfId="31808"/>
    <cellStyle name="Ввод  2 2 4 2 2 5" xfId="22408"/>
    <cellStyle name="Ввод  2 2 4 2 2 5 2" xfId="37769"/>
    <cellStyle name="Ввод  2 2 4 2 2 6" xfId="11848"/>
    <cellStyle name="Ввод  2 2 4 2 2 7" xfId="27359"/>
    <cellStyle name="Ввод  2 2 4 2 3" xfId="2319"/>
    <cellStyle name="Ввод  2 2 4 2 3 2" xfId="7555"/>
    <cellStyle name="Ввод  2 2 4 2 3 2 2" xfId="18457"/>
    <cellStyle name="Ввод  2 2 4 2 3 2 3" xfId="33818"/>
    <cellStyle name="Ввод  2 2 4 2 3 3" xfId="23443"/>
    <cellStyle name="Ввод  2 2 4 2 3 3 2" xfId="38804"/>
    <cellStyle name="Ввод  2 2 4 2 3 4" xfId="12894"/>
    <cellStyle name="Ввод  2 2 4 2 3 5" xfId="28394"/>
    <cellStyle name="Ввод  2 2 4 2 4" xfId="3462"/>
    <cellStyle name="Ввод  2 2 4 2 4 2" xfId="8649"/>
    <cellStyle name="Ввод  2 2 4 2 4 2 2" xfId="19576"/>
    <cellStyle name="Ввод  2 2 4 2 4 2 3" xfId="34937"/>
    <cellStyle name="Ввод  2 2 4 2 4 3" xfId="24537"/>
    <cellStyle name="Ввод  2 2 4 2 4 3 2" xfId="39898"/>
    <cellStyle name="Ввод  2 2 4 2 4 4" xfId="14013"/>
    <cellStyle name="Ввод  2 2 4 2 4 5" xfId="29488"/>
    <cellStyle name="Ввод  2 2 4 2 5" xfId="3680"/>
    <cellStyle name="Ввод  2 2 4 2 5 2" xfId="8867"/>
    <cellStyle name="Ввод  2 2 4 2 5 2 2" xfId="19794"/>
    <cellStyle name="Ввод  2 2 4 2 5 2 3" xfId="35155"/>
    <cellStyle name="Ввод  2 2 4 2 5 3" xfId="24755"/>
    <cellStyle name="Ввод  2 2 4 2 5 3 2" xfId="40116"/>
    <cellStyle name="Ввод  2 2 4 2 5 4" xfId="14231"/>
    <cellStyle name="Ввод  2 2 4 2 5 5" xfId="29706"/>
    <cellStyle name="Ввод  2 2 4 2 6" xfId="4367"/>
    <cellStyle name="Ввод  2 2 4 2 6 2" xfId="9554"/>
    <cellStyle name="Ввод  2 2 4 2 6 2 2" xfId="20481"/>
    <cellStyle name="Ввод  2 2 4 2 6 2 3" xfId="35842"/>
    <cellStyle name="Ввод  2 2 4 2 6 3" xfId="25442"/>
    <cellStyle name="Ввод  2 2 4 2 6 3 2" xfId="40803"/>
    <cellStyle name="Ввод  2 2 4 2 6 4" xfId="14918"/>
    <cellStyle name="Ввод  2 2 4 2 6 5" xfId="30393"/>
    <cellStyle name="Ввод  2 2 4 2 7" xfId="4468"/>
    <cellStyle name="Ввод  2 2 4 2 7 2" xfId="9655"/>
    <cellStyle name="Ввод  2 2 4 2 7 2 2" xfId="20582"/>
    <cellStyle name="Ввод  2 2 4 2 7 2 3" xfId="35943"/>
    <cellStyle name="Ввод  2 2 4 2 7 3" xfId="25543"/>
    <cellStyle name="Ввод  2 2 4 2 7 3 2" xfId="40904"/>
    <cellStyle name="Ввод  2 2 4 2 7 4" xfId="15019"/>
    <cellStyle name="Ввод  2 2 4 2 7 5" xfId="30494"/>
    <cellStyle name="Ввод  2 2 4 2 8" xfId="6175"/>
    <cellStyle name="Ввод  2 2 4 2 8 2" xfId="16692"/>
    <cellStyle name="Ввод  2 2 4 2 8 3" xfId="32159"/>
    <cellStyle name="Ввод  2 2 4 2 9" xfId="22063"/>
    <cellStyle name="Ввод  2 2 4 2 9 2" xfId="37424"/>
    <cellStyle name="Ввод  2 2 4 3" xfId="1177"/>
    <cellStyle name="Ввод  2 2 4 3 2" xfId="2597"/>
    <cellStyle name="Ввод  2 2 4 3 2 2" xfId="7830"/>
    <cellStyle name="Ввод  2 2 4 3 2 2 2" xfId="18732"/>
    <cellStyle name="Ввод  2 2 4 3 2 2 3" xfId="34093"/>
    <cellStyle name="Ввод  2 2 4 3 2 3" xfId="23718"/>
    <cellStyle name="Ввод  2 2 4 3 2 3 2" xfId="39079"/>
    <cellStyle name="Ввод  2 2 4 3 2 4" xfId="13169"/>
    <cellStyle name="Ввод  2 2 4 3 2 5" xfId="28669"/>
    <cellStyle name="Ввод  2 2 4 3 3" xfId="5032"/>
    <cellStyle name="Ввод  2 2 4 3 3 2" xfId="10215"/>
    <cellStyle name="Ввод  2 2 4 3 3 2 2" xfId="21141"/>
    <cellStyle name="Ввод  2 2 4 3 3 2 3" xfId="36502"/>
    <cellStyle name="Ввод  2 2 4 3 3 3" xfId="26102"/>
    <cellStyle name="Ввод  2 2 4 3 3 3 2" xfId="41463"/>
    <cellStyle name="Ввод  2 2 4 3 3 4" xfId="15578"/>
    <cellStyle name="Ввод  2 2 4 3 3 5" xfId="31053"/>
    <cellStyle name="Ввод  2 2 4 3 4" xfId="6431"/>
    <cellStyle name="Ввод  2 2 4 3 4 2" xfId="16431"/>
    <cellStyle name="Ввод  2 2 4 3 4 3" xfId="31898"/>
    <cellStyle name="Ввод  2 2 4 3 5" xfId="22319"/>
    <cellStyle name="Ввод  2 2 4 3 5 2" xfId="37680"/>
    <cellStyle name="Ввод  2 2 4 3 6" xfId="11758"/>
    <cellStyle name="Ввод  2 2 4 3 7" xfId="27270"/>
    <cellStyle name="Ввод  2 2 4 4" xfId="1249"/>
    <cellStyle name="Ввод  2 2 4 4 2" xfId="6502"/>
    <cellStyle name="Ввод  2 2 4 4 2 2" xfId="16359"/>
    <cellStyle name="Ввод  2 2 4 4 2 3" xfId="31826"/>
    <cellStyle name="Ввод  2 2 4 4 3" xfId="22390"/>
    <cellStyle name="Ввод  2 2 4 4 3 2" xfId="37751"/>
    <cellStyle name="Ввод  2 2 4 4 4" xfId="11830"/>
    <cellStyle name="Ввод  2 2 4 4 5" xfId="27341"/>
    <cellStyle name="Ввод  2 2 4 5" xfId="3102"/>
    <cellStyle name="Ввод  2 2 4 5 2" xfId="8297"/>
    <cellStyle name="Ввод  2 2 4 5 2 2" xfId="19223"/>
    <cellStyle name="Ввод  2 2 4 5 2 3" xfId="34584"/>
    <cellStyle name="Ввод  2 2 4 5 3" xfId="24185"/>
    <cellStyle name="Ввод  2 2 4 5 3 2" xfId="39546"/>
    <cellStyle name="Ввод  2 2 4 5 4" xfId="13660"/>
    <cellStyle name="Ввод  2 2 4 5 5" xfId="29136"/>
    <cellStyle name="Ввод  2 2 4 6" xfId="1619"/>
    <cellStyle name="Ввод  2 2 4 6 2" xfId="6865"/>
    <cellStyle name="Ввод  2 2 4 6 2 2" xfId="17761"/>
    <cellStyle name="Ввод  2 2 4 6 2 3" xfId="33122"/>
    <cellStyle name="Ввод  2 2 4 6 3" xfId="22753"/>
    <cellStyle name="Ввод  2 2 4 6 3 2" xfId="38114"/>
    <cellStyle name="Ввод  2 2 4 6 4" xfId="12197"/>
    <cellStyle name="Ввод  2 2 4 6 5" xfId="27704"/>
    <cellStyle name="Ввод  2 2 4 7" xfId="3924"/>
    <cellStyle name="Ввод  2 2 4 7 2" xfId="9111"/>
    <cellStyle name="Ввод  2 2 4 7 2 2" xfId="20038"/>
    <cellStyle name="Ввод  2 2 4 7 2 3" xfId="35399"/>
    <cellStyle name="Ввод  2 2 4 7 3" xfId="24999"/>
    <cellStyle name="Ввод  2 2 4 7 3 2" xfId="40360"/>
    <cellStyle name="Ввод  2 2 4 7 4" xfId="14475"/>
    <cellStyle name="Ввод  2 2 4 7 5" xfId="29950"/>
    <cellStyle name="Ввод  2 2 4 8" xfId="4796"/>
    <cellStyle name="Ввод  2 2 4 8 2" xfId="9983"/>
    <cellStyle name="Ввод  2 2 4 8 2 2" xfId="20910"/>
    <cellStyle name="Ввод  2 2 4 8 2 3" xfId="36271"/>
    <cellStyle name="Ввод  2 2 4 8 3" xfId="25871"/>
    <cellStyle name="Ввод  2 2 4 8 3 2" xfId="41232"/>
    <cellStyle name="Ввод  2 2 4 8 4" xfId="15347"/>
    <cellStyle name="Ввод  2 2 4 8 5" xfId="30822"/>
    <cellStyle name="Ввод  2 2 4 9" xfId="5664"/>
    <cellStyle name="Ввод  2 2 4 9 2" xfId="17227"/>
    <cellStyle name="Ввод  2 2 4 9 3" xfId="32694"/>
    <cellStyle name="Ввод  2 2 5" xfId="274"/>
    <cellStyle name="Ввод  2 2 5 10" xfId="18976"/>
    <cellStyle name="Ввод  2 2 5 10 2" xfId="34337"/>
    <cellStyle name="Ввод  2 2 5 11" xfId="10960"/>
    <cellStyle name="Ввод  2 2 5 12" xfId="10912"/>
    <cellStyle name="Ввод  2 2 5 2" xfId="912"/>
    <cellStyle name="Ввод  2 2 5 2 10" xfId="11496"/>
    <cellStyle name="Ввод  2 2 5 2 11" xfId="27013"/>
    <cellStyle name="Ввод  2 2 5 2 2" xfId="1002"/>
    <cellStyle name="Ввод  2 2 5 2 2 2" xfId="2379"/>
    <cellStyle name="Ввод  2 2 5 2 2 2 2" xfId="7615"/>
    <cellStyle name="Ввод  2 2 5 2 2 2 2 2" xfId="18517"/>
    <cellStyle name="Ввод  2 2 5 2 2 2 2 3" xfId="33878"/>
    <cellStyle name="Ввод  2 2 5 2 2 2 3" xfId="23503"/>
    <cellStyle name="Ввод  2 2 5 2 2 2 3 2" xfId="38864"/>
    <cellStyle name="Ввод  2 2 5 2 2 2 4" xfId="12954"/>
    <cellStyle name="Ввод  2 2 5 2 2 2 5" xfId="28454"/>
    <cellStyle name="Ввод  2 2 5 2 2 3" xfId="5033"/>
    <cellStyle name="Ввод  2 2 5 2 2 3 2" xfId="10216"/>
    <cellStyle name="Ввод  2 2 5 2 2 3 2 2" xfId="21142"/>
    <cellStyle name="Ввод  2 2 5 2 2 3 2 3" xfId="36503"/>
    <cellStyle name="Ввод  2 2 5 2 2 3 3" xfId="26103"/>
    <cellStyle name="Ввод  2 2 5 2 2 3 3 2" xfId="41464"/>
    <cellStyle name="Ввод  2 2 5 2 2 3 4" xfId="15579"/>
    <cellStyle name="Ввод  2 2 5 2 2 3 5" xfId="31054"/>
    <cellStyle name="Ввод  2 2 5 2 2 4" xfId="6261"/>
    <cellStyle name="Ввод  2 2 5 2 2 4 2" xfId="16604"/>
    <cellStyle name="Ввод  2 2 5 2 2 4 3" xfId="32071"/>
    <cellStyle name="Ввод  2 2 5 2 2 5" xfId="22149"/>
    <cellStyle name="Ввод  2 2 5 2 2 5 2" xfId="37510"/>
    <cellStyle name="Ввод  2 2 5 2 2 6" xfId="11585"/>
    <cellStyle name="Ввод  2 2 5 2 2 7" xfId="27100"/>
    <cellStyle name="Ввод  2 2 5 2 3" xfId="2318"/>
    <cellStyle name="Ввод  2 2 5 2 3 2" xfId="7554"/>
    <cellStyle name="Ввод  2 2 5 2 3 2 2" xfId="18456"/>
    <cellStyle name="Ввод  2 2 5 2 3 2 3" xfId="33817"/>
    <cellStyle name="Ввод  2 2 5 2 3 3" xfId="23442"/>
    <cellStyle name="Ввод  2 2 5 2 3 3 2" xfId="38803"/>
    <cellStyle name="Ввод  2 2 5 2 3 4" xfId="12893"/>
    <cellStyle name="Ввод  2 2 5 2 3 5" xfId="28393"/>
    <cellStyle name="Ввод  2 2 5 2 4" xfId="3461"/>
    <cellStyle name="Ввод  2 2 5 2 4 2" xfId="8648"/>
    <cellStyle name="Ввод  2 2 5 2 4 2 2" xfId="19575"/>
    <cellStyle name="Ввод  2 2 5 2 4 2 3" xfId="34936"/>
    <cellStyle name="Ввод  2 2 5 2 4 3" xfId="24536"/>
    <cellStyle name="Ввод  2 2 5 2 4 3 2" xfId="39897"/>
    <cellStyle name="Ввод  2 2 5 2 4 4" xfId="14012"/>
    <cellStyle name="Ввод  2 2 5 2 4 5" xfId="29487"/>
    <cellStyle name="Ввод  2 2 5 2 5" xfId="3744"/>
    <cellStyle name="Ввод  2 2 5 2 5 2" xfId="8931"/>
    <cellStyle name="Ввод  2 2 5 2 5 2 2" xfId="19858"/>
    <cellStyle name="Ввод  2 2 5 2 5 2 3" xfId="35219"/>
    <cellStyle name="Ввод  2 2 5 2 5 3" xfId="24819"/>
    <cellStyle name="Ввод  2 2 5 2 5 3 2" xfId="40180"/>
    <cellStyle name="Ввод  2 2 5 2 5 4" xfId="14295"/>
    <cellStyle name="Ввод  2 2 5 2 5 5" xfId="29770"/>
    <cellStyle name="Ввод  2 2 5 2 6" xfId="4366"/>
    <cellStyle name="Ввод  2 2 5 2 6 2" xfId="9553"/>
    <cellStyle name="Ввод  2 2 5 2 6 2 2" xfId="20480"/>
    <cellStyle name="Ввод  2 2 5 2 6 2 3" xfId="35841"/>
    <cellStyle name="Ввод  2 2 5 2 6 3" xfId="25441"/>
    <cellStyle name="Ввод  2 2 5 2 6 3 2" xfId="40802"/>
    <cellStyle name="Ввод  2 2 5 2 6 4" xfId="14917"/>
    <cellStyle name="Ввод  2 2 5 2 6 5" xfId="30392"/>
    <cellStyle name="Ввод  2 2 5 2 7" xfId="4469"/>
    <cellStyle name="Ввод  2 2 5 2 7 2" xfId="9656"/>
    <cellStyle name="Ввод  2 2 5 2 7 2 2" xfId="20583"/>
    <cellStyle name="Ввод  2 2 5 2 7 2 3" xfId="35944"/>
    <cellStyle name="Ввод  2 2 5 2 7 3" xfId="25544"/>
    <cellStyle name="Ввод  2 2 5 2 7 3 2" xfId="40905"/>
    <cellStyle name="Ввод  2 2 5 2 7 4" xfId="15020"/>
    <cellStyle name="Ввод  2 2 5 2 7 5" xfId="30495"/>
    <cellStyle name="Ввод  2 2 5 2 8" xfId="6174"/>
    <cellStyle name="Ввод  2 2 5 2 8 2" xfId="16693"/>
    <cellStyle name="Ввод  2 2 5 2 8 3" xfId="32160"/>
    <cellStyle name="Ввод  2 2 5 2 9" xfId="22062"/>
    <cellStyle name="Ввод  2 2 5 2 9 2" xfId="37423"/>
    <cellStyle name="Ввод  2 2 5 3" xfId="1145"/>
    <cellStyle name="Ввод  2 2 5 3 2" xfId="2769"/>
    <cellStyle name="Ввод  2 2 5 3 2 2" xfId="7998"/>
    <cellStyle name="Ввод  2 2 5 3 2 2 2" xfId="18902"/>
    <cellStyle name="Ввод  2 2 5 3 2 2 3" xfId="34263"/>
    <cellStyle name="Ввод  2 2 5 3 2 3" xfId="23886"/>
    <cellStyle name="Ввод  2 2 5 3 2 3 2" xfId="39247"/>
    <cellStyle name="Ввод  2 2 5 3 2 4" xfId="13339"/>
    <cellStyle name="Ввод  2 2 5 3 2 5" xfId="28837"/>
    <cellStyle name="Ввод  2 2 5 3 3" xfId="5034"/>
    <cellStyle name="Ввод  2 2 5 3 3 2" xfId="10217"/>
    <cellStyle name="Ввод  2 2 5 3 3 2 2" xfId="21143"/>
    <cellStyle name="Ввод  2 2 5 3 3 2 3" xfId="36504"/>
    <cellStyle name="Ввод  2 2 5 3 3 3" xfId="26104"/>
    <cellStyle name="Ввод  2 2 5 3 3 3 2" xfId="41465"/>
    <cellStyle name="Ввод  2 2 5 3 3 4" xfId="15580"/>
    <cellStyle name="Ввод  2 2 5 3 3 5" xfId="31055"/>
    <cellStyle name="Ввод  2 2 5 3 4" xfId="6399"/>
    <cellStyle name="Ввод  2 2 5 3 4 2" xfId="16463"/>
    <cellStyle name="Ввод  2 2 5 3 4 3" xfId="31930"/>
    <cellStyle name="Ввод  2 2 5 3 5" xfId="22287"/>
    <cellStyle name="Ввод  2 2 5 3 5 2" xfId="37648"/>
    <cellStyle name="Ввод  2 2 5 3 6" xfId="11726"/>
    <cellStyle name="Ввод  2 2 5 3 7" xfId="27238"/>
    <cellStyle name="Ввод  2 2 5 4" xfId="1403"/>
    <cellStyle name="Ввод  2 2 5 4 2" xfId="6652"/>
    <cellStyle name="Ввод  2 2 5 4 2 2" xfId="16207"/>
    <cellStyle name="Ввод  2 2 5 4 2 3" xfId="31674"/>
    <cellStyle name="Ввод  2 2 5 4 3" xfId="22540"/>
    <cellStyle name="Ввод  2 2 5 4 3 2" xfId="37901"/>
    <cellStyle name="Ввод  2 2 5 4 4" xfId="11982"/>
    <cellStyle name="Ввод  2 2 5 4 5" xfId="27491"/>
    <cellStyle name="Ввод  2 2 5 5" xfId="3099"/>
    <cellStyle name="Ввод  2 2 5 5 2" xfId="8294"/>
    <cellStyle name="Ввод  2 2 5 5 2 2" xfId="19220"/>
    <cellStyle name="Ввод  2 2 5 5 2 3" xfId="34581"/>
    <cellStyle name="Ввод  2 2 5 5 3" xfId="24182"/>
    <cellStyle name="Ввод  2 2 5 5 3 2" xfId="39543"/>
    <cellStyle name="Ввод  2 2 5 5 4" xfId="13657"/>
    <cellStyle name="Ввод  2 2 5 5 5" xfId="29133"/>
    <cellStyle name="Ввод  2 2 5 6" xfId="3215"/>
    <cellStyle name="Ввод  2 2 5 6 2" xfId="8410"/>
    <cellStyle name="Ввод  2 2 5 6 2 2" xfId="19336"/>
    <cellStyle name="Ввод  2 2 5 6 2 3" xfId="34697"/>
    <cellStyle name="Ввод  2 2 5 6 3" xfId="24298"/>
    <cellStyle name="Ввод  2 2 5 6 3 2" xfId="39659"/>
    <cellStyle name="Ввод  2 2 5 6 4" xfId="13773"/>
    <cellStyle name="Ввод  2 2 5 6 5" xfId="29249"/>
    <cellStyle name="Ввод  2 2 5 7" xfId="3876"/>
    <cellStyle name="Ввод  2 2 5 7 2" xfId="9063"/>
    <cellStyle name="Ввод  2 2 5 7 2 2" xfId="19990"/>
    <cellStyle name="Ввод  2 2 5 7 2 3" xfId="35351"/>
    <cellStyle name="Ввод  2 2 5 7 3" xfId="24951"/>
    <cellStyle name="Ввод  2 2 5 7 3 2" xfId="40312"/>
    <cellStyle name="Ввод  2 2 5 7 4" xfId="14427"/>
    <cellStyle name="Ввод  2 2 5 7 5" xfId="29902"/>
    <cellStyle name="Ввод  2 2 5 8" xfId="4826"/>
    <cellStyle name="Ввод  2 2 5 8 2" xfId="10013"/>
    <cellStyle name="Ввод  2 2 5 8 2 2" xfId="20940"/>
    <cellStyle name="Ввод  2 2 5 8 2 3" xfId="36301"/>
    <cellStyle name="Ввод  2 2 5 8 3" xfId="25901"/>
    <cellStyle name="Ввод  2 2 5 8 3 2" xfId="41262"/>
    <cellStyle name="Ввод  2 2 5 8 4" xfId="15377"/>
    <cellStyle name="Ввод  2 2 5 8 5" xfId="30852"/>
    <cellStyle name="Ввод  2 2 5 9" xfId="5665"/>
    <cellStyle name="Ввод  2 2 5 9 2" xfId="17226"/>
    <cellStyle name="Ввод  2 2 5 9 3" xfId="32693"/>
    <cellStyle name="Ввод  2 2 6" xfId="275"/>
    <cellStyle name="Ввод  2 2 6 10" xfId="17274"/>
    <cellStyle name="Ввод  2 2 6 10 2" xfId="32741"/>
    <cellStyle name="Ввод  2 2 6 11" xfId="10961"/>
    <cellStyle name="Ввод  2 2 6 12" xfId="10783"/>
    <cellStyle name="Ввод  2 2 6 2" xfId="911"/>
    <cellStyle name="Ввод  2 2 6 2 10" xfId="11495"/>
    <cellStyle name="Ввод  2 2 6 2 11" xfId="27012"/>
    <cellStyle name="Ввод  2 2 6 2 2" xfId="1567"/>
    <cellStyle name="Ввод  2 2 6 2 2 2" xfId="2600"/>
    <cellStyle name="Ввод  2 2 6 2 2 2 2" xfId="7833"/>
    <cellStyle name="Ввод  2 2 6 2 2 2 2 2" xfId="18735"/>
    <cellStyle name="Ввод  2 2 6 2 2 2 2 3" xfId="34096"/>
    <cellStyle name="Ввод  2 2 6 2 2 2 3" xfId="23721"/>
    <cellStyle name="Ввод  2 2 6 2 2 2 3 2" xfId="39082"/>
    <cellStyle name="Ввод  2 2 6 2 2 2 4" xfId="13172"/>
    <cellStyle name="Ввод  2 2 6 2 2 2 5" xfId="28672"/>
    <cellStyle name="Ввод  2 2 6 2 2 3" xfId="5035"/>
    <cellStyle name="Ввод  2 2 6 2 2 3 2" xfId="10218"/>
    <cellStyle name="Ввод  2 2 6 2 2 3 2 2" xfId="21144"/>
    <cellStyle name="Ввод  2 2 6 2 2 3 2 3" xfId="36505"/>
    <cellStyle name="Ввод  2 2 6 2 2 3 3" xfId="26105"/>
    <cellStyle name="Ввод  2 2 6 2 2 3 3 2" xfId="41466"/>
    <cellStyle name="Ввод  2 2 6 2 2 3 4" xfId="15581"/>
    <cellStyle name="Ввод  2 2 6 2 2 3 5" xfId="31056"/>
    <cellStyle name="Ввод  2 2 6 2 2 4" xfId="6814"/>
    <cellStyle name="Ввод  2 2 6 2 2 4 2" xfId="17709"/>
    <cellStyle name="Ввод  2 2 6 2 2 4 3" xfId="33070"/>
    <cellStyle name="Ввод  2 2 6 2 2 5" xfId="22702"/>
    <cellStyle name="Ввод  2 2 6 2 2 5 2" xfId="38063"/>
    <cellStyle name="Ввод  2 2 6 2 2 6" xfId="12145"/>
    <cellStyle name="Ввод  2 2 6 2 2 7" xfId="27653"/>
    <cellStyle name="Ввод  2 2 6 2 3" xfId="2317"/>
    <cellStyle name="Ввод  2 2 6 2 3 2" xfId="7553"/>
    <cellStyle name="Ввод  2 2 6 2 3 2 2" xfId="18455"/>
    <cellStyle name="Ввод  2 2 6 2 3 2 3" xfId="33816"/>
    <cellStyle name="Ввод  2 2 6 2 3 3" xfId="23441"/>
    <cellStyle name="Ввод  2 2 6 2 3 3 2" xfId="38802"/>
    <cellStyle name="Ввод  2 2 6 2 3 4" xfId="12892"/>
    <cellStyle name="Ввод  2 2 6 2 3 5" xfId="28392"/>
    <cellStyle name="Ввод  2 2 6 2 4" xfId="3460"/>
    <cellStyle name="Ввод  2 2 6 2 4 2" xfId="8647"/>
    <cellStyle name="Ввод  2 2 6 2 4 2 2" xfId="19574"/>
    <cellStyle name="Ввод  2 2 6 2 4 2 3" xfId="34935"/>
    <cellStyle name="Ввод  2 2 6 2 4 3" xfId="24535"/>
    <cellStyle name="Ввод  2 2 6 2 4 3 2" xfId="39896"/>
    <cellStyle name="Ввод  2 2 6 2 4 4" xfId="14011"/>
    <cellStyle name="Ввод  2 2 6 2 4 5" xfId="29486"/>
    <cellStyle name="Ввод  2 2 6 2 5" xfId="3679"/>
    <cellStyle name="Ввод  2 2 6 2 5 2" xfId="8866"/>
    <cellStyle name="Ввод  2 2 6 2 5 2 2" xfId="19793"/>
    <cellStyle name="Ввод  2 2 6 2 5 2 3" xfId="35154"/>
    <cellStyle name="Ввод  2 2 6 2 5 3" xfId="24754"/>
    <cellStyle name="Ввод  2 2 6 2 5 3 2" xfId="40115"/>
    <cellStyle name="Ввод  2 2 6 2 5 4" xfId="14230"/>
    <cellStyle name="Ввод  2 2 6 2 5 5" xfId="29705"/>
    <cellStyle name="Ввод  2 2 6 2 6" xfId="4365"/>
    <cellStyle name="Ввод  2 2 6 2 6 2" xfId="9552"/>
    <cellStyle name="Ввод  2 2 6 2 6 2 2" xfId="20479"/>
    <cellStyle name="Ввод  2 2 6 2 6 2 3" xfId="35840"/>
    <cellStyle name="Ввод  2 2 6 2 6 3" xfId="25440"/>
    <cellStyle name="Ввод  2 2 6 2 6 3 2" xfId="40801"/>
    <cellStyle name="Ввод  2 2 6 2 6 4" xfId="14916"/>
    <cellStyle name="Ввод  2 2 6 2 6 5" xfId="30391"/>
    <cellStyle name="Ввод  2 2 6 2 7" xfId="4470"/>
    <cellStyle name="Ввод  2 2 6 2 7 2" xfId="9657"/>
    <cellStyle name="Ввод  2 2 6 2 7 2 2" xfId="20584"/>
    <cellStyle name="Ввод  2 2 6 2 7 2 3" xfId="35945"/>
    <cellStyle name="Ввод  2 2 6 2 7 3" xfId="25545"/>
    <cellStyle name="Ввод  2 2 6 2 7 3 2" xfId="40906"/>
    <cellStyle name="Ввод  2 2 6 2 7 4" xfId="15021"/>
    <cellStyle name="Ввод  2 2 6 2 7 5" xfId="30496"/>
    <cellStyle name="Ввод  2 2 6 2 8" xfId="6173"/>
    <cellStyle name="Ввод  2 2 6 2 8 2" xfId="16694"/>
    <cellStyle name="Ввод  2 2 6 2 8 3" xfId="32161"/>
    <cellStyle name="Ввод  2 2 6 2 9" xfId="22061"/>
    <cellStyle name="Ввод  2 2 6 2 9 2" xfId="37422"/>
    <cellStyle name="Ввод  2 2 6 3" xfId="1091"/>
    <cellStyle name="Ввод  2 2 6 3 2" xfId="2601"/>
    <cellStyle name="Ввод  2 2 6 3 2 2" xfId="7834"/>
    <cellStyle name="Ввод  2 2 6 3 2 2 2" xfId="18736"/>
    <cellStyle name="Ввод  2 2 6 3 2 2 3" xfId="34097"/>
    <cellStyle name="Ввод  2 2 6 3 2 3" xfId="23722"/>
    <cellStyle name="Ввод  2 2 6 3 2 3 2" xfId="39083"/>
    <cellStyle name="Ввод  2 2 6 3 2 4" xfId="13173"/>
    <cellStyle name="Ввод  2 2 6 3 2 5" xfId="28673"/>
    <cellStyle name="Ввод  2 2 6 3 3" xfId="5036"/>
    <cellStyle name="Ввод  2 2 6 3 3 2" xfId="10219"/>
    <cellStyle name="Ввод  2 2 6 3 3 2 2" xfId="21145"/>
    <cellStyle name="Ввод  2 2 6 3 3 2 3" xfId="36506"/>
    <cellStyle name="Ввод  2 2 6 3 3 3" xfId="26106"/>
    <cellStyle name="Ввод  2 2 6 3 3 3 2" xfId="41467"/>
    <cellStyle name="Ввод  2 2 6 3 3 4" xfId="15582"/>
    <cellStyle name="Ввод  2 2 6 3 3 5" xfId="31057"/>
    <cellStyle name="Ввод  2 2 6 3 4" xfId="6347"/>
    <cellStyle name="Ввод  2 2 6 3 4 2" xfId="16516"/>
    <cellStyle name="Ввод  2 2 6 3 4 3" xfId="31983"/>
    <cellStyle name="Ввод  2 2 6 3 5" xfId="22235"/>
    <cellStyle name="Ввод  2 2 6 3 5 2" xfId="37596"/>
    <cellStyle name="Ввод  2 2 6 3 6" xfId="11673"/>
    <cellStyle name="Ввод  2 2 6 3 7" xfId="27186"/>
    <cellStyle name="Ввод  2 2 6 4" xfId="1146"/>
    <cellStyle name="Ввод  2 2 6 4 2" xfId="6400"/>
    <cellStyle name="Ввод  2 2 6 4 2 2" xfId="16462"/>
    <cellStyle name="Ввод  2 2 6 4 2 3" xfId="31929"/>
    <cellStyle name="Ввод  2 2 6 4 3" xfId="22288"/>
    <cellStyle name="Ввод  2 2 6 4 3 2" xfId="37649"/>
    <cellStyle name="Ввод  2 2 6 4 4" xfId="11727"/>
    <cellStyle name="Ввод  2 2 6 4 5" xfId="27239"/>
    <cellStyle name="Ввод  2 2 6 5" xfId="3098"/>
    <cellStyle name="Ввод  2 2 6 5 2" xfId="8293"/>
    <cellStyle name="Ввод  2 2 6 5 2 2" xfId="19219"/>
    <cellStyle name="Ввод  2 2 6 5 2 3" xfId="34580"/>
    <cellStyle name="Ввод  2 2 6 5 3" xfId="24181"/>
    <cellStyle name="Ввод  2 2 6 5 3 2" xfId="39542"/>
    <cellStyle name="Ввод  2 2 6 5 4" xfId="13656"/>
    <cellStyle name="Ввод  2 2 6 5 5" xfId="29132"/>
    <cellStyle name="Ввод  2 2 6 6" xfId="3497"/>
    <cellStyle name="Ввод  2 2 6 6 2" xfId="8684"/>
    <cellStyle name="Ввод  2 2 6 6 2 2" xfId="19611"/>
    <cellStyle name="Ввод  2 2 6 6 2 3" xfId="34972"/>
    <cellStyle name="Ввод  2 2 6 6 3" xfId="24572"/>
    <cellStyle name="Ввод  2 2 6 6 3 2" xfId="39933"/>
    <cellStyle name="Ввод  2 2 6 6 4" xfId="14048"/>
    <cellStyle name="Ввод  2 2 6 6 5" xfId="29523"/>
    <cellStyle name="Ввод  2 2 6 7" xfId="3248"/>
    <cellStyle name="Ввод  2 2 6 7 2" xfId="8442"/>
    <cellStyle name="Ввод  2 2 6 7 2 2" xfId="19369"/>
    <cellStyle name="Ввод  2 2 6 7 2 3" xfId="34730"/>
    <cellStyle name="Ввод  2 2 6 7 3" xfId="24330"/>
    <cellStyle name="Ввод  2 2 6 7 3 2" xfId="39691"/>
    <cellStyle name="Ввод  2 2 6 7 4" xfId="13806"/>
    <cellStyle name="Ввод  2 2 6 7 5" xfId="29281"/>
    <cellStyle name="Ввод  2 2 6 8" xfId="4795"/>
    <cellStyle name="Ввод  2 2 6 8 2" xfId="9982"/>
    <cellStyle name="Ввод  2 2 6 8 2 2" xfId="20909"/>
    <cellStyle name="Ввод  2 2 6 8 2 3" xfId="36270"/>
    <cellStyle name="Ввод  2 2 6 8 3" xfId="25870"/>
    <cellStyle name="Ввод  2 2 6 8 3 2" xfId="41231"/>
    <cellStyle name="Ввод  2 2 6 8 4" xfId="15346"/>
    <cellStyle name="Ввод  2 2 6 8 5" xfId="30821"/>
    <cellStyle name="Ввод  2 2 6 9" xfId="5666"/>
    <cellStyle name="Ввод  2 2 6 9 2" xfId="17225"/>
    <cellStyle name="Ввод  2 2 6 9 3" xfId="32692"/>
    <cellStyle name="Ввод  2 2 7" xfId="276"/>
    <cellStyle name="Ввод  2 2 7 10" xfId="17275"/>
    <cellStyle name="Ввод  2 2 7 10 2" xfId="32742"/>
    <cellStyle name="Ввод  2 2 7 11" xfId="10962"/>
    <cellStyle name="Ввод  2 2 7 12" xfId="13413"/>
    <cellStyle name="Ввод  2 2 7 2" xfId="910"/>
    <cellStyle name="Ввод  2 2 7 2 10" xfId="11494"/>
    <cellStyle name="Ввод  2 2 7 2 11" xfId="27011"/>
    <cellStyle name="Ввод  2 2 7 2 2" xfId="1215"/>
    <cellStyle name="Ввод  2 2 7 2 2 2" xfId="2768"/>
    <cellStyle name="Ввод  2 2 7 2 2 2 2" xfId="7997"/>
    <cellStyle name="Ввод  2 2 7 2 2 2 2 2" xfId="18901"/>
    <cellStyle name="Ввод  2 2 7 2 2 2 2 3" xfId="34262"/>
    <cellStyle name="Ввод  2 2 7 2 2 2 3" xfId="23885"/>
    <cellStyle name="Ввод  2 2 7 2 2 2 3 2" xfId="39246"/>
    <cellStyle name="Ввод  2 2 7 2 2 2 4" xfId="13338"/>
    <cellStyle name="Ввод  2 2 7 2 2 2 5" xfId="28836"/>
    <cellStyle name="Ввод  2 2 7 2 2 3" xfId="5037"/>
    <cellStyle name="Ввод  2 2 7 2 2 3 2" xfId="10220"/>
    <cellStyle name="Ввод  2 2 7 2 2 3 2 2" xfId="21146"/>
    <cellStyle name="Ввод  2 2 7 2 2 3 2 3" xfId="36507"/>
    <cellStyle name="Ввод  2 2 7 2 2 3 3" xfId="26107"/>
    <cellStyle name="Ввод  2 2 7 2 2 3 3 2" xfId="41468"/>
    <cellStyle name="Ввод  2 2 7 2 2 3 4" xfId="15583"/>
    <cellStyle name="Ввод  2 2 7 2 2 3 5" xfId="31058"/>
    <cellStyle name="Ввод  2 2 7 2 2 4" xfId="6468"/>
    <cellStyle name="Ввод  2 2 7 2 2 4 2" xfId="16393"/>
    <cellStyle name="Ввод  2 2 7 2 2 4 3" xfId="31860"/>
    <cellStyle name="Ввод  2 2 7 2 2 5" xfId="22356"/>
    <cellStyle name="Ввод  2 2 7 2 2 5 2" xfId="37717"/>
    <cellStyle name="Ввод  2 2 7 2 2 6" xfId="11796"/>
    <cellStyle name="Ввод  2 2 7 2 2 7" xfId="27307"/>
    <cellStyle name="Ввод  2 2 7 2 3" xfId="2316"/>
    <cellStyle name="Ввод  2 2 7 2 3 2" xfId="7552"/>
    <cellStyle name="Ввод  2 2 7 2 3 2 2" xfId="18454"/>
    <cellStyle name="Ввод  2 2 7 2 3 2 3" xfId="33815"/>
    <cellStyle name="Ввод  2 2 7 2 3 3" xfId="23440"/>
    <cellStyle name="Ввод  2 2 7 2 3 3 2" xfId="38801"/>
    <cellStyle name="Ввод  2 2 7 2 3 4" xfId="12891"/>
    <cellStyle name="Ввод  2 2 7 2 3 5" xfId="28391"/>
    <cellStyle name="Ввод  2 2 7 2 4" xfId="3459"/>
    <cellStyle name="Ввод  2 2 7 2 4 2" xfId="8646"/>
    <cellStyle name="Ввод  2 2 7 2 4 2 2" xfId="19573"/>
    <cellStyle name="Ввод  2 2 7 2 4 2 3" xfId="34934"/>
    <cellStyle name="Ввод  2 2 7 2 4 3" xfId="24534"/>
    <cellStyle name="Ввод  2 2 7 2 4 3 2" xfId="39895"/>
    <cellStyle name="Ввод  2 2 7 2 4 4" xfId="14010"/>
    <cellStyle name="Ввод  2 2 7 2 4 5" xfId="29485"/>
    <cellStyle name="Ввод  2 2 7 2 5" xfId="3745"/>
    <cellStyle name="Ввод  2 2 7 2 5 2" xfId="8932"/>
    <cellStyle name="Ввод  2 2 7 2 5 2 2" xfId="19859"/>
    <cellStyle name="Ввод  2 2 7 2 5 2 3" xfId="35220"/>
    <cellStyle name="Ввод  2 2 7 2 5 3" xfId="24820"/>
    <cellStyle name="Ввод  2 2 7 2 5 3 2" xfId="40181"/>
    <cellStyle name="Ввод  2 2 7 2 5 4" xfId="14296"/>
    <cellStyle name="Ввод  2 2 7 2 5 5" xfId="29771"/>
    <cellStyle name="Ввод  2 2 7 2 6" xfId="4364"/>
    <cellStyle name="Ввод  2 2 7 2 6 2" xfId="9551"/>
    <cellStyle name="Ввод  2 2 7 2 6 2 2" xfId="20478"/>
    <cellStyle name="Ввод  2 2 7 2 6 2 3" xfId="35839"/>
    <cellStyle name="Ввод  2 2 7 2 6 3" xfId="25439"/>
    <cellStyle name="Ввод  2 2 7 2 6 3 2" xfId="40800"/>
    <cellStyle name="Ввод  2 2 7 2 6 4" xfId="14915"/>
    <cellStyle name="Ввод  2 2 7 2 6 5" xfId="30390"/>
    <cellStyle name="Ввод  2 2 7 2 7" xfId="4471"/>
    <cellStyle name="Ввод  2 2 7 2 7 2" xfId="9658"/>
    <cellStyle name="Ввод  2 2 7 2 7 2 2" xfId="20585"/>
    <cellStyle name="Ввод  2 2 7 2 7 2 3" xfId="35946"/>
    <cellStyle name="Ввод  2 2 7 2 7 3" xfId="25546"/>
    <cellStyle name="Ввод  2 2 7 2 7 3 2" xfId="40907"/>
    <cellStyle name="Ввод  2 2 7 2 7 4" xfId="15022"/>
    <cellStyle name="Ввод  2 2 7 2 7 5" xfId="30497"/>
    <cellStyle name="Ввод  2 2 7 2 8" xfId="6172"/>
    <cellStyle name="Ввод  2 2 7 2 8 2" xfId="16695"/>
    <cellStyle name="Ввод  2 2 7 2 8 3" xfId="32162"/>
    <cellStyle name="Ввод  2 2 7 2 9" xfId="22060"/>
    <cellStyle name="Ввод  2 2 7 2 9 2" xfId="37421"/>
    <cellStyle name="Ввод  2 2 7 3" xfId="1245"/>
    <cellStyle name="Ввод  2 2 7 3 2" xfId="2381"/>
    <cellStyle name="Ввод  2 2 7 3 2 2" xfId="7617"/>
    <cellStyle name="Ввод  2 2 7 3 2 2 2" xfId="18519"/>
    <cellStyle name="Ввод  2 2 7 3 2 2 3" xfId="33880"/>
    <cellStyle name="Ввод  2 2 7 3 2 3" xfId="23505"/>
    <cellStyle name="Ввод  2 2 7 3 2 3 2" xfId="38866"/>
    <cellStyle name="Ввод  2 2 7 3 2 4" xfId="12956"/>
    <cellStyle name="Ввод  2 2 7 3 2 5" xfId="28456"/>
    <cellStyle name="Ввод  2 2 7 3 3" xfId="5038"/>
    <cellStyle name="Ввод  2 2 7 3 3 2" xfId="10221"/>
    <cellStyle name="Ввод  2 2 7 3 3 2 2" xfId="21147"/>
    <cellStyle name="Ввод  2 2 7 3 3 2 3" xfId="36508"/>
    <cellStyle name="Ввод  2 2 7 3 3 3" xfId="26108"/>
    <cellStyle name="Ввод  2 2 7 3 3 3 2" xfId="41469"/>
    <cellStyle name="Ввод  2 2 7 3 3 4" xfId="15584"/>
    <cellStyle name="Ввод  2 2 7 3 3 5" xfId="31059"/>
    <cellStyle name="Ввод  2 2 7 3 4" xfId="6498"/>
    <cellStyle name="Ввод  2 2 7 3 4 2" xfId="16363"/>
    <cellStyle name="Ввод  2 2 7 3 4 3" xfId="31830"/>
    <cellStyle name="Ввод  2 2 7 3 5" xfId="22386"/>
    <cellStyle name="Ввод  2 2 7 3 5 2" xfId="37747"/>
    <cellStyle name="Ввод  2 2 7 3 6" xfId="11826"/>
    <cellStyle name="Ввод  2 2 7 3 7" xfId="27337"/>
    <cellStyle name="Ввод  2 2 7 4" xfId="1209"/>
    <cellStyle name="Ввод  2 2 7 4 2" xfId="6462"/>
    <cellStyle name="Ввод  2 2 7 4 2 2" xfId="16399"/>
    <cellStyle name="Ввод  2 2 7 4 2 3" xfId="31866"/>
    <cellStyle name="Ввод  2 2 7 4 3" xfId="22350"/>
    <cellStyle name="Ввод  2 2 7 4 3 2" xfId="37711"/>
    <cellStyle name="Ввод  2 2 7 4 4" xfId="11790"/>
    <cellStyle name="Ввод  2 2 7 4 5" xfId="27301"/>
    <cellStyle name="Ввод  2 2 7 5" xfId="3095"/>
    <cellStyle name="Ввод  2 2 7 5 2" xfId="8290"/>
    <cellStyle name="Ввод  2 2 7 5 2 2" xfId="19216"/>
    <cellStyle name="Ввод  2 2 7 5 2 3" xfId="34577"/>
    <cellStyle name="Ввод  2 2 7 5 3" xfId="24178"/>
    <cellStyle name="Ввод  2 2 7 5 3 2" xfId="39539"/>
    <cellStyle name="Ввод  2 2 7 5 4" xfId="13653"/>
    <cellStyle name="Ввод  2 2 7 5 5" xfId="29129"/>
    <cellStyle name="Ввод  2 2 7 6" xfId="3952"/>
    <cellStyle name="Ввод  2 2 7 6 2" xfId="9139"/>
    <cellStyle name="Ввод  2 2 7 6 2 2" xfId="20066"/>
    <cellStyle name="Ввод  2 2 7 6 2 3" xfId="35427"/>
    <cellStyle name="Ввод  2 2 7 6 3" xfId="25027"/>
    <cellStyle name="Ввод  2 2 7 6 3 2" xfId="40388"/>
    <cellStyle name="Ввод  2 2 7 6 4" xfId="14503"/>
    <cellStyle name="Ввод  2 2 7 6 5" xfId="29978"/>
    <cellStyle name="Ввод  2 2 7 7" xfId="3361"/>
    <cellStyle name="Ввод  2 2 7 7 2" xfId="8555"/>
    <cellStyle name="Ввод  2 2 7 7 2 2" xfId="19482"/>
    <cellStyle name="Ввод  2 2 7 7 2 3" xfId="34843"/>
    <cellStyle name="Ввод  2 2 7 7 3" xfId="24443"/>
    <cellStyle name="Ввод  2 2 7 7 3 2" xfId="39804"/>
    <cellStyle name="Ввод  2 2 7 7 4" xfId="13919"/>
    <cellStyle name="Ввод  2 2 7 7 5" xfId="29394"/>
    <cellStyle name="Ввод  2 2 7 8" xfId="4827"/>
    <cellStyle name="Ввод  2 2 7 8 2" xfId="10014"/>
    <cellStyle name="Ввод  2 2 7 8 2 2" xfId="20941"/>
    <cellStyle name="Ввод  2 2 7 8 2 3" xfId="36302"/>
    <cellStyle name="Ввод  2 2 7 8 3" xfId="25902"/>
    <cellStyle name="Ввод  2 2 7 8 3 2" xfId="41263"/>
    <cellStyle name="Ввод  2 2 7 8 4" xfId="15378"/>
    <cellStyle name="Ввод  2 2 7 8 5" xfId="30853"/>
    <cellStyle name="Ввод  2 2 7 9" xfId="5667"/>
    <cellStyle name="Ввод  2 2 7 9 2" xfId="17224"/>
    <cellStyle name="Ввод  2 2 7 9 3" xfId="32691"/>
    <cellStyle name="Ввод  2 2 8" xfId="277"/>
    <cellStyle name="Ввод  2 2 8 10" xfId="16261"/>
    <cellStyle name="Ввод  2 2 8 10 2" xfId="31728"/>
    <cellStyle name="Ввод  2 2 8 11" xfId="10963"/>
    <cellStyle name="Ввод  2 2 8 12" xfId="10911"/>
    <cellStyle name="Ввод  2 2 8 2" xfId="909"/>
    <cellStyle name="Ввод  2 2 8 2 10" xfId="11493"/>
    <cellStyle name="Ввод  2 2 8 2 11" xfId="27010"/>
    <cellStyle name="Ввод  2 2 8 2 2" xfId="1685"/>
    <cellStyle name="Ввод  2 2 8 2 2 2" xfId="2766"/>
    <cellStyle name="Ввод  2 2 8 2 2 2 2" xfId="7995"/>
    <cellStyle name="Ввод  2 2 8 2 2 2 2 2" xfId="18899"/>
    <cellStyle name="Ввод  2 2 8 2 2 2 2 3" xfId="34260"/>
    <cellStyle name="Ввод  2 2 8 2 2 2 3" xfId="23883"/>
    <cellStyle name="Ввод  2 2 8 2 2 2 3 2" xfId="39244"/>
    <cellStyle name="Ввод  2 2 8 2 2 2 4" xfId="13336"/>
    <cellStyle name="Ввод  2 2 8 2 2 2 5" xfId="28834"/>
    <cellStyle name="Ввод  2 2 8 2 2 3" xfId="5039"/>
    <cellStyle name="Ввод  2 2 8 2 2 3 2" xfId="10222"/>
    <cellStyle name="Ввод  2 2 8 2 2 3 2 2" xfId="21148"/>
    <cellStyle name="Ввод  2 2 8 2 2 3 2 3" xfId="36509"/>
    <cellStyle name="Ввод  2 2 8 2 2 3 3" xfId="26109"/>
    <cellStyle name="Ввод  2 2 8 2 2 3 3 2" xfId="41470"/>
    <cellStyle name="Ввод  2 2 8 2 2 3 4" xfId="15585"/>
    <cellStyle name="Ввод  2 2 8 2 2 3 5" xfId="31060"/>
    <cellStyle name="Ввод  2 2 8 2 2 4" xfId="6929"/>
    <cellStyle name="Ввод  2 2 8 2 2 4 2" xfId="17827"/>
    <cellStyle name="Ввод  2 2 8 2 2 4 3" xfId="33188"/>
    <cellStyle name="Ввод  2 2 8 2 2 5" xfId="22817"/>
    <cellStyle name="Ввод  2 2 8 2 2 5 2" xfId="38178"/>
    <cellStyle name="Ввод  2 2 8 2 2 6" xfId="12263"/>
    <cellStyle name="Ввод  2 2 8 2 2 7" xfId="27768"/>
    <cellStyle name="Ввод  2 2 8 2 3" xfId="2315"/>
    <cellStyle name="Ввод  2 2 8 2 3 2" xfId="7551"/>
    <cellStyle name="Ввод  2 2 8 2 3 2 2" xfId="18453"/>
    <cellStyle name="Ввод  2 2 8 2 3 2 3" xfId="33814"/>
    <cellStyle name="Ввод  2 2 8 2 3 3" xfId="23439"/>
    <cellStyle name="Ввод  2 2 8 2 3 3 2" xfId="38800"/>
    <cellStyle name="Ввод  2 2 8 2 3 4" xfId="12890"/>
    <cellStyle name="Ввод  2 2 8 2 3 5" xfId="28390"/>
    <cellStyle name="Ввод  2 2 8 2 4" xfId="3458"/>
    <cellStyle name="Ввод  2 2 8 2 4 2" xfId="8645"/>
    <cellStyle name="Ввод  2 2 8 2 4 2 2" xfId="19572"/>
    <cellStyle name="Ввод  2 2 8 2 4 2 3" xfId="34933"/>
    <cellStyle name="Ввод  2 2 8 2 4 3" xfId="24533"/>
    <cellStyle name="Ввод  2 2 8 2 4 3 2" xfId="39894"/>
    <cellStyle name="Ввод  2 2 8 2 4 4" xfId="14009"/>
    <cellStyle name="Ввод  2 2 8 2 4 5" xfId="29484"/>
    <cellStyle name="Ввод  2 2 8 2 5" xfId="3678"/>
    <cellStyle name="Ввод  2 2 8 2 5 2" xfId="8865"/>
    <cellStyle name="Ввод  2 2 8 2 5 2 2" xfId="19792"/>
    <cellStyle name="Ввод  2 2 8 2 5 2 3" xfId="35153"/>
    <cellStyle name="Ввод  2 2 8 2 5 3" xfId="24753"/>
    <cellStyle name="Ввод  2 2 8 2 5 3 2" xfId="40114"/>
    <cellStyle name="Ввод  2 2 8 2 5 4" xfId="14229"/>
    <cellStyle name="Ввод  2 2 8 2 5 5" xfId="29704"/>
    <cellStyle name="Ввод  2 2 8 2 6" xfId="4363"/>
    <cellStyle name="Ввод  2 2 8 2 6 2" xfId="9550"/>
    <cellStyle name="Ввод  2 2 8 2 6 2 2" xfId="20477"/>
    <cellStyle name="Ввод  2 2 8 2 6 2 3" xfId="35838"/>
    <cellStyle name="Ввод  2 2 8 2 6 3" xfId="25438"/>
    <cellStyle name="Ввод  2 2 8 2 6 3 2" xfId="40799"/>
    <cellStyle name="Ввод  2 2 8 2 6 4" xfId="14914"/>
    <cellStyle name="Ввод  2 2 8 2 6 5" xfId="30389"/>
    <cellStyle name="Ввод  2 2 8 2 7" xfId="4472"/>
    <cellStyle name="Ввод  2 2 8 2 7 2" xfId="9659"/>
    <cellStyle name="Ввод  2 2 8 2 7 2 2" xfId="20586"/>
    <cellStyle name="Ввод  2 2 8 2 7 2 3" xfId="35947"/>
    <cellStyle name="Ввод  2 2 8 2 7 3" xfId="25547"/>
    <cellStyle name="Ввод  2 2 8 2 7 3 2" xfId="40908"/>
    <cellStyle name="Ввод  2 2 8 2 7 4" xfId="15023"/>
    <cellStyle name="Ввод  2 2 8 2 7 5" xfId="30498"/>
    <cellStyle name="Ввод  2 2 8 2 8" xfId="6171"/>
    <cellStyle name="Ввод  2 2 8 2 8 2" xfId="16696"/>
    <cellStyle name="Ввод  2 2 8 2 8 3" xfId="32163"/>
    <cellStyle name="Ввод  2 2 8 2 9" xfId="22059"/>
    <cellStyle name="Ввод  2 2 8 2 9 2" xfId="37420"/>
    <cellStyle name="Ввод  2 2 8 3" xfId="1118"/>
    <cellStyle name="Ввод  2 2 8 3 2" xfId="2383"/>
    <cellStyle name="Ввод  2 2 8 3 2 2" xfId="7619"/>
    <cellStyle name="Ввод  2 2 8 3 2 2 2" xfId="18521"/>
    <cellStyle name="Ввод  2 2 8 3 2 2 3" xfId="33882"/>
    <cellStyle name="Ввод  2 2 8 3 2 3" xfId="23507"/>
    <cellStyle name="Ввод  2 2 8 3 2 3 2" xfId="38868"/>
    <cellStyle name="Ввод  2 2 8 3 2 4" xfId="12958"/>
    <cellStyle name="Ввод  2 2 8 3 2 5" xfId="28458"/>
    <cellStyle name="Ввод  2 2 8 3 3" xfId="5040"/>
    <cellStyle name="Ввод  2 2 8 3 3 2" xfId="10223"/>
    <cellStyle name="Ввод  2 2 8 3 3 2 2" xfId="21149"/>
    <cellStyle name="Ввод  2 2 8 3 3 2 3" xfId="36510"/>
    <cellStyle name="Ввод  2 2 8 3 3 3" xfId="26110"/>
    <cellStyle name="Ввод  2 2 8 3 3 3 2" xfId="41471"/>
    <cellStyle name="Ввод  2 2 8 3 3 4" xfId="15586"/>
    <cellStyle name="Ввод  2 2 8 3 3 5" xfId="31061"/>
    <cellStyle name="Ввод  2 2 8 3 4" xfId="6373"/>
    <cellStyle name="Ввод  2 2 8 3 4 2" xfId="16490"/>
    <cellStyle name="Ввод  2 2 8 3 4 3" xfId="31957"/>
    <cellStyle name="Ввод  2 2 8 3 5" xfId="22261"/>
    <cellStyle name="Ввод  2 2 8 3 5 2" xfId="37622"/>
    <cellStyle name="Ввод  2 2 8 3 6" xfId="11699"/>
    <cellStyle name="Ввод  2 2 8 3 7" xfId="27212"/>
    <cellStyle name="Ввод  2 2 8 4" xfId="1229"/>
    <cellStyle name="Ввод  2 2 8 4 2" xfId="6482"/>
    <cellStyle name="Ввод  2 2 8 4 2 2" xfId="16379"/>
    <cellStyle name="Ввод  2 2 8 4 2 3" xfId="31846"/>
    <cellStyle name="Ввод  2 2 8 4 3" xfId="22370"/>
    <cellStyle name="Ввод  2 2 8 4 3 2" xfId="37731"/>
    <cellStyle name="Ввод  2 2 8 4 4" xfId="11810"/>
    <cellStyle name="Ввод  2 2 8 4 5" xfId="27321"/>
    <cellStyle name="Ввод  2 2 8 5" xfId="3094"/>
    <cellStyle name="Ввод  2 2 8 5 2" xfId="8289"/>
    <cellStyle name="Ввод  2 2 8 5 2 2" xfId="19215"/>
    <cellStyle name="Ввод  2 2 8 5 2 3" xfId="34576"/>
    <cellStyle name="Ввод  2 2 8 5 3" xfId="24177"/>
    <cellStyle name="Ввод  2 2 8 5 3 2" xfId="39538"/>
    <cellStyle name="Ввод  2 2 8 5 4" xfId="13652"/>
    <cellStyle name="Ввод  2 2 8 5 5" xfId="29128"/>
    <cellStyle name="Ввод  2 2 8 6" xfId="3498"/>
    <cellStyle name="Ввод  2 2 8 6 2" xfId="8685"/>
    <cellStyle name="Ввод  2 2 8 6 2 2" xfId="19612"/>
    <cellStyle name="Ввод  2 2 8 6 2 3" xfId="34973"/>
    <cellStyle name="Ввод  2 2 8 6 3" xfId="24573"/>
    <cellStyle name="Ввод  2 2 8 6 3 2" xfId="39934"/>
    <cellStyle name="Ввод  2 2 8 6 4" xfId="14049"/>
    <cellStyle name="Ввод  2 2 8 6 5" xfId="29524"/>
    <cellStyle name="Ввод  2 2 8 7" xfId="3923"/>
    <cellStyle name="Ввод  2 2 8 7 2" xfId="9110"/>
    <cellStyle name="Ввод  2 2 8 7 2 2" xfId="20037"/>
    <cellStyle name="Ввод  2 2 8 7 2 3" xfId="35398"/>
    <cellStyle name="Ввод  2 2 8 7 3" xfId="24998"/>
    <cellStyle name="Ввод  2 2 8 7 3 2" xfId="40359"/>
    <cellStyle name="Ввод  2 2 8 7 4" xfId="14474"/>
    <cellStyle name="Ввод  2 2 8 7 5" xfId="29949"/>
    <cellStyle name="Ввод  2 2 8 8" xfId="4794"/>
    <cellStyle name="Ввод  2 2 8 8 2" xfId="9981"/>
    <cellStyle name="Ввод  2 2 8 8 2 2" xfId="20908"/>
    <cellStyle name="Ввод  2 2 8 8 2 3" xfId="36269"/>
    <cellStyle name="Ввод  2 2 8 8 3" xfId="25869"/>
    <cellStyle name="Ввод  2 2 8 8 3 2" xfId="41230"/>
    <cellStyle name="Ввод  2 2 8 8 4" xfId="15345"/>
    <cellStyle name="Ввод  2 2 8 8 5" xfId="30820"/>
    <cellStyle name="Ввод  2 2 8 9" xfId="5668"/>
    <cellStyle name="Ввод  2 2 8 9 2" xfId="17223"/>
    <cellStyle name="Ввод  2 2 8 9 3" xfId="32690"/>
    <cellStyle name="Ввод  2 2 9" xfId="278"/>
    <cellStyle name="Ввод  2 2 9 10" xfId="18926"/>
    <cellStyle name="Ввод  2 2 9 10 2" xfId="34287"/>
    <cellStyle name="Ввод  2 2 9 11" xfId="10964"/>
    <cellStyle name="Ввод  2 2 9 12" xfId="10910"/>
    <cellStyle name="Ввод  2 2 9 2" xfId="908"/>
    <cellStyle name="Ввод  2 2 9 2 10" xfId="11492"/>
    <cellStyle name="Ввод  2 2 9 2 11" xfId="27009"/>
    <cellStyle name="Ввод  2 2 9 2 2" xfId="1517"/>
    <cellStyle name="Ввод  2 2 9 2 2 2" xfId="2764"/>
    <cellStyle name="Ввод  2 2 9 2 2 2 2" xfId="7993"/>
    <cellStyle name="Ввод  2 2 9 2 2 2 2 2" xfId="18897"/>
    <cellStyle name="Ввод  2 2 9 2 2 2 2 3" xfId="34258"/>
    <cellStyle name="Ввод  2 2 9 2 2 2 3" xfId="23881"/>
    <cellStyle name="Ввод  2 2 9 2 2 2 3 2" xfId="39242"/>
    <cellStyle name="Ввод  2 2 9 2 2 2 4" xfId="13334"/>
    <cellStyle name="Ввод  2 2 9 2 2 2 5" xfId="28832"/>
    <cellStyle name="Ввод  2 2 9 2 2 3" xfId="5041"/>
    <cellStyle name="Ввод  2 2 9 2 2 3 2" xfId="10224"/>
    <cellStyle name="Ввод  2 2 9 2 2 3 2 2" xfId="21150"/>
    <cellStyle name="Ввод  2 2 9 2 2 3 2 3" xfId="36511"/>
    <cellStyle name="Ввод  2 2 9 2 2 3 3" xfId="26111"/>
    <cellStyle name="Ввод  2 2 9 2 2 3 3 2" xfId="41472"/>
    <cellStyle name="Ввод  2 2 9 2 2 3 4" xfId="15587"/>
    <cellStyle name="Ввод  2 2 9 2 2 3 5" xfId="31062"/>
    <cellStyle name="Ввод  2 2 9 2 2 4" xfId="6764"/>
    <cellStyle name="Ввод  2 2 9 2 2 4 2" xfId="17659"/>
    <cellStyle name="Ввод  2 2 9 2 2 4 3" xfId="33020"/>
    <cellStyle name="Ввод  2 2 9 2 2 5" xfId="22652"/>
    <cellStyle name="Ввод  2 2 9 2 2 5 2" xfId="38013"/>
    <cellStyle name="Ввод  2 2 9 2 2 6" xfId="12095"/>
    <cellStyle name="Ввод  2 2 9 2 2 7" xfId="27603"/>
    <cellStyle name="Ввод  2 2 9 2 3" xfId="2314"/>
    <cellStyle name="Ввод  2 2 9 2 3 2" xfId="7550"/>
    <cellStyle name="Ввод  2 2 9 2 3 2 2" xfId="18452"/>
    <cellStyle name="Ввод  2 2 9 2 3 2 3" xfId="33813"/>
    <cellStyle name="Ввод  2 2 9 2 3 3" xfId="23438"/>
    <cellStyle name="Ввод  2 2 9 2 3 3 2" xfId="38799"/>
    <cellStyle name="Ввод  2 2 9 2 3 4" xfId="12889"/>
    <cellStyle name="Ввод  2 2 9 2 3 5" xfId="28389"/>
    <cellStyle name="Ввод  2 2 9 2 4" xfId="3457"/>
    <cellStyle name="Ввод  2 2 9 2 4 2" xfId="8644"/>
    <cellStyle name="Ввод  2 2 9 2 4 2 2" xfId="19571"/>
    <cellStyle name="Ввод  2 2 9 2 4 2 3" xfId="34932"/>
    <cellStyle name="Ввод  2 2 9 2 4 3" xfId="24532"/>
    <cellStyle name="Ввод  2 2 9 2 4 3 2" xfId="39893"/>
    <cellStyle name="Ввод  2 2 9 2 4 4" xfId="14008"/>
    <cellStyle name="Ввод  2 2 9 2 4 5" xfId="29483"/>
    <cellStyle name="Ввод  2 2 9 2 5" xfId="3760"/>
    <cellStyle name="Ввод  2 2 9 2 5 2" xfId="8947"/>
    <cellStyle name="Ввод  2 2 9 2 5 2 2" xfId="19874"/>
    <cellStyle name="Ввод  2 2 9 2 5 2 3" xfId="35235"/>
    <cellStyle name="Ввод  2 2 9 2 5 3" xfId="24835"/>
    <cellStyle name="Ввод  2 2 9 2 5 3 2" xfId="40196"/>
    <cellStyle name="Ввод  2 2 9 2 5 4" xfId="14311"/>
    <cellStyle name="Ввод  2 2 9 2 5 5" xfId="29786"/>
    <cellStyle name="Ввод  2 2 9 2 6" xfId="4362"/>
    <cellStyle name="Ввод  2 2 9 2 6 2" xfId="9549"/>
    <cellStyle name="Ввод  2 2 9 2 6 2 2" xfId="20476"/>
    <cellStyle name="Ввод  2 2 9 2 6 2 3" xfId="35837"/>
    <cellStyle name="Ввод  2 2 9 2 6 3" xfId="25437"/>
    <cellStyle name="Ввод  2 2 9 2 6 3 2" xfId="40798"/>
    <cellStyle name="Ввод  2 2 9 2 6 4" xfId="14913"/>
    <cellStyle name="Ввод  2 2 9 2 6 5" xfId="30388"/>
    <cellStyle name="Ввод  2 2 9 2 7" xfId="4473"/>
    <cellStyle name="Ввод  2 2 9 2 7 2" xfId="9660"/>
    <cellStyle name="Ввод  2 2 9 2 7 2 2" xfId="20587"/>
    <cellStyle name="Ввод  2 2 9 2 7 2 3" xfId="35948"/>
    <cellStyle name="Ввод  2 2 9 2 7 3" xfId="25548"/>
    <cellStyle name="Ввод  2 2 9 2 7 3 2" xfId="40909"/>
    <cellStyle name="Ввод  2 2 9 2 7 4" xfId="15024"/>
    <cellStyle name="Ввод  2 2 9 2 7 5" xfId="30499"/>
    <cellStyle name="Ввод  2 2 9 2 8" xfId="6170"/>
    <cellStyle name="Ввод  2 2 9 2 8 2" xfId="16697"/>
    <cellStyle name="Ввод  2 2 9 2 8 3" xfId="32164"/>
    <cellStyle name="Ввод  2 2 9 2 9" xfId="22058"/>
    <cellStyle name="Ввод  2 2 9 2 9 2" xfId="37419"/>
    <cellStyle name="Ввод  2 2 9 3" xfId="1550"/>
    <cellStyle name="Ввод  2 2 9 3 2" xfId="2385"/>
    <cellStyle name="Ввод  2 2 9 3 2 2" xfId="7621"/>
    <cellStyle name="Ввод  2 2 9 3 2 2 2" xfId="18523"/>
    <cellStyle name="Ввод  2 2 9 3 2 2 3" xfId="33884"/>
    <cellStyle name="Ввод  2 2 9 3 2 3" xfId="23509"/>
    <cellStyle name="Ввод  2 2 9 3 2 3 2" xfId="38870"/>
    <cellStyle name="Ввод  2 2 9 3 2 4" xfId="12960"/>
    <cellStyle name="Ввод  2 2 9 3 2 5" xfId="28460"/>
    <cellStyle name="Ввод  2 2 9 3 3" xfId="5042"/>
    <cellStyle name="Ввод  2 2 9 3 3 2" xfId="10225"/>
    <cellStyle name="Ввод  2 2 9 3 3 2 2" xfId="21151"/>
    <cellStyle name="Ввод  2 2 9 3 3 2 3" xfId="36512"/>
    <cellStyle name="Ввод  2 2 9 3 3 3" xfId="26112"/>
    <cellStyle name="Ввод  2 2 9 3 3 3 2" xfId="41473"/>
    <cellStyle name="Ввод  2 2 9 3 3 4" xfId="15588"/>
    <cellStyle name="Ввод  2 2 9 3 3 5" xfId="31063"/>
    <cellStyle name="Ввод  2 2 9 3 4" xfId="6797"/>
    <cellStyle name="Ввод  2 2 9 3 4 2" xfId="17692"/>
    <cellStyle name="Ввод  2 2 9 3 4 3" xfId="33053"/>
    <cellStyle name="Ввод  2 2 9 3 5" xfId="22685"/>
    <cellStyle name="Ввод  2 2 9 3 5 2" xfId="38046"/>
    <cellStyle name="Ввод  2 2 9 3 6" xfId="12128"/>
    <cellStyle name="Ввод  2 2 9 3 7" xfId="27636"/>
    <cellStyle name="Ввод  2 2 9 4" xfId="1108"/>
    <cellStyle name="Ввод  2 2 9 4 2" xfId="6364"/>
    <cellStyle name="Ввод  2 2 9 4 2 2" xfId="16499"/>
    <cellStyle name="Ввод  2 2 9 4 2 3" xfId="31966"/>
    <cellStyle name="Ввод  2 2 9 4 3" xfId="22252"/>
    <cellStyle name="Ввод  2 2 9 4 3 2" xfId="37613"/>
    <cellStyle name="Ввод  2 2 9 4 4" xfId="11690"/>
    <cellStyle name="Ввод  2 2 9 4 5" xfId="27203"/>
    <cellStyle name="Ввод  2 2 9 5" xfId="3093"/>
    <cellStyle name="Ввод  2 2 9 5 2" xfId="8288"/>
    <cellStyle name="Ввод  2 2 9 5 2 2" xfId="19214"/>
    <cellStyle name="Ввод  2 2 9 5 2 3" xfId="34575"/>
    <cellStyle name="Ввод  2 2 9 5 3" xfId="24176"/>
    <cellStyle name="Ввод  2 2 9 5 3 2" xfId="39537"/>
    <cellStyle name="Ввод  2 2 9 5 4" xfId="13651"/>
    <cellStyle name="Ввод  2 2 9 5 5" xfId="29127"/>
    <cellStyle name="Ввод  2 2 9 6" xfId="3938"/>
    <cellStyle name="Ввод  2 2 9 6 2" xfId="9125"/>
    <cellStyle name="Ввод  2 2 9 6 2 2" xfId="20052"/>
    <cellStyle name="Ввод  2 2 9 6 2 3" xfId="35413"/>
    <cellStyle name="Ввод  2 2 9 6 3" xfId="25013"/>
    <cellStyle name="Ввод  2 2 9 6 3 2" xfId="40374"/>
    <cellStyle name="Ввод  2 2 9 6 4" xfId="14489"/>
    <cellStyle name="Ввод  2 2 9 6 5" xfId="29964"/>
    <cellStyle name="Ввод  2 2 9 7" xfId="3877"/>
    <cellStyle name="Ввод  2 2 9 7 2" xfId="9064"/>
    <cellStyle name="Ввод  2 2 9 7 2 2" xfId="19991"/>
    <cellStyle name="Ввод  2 2 9 7 2 3" xfId="35352"/>
    <cellStyle name="Ввод  2 2 9 7 3" xfId="24952"/>
    <cellStyle name="Ввод  2 2 9 7 3 2" xfId="40313"/>
    <cellStyle name="Ввод  2 2 9 7 4" xfId="14428"/>
    <cellStyle name="Ввод  2 2 9 7 5" xfId="29903"/>
    <cellStyle name="Ввод  2 2 9 8" xfId="4828"/>
    <cellStyle name="Ввод  2 2 9 8 2" xfId="10015"/>
    <cellStyle name="Ввод  2 2 9 8 2 2" xfId="20942"/>
    <cellStyle name="Ввод  2 2 9 8 2 3" xfId="36303"/>
    <cellStyle name="Ввод  2 2 9 8 3" xfId="25903"/>
    <cellStyle name="Ввод  2 2 9 8 3 2" xfId="41264"/>
    <cellStyle name="Ввод  2 2 9 8 4" xfId="15379"/>
    <cellStyle name="Ввод  2 2 9 8 5" xfId="30854"/>
    <cellStyle name="Ввод  2 2 9 9" xfId="5669"/>
    <cellStyle name="Ввод  2 2 9 9 2" xfId="17222"/>
    <cellStyle name="Ввод  2 2 9 9 3" xfId="32689"/>
    <cellStyle name="Ввод  2 20" xfId="279"/>
    <cellStyle name="Ввод  2 20 10" xfId="17276"/>
    <cellStyle name="Ввод  2 20 10 2" xfId="32743"/>
    <cellStyle name="Ввод  2 20 11" xfId="10965"/>
    <cellStyle name="Ввод  2 20 12" xfId="11928"/>
    <cellStyle name="Ввод  2 20 2" xfId="907"/>
    <cellStyle name="Ввод  2 20 2 10" xfId="11491"/>
    <cellStyle name="Ввод  2 20 2 11" xfId="27008"/>
    <cellStyle name="Ввод  2 20 2 2" xfId="78"/>
    <cellStyle name="Ввод  2 20 2 2 2" xfId="1226"/>
    <cellStyle name="Ввод  2 20 2 2 2 2" xfId="6479"/>
    <cellStyle name="Ввод  2 20 2 2 2 2 2" xfId="16382"/>
    <cellStyle name="Ввод  2 20 2 2 2 2 3" xfId="31849"/>
    <cellStyle name="Ввод  2 20 2 2 2 3" xfId="22367"/>
    <cellStyle name="Ввод  2 20 2 2 2 3 2" xfId="37728"/>
    <cellStyle name="Ввод  2 20 2 2 2 4" xfId="11807"/>
    <cellStyle name="Ввод  2 20 2 2 2 5" xfId="27318"/>
    <cellStyle name="Ввод  2 20 2 2 3" xfId="5043"/>
    <cellStyle name="Ввод  2 20 2 2 3 2" xfId="10226"/>
    <cellStyle name="Ввод  2 20 2 2 3 2 2" xfId="21152"/>
    <cellStyle name="Ввод  2 20 2 2 3 2 3" xfId="36513"/>
    <cellStyle name="Ввод  2 20 2 2 3 3" xfId="26113"/>
    <cellStyle name="Ввод  2 20 2 2 3 3 2" xfId="41474"/>
    <cellStyle name="Ввод  2 20 2 2 3 4" xfId="15589"/>
    <cellStyle name="Ввод  2 20 2 2 3 5" xfId="31064"/>
    <cellStyle name="Ввод  2 20 2 2 4" xfId="5604"/>
    <cellStyle name="Ввод  2 20 2 2 4 2" xfId="17393"/>
    <cellStyle name="Ввод  2 20 2 2 4 3" xfId="32860"/>
    <cellStyle name="Ввод  2 20 2 2 5" xfId="17060"/>
    <cellStyle name="Ввод  2 20 2 2 5 2" xfId="32527"/>
    <cellStyle name="Ввод  2 20 2 2 6" xfId="10792"/>
    <cellStyle name="Ввод  2 20 2 2 7" xfId="11126"/>
    <cellStyle name="Ввод  2 20 2 3" xfId="2313"/>
    <cellStyle name="Ввод  2 20 2 3 2" xfId="7549"/>
    <cellStyle name="Ввод  2 20 2 3 2 2" xfId="18451"/>
    <cellStyle name="Ввод  2 20 2 3 2 3" xfId="33812"/>
    <cellStyle name="Ввод  2 20 2 3 3" xfId="23437"/>
    <cellStyle name="Ввод  2 20 2 3 3 2" xfId="38798"/>
    <cellStyle name="Ввод  2 20 2 3 4" xfId="12888"/>
    <cellStyle name="Ввод  2 20 2 3 5" xfId="28388"/>
    <cellStyle name="Ввод  2 20 2 4" xfId="3456"/>
    <cellStyle name="Ввод  2 20 2 4 2" xfId="8643"/>
    <cellStyle name="Ввод  2 20 2 4 2 2" xfId="19570"/>
    <cellStyle name="Ввод  2 20 2 4 2 3" xfId="34931"/>
    <cellStyle name="Ввод  2 20 2 4 3" xfId="24531"/>
    <cellStyle name="Ввод  2 20 2 4 3 2" xfId="39892"/>
    <cellStyle name="Ввод  2 20 2 4 4" xfId="14007"/>
    <cellStyle name="Ввод  2 20 2 4 5" xfId="29482"/>
    <cellStyle name="Ввод  2 20 2 5" xfId="3746"/>
    <cellStyle name="Ввод  2 20 2 5 2" xfId="8933"/>
    <cellStyle name="Ввод  2 20 2 5 2 2" xfId="19860"/>
    <cellStyle name="Ввод  2 20 2 5 2 3" xfId="35221"/>
    <cellStyle name="Ввод  2 20 2 5 3" xfId="24821"/>
    <cellStyle name="Ввод  2 20 2 5 3 2" xfId="40182"/>
    <cellStyle name="Ввод  2 20 2 5 4" xfId="14297"/>
    <cellStyle name="Ввод  2 20 2 5 5" xfId="29772"/>
    <cellStyle name="Ввод  2 20 2 6" xfId="4361"/>
    <cellStyle name="Ввод  2 20 2 6 2" xfId="9548"/>
    <cellStyle name="Ввод  2 20 2 6 2 2" xfId="20475"/>
    <cellStyle name="Ввод  2 20 2 6 2 3" xfId="35836"/>
    <cellStyle name="Ввод  2 20 2 6 3" xfId="25436"/>
    <cellStyle name="Ввод  2 20 2 6 3 2" xfId="40797"/>
    <cellStyle name="Ввод  2 20 2 6 4" xfId="14912"/>
    <cellStyle name="Ввод  2 20 2 6 5" xfId="30387"/>
    <cellStyle name="Ввод  2 20 2 7" xfId="4474"/>
    <cellStyle name="Ввод  2 20 2 7 2" xfId="9661"/>
    <cellStyle name="Ввод  2 20 2 7 2 2" xfId="20588"/>
    <cellStyle name="Ввод  2 20 2 7 2 3" xfId="35949"/>
    <cellStyle name="Ввод  2 20 2 7 3" xfId="25549"/>
    <cellStyle name="Ввод  2 20 2 7 3 2" xfId="40910"/>
    <cellStyle name="Ввод  2 20 2 7 4" xfId="15025"/>
    <cellStyle name="Ввод  2 20 2 7 5" xfId="30500"/>
    <cellStyle name="Ввод  2 20 2 8" xfId="6169"/>
    <cellStyle name="Ввод  2 20 2 8 2" xfId="16698"/>
    <cellStyle name="Ввод  2 20 2 8 3" xfId="32165"/>
    <cellStyle name="Ввод  2 20 2 9" xfId="22057"/>
    <cellStyle name="Ввод  2 20 2 9 2" xfId="37418"/>
    <cellStyle name="Ввод  2 20 3" xfId="1278"/>
    <cellStyle name="Ввод  2 20 3 2" xfId="2763"/>
    <cellStyle name="Ввод  2 20 3 2 2" xfId="7992"/>
    <cellStyle name="Ввод  2 20 3 2 2 2" xfId="18896"/>
    <cellStyle name="Ввод  2 20 3 2 2 3" xfId="34257"/>
    <cellStyle name="Ввод  2 20 3 2 3" xfId="23880"/>
    <cellStyle name="Ввод  2 20 3 2 3 2" xfId="39241"/>
    <cellStyle name="Ввод  2 20 3 2 4" xfId="13333"/>
    <cellStyle name="Ввод  2 20 3 2 5" xfId="28831"/>
    <cellStyle name="Ввод  2 20 3 3" xfId="5044"/>
    <cellStyle name="Ввод  2 20 3 3 2" xfId="10227"/>
    <cellStyle name="Ввод  2 20 3 3 2 2" xfId="21153"/>
    <cellStyle name="Ввод  2 20 3 3 2 3" xfId="36514"/>
    <cellStyle name="Ввод  2 20 3 3 3" xfId="26114"/>
    <cellStyle name="Ввод  2 20 3 3 3 2" xfId="41475"/>
    <cellStyle name="Ввод  2 20 3 3 4" xfId="15590"/>
    <cellStyle name="Ввод  2 20 3 3 5" xfId="31065"/>
    <cellStyle name="Ввод  2 20 3 4" xfId="6531"/>
    <cellStyle name="Ввод  2 20 3 4 2" xfId="16330"/>
    <cellStyle name="Ввод  2 20 3 4 3" xfId="31797"/>
    <cellStyle name="Ввод  2 20 3 5" xfId="22419"/>
    <cellStyle name="Ввод  2 20 3 5 2" xfId="37780"/>
    <cellStyle name="Ввод  2 20 3 6" xfId="11859"/>
    <cellStyle name="Ввод  2 20 3 7" xfId="27370"/>
    <cellStyle name="Ввод  2 20 4" xfId="1162"/>
    <cellStyle name="Ввод  2 20 4 2" xfId="6416"/>
    <cellStyle name="Ввод  2 20 4 2 2" xfId="16446"/>
    <cellStyle name="Ввод  2 20 4 2 3" xfId="31913"/>
    <cellStyle name="Ввод  2 20 4 3" xfId="22304"/>
    <cellStyle name="Ввод  2 20 4 3 2" xfId="37665"/>
    <cellStyle name="Ввод  2 20 4 4" xfId="11743"/>
    <cellStyle name="Ввод  2 20 4 5" xfId="27255"/>
    <cellStyle name="Ввод  2 20 5" xfId="3090"/>
    <cellStyle name="Ввод  2 20 5 2" xfId="8285"/>
    <cellStyle name="Ввод  2 20 5 2 2" xfId="19211"/>
    <cellStyle name="Ввод  2 20 5 2 3" xfId="34572"/>
    <cellStyle name="Ввод  2 20 5 3" xfId="24173"/>
    <cellStyle name="Ввод  2 20 5 3 2" xfId="39534"/>
    <cellStyle name="Ввод  2 20 5 4" xfId="13648"/>
    <cellStyle name="Ввод  2 20 5 5" xfId="29124"/>
    <cellStyle name="Ввод  2 20 6" xfId="3499"/>
    <cellStyle name="Ввод  2 20 6 2" xfId="8686"/>
    <cellStyle name="Ввод  2 20 6 2 2" xfId="19613"/>
    <cellStyle name="Ввод  2 20 6 2 3" xfId="34974"/>
    <cellStyle name="Ввод  2 20 6 3" xfId="24574"/>
    <cellStyle name="Ввод  2 20 6 3 2" xfId="39935"/>
    <cellStyle name="Ввод  2 20 6 4" xfId="14050"/>
    <cellStyle name="Ввод  2 20 6 5" xfId="29525"/>
    <cellStyle name="Ввод  2 20 7" xfId="3249"/>
    <cellStyle name="Ввод  2 20 7 2" xfId="8443"/>
    <cellStyle name="Ввод  2 20 7 2 2" xfId="19370"/>
    <cellStyle name="Ввод  2 20 7 2 3" xfId="34731"/>
    <cellStyle name="Ввод  2 20 7 3" xfId="24331"/>
    <cellStyle name="Ввод  2 20 7 3 2" xfId="39692"/>
    <cellStyle name="Ввод  2 20 7 4" xfId="13807"/>
    <cellStyle name="Ввод  2 20 7 5" xfId="29282"/>
    <cellStyle name="Ввод  2 20 8" xfId="4793"/>
    <cellStyle name="Ввод  2 20 8 2" xfId="9980"/>
    <cellStyle name="Ввод  2 20 8 2 2" xfId="20907"/>
    <cellStyle name="Ввод  2 20 8 2 3" xfId="36268"/>
    <cellStyle name="Ввод  2 20 8 3" xfId="25868"/>
    <cellStyle name="Ввод  2 20 8 3 2" xfId="41229"/>
    <cellStyle name="Ввод  2 20 8 4" xfId="15344"/>
    <cellStyle name="Ввод  2 20 8 5" xfId="30819"/>
    <cellStyle name="Ввод  2 20 9" xfId="5670"/>
    <cellStyle name="Ввод  2 20 9 2" xfId="17221"/>
    <cellStyle name="Ввод  2 20 9 3" xfId="32688"/>
    <cellStyle name="Ввод  2 21" xfId="280"/>
    <cellStyle name="Ввод  2 21 10" xfId="17277"/>
    <cellStyle name="Ввод  2 21 10 2" xfId="32744"/>
    <cellStyle name="Ввод  2 21 11" xfId="10966"/>
    <cellStyle name="Ввод  2 21 12" xfId="13363"/>
    <cellStyle name="Ввод  2 21 2" xfId="906"/>
    <cellStyle name="Ввод  2 21 2 10" xfId="11490"/>
    <cellStyle name="Ввод  2 21 2 11" xfId="27007"/>
    <cellStyle name="Ввод  2 21 2 2" xfId="1631"/>
    <cellStyle name="Ввод  2 21 2 2 2" xfId="2604"/>
    <cellStyle name="Ввод  2 21 2 2 2 2" xfId="7837"/>
    <cellStyle name="Ввод  2 21 2 2 2 2 2" xfId="18739"/>
    <cellStyle name="Ввод  2 21 2 2 2 2 3" xfId="34100"/>
    <cellStyle name="Ввод  2 21 2 2 2 3" xfId="23725"/>
    <cellStyle name="Ввод  2 21 2 2 2 3 2" xfId="39086"/>
    <cellStyle name="Ввод  2 21 2 2 2 4" xfId="13176"/>
    <cellStyle name="Ввод  2 21 2 2 2 5" xfId="28676"/>
    <cellStyle name="Ввод  2 21 2 2 3" xfId="5045"/>
    <cellStyle name="Ввод  2 21 2 2 3 2" xfId="10228"/>
    <cellStyle name="Ввод  2 21 2 2 3 2 2" xfId="21154"/>
    <cellStyle name="Ввод  2 21 2 2 3 2 3" xfId="36515"/>
    <cellStyle name="Ввод  2 21 2 2 3 3" xfId="26115"/>
    <cellStyle name="Ввод  2 21 2 2 3 3 2" xfId="41476"/>
    <cellStyle name="Ввод  2 21 2 2 3 4" xfId="15591"/>
    <cellStyle name="Ввод  2 21 2 2 3 5" xfId="31066"/>
    <cellStyle name="Ввод  2 21 2 2 4" xfId="6877"/>
    <cellStyle name="Ввод  2 21 2 2 4 2" xfId="17773"/>
    <cellStyle name="Ввод  2 21 2 2 4 3" xfId="33134"/>
    <cellStyle name="Ввод  2 21 2 2 5" xfId="22765"/>
    <cellStyle name="Ввод  2 21 2 2 5 2" xfId="38126"/>
    <cellStyle name="Ввод  2 21 2 2 6" xfId="12209"/>
    <cellStyle name="Ввод  2 21 2 2 7" xfId="27716"/>
    <cellStyle name="Ввод  2 21 2 3" xfId="2312"/>
    <cellStyle name="Ввод  2 21 2 3 2" xfId="7548"/>
    <cellStyle name="Ввод  2 21 2 3 2 2" xfId="18450"/>
    <cellStyle name="Ввод  2 21 2 3 2 3" xfId="33811"/>
    <cellStyle name="Ввод  2 21 2 3 3" xfId="23436"/>
    <cellStyle name="Ввод  2 21 2 3 3 2" xfId="38797"/>
    <cellStyle name="Ввод  2 21 2 3 4" xfId="12887"/>
    <cellStyle name="Ввод  2 21 2 3 5" xfId="28387"/>
    <cellStyle name="Ввод  2 21 2 4" xfId="3455"/>
    <cellStyle name="Ввод  2 21 2 4 2" xfId="8642"/>
    <cellStyle name="Ввод  2 21 2 4 2 2" xfId="19569"/>
    <cellStyle name="Ввод  2 21 2 4 2 3" xfId="34930"/>
    <cellStyle name="Ввод  2 21 2 4 3" xfId="24530"/>
    <cellStyle name="Ввод  2 21 2 4 3 2" xfId="39891"/>
    <cellStyle name="Ввод  2 21 2 4 4" xfId="14006"/>
    <cellStyle name="Ввод  2 21 2 4 5" xfId="29481"/>
    <cellStyle name="Ввод  2 21 2 5" xfId="3677"/>
    <cellStyle name="Ввод  2 21 2 5 2" xfId="8864"/>
    <cellStyle name="Ввод  2 21 2 5 2 2" xfId="19791"/>
    <cellStyle name="Ввод  2 21 2 5 2 3" xfId="35152"/>
    <cellStyle name="Ввод  2 21 2 5 3" xfId="24752"/>
    <cellStyle name="Ввод  2 21 2 5 3 2" xfId="40113"/>
    <cellStyle name="Ввод  2 21 2 5 4" xfId="14228"/>
    <cellStyle name="Ввод  2 21 2 5 5" xfId="29703"/>
    <cellStyle name="Ввод  2 21 2 6" xfId="4360"/>
    <cellStyle name="Ввод  2 21 2 6 2" xfId="9547"/>
    <cellStyle name="Ввод  2 21 2 6 2 2" xfId="20474"/>
    <cellStyle name="Ввод  2 21 2 6 2 3" xfId="35835"/>
    <cellStyle name="Ввод  2 21 2 6 3" xfId="25435"/>
    <cellStyle name="Ввод  2 21 2 6 3 2" xfId="40796"/>
    <cellStyle name="Ввод  2 21 2 6 4" xfId="14911"/>
    <cellStyle name="Ввод  2 21 2 6 5" xfId="30386"/>
    <cellStyle name="Ввод  2 21 2 7" xfId="4475"/>
    <cellStyle name="Ввод  2 21 2 7 2" xfId="9662"/>
    <cellStyle name="Ввод  2 21 2 7 2 2" xfId="20589"/>
    <cellStyle name="Ввод  2 21 2 7 2 3" xfId="35950"/>
    <cellStyle name="Ввод  2 21 2 7 3" xfId="25550"/>
    <cellStyle name="Ввод  2 21 2 7 3 2" xfId="40911"/>
    <cellStyle name="Ввод  2 21 2 7 4" xfId="15026"/>
    <cellStyle name="Ввод  2 21 2 7 5" xfId="30501"/>
    <cellStyle name="Ввод  2 21 2 8" xfId="6168"/>
    <cellStyle name="Ввод  2 21 2 8 2" xfId="16699"/>
    <cellStyle name="Ввод  2 21 2 8 3" xfId="32166"/>
    <cellStyle name="Ввод  2 21 2 9" xfId="22056"/>
    <cellStyle name="Ввод  2 21 2 9 2" xfId="37417"/>
    <cellStyle name="Ввод  2 21 3" xfId="1669"/>
    <cellStyle name="Ввод  2 21 3 2" xfId="2762"/>
    <cellStyle name="Ввод  2 21 3 2 2" xfId="7991"/>
    <cellStyle name="Ввод  2 21 3 2 2 2" xfId="18895"/>
    <cellStyle name="Ввод  2 21 3 2 2 3" xfId="34256"/>
    <cellStyle name="Ввод  2 21 3 2 3" xfId="23879"/>
    <cellStyle name="Ввод  2 21 3 2 3 2" xfId="39240"/>
    <cellStyle name="Ввод  2 21 3 2 4" xfId="13332"/>
    <cellStyle name="Ввод  2 21 3 2 5" xfId="28830"/>
    <cellStyle name="Ввод  2 21 3 3" xfId="5046"/>
    <cellStyle name="Ввод  2 21 3 3 2" xfId="10229"/>
    <cellStyle name="Ввод  2 21 3 3 2 2" xfId="21155"/>
    <cellStyle name="Ввод  2 21 3 3 2 3" xfId="36516"/>
    <cellStyle name="Ввод  2 21 3 3 3" xfId="26116"/>
    <cellStyle name="Ввод  2 21 3 3 3 2" xfId="41477"/>
    <cellStyle name="Ввод  2 21 3 3 4" xfId="15592"/>
    <cellStyle name="Ввод  2 21 3 3 5" xfId="31067"/>
    <cellStyle name="Ввод  2 21 3 4" xfId="6915"/>
    <cellStyle name="Ввод  2 21 3 4 2" xfId="17811"/>
    <cellStyle name="Ввод  2 21 3 4 3" xfId="33172"/>
    <cellStyle name="Ввод  2 21 3 5" xfId="22803"/>
    <cellStyle name="Ввод  2 21 3 5 2" xfId="38164"/>
    <cellStyle name="Ввод  2 21 3 6" xfId="12247"/>
    <cellStyle name="Ввод  2 21 3 7" xfId="27754"/>
    <cellStyle name="Ввод  2 21 4" xfId="1090"/>
    <cellStyle name="Ввод  2 21 4 2" xfId="6346"/>
    <cellStyle name="Ввод  2 21 4 2 2" xfId="16517"/>
    <cellStyle name="Ввод  2 21 4 2 3" xfId="31984"/>
    <cellStyle name="Ввод  2 21 4 3" xfId="22234"/>
    <cellStyle name="Ввод  2 21 4 3 2" xfId="37595"/>
    <cellStyle name="Ввод  2 21 4 4" xfId="11672"/>
    <cellStyle name="Ввод  2 21 4 5" xfId="27185"/>
    <cellStyle name="Ввод  2 21 5" xfId="3089"/>
    <cellStyle name="Ввод  2 21 5 2" xfId="8284"/>
    <cellStyle name="Ввод  2 21 5 2 2" xfId="19210"/>
    <cellStyle name="Ввод  2 21 5 2 3" xfId="34571"/>
    <cellStyle name="Ввод  2 21 5 3" xfId="24172"/>
    <cellStyle name="Ввод  2 21 5 3 2" xfId="39533"/>
    <cellStyle name="Ввод  2 21 5 4" xfId="13647"/>
    <cellStyle name="Ввод  2 21 5 5" xfId="29123"/>
    <cellStyle name="Ввод  2 21 6" xfId="3214"/>
    <cellStyle name="Ввод  2 21 6 2" xfId="8409"/>
    <cellStyle name="Ввод  2 21 6 2 2" xfId="19335"/>
    <cellStyle name="Ввод  2 21 6 2 3" xfId="34696"/>
    <cellStyle name="Ввод  2 21 6 3" xfId="24297"/>
    <cellStyle name="Ввод  2 21 6 3 2" xfId="39658"/>
    <cellStyle name="Ввод  2 21 6 4" xfId="13772"/>
    <cellStyle name="Ввод  2 21 6 5" xfId="29248"/>
    <cellStyle name="Ввод  2 21 7" xfId="3358"/>
    <cellStyle name="Ввод  2 21 7 2" xfId="8552"/>
    <cellStyle name="Ввод  2 21 7 2 2" xfId="19479"/>
    <cellStyle name="Ввод  2 21 7 2 3" xfId="34840"/>
    <cellStyle name="Ввод  2 21 7 3" xfId="24440"/>
    <cellStyle name="Ввод  2 21 7 3 2" xfId="39801"/>
    <cellStyle name="Ввод  2 21 7 4" xfId="13916"/>
    <cellStyle name="Ввод  2 21 7 5" xfId="29391"/>
    <cellStyle name="Ввод  2 21 8" xfId="4829"/>
    <cellStyle name="Ввод  2 21 8 2" xfId="10016"/>
    <cellStyle name="Ввод  2 21 8 2 2" xfId="20943"/>
    <cellStyle name="Ввод  2 21 8 2 3" xfId="36304"/>
    <cellStyle name="Ввод  2 21 8 3" xfId="25904"/>
    <cellStyle name="Ввод  2 21 8 3 2" xfId="41265"/>
    <cellStyle name="Ввод  2 21 8 4" xfId="15380"/>
    <cellStyle name="Ввод  2 21 8 5" xfId="30855"/>
    <cellStyle name="Ввод  2 21 9" xfId="5671"/>
    <cellStyle name="Ввод  2 21 9 2" xfId="17220"/>
    <cellStyle name="Ввод  2 21 9 3" xfId="32687"/>
    <cellStyle name="Ввод  2 22" xfId="281"/>
    <cellStyle name="Ввод  2 22 10" xfId="17848"/>
    <cellStyle name="Ввод  2 22 10 2" xfId="33209"/>
    <cellStyle name="Ввод  2 22 11" xfId="10967"/>
    <cellStyle name="Ввод  2 22 12" xfId="10909"/>
    <cellStyle name="Ввод  2 22 2" xfId="905"/>
    <cellStyle name="Ввод  2 22 2 10" xfId="11489"/>
    <cellStyle name="Ввод  2 22 2 11" xfId="27006"/>
    <cellStyle name="Ввод  2 22 2 2" xfId="1637"/>
    <cellStyle name="Ввод  2 22 2 2 2" xfId="2388"/>
    <cellStyle name="Ввод  2 22 2 2 2 2" xfId="7624"/>
    <cellStyle name="Ввод  2 22 2 2 2 2 2" xfId="18526"/>
    <cellStyle name="Ввод  2 22 2 2 2 2 3" xfId="33887"/>
    <cellStyle name="Ввод  2 22 2 2 2 3" xfId="23512"/>
    <cellStyle name="Ввод  2 22 2 2 2 3 2" xfId="38873"/>
    <cellStyle name="Ввод  2 22 2 2 2 4" xfId="12963"/>
    <cellStyle name="Ввод  2 22 2 2 2 5" xfId="28463"/>
    <cellStyle name="Ввод  2 22 2 2 3" xfId="5047"/>
    <cellStyle name="Ввод  2 22 2 2 3 2" xfId="10230"/>
    <cellStyle name="Ввод  2 22 2 2 3 2 2" xfId="21156"/>
    <cellStyle name="Ввод  2 22 2 2 3 2 3" xfId="36517"/>
    <cellStyle name="Ввод  2 22 2 2 3 3" xfId="26117"/>
    <cellStyle name="Ввод  2 22 2 2 3 3 2" xfId="41478"/>
    <cellStyle name="Ввод  2 22 2 2 3 4" xfId="15593"/>
    <cellStyle name="Ввод  2 22 2 2 3 5" xfId="31068"/>
    <cellStyle name="Ввод  2 22 2 2 4" xfId="6883"/>
    <cellStyle name="Ввод  2 22 2 2 4 2" xfId="17779"/>
    <cellStyle name="Ввод  2 22 2 2 4 3" xfId="33140"/>
    <cellStyle name="Ввод  2 22 2 2 5" xfId="22771"/>
    <cellStyle name="Ввод  2 22 2 2 5 2" xfId="38132"/>
    <cellStyle name="Ввод  2 22 2 2 6" xfId="12215"/>
    <cellStyle name="Ввод  2 22 2 2 7" xfId="27722"/>
    <cellStyle name="Ввод  2 22 2 3" xfId="2311"/>
    <cellStyle name="Ввод  2 22 2 3 2" xfId="7547"/>
    <cellStyle name="Ввод  2 22 2 3 2 2" xfId="18449"/>
    <cellStyle name="Ввод  2 22 2 3 2 3" xfId="33810"/>
    <cellStyle name="Ввод  2 22 2 3 3" xfId="23435"/>
    <cellStyle name="Ввод  2 22 2 3 3 2" xfId="38796"/>
    <cellStyle name="Ввод  2 22 2 3 4" xfId="12886"/>
    <cellStyle name="Ввод  2 22 2 3 5" xfId="28386"/>
    <cellStyle name="Ввод  2 22 2 4" xfId="3454"/>
    <cellStyle name="Ввод  2 22 2 4 2" xfId="8641"/>
    <cellStyle name="Ввод  2 22 2 4 2 2" xfId="19568"/>
    <cellStyle name="Ввод  2 22 2 4 2 3" xfId="34929"/>
    <cellStyle name="Ввод  2 22 2 4 3" xfId="24529"/>
    <cellStyle name="Ввод  2 22 2 4 3 2" xfId="39890"/>
    <cellStyle name="Ввод  2 22 2 4 4" xfId="14005"/>
    <cellStyle name="Ввод  2 22 2 4 5" xfId="29480"/>
    <cellStyle name="Ввод  2 22 2 5" xfId="3747"/>
    <cellStyle name="Ввод  2 22 2 5 2" xfId="8934"/>
    <cellStyle name="Ввод  2 22 2 5 2 2" xfId="19861"/>
    <cellStyle name="Ввод  2 22 2 5 2 3" xfId="35222"/>
    <cellStyle name="Ввод  2 22 2 5 3" xfId="24822"/>
    <cellStyle name="Ввод  2 22 2 5 3 2" xfId="40183"/>
    <cellStyle name="Ввод  2 22 2 5 4" xfId="14298"/>
    <cellStyle name="Ввод  2 22 2 5 5" xfId="29773"/>
    <cellStyle name="Ввод  2 22 2 6" xfId="4359"/>
    <cellStyle name="Ввод  2 22 2 6 2" xfId="9546"/>
    <cellStyle name="Ввод  2 22 2 6 2 2" xfId="20473"/>
    <cellStyle name="Ввод  2 22 2 6 2 3" xfId="35834"/>
    <cellStyle name="Ввод  2 22 2 6 3" xfId="25434"/>
    <cellStyle name="Ввод  2 22 2 6 3 2" xfId="40795"/>
    <cellStyle name="Ввод  2 22 2 6 4" xfId="14910"/>
    <cellStyle name="Ввод  2 22 2 6 5" xfId="30385"/>
    <cellStyle name="Ввод  2 22 2 7" xfId="4476"/>
    <cellStyle name="Ввод  2 22 2 7 2" xfId="9663"/>
    <cellStyle name="Ввод  2 22 2 7 2 2" xfId="20590"/>
    <cellStyle name="Ввод  2 22 2 7 2 3" xfId="35951"/>
    <cellStyle name="Ввод  2 22 2 7 3" xfId="25551"/>
    <cellStyle name="Ввод  2 22 2 7 3 2" xfId="40912"/>
    <cellStyle name="Ввод  2 22 2 7 4" xfId="15027"/>
    <cellStyle name="Ввод  2 22 2 7 5" xfId="30502"/>
    <cellStyle name="Ввод  2 22 2 8" xfId="6167"/>
    <cellStyle name="Ввод  2 22 2 8 2" xfId="16700"/>
    <cellStyle name="Ввод  2 22 2 8 3" xfId="32167"/>
    <cellStyle name="Ввод  2 22 2 9" xfId="22055"/>
    <cellStyle name="Ввод  2 22 2 9 2" xfId="37416"/>
    <cellStyle name="Ввод  2 22 3" xfId="1158"/>
    <cellStyle name="Ввод  2 22 3 2" xfId="2760"/>
    <cellStyle name="Ввод  2 22 3 2 2" xfId="7989"/>
    <cellStyle name="Ввод  2 22 3 2 2 2" xfId="18893"/>
    <cellStyle name="Ввод  2 22 3 2 2 3" xfId="34254"/>
    <cellStyle name="Ввод  2 22 3 2 3" xfId="23877"/>
    <cellStyle name="Ввод  2 22 3 2 3 2" xfId="39238"/>
    <cellStyle name="Ввод  2 22 3 2 4" xfId="13330"/>
    <cellStyle name="Ввод  2 22 3 2 5" xfId="28828"/>
    <cellStyle name="Ввод  2 22 3 3" xfId="5048"/>
    <cellStyle name="Ввод  2 22 3 3 2" xfId="10231"/>
    <cellStyle name="Ввод  2 22 3 3 2 2" xfId="21157"/>
    <cellStyle name="Ввод  2 22 3 3 2 3" xfId="36518"/>
    <cellStyle name="Ввод  2 22 3 3 3" xfId="26118"/>
    <cellStyle name="Ввод  2 22 3 3 3 2" xfId="41479"/>
    <cellStyle name="Ввод  2 22 3 3 4" xfId="15594"/>
    <cellStyle name="Ввод  2 22 3 3 5" xfId="31069"/>
    <cellStyle name="Ввод  2 22 3 4" xfId="6412"/>
    <cellStyle name="Ввод  2 22 3 4 2" xfId="16450"/>
    <cellStyle name="Ввод  2 22 3 4 3" xfId="31917"/>
    <cellStyle name="Ввод  2 22 3 5" xfId="22300"/>
    <cellStyle name="Ввод  2 22 3 5 2" xfId="37661"/>
    <cellStyle name="Ввод  2 22 3 6" xfId="11739"/>
    <cellStyle name="Ввод  2 22 3 7" xfId="27251"/>
    <cellStyle name="Ввод  2 22 4" xfId="979"/>
    <cellStyle name="Ввод  2 22 4 2" xfId="6238"/>
    <cellStyle name="Ввод  2 22 4 2 2" xfId="16627"/>
    <cellStyle name="Ввод  2 22 4 2 3" xfId="32094"/>
    <cellStyle name="Ввод  2 22 4 3" xfId="22126"/>
    <cellStyle name="Ввод  2 22 4 3 2" xfId="37487"/>
    <cellStyle name="Ввод  2 22 4 4" xfId="11562"/>
    <cellStyle name="Ввод  2 22 4 5" xfId="27077"/>
    <cellStyle name="Ввод  2 22 5" xfId="3086"/>
    <cellStyle name="Ввод  2 22 5 2" xfId="8281"/>
    <cellStyle name="Ввод  2 22 5 2 2" xfId="19207"/>
    <cellStyle name="Ввод  2 22 5 2 3" xfId="34568"/>
    <cellStyle name="Ввод  2 22 5 3" xfId="24169"/>
    <cellStyle name="Ввод  2 22 5 3 2" xfId="39530"/>
    <cellStyle name="Ввод  2 22 5 4" xfId="13644"/>
    <cellStyle name="Ввод  2 22 5 5" xfId="29120"/>
    <cellStyle name="Ввод  2 22 6" xfId="3500"/>
    <cellStyle name="Ввод  2 22 6 2" xfId="8687"/>
    <cellStyle name="Ввод  2 22 6 2 2" xfId="19614"/>
    <cellStyle name="Ввод  2 22 6 2 3" xfId="34975"/>
    <cellStyle name="Ввод  2 22 6 3" xfId="24575"/>
    <cellStyle name="Ввод  2 22 6 3 2" xfId="39936"/>
    <cellStyle name="Ввод  2 22 6 4" xfId="14051"/>
    <cellStyle name="Ввод  2 22 6 5" xfId="29526"/>
    <cellStyle name="Ввод  2 22 7" xfId="3252"/>
    <cellStyle name="Ввод  2 22 7 2" xfId="8446"/>
    <cellStyle name="Ввод  2 22 7 2 2" xfId="19373"/>
    <cellStyle name="Ввод  2 22 7 2 3" xfId="34734"/>
    <cellStyle name="Ввод  2 22 7 3" xfId="24334"/>
    <cellStyle name="Ввод  2 22 7 3 2" xfId="39695"/>
    <cellStyle name="Ввод  2 22 7 4" xfId="13810"/>
    <cellStyle name="Ввод  2 22 7 5" xfId="29285"/>
    <cellStyle name="Ввод  2 22 8" xfId="4792"/>
    <cellStyle name="Ввод  2 22 8 2" xfId="9979"/>
    <cellStyle name="Ввод  2 22 8 2 2" xfId="20906"/>
    <cellStyle name="Ввод  2 22 8 2 3" xfId="36267"/>
    <cellStyle name="Ввод  2 22 8 3" xfId="25867"/>
    <cellStyle name="Ввод  2 22 8 3 2" xfId="41228"/>
    <cellStyle name="Ввод  2 22 8 4" xfId="15343"/>
    <cellStyle name="Ввод  2 22 8 5" xfId="30818"/>
    <cellStyle name="Ввод  2 22 9" xfId="5672"/>
    <cellStyle name="Ввод  2 22 9 2" xfId="17219"/>
    <cellStyle name="Ввод  2 22 9 3" xfId="32686"/>
    <cellStyle name="Ввод  2 23" xfId="282"/>
    <cellStyle name="Ввод  2 23 10" xfId="18927"/>
    <cellStyle name="Ввод  2 23 10 2" xfId="34288"/>
    <cellStyle name="Ввод  2 23 11" xfId="10968"/>
    <cellStyle name="Ввод  2 23 12" xfId="10908"/>
    <cellStyle name="Ввод  2 23 2" xfId="904"/>
    <cellStyle name="Ввод  2 23 2 10" xfId="11488"/>
    <cellStyle name="Ввод  2 23 2 11" xfId="27005"/>
    <cellStyle name="Ввод  2 23 2 2" xfId="1732"/>
    <cellStyle name="Ввод  2 23 2 2 2" xfId="2390"/>
    <cellStyle name="Ввод  2 23 2 2 2 2" xfId="7626"/>
    <cellStyle name="Ввод  2 23 2 2 2 2 2" xfId="18528"/>
    <cellStyle name="Ввод  2 23 2 2 2 2 3" xfId="33889"/>
    <cellStyle name="Ввод  2 23 2 2 2 3" xfId="23514"/>
    <cellStyle name="Ввод  2 23 2 2 2 3 2" xfId="38875"/>
    <cellStyle name="Ввод  2 23 2 2 2 4" xfId="12965"/>
    <cellStyle name="Ввод  2 23 2 2 2 5" xfId="28465"/>
    <cellStyle name="Ввод  2 23 2 2 3" xfId="5049"/>
    <cellStyle name="Ввод  2 23 2 2 3 2" xfId="10232"/>
    <cellStyle name="Ввод  2 23 2 2 3 2 2" xfId="21158"/>
    <cellStyle name="Ввод  2 23 2 2 3 2 3" xfId="36519"/>
    <cellStyle name="Ввод  2 23 2 2 3 3" xfId="26119"/>
    <cellStyle name="Ввод  2 23 2 2 3 3 2" xfId="41480"/>
    <cellStyle name="Ввод  2 23 2 2 3 4" xfId="15595"/>
    <cellStyle name="Ввод  2 23 2 2 3 5" xfId="31070"/>
    <cellStyle name="Ввод  2 23 2 2 4" xfId="6972"/>
    <cellStyle name="Ввод  2 23 2 2 4 2" xfId="17873"/>
    <cellStyle name="Ввод  2 23 2 2 4 3" xfId="33234"/>
    <cellStyle name="Ввод  2 23 2 2 5" xfId="22860"/>
    <cellStyle name="Ввод  2 23 2 2 5 2" xfId="38221"/>
    <cellStyle name="Ввод  2 23 2 2 6" xfId="12310"/>
    <cellStyle name="Ввод  2 23 2 2 7" xfId="27811"/>
    <cellStyle name="Ввод  2 23 2 3" xfId="2310"/>
    <cellStyle name="Ввод  2 23 2 3 2" xfId="7546"/>
    <cellStyle name="Ввод  2 23 2 3 2 2" xfId="18448"/>
    <cellStyle name="Ввод  2 23 2 3 2 3" xfId="33809"/>
    <cellStyle name="Ввод  2 23 2 3 3" xfId="23434"/>
    <cellStyle name="Ввод  2 23 2 3 3 2" xfId="38795"/>
    <cellStyle name="Ввод  2 23 2 3 4" xfId="12885"/>
    <cellStyle name="Ввод  2 23 2 3 5" xfId="28385"/>
    <cellStyle name="Ввод  2 23 2 4" xfId="3453"/>
    <cellStyle name="Ввод  2 23 2 4 2" xfId="8640"/>
    <cellStyle name="Ввод  2 23 2 4 2 2" xfId="19567"/>
    <cellStyle name="Ввод  2 23 2 4 2 3" xfId="34928"/>
    <cellStyle name="Ввод  2 23 2 4 3" xfId="24528"/>
    <cellStyle name="Ввод  2 23 2 4 3 2" xfId="39889"/>
    <cellStyle name="Ввод  2 23 2 4 4" xfId="14004"/>
    <cellStyle name="Ввод  2 23 2 4 5" xfId="29479"/>
    <cellStyle name="Ввод  2 23 2 5" xfId="3676"/>
    <cellStyle name="Ввод  2 23 2 5 2" xfId="8863"/>
    <cellStyle name="Ввод  2 23 2 5 2 2" xfId="19790"/>
    <cellStyle name="Ввод  2 23 2 5 2 3" xfId="35151"/>
    <cellStyle name="Ввод  2 23 2 5 3" xfId="24751"/>
    <cellStyle name="Ввод  2 23 2 5 3 2" xfId="40112"/>
    <cellStyle name="Ввод  2 23 2 5 4" xfId="14227"/>
    <cellStyle name="Ввод  2 23 2 5 5" xfId="29702"/>
    <cellStyle name="Ввод  2 23 2 6" xfId="4358"/>
    <cellStyle name="Ввод  2 23 2 6 2" xfId="9545"/>
    <cellStyle name="Ввод  2 23 2 6 2 2" xfId="20472"/>
    <cellStyle name="Ввод  2 23 2 6 2 3" xfId="35833"/>
    <cellStyle name="Ввод  2 23 2 6 3" xfId="25433"/>
    <cellStyle name="Ввод  2 23 2 6 3 2" xfId="40794"/>
    <cellStyle name="Ввод  2 23 2 6 4" xfId="14909"/>
    <cellStyle name="Ввод  2 23 2 6 5" xfId="30384"/>
    <cellStyle name="Ввод  2 23 2 7" xfId="4477"/>
    <cellStyle name="Ввод  2 23 2 7 2" xfId="9664"/>
    <cellStyle name="Ввод  2 23 2 7 2 2" xfId="20591"/>
    <cellStyle name="Ввод  2 23 2 7 2 3" xfId="35952"/>
    <cellStyle name="Ввод  2 23 2 7 3" xfId="25552"/>
    <cellStyle name="Ввод  2 23 2 7 3 2" xfId="40913"/>
    <cellStyle name="Ввод  2 23 2 7 4" xfId="15028"/>
    <cellStyle name="Ввод  2 23 2 7 5" xfId="30503"/>
    <cellStyle name="Ввод  2 23 2 8" xfId="6166"/>
    <cellStyle name="Ввод  2 23 2 8 2" xfId="16701"/>
    <cellStyle name="Ввод  2 23 2 8 3" xfId="32168"/>
    <cellStyle name="Ввод  2 23 2 9" xfId="22054"/>
    <cellStyle name="Ввод  2 23 2 9 2" xfId="37415"/>
    <cellStyle name="Ввод  2 23 3" xfId="1498"/>
    <cellStyle name="Ввод  2 23 3 2" xfId="2391"/>
    <cellStyle name="Ввод  2 23 3 2 2" xfId="7627"/>
    <cellStyle name="Ввод  2 23 3 2 2 2" xfId="18529"/>
    <cellStyle name="Ввод  2 23 3 2 2 3" xfId="33890"/>
    <cellStyle name="Ввод  2 23 3 2 3" xfId="23515"/>
    <cellStyle name="Ввод  2 23 3 2 3 2" xfId="38876"/>
    <cellStyle name="Ввод  2 23 3 2 4" xfId="12966"/>
    <cellStyle name="Ввод  2 23 3 2 5" xfId="28466"/>
    <cellStyle name="Ввод  2 23 3 3" xfId="5050"/>
    <cellStyle name="Ввод  2 23 3 3 2" xfId="10233"/>
    <cellStyle name="Ввод  2 23 3 3 2 2" xfId="21159"/>
    <cellStyle name="Ввод  2 23 3 3 2 3" xfId="36520"/>
    <cellStyle name="Ввод  2 23 3 3 3" xfId="26120"/>
    <cellStyle name="Ввод  2 23 3 3 3 2" xfId="41481"/>
    <cellStyle name="Ввод  2 23 3 3 4" xfId="15596"/>
    <cellStyle name="Ввод  2 23 3 3 5" xfId="31071"/>
    <cellStyle name="Ввод  2 23 3 4" xfId="6745"/>
    <cellStyle name="Ввод  2 23 3 4 2" xfId="16113"/>
    <cellStyle name="Ввод  2 23 3 4 3" xfId="31580"/>
    <cellStyle name="Ввод  2 23 3 5" xfId="22633"/>
    <cellStyle name="Ввод  2 23 3 5 2" xfId="37994"/>
    <cellStyle name="Ввод  2 23 3 6" xfId="12076"/>
    <cellStyle name="Ввод  2 23 3 7" xfId="27584"/>
    <cellStyle name="Ввод  2 23 4" xfId="1556"/>
    <cellStyle name="Ввод  2 23 4 2" xfId="6803"/>
    <cellStyle name="Ввод  2 23 4 2 2" xfId="17698"/>
    <cellStyle name="Ввод  2 23 4 2 3" xfId="33059"/>
    <cellStyle name="Ввод  2 23 4 3" xfId="22691"/>
    <cellStyle name="Ввод  2 23 4 3 2" xfId="38052"/>
    <cellStyle name="Ввод  2 23 4 4" xfId="12134"/>
    <cellStyle name="Ввод  2 23 4 5" xfId="27642"/>
    <cellStyle name="Ввод  2 23 5" xfId="3085"/>
    <cellStyle name="Ввод  2 23 5 2" xfId="8280"/>
    <cellStyle name="Ввод  2 23 5 2 2" xfId="19206"/>
    <cellStyle name="Ввод  2 23 5 2 3" xfId="34567"/>
    <cellStyle name="Ввод  2 23 5 3" xfId="24168"/>
    <cellStyle name="Ввод  2 23 5 3 2" xfId="39529"/>
    <cellStyle name="Ввод  2 23 5 4" xfId="13643"/>
    <cellStyle name="Ввод  2 23 5 5" xfId="29119"/>
    <cellStyle name="Ввод  2 23 6" xfId="3939"/>
    <cellStyle name="Ввод  2 23 6 2" xfId="9126"/>
    <cellStyle name="Ввод  2 23 6 2 2" xfId="20053"/>
    <cellStyle name="Ввод  2 23 6 2 3" xfId="35414"/>
    <cellStyle name="Ввод  2 23 6 3" xfId="25014"/>
    <cellStyle name="Ввод  2 23 6 3 2" xfId="40375"/>
    <cellStyle name="Ввод  2 23 6 4" xfId="14490"/>
    <cellStyle name="Ввод  2 23 6 5" xfId="29965"/>
    <cellStyle name="Ввод  2 23 7" xfId="3889"/>
    <cellStyle name="Ввод  2 23 7 2" xfId="9076"/>
    <cellStyle name="Ввод  2 23 7 2 2" xfId="20003"/>
    <cellStyle name="Ввод  2 23 7 2 3" xfId="35364"/>
    <cellStyle name="Ввод  2 23 7 3" xfId="24964"/>
    <cellStyle name="Ввод  2 23 7 3 2" xfId="40325"/>
    <cellStyle name="Ввод  2 23 7 4" xfId="14440"/>
    <cellStyle name="Ввод  2 23 7 5" xfId="29915"/>
    <cellStyle name="Ввод  2 23 8" xfId="4830"/>
    <cellStyle name="Ввод  2 23 8 2" xfId="10017"/>
    <cellStyle name="Ввод  2 23 8 2 2" xfId="20944"/>
    <cellStyle name="Ввод  2 23 8 2 3" xfId="36305"/>
    <cellStyle name="Ввод  2 23 8 3" xfId="25905"/>
    <cellStyle name="Ввод  2 23 8 3 2" xfId="41266"/>
    <cellStyle name="Ввод  2 23 8 4" xfId="15381"/>
    <cellStyle name="Ввод  2 23 8 5" xfId="30856"/>
    <cellStyle name="Ввод  2 23 9" xfId="5673"/>
    <cellStyle name="Ввод  2 23 9 2" xfId="17218"/>
    <cellStyle name="Ввод  2 23 9 3" xfId="32685"/>
    <cellStyle name="Ввод  2 24" xfId="940"/>
    <cellStyle name="Ввод  2 24 10" xfId="11524"/>
    <cellStyle name="Ввод  2 24 11" xfId="27041"/>
    <cellStyle name="Ввод  2 24 2" xfId="1364"/>
    <cellStyle name="Ввод  2 24 2 2" xfId="2581"/>
    <cellStyle name="Ввод  2 24 2 2 2" xfId="7814"/>
    <cellStyle name="Ввод  2 24 2 2 2 2" xfId="18716"/>
    <cellStyle name="Ввод  2 24 2 2 2 3" xfId="34077"/>
    <cellStyle name="Ввод  2 24 2 2 3" xfId="23702"/>
    <cellStyle name="Ввод  2 24 2 2 3 2" xfId="39063"/>
    <cellStyle name="Ввод  2 24 2 2 4" xfId="13153"/>
    <cellStyle name="Ввод  2 24 2 2 5" xfId="28653"/>
    <cellStyle name="Ввод  2 24 2 3" xfId="5051"/>
    <cellStyle name="Ввод  2 24 2 3 2" xfId="10234"/>
    <cellStyle name="Ввод  2 24 2 3 2 2" xfId="21160"/>
    <cellStyle name="Ввод  2 24 2 3 2 3" xfId="36521"/>
    <cellStyle name="Ввод  2 24 2 3 3" xfId="26121"/>
    <cellStyle name="Ввод  2 24 2 3 3 2" xfId="41482"/>
    <cellStyle name="Ввод  2 24 2 3 4" xfId="15597"/>
    <cellStyle name="Ввод  2 24 2 3 5" xfId="31072"/>
    <cellStyle name="Ввод  2 24 2 4" xfId="6615"/>
    <cellStyle name="Ввод  2 24 2 4 2" xfId="16245"/>
    <cellStyle name="Ввод  2 24 2 4 3" xfId="31712"/>
    <cellStyle name="Ввод  2 24 2 5" xfId="22503"/>
    <cellStyle name="Ввод  2 24 2 5 2" xfId="37864"/>
    <cellStyle name="Ввод  2 24 2 6" xfId="11944"/>
    <cellStyle name="Ввод  2 24 2 7" xfId="27454"/>
    <cellStyle name="Ввод  2 24 3" xfId="2346"/>
    <cellStyle name="Ввод  2 24 3 2" xfId="7582"/>
    <cellStyle name="Ввод  2 24 3 2 2" xfId="18484"/>
    <cellStyle name="Ввод  2 24 3 2 3" xfId="33845"/>
    <cellStyle name="Ввод  2 24 3 3" xfId="23470"/>
    <cellStyle name="Ввод  2 24 3 3 2" xfId="38831"/>
    <cellStyle name="Ввод  2 24 3 4" xfId="12921"/>
    <cellStyle name="Ввод  2 24 3 5" xfId="28421"/>
    <cellStyle name="Ввод  2 24 4" xfId="3489"/>
    <cellStyle name="Ввод  2 24 4 2" xfId="8676"/>
    <cellStyle name="Ввод  2 24 4 2 2" xfId="19603"/>
    <cellStyle name="Ввод  2 24 4 2 3" xfId="34964"/>
    <cellStyle name="Ввод  2 24 4 3" xfId="24564"/>
    <cellStyle name="Ввод  2 24 4 3 2" xfId="39925"/>
    <cellStyle name="Ввод  2 24 4 4" xfId="14040"/>
    <cellStyle name="Ввод  2 24 4 5" xfId="29515"/>
    <cellStyle name="Ввод  2 24 5" xfId="3693"/>
    <cellStyle name="Ввод  2 24 5 2" xfId="8880"/>
    <cellStyle name="Ввод  2 24 5 2 2" xfId="19807"/>
    <cellStyle name="Ввод  2 24 5 2 3" xfId="35168"/>
    <cellStyle name="Ввод  2 24 5 3" xfId="24768"/>
    <cellStyle name="Ввод  2 24 5 3 2" xfId="40129"/>
    <cellStyle name="Ввод  2 24 5 4" xfId="14244"/>
    <cellStyle name="Ввод  2 24 5 5" xfId="29719"/>
    <cellStyle name="Ввод  2 24 6" xfId="4394"/>
    <cellStyle name="Ввод  2 24 6 2" xfId="9581"/>
    <cellStyle name="Ввод  2 24 6 2 2" xfId="20508"/>
    <cellStyle name="Ввод  2 24 6 2 3" xfId="35869"/>
    <cellStyle name="Ввод  2 24 6 3" xfId="25469"/>
    <cellStyle name="Ввод  2 24 6 3 2" xfId="40830"/>
    <cellStyle name="Ввод  2 24 6 4" xfId="14945"/>
    <cellStyle name="Ввод  2 24 6 5" xfId="30420"/>
    <cellStyle name="Ввод  2 24 7" xfId="4441"/>
    <cellStyle name="Ввод  2 24 7 2" xfId="9628"/>
    <cellStyle name="Ввод  2 24 7 2 2" xfId="20555"/>
    <cellStyle name="Ввод  2 24 7 2 3" xfId="35916"/>
    <cellStyle name="Ввод  2 24 7 3" xfId="25516"/>
    <cellStyle name="Ввод  2 24 7 3 2" xfId="40877"/>
    <cellStyle name="Ввод  2 24 7 4" xfId="14992"/>
    <cellStyle name="Ввод  2 24 7 5" xfId="30467"/>
    <cellStyle name="Ввод  2 24 8" xfId="6202"/>
    <cellStyle name="Ввод  2 24 8 2" xfId="16665"/>
    <cellStyle name="Ввод  2 24 8 3" xfId="32132"/>
    <cellStyle name="Ввод  2 24 9" xfId="22090"/>
    <cellStyle name="Ввод  2 24 9 2" xfId="37451"/>
    <cellStyle name="Ввод  2 25" xfId="1644"/>
    <cellStyle name="Ввод  2 25 2" xfId="1674"/>
    <cellStyle name="Ввод  2 25 2 2" xfId="6919"/>
    <cellStyle name="Ввод  2 25 2 2 2" xfId="17816"/>
    <cellStyle name="Ввод  2 25 2 2 3" xfId="33177"/>
    <cellStyle name="Ввод  2 25 2 3" xfId="22807"/>
    <cellStyle name="Ввод  2 25 2 3 2" xfId="38168"/>
    <cellStyle name="Ввод  2 25 2 4" xfId="12252"/>
    <cellStyle name="Ввод  2 25 2 5" xfId="27758"/>
    <cellStyle name="Ввод  2 25 3" xfId="5052"/>
    <cellStyle name="Ввод  2 25 3 2" xfId="10235"/>
    <cellStyle name="Ввод  2 25 3 2 2" xfId="21161"/>
    <cellStyle name="Ввод  2 25 3 2 3" xfId="36522"/>
    <cellStyle name="Ввод  2 25 3 3" xfId="26122"/>
    <cellStyle name="Ввод  2 25 3 3 2" xfId="41483"/>
    <cellStyle name="Ввод  2 25 3 4" xfId="15598"/>
    <cellStyle name="Ввод  2 25 3 5" xfId="31073"/>
    <cellStyle name="Ввод  2 25 4" xfId="6890"/>
    <cellStyle name="Ввод  2 25 4 2" xfId="17786"/>
    <cellStyle name="Ввод  2 25 4 3" xfId="33147"/>
    <cellStyle name="Ввод  2 25 5" xfId="22778"/>
    <cellStyle name="Ввод  2 25 5 2" xfId="38139"/>
    <cellStyle name="Ввод  2 25 6" xfId="12222"/>
    <cellStyle name="Ввод  2 25 7" xfId="27729"/>
    <cellStyle name="Ввод  2 26" xfId="1704"/>
    <cellStyle name="Ввод  2 26 2" xfId="5053"/>
    <cellStyle name="Ввод  2 26 2 2" xfId="10236"/>
    <cellStyle name="Ввод  2 26 2 2 2" xfId="21162"/>
    <cellStyle name="Ввод  2 26 2 2 3" xfId="36523"/>
    <cellStyle name="Ввод  2 26 2 3" xfId="26123"/>
    <cellStyle name="Ввод  2 26 2 3 2" xfId="41484"/>
    <cellStyle name="Ввод  2 26 2 4" xfId="15599"/>
    <cellStyle name="Ввод  2 26 2 5" xfId="31074"/>
    <cellStyle name="Ввод  2 26 3" xfId="6947"/>
    <cellStyle name="Ввод  2 26 3 2" xfId="17846"/>
    <cellStyle name="Ввод  2 26 3 3" xfId="33207"/>
    <cellStyle name="Ввод  2 26 4" xfId="22835"/>
    <cellStyle name="Ввод  2 26 4 2" xfId="38196"/>
    <cellStyle name="Ввод  2 26 5" xfId="12282"/>
    <cellStyle name="Ввод  2 26 6" xfId="27786"/>
    <cellStyle name="Ввод  2 27" xfId="2785"/>
    <cellStyle name="Ввод  2 27 2" xfId="8014"/>
    <cellStyle name="Ввод  2 27 2 2" xfId="18918"/>
    <cellStyle name="Ввод  2 27 2 3" xfId="34279"/>
    <cellStyle name="Ввод  2 27 3" xfId="23902"/>
    <cellStyle name="Ввод  2 27 3 2" xfId="39263"/>
    <cellStyle name="Ввод  2 27 4" xfId="13355"/>
    <cellStyle name="Ввод  2 27 5" xfId="28853"/>
    <cellStyle name="Ввод  2 27 6" xfId="44021"/>
    <cellStyle name="Ввод  2 28" xfId="3157"/>
    <cellStyle name="Ввод  2 28 2" xfId="8352"/>
    <cellStyle name="Ввод  2 28 2 2" xfId="19278"/>
    <cellStyle name="Ввод  2 28 2 3" xfId="34639"/>
    <cellStyle name="Ввод  2 28 3" xfId="24240"/>
    <cellStyle name="Ввод  2 28 3 2" xfId="39601"/>
    <cellStyle name="Ввод  2 28 4" xfId="13715"/>
    <cellStyle name="Ввод  2 28 5" xfId="29191"/>
    <cellStyle name="Ввод  2 29" xfId="3869"/>
    <cellStyle name="Ввод  2 29 2" xfId="9056"/>
    <cellStyle name="Ввод  2 29 2 2" xfId="19983"/>
    <cellStyle name="Ввод  2 29 2 3" xfId="35344"/>
    <cellStyle name="Ввод  2 29 3" xfId="24944"/>
    <cellStyle name="Ввод  2 29 3 2" xfId="40305"/>
    <cellStyle name="Ввод  2 29 4" xfId="14420"/>
    <cellStyle name="Ввод  2 29 5" xfId="29895"/>
    <cellStyle name="Ввод  2 3" xfId="283"/>
    <cellStyle name="Ввод  2 3 10" xfId="17278"/>
    <cellStyle name="Ввод  2 3 10 2" xfId="32745"/>
    <cellStyle name="Ввод  2 3 11" xfId="10969"/>
    <cellStyle name="Ввод  2 3 12" xfId="12284"/>
    <cellStyle name="Ввод  2 3 2" xfId="903"/>
    <cellStyle name="Ввод  2 3 2 10" xfId="11487"/>
    <cellStyle name="Ввод  2 3 2 11" xfId="27004"/>
    <cellStyle name="Ввод  2 3 2 2" xfId="1353"/>
    <cellStyle name="Ввод  2 3 2 2 2" xfId="2582"/>
    <cellStyle name="Ввод  2 3 2 2 2 2" xfId="7815"/>
    <cellStyle name="Ввод  2 3 2 2 2 2 2" xfId="18717"/>
    <cellStyle name="Ввод  2 3 2 2 2 2 3" xfId="34078"/>
    <cellStyle name="Ввод  2 3 2 2 2 3" xfId="23703"/>
    <cellStyle name="Ввод  2 3 2 2 2 3 2" xfId="39064"/>
    <cellStyle name="Ввод  2 3 2 2 2 4" xfId="13154"/>
    <cellStyle name="Ввод  2 3 2 2 2 5" xfId="28654"/>
    <cellStyle name="Ввод  2 3 2 2 3" xfId="5054"/>
    <cellStyle name="Ввод  2 3 2 2 3 2" xfId="10237"/>
    <cellStyle name="Ввод  2 3 2 2 3 2 2" xfId="21163"/>
    <cellStyle name="Ввод  2 3 2 2 3 2 3" xfId="36524"/>
    <cellStyle name="Ввод  2 3 2 2 3 3" xfId="26124"/>
    <cellStyle name="Ввод  2 3 2 2 3 3 2" xfId="41485"/>
    <cellStyle name="Ввод  2 3 2 2 3 4" xfId="15600"/>
    <cellStyle name="Ввод  2 3 2 2 3 5" xfId="31075"/>
    <cellStyle name="Ввод  2 3 2 2 4" xfId="6605"/>
    <cellStyle name="Ввод  2 3 2 2 4 2" xfId="16255"/>
    <cellStyle name="Ввод  2 3 2 2 4 3" xfId="31722"/>
    <cellStyle name="Ввод  2 3 2 2 5" xfId="22493"/>
    <cellStyle name="Ввод  2 3 2 2 5 2" xfId="37854"/>
    <cellStyle name="Ввод  2 3 2 2 6" xfId="11934"/>
    <cellStyle name="Ввод  2 3 2 2 7" xfId="27444"/>
    <cellStyle name="Ввод  2 3 2 3" xfId="2309"/>
    <cellStyle name="Ввод  2 3 2 3 2" xfId="7545"/>
    <cellStyle name="Ввод  2 3 2 3 2 2" xfId="18447"/>
    <cellStyle name="Ввод  2 3 2 3 2 3" xfId="33808"/>
    <cellStyle name="Ввод  2 3 2 3 3" xfId="23433"/>
    <cellStyle name="Ввод  2 3 2 3 3 2" xfId="38794"/>
    <cellStyle name="Ввод  2 3 2 3 4" xfId="12884"/>
    <cellStyle name="Ввод  2 3 2 3 5" xfId="28384"/>
    <cellStyle name="Ввод  2 3 2 4" xfId="3452"/>
    <cellStyle name="Ввод  2 3 2 4 2" xfId="8639"/>
    <cellStyle name="Ввод  2 3 2 4 2 2" xfId="19566"/>
    <cellStyle name="Ввод  2 3 2 4 2 3" xfId="34927"/>
    <cellStyle name="Ввод  2 3 2 4 3" xfId="24527"/>
    <cellStyle name="Ввод  2 3 2 4 3 2" xfId="39888"/>
    <cellStyle name="Ввод  2 3 2 4 4" xfId="14003"/>
    <cellStyle name="Ввод  2 3 2 4 5" xfId="29478"/>
    <cellStyle name="Ввод  2 3 2 5" xfId="3748"/>
    <cellStyle name="Ввод  2 3 2 5 2" xfId="8935"/>
    <cellStyle name="Ввод  2 3 2 5 2 2" xfId="19862"/>
    <cellStyle name="Ввод  2 3 2 5 2 3" xfId="35223"/>
    <cellStyle name="Ввод  2 3 2 5 3" xfId="24823"/>
    <cellStyle name="Ввод  2 3 2 5 3 2" xfId="40184"/>
    <cellStyle name="Ввод  2 3 2 5 4" xfId="14299"/>
    <cellStyle name="Ввод  2 3 2 5 5" xfId="29774"/>
    <cellStyle name="Ввод  2 3 2 6" xfId="4357"/>
    <cellStyle name="Ввод  2 3 2 6 2" xfId="9544"/>
    <cellStyle name="Ввод  2 3 2 6 2 2" xfId="20471"/>
    <cellStyle name="Ввод  2 3 2 6 2 3" xfId="35832"/>
    <cellStyle name="Ввод  2 3 2 6 3" xfId="25432"/>
    <cellStyle name="Ввод  2 3 2 6 3 2" xfId="40793"/>
    <cellStyle name="Ввод  2 3 2 6 4" xfId="14908"/>
    <cellStyle name="Ввод  2 3 2 6 5" xfId="30383"/>
    <cellStyle name="Ввод  2 3 2 6 6" xfId="44358"/>
    <cellStyle name="Ввод  2 3 2 7" xfId="4478"/>
    <cellStyle name="Ввод  2 3 2 7 2" xfId="9665"/>
    <cellStyle name="Ввод  2 3 2 7 2 2" xfId="20592"/>
    <cellStyle name="Ввод  2 3 2 7 2 3" xfId="35953"/>
    <cellStyle name="Ввод  2 3 2 7 3" xfId="25553"/>
    <cellStyle name="Ввод  2 3 2 7 3 2" xfId="40914"/>
    <cellStyle name="Ввод  2 3 2 7 4" xfId="15029"/>
    <cellStyle name="Ввод  2 3 2 7 5" xfId="30504"/>
    <cellStyle name="Ввод  2 3 2 8" xfId="6165"/>
    <cellStyle name="Ввод  2 3 2 8 2" xfId="16702"/>
    <cellStyle name="Ввод  2 3 2 8 3" xfId="32169"/>
    <cellStyle name="Ввод  2 3 2 9" xfId="22053"/>
    <cellStyle name="Ввод  2 3 2 9 2" xfId="37414"/>
    <cellStyle name="Ввод  2 3 3" xfId="1478"/>
    <cellStyle name="Ввод  2 3 3 2" xfId="2036"/>
    <cellStyle name="Ввод  2 3 3 2 2" xfId="7272"/>
    <cellStyle name="Ввод  2 3 3 2 2 2" xfId="18174"/>
    <cellStyle name="Ввод  2 3 3 2 2 3" xfId="33535"/>
    <cellStyle name="Ввод  2 3 3 2 3" xfId="23160"/>
    <cellStyle name="Ввод  2 3 3 2 3 2" xfId="38521"/>
    <cellStyle name="Ввод  2 3 3 2 4" xfId="12611"/>
    <cellStyle name="Ввод  2 3 3 2 5" xfId="28111"/>
    <cellStyle name="Ввод  2 3 3 3" xfId="5055"/>
    <cellStyle name="Ввод  2 3 3 3 2" xfId="10238"/>
    <cellStyle name="Ввод  2 3 3 3 2 2" xfId="21164"/>
    <cellStyle name="Ввод  2 3 3 3 2 3" xfId="36525"/>
    <cellStyle name="Ввод  2 3 3 3 3" xfId="26125"/>
    <cellStyle name="Ввод  2 3 3 3 3 2" xfId="41486"/>
    <cellStyle name="Ввод  2 3 3 3 4" xfId="15601"/>
    <cellStyle name="Ввод  2 3 3 3 5" xfId="31076"/>
    <cellStyle name="Ввод  2 3 3 4" xfId="6725"/>
    <cellStyle name="Ввод  2 3 3 4 2" xfId="16133"/>
    <cellStyle name="Ввод  2 3 3 4 3" xfId="31600"/>
    <cellStyle name="Ввод  2 3 3 5" xfId="22613"/>
    <cellStyle name="Ввод  2 3 3 5 2" xfId="37974"/>
    <cellStyle name="Ввод  2 3 3 6" xfId="12056"/>
    <cellStyle name="Ввод  2 3 3 7" xfId="27564"/>
    <cellStyle name="Ввод  2 3 4" xfId="1438"/>
    <cellStyle name="Ввод  2 3 4 2" xfId="6686"/>
    <cellStyle name="Ввод  2 3 4 2 2" xfId="16172"/>
    <cellStyle name="Ввод  2 3 4 2 3" xfId="31639"/>
    <cellStyle name="Ввод  2 3 4 3" xfId="22574"/>
    <cellStyle name="Ввод  2 3 4 3 2" xfId="37935"/>
    <cellStyle name="Ввод  2 3 4 4" xfId="12017"/>
    <cellStyle name="Ввод  2 3 4 5" xfId="27525"/>
    <cellStyle name="Ввод  2 3 5" xfId="3082"/>
    <cellStyle name="Ввод  2 3 5 2" xfId="8277"/>
    <cellStyle name="Ввод  2 3 5 2 2" xfId="19203"/>
    <cellStyle name="Ввод  2 3 5 2 3" xfId="34564"/>
    <cellStyle name="Ввод  2 3 5 3" xfId="24165"/>
    <cellStyle name="Ввод  2 3 5 3 2" xfId="39526"/>
    <cellStyle name="Ввод  2 3 5 4" xfId="13640"/>
    <cellStyle name="Ввод  2 3 5 5" xfId="29116"/>
    <cellStyle name="Ввод  2 3 6" xfId="3501"/>
    <cellStyle name="Ввод  2 3 6 2" xfId="8688"/>
    <cellStyle name="Ввод  2 3 6 2 2" xfId="19615"/>
    <cellStyle name="Ввод  2 3 6 2 3" xfId="34976"/>
    <cellStyle name="Ввод  2 3 6 3" xfId="24576"/>
    <cellStyle name="Ввод  2 3 6 3 2" xfId="39937"/>
    <cellStyle name="Ввод  2 3 6 4" xfId="14052"/>
    <cellStyle name="Ввод  2 3 6 5" xfId="29527"/>
    <cellStyle name="Ввод  2 3 6 6" xfId="44359"/>
    <cellStyle name="Ввод  2 3 7" xfId="3878"/>
    <cellStyle name="Ввод  2 3 7 2" xfId="9065"/>
    <cellStyle name="Ввод  2 3 7 2 2" xfId="19992"/>
    <cellStyle name="Ввод  2 3 7 2 3" xfId="35353"/>
    <cellStyle name="Ввод  2 3 7 3" xfId="24953"/>
    <cellStyle name="Ввод  2 3 7 3 2" xfId="40314"/>
    <cellStyle name="Ввод  2 3 7 4" xfId="14429"/>
    <cellStyle name="Ввод  2 3 7 5" xfId="29904"/>
    <cellStyle name="Ввод  2 3 8" xfId="4791"/>
    <cellStyle name="Ввод  2 3 8 2" xfId="9978"/>
    <cellStyle name="Ввод  2 3 8 2 2" xfId="20905"/>
    <cellStyle name="Ввод  2 3 8 2 3" xfId="36266"/>
    <cellStyle name="Ввод  2 3 8 3" xfId="25866"/>
    <cellStyle name="Ввод  2 3 8 3 2" xfId="41227"/>
    <cellStyle name="Ввод  2 3 8 4" xfId="15342"/>
    <cellStyle name="Ввод  2 3 8 5" xfId="30817"/>
    <cellStyle name="Ввод  2 3 9" xfId="5674"/>
    <cellStyle name="Ввод  2 3 9 2" xfId="17217"/>
    <cellStyle name="Ввод  2 3 9 3" xfId="32684"/>
    <cellStyle name="Ввод  2 30" xfId="3376"/>
    <cellStyle name="Ввод  2 30 2" xfId="8570"/>
    <cellStyle name="Ввод  2 30 2 2" xfId="19497"/>
    <cellStyle name="Ввод  2 30 2 3" xfId="34858"/>
    <cellStyle name="Ввод  2 30 3" xfId="24458"/>
    <cellStyle name="Ввод  2 30 3 2" xfId="39819"/>
    <cellStyle name="Ввод  2 30 4" xfId="13934"/>
    <cellStyle name="Ввод  2 30 5" xfId="29409"/>
    <cellStyle name="Ввод  2 31" xfId="4809"/>
    <cellStyle name="Ввод  2 31 2" xfId="9996"/>
    <cellStyle name="Ввод  2 31 2 2" xfId="20923"/>
    <cellStyle name="Ввод  2 31 2 3" xfId="36284"/>
    <cellStyle name="Ввод  2 31 3" xfId="25884"/>
    <cellStyle name="Ввод  2 31 3 2" xfId="41245"/>
    <cellStyle name="Ввод  2 31 4" xfId="15360"/>
    <cellStyle name="Ввод  2 31 5" xfId="30835"/>
    <cellStyle name="Ввод  2 32" xfId="4978"/>
    <cellStyle name="Ввод  2 32 2" xfId="10161"/>
    <cellStyle name="Ввод  2 32 2 2" xfId="21087"/>
    <cellStyle name="Ввод  2 32 2 3" xfId="36448"/>
    <cellStyle name="Ввод  2 32 3" xfId="26048"/>
    <cellStyle name="Ввод  2 32 3 2" xfId="41409"/>
    <cellStyle name="Ввод  2 32 4" xfId="15524"/>
    <cellStyle name="Ввод  2 32 5" xfId="30999"/>
    <cellStyle name="Ввод  2 33" xfId="5637"/>
    <cellStyle name="Ввод  2 33 2" xfId="17254"/>
    <cellStyle name="Ввод  2 33 3" xfId="32721"/>
    <cellStyle name="Ввод  2 34" xfId="18919"/>
    <cellStyle name="Ввод  2 34 2" xfId="34280"/>
    <cellStyle name="Ввод  2 35" xfId="10932"/>
    <cellStyle name="Ввод  2 36" xfId="10931"/>
    <cellStyle name="Ввод  2 4" xfId="284"/>
    <cellStyle name="Ввод  2 4 10" xfId="17279"/>
    <cellStyle name="Ввод  2 4 10 2" xfId="32746"/>
    <cellStyle name="Ввод  2 4 11" xfId="10970"/>
    <cellStyle name="Ввод  2 4 12" xfId="13364"/>
    <cellStyle name="Ввод  2 4 2" xfId="902"/>
    <cellStyle name="Ввод  2 4 2 10" xfId="11486"/>
    <cellStyle name="Ввод  2 4 2 11" xfId="27003"/>
    <cellStyle name="Ввод  2 4 2 2" xfId="1393"/>
    <cellStyle name="Ввод  2 4 2 2 2" xfId="2393"/>
    <cellStyle name="Ввод  2 4 2 2 2 2" xfId="7629"/>
    <cellStyle name="Ввод  2 4 2 2 2 2 2" xfId="18531"/>
    <cellStyle name="Ввод  2 4 2 2 2 2 3" xfId="33892"/>
    <cellStyle name="Ввод  2 4 2 2 2 3" xfId="23517"/>
    <cellStyle name="Ввод  2 4 2 2 2 3 2" xfId="38878"/>
    <cellStyle name="Ввод  2 4 2 2 2 4" xfId="12968"/>
    <cellStyle name="Ввод  2 4 2 2 2 5" xfId="28468"/>
    <cellStyle name="Ввод  2 4 2 2 3" xfId="5056"/>
    <cellStyle name="Ввод  2 4 2 2 3 2" xfId="10239"/>
    <cellStyle name="Ввод  2 4 2 2 3 2 2" xfId="21165"/>
    <cellStyle name="Ввод  2 4 2 2 3 2 3" xfId="36526"/>
    <cellStyle name="Ввод  2 4 2 2 3 3" xfId="26126"/>
    <cellStyle name="Ввод  2 4 2 2 3 3 2" xfId="41487"/>
    <cellStyle name="Ввод  2 4 2 2 3 4" xfId="15602"/>
    <cellStyle name="Ввод  2 4 2 2 3 5" xfId="31077"/>
    <cellStyle name="Ввод  2 4 2 2 4" xfId="6643"/>
    <cellStyle name="Ввод  2 4 2 2 4 2" xfId="16216"/>
    <cellStyle name="Ввод  2 4 2 2 4 3" xfId="31683"/>
    <cellStyle name="Ввод  2 4 2 2 5" xfId="22531"/>
    <cellStyle name="Ввод  2 4 2 2 5 2" xfId="37892"/>
    <cellStyle name="Ввод  2 4 2 2 6" xfId="11973"/>
    <cellStyle name="Ввод  2 4 2 2 7" xfId="27482"/>
    <cellStyle name="Ввод  2 4 2 3" xfId="2308"/>
    <cellStyle name="Ввод  2 4 2 3 2" xfId="7544"/>
    <cellStyle name="Ввод  2 4 2 3 2 2" xfId="18446"/>
    <cellStyle name="Ввод  2 4 2 3 2 3" xfId="33807"/>
    <cellStyle name="Ввод  2 4 2 3 3" xfId="23432"/>
    <cellStyle name="Ввод  2 4 2 3 3 2" xfId="38793"/>
    <cellStyle name="Ввод  2 4 2 3 4" xfId="12883"/>
    <cellStyle name="Ввод  2 4 2 3 5" xfId="28383"/>
    <cellStyle name="Ввод  2 4 2 4" xfId="2828"/>
    <cellStyle name="Ввод  2 4 2 4 2" xfId="8046"/>
    <cellStyle name="Ввод  2 4 2 4 2 2" xfId="18958"/>
    <cellStyle name="Ввод  2 4 2 4 2 3" xfId="34319"/>
    <cellStyle name="Ввод  2 4 2 4 3" xfId="23934"/>
    <cellStyle name="Ввод  2 4 2 4 3 2" xfId="39295"/>
    <cellStyle name="Ввод  2 4 2 4 4" xfId="13395"/>
    <cellStyle name="Ввод  2 4 2 4 5" xfId="28885"/>
    <cellStyle name="Ввод  2 4 2 5" xfId="3675"/>
    <cellStyle name="Ввод  2 4 2 5 2" xfId="8862"/>
    <cellStyle name="Ввод  2 4 2 5 2 2" xfId="19789"/>
    <cellStyle name="Ввод  2 4 2 5 2 3" xfId="35150"/>
    <cellStyle name="Ввод  2 4 2 5 3" xfId="24750"/>
    <cellStyle name="Ввод  2 4 2 5 3 2" xfId="40111"/>
    <cellStyle name="Ввод  2 4 2 5 4" xfId="14226"/>
    <cellStyle name="Ввод  2 4 2 5 5" xfId="29701"/>
    <cellStyle name="Ввод  2 4 2 6" xfId="4356"/>
    <cellStyle name="Ввод  2 4 2 6 2" xfId="9543"/>
    <cellStyle name="Ввод  2 4 2 6 2 2" xfId="20470"/>
    <cellStyle name="Ввод  2 4 2 6 2 3" xfId="35831"/>
    <cellStyle name="Ввод  2 4 2 6 3" xfId="25431"/>
    <cellStyle name="Ввод  2 4 2 6 3 2" xfId="40792"/>
    <cellStyle name="Ввод  2 4 2 6 4" xfId="14907"/>
    <cellStyle name="Ввод  2 4 2 6 5" xfId="30382"/>
    <cellStyle name="Ввод  2 4 2 7" xfId="4479"/>
    <cellStyle name="Ввод  2 4 2 7 2" xfId="9666"/>
    <cellStyle name="Ввод  2 4 2 7 2 2" xfId="20593"/>
    <cellStyle name="Ввод  2 4 2 7 2 3" xfId="35954"/>
    <cellStyle name="Ввод  2 4 2 7 3" xfId="25554"/>
    <cellStyle name="Ввод  2 4 2 7 3 2" xfId="40915"/>
    <cellStyle name="Ввод  2 4 2 7 4" xfId="15030"/>
    <cellStyle name="Ввод  2 4 2 7 5" xfId="30505"/>
    <cellStyle name="Ввод  2 4 2 8" xfId="6164"/>
    <cellStyle name="Ввод  2 4 2 8 2" xfId="16703"/>
    <cellStyle name="Ввод  2 4 2 8 3" xfId="32170"/>
    <cellStyle name="Ввод  2 4 2 9" xfId="22052"/>
    <cellStyle name="Ввод  2 4 2 9 2" xfId="37413"/>
    <cellStyle name="Ввод  2 4 3" xfId="1774"/>
    <cellStyle name="Ввод  2 4 3 2" xfId="2755"/>
    <cellStyle name="Ввод  2 4 3 2 2" xfId="7984"/>
    <cellStyle name="Ввод  2 4 3 2 2 2" xfId="18888"/>
    <cellStyle name="Ввод  2 4 3 2 2 3" xfId="34249"/>
    <cellStyle name="Ввод  2 4 3 2 3" xfId="23872"/>
    <cellStyle name="Ввод  2 4 3 2 3 2" xfId="39233"/>
    <cellStyle name="Ввод  2 4 3 2 4" xfId="13325"/>
    <cellStyle name="Ввод  2 4 3 2 5" xfId="28823"/>
    <cellStyle name="Ввод  2 4 3 3" xfId="5057"/>
    <cellStyle name="Ввод  2 4 3 3 2" xfId="10240"/>
    <cellStyle name="Ввод  2 4 3 3 2 2" xfId="21166"/>
    <cellStyle name="Ввод  2 4 3 3 2 3" xfId="36527"/>
    <cellStyle name="Ввод  2 4 3 3 3" xfId="26127"/>
    <cellStyle name="Ввод  2 4 3 3 3 2" xfId="41488"/>
    <cellStyle name="Ввод  2 4 3 3 4" xfId="15603"/>
    <cellStyle name="Ввод  2 4 3 3 5" xfId="31078"/>
    <cellStyle name="Ввод  2 4 3 4" xfId="7013"/>
    <cellStyle name="Ввод  2 4 3 4 2" xfId="17915"/>
    <cellStyle name="Ввод  2 4 3 4 3" xfId="33276"/>
    <cellStyle name="Ввод  2 4 3 5" xfId="22901"/>
    <cellStyle name="Ввод  2 4 3 5 2" xfId="38262"/>
    <cellStyle name="Ввод  2 4 3 6" xfId="12352"/>
    <cellStyle name="Ввод  2 4 3 7" xfId="27852"/>
    <cellStyle name="Ввод  2 4 4" xfId="1618"/>
    <cellStyle name="Ввод  2 4 4 2" xfId="6864"/>
    <cellStyle name="Ввод  2 4 4 2 2" xfId="17760"/>
    <cellStyle name="Ввод  2 4 4 2 3" xfId="33121"/>
    <cellStyle name="Ввод  2 4 4 3" xfId="22752"/>
    <cellStyle name="Ввод  2 4 4 3 2" xfId="38113"/>
    <cellStyle name="Ввод  2 4 4 4" xfId="12196"/>
    <cellStyle name="Ввод  2 4 4 5" xfId="27703"/>
    <cellStyle name="Ввод  2 4 5" xfId="3081"/>
    <cellStyle name="Ввод  2 4 5 2" xfId="8276"/>
    <cellStyle name="Ввод  2 4 5 2 2" xfId="19202"/>
    <cellStyle name="Ввод  2 4 5 2 3" xfId="34563"/>
    <cellStyle name="Ввод  2 4 5 3" xfId="24164"/>
    <cellStyle name="Ввод  2 4 5 3 2" xfId="39525"/>
    <cellStyle name="Ввод  2 4 5 4" xfId="13639"/>
    <cellStyle name="Ввод  2 4 5 5" xfId="29115"/>
    <cellStyle name="Ввод  2 4 6" xfId="3502"/>
    <cellStyle name="Ввод  2 4 6 2" xfId="8689"/>
    <cellStyle name="Ввод  2 4 6 2 2" xfId="19616"/>
    <cellStyle name="Ввод  2 4 6 2 3" xfId="34977"/>
    <cellStyle name="Ввод  2 4 6 3" xfId="24577"/>
    <cellStyle name="Ввод  2 4 6 3 2" xfId="39938"/>
    <cellStyle name="Ввод  2 4 6 4" xfId="14053"/>
    <cellStyle name="Ввод  2 4 6 5" xfId="29528"/>
    <cellStyle name="Ввод  2 4 7" xfId="3357"/>
    <cellStyle name="Ввод  2 4 7 2" xfId="8551"/>
    <cellStyle name="Ввод  2 4 7 2 2" xfId="19478"/>
    <cellStyle name="Ввод  2 4 7 2 3" xfId="34839"/>
    <cellStyle name="Ввод  2 4 7 3" xfId="24439"/>
    <cellStyle name="Ввод  2 4 7 3 2" xfId="39800"/>
    <cellStyle name="Ввод  2 4 7 4" xfId="13915"/>
    <cellStyle name="Ввод  2 4 7 5" xfId="29390"/>
    <cellStyle name="Ввод  2 4 8" xfId="4790"/>
    <cellStyle name="Ввод  2 4 8 2" xfId="9977"/>
    <cellStyle name="Ввод  2 4 8 2 2" xfId="20904"/>
    <cellStyle name="Ввод  2 4 8 2 3" xfId="36265"/>
    <cellStyle name="Ввод  2 4 8 3" xfId="25865"/>
    <cellStyle name="Ввод  2 4 8 3 2" xfId="41226"/>
    <cellStyle name="Ввод  2 4 8 4" xfId="15341"/>
    <cellStyle name="Ввод  2 4 8 5" xfId="30816"/>
    <cellStyle name="Ввод  2 4 9" xfId="5675"/>
    <cellStyle name="Ввод  2 4 9 2" xfId="17216"/>
    <cellStyle name="Ввод  2 4 9 3" xfId="32683"/>
    <cellStyle name="Ввод  2 5" xfId="285"/>
    <cellStyle name="Ввод  2 5 10" xfId="18973"/>
    <cellStyle name="Ввод  2 5 10 2" xfId="34334"/>
    <cellStyle name="Ввод  2 5 11" xfId="10971"/>
    <cellStyle name="Ввод  2 5 12" xfId="10907"/>
    <cellStyle name="Ввод  2 5 2" xfId="901"/>
    <cellStyle name="Ввод  2 5 2 10" xfId="11485"/>
    <cellStyle name="Ввод  2 5 2 11" xfId="27002"/>
    <cellStyle name="Ввод  2 5 2 2" xfId="1445"/>
    <cellStyle name="Ввод  2 5 2 2 2" xfId="2395"/>
    <cellStyle name="Ввод  2 5 2 2 2 2" xfId="7631"/>
    <cellStyle name="Ввод  2 5 2 2 2 2 2" xfId="18533"/>
    <cellStyle name="Ввод  2 5 2 2 2 2 3" xfId="33894"/>
    <cellStyle name="Ввод  2 5 2 2 2 3" xfId="23519"/>
    <cellStyle name="Ввод  2 5 2 2 2 3 2" xfId="38880"/>
    <cellStyle name="Ввод  2 5 2 2 2 4" xfId="12970"/>
    <cellStyle name="Ввод  2 5 2 2 2 5" xfId="28470"/>
    <cellStyle name="Ввод  2 5 2 2 3" xfId="5058"/>
    <cellStyle name="Ввод  2 5 2 2 3 2" xfId="10241"/>
    <cellStyle name="Ввод  2 5 2 2 3 2 2" xfId="21167"/>
    <cellStyle name="Ввод  2 5 2 2 3 2 3" xfId="36528"/>
    <cellStyle name="Ввод  2 5 2 2 3 3" xfId="26128"/>
    <cellStyle name="Ввод  2 5 2 2 3 3 2" xfId="41489"/>
    <cellStyle name="Ввод  2 5 2 2 3 4" xfId="15604"/>
    <cellStyle name="Ввод  2 5 2 2 3 5" xfId="31079"/>
    <cellStyle name="Ввод  2 5 2 2 4" xfId="6692"/>
    <cellStyle name="Ввод  2 5 2 2 4 2" xfId="16166"/>
    <cellStyle name="Ввод  2 5 2 2 4 3" xfId="31633"/>
    <cellStyle name="Ввод  2 5 2 2 5" xfId="22580"/>
    <cellStyle name="Ввод  2 5 2 2 5 2" xfId="37941"/>
    <cellStyle name="Ввод  2 5 2 2 6" xfId="12023"/>
    <cellStyle name="Ввод  2 5 2 2 7" xfId="27531"/>
    <cellStyle name="Ввод  2 5 2 3" xfId="2307"/>
    <cellStyle name="Ввод  2 5 2 3 2" xfId="7543"/>
    <cellStyle name="Ввод  2 5 2 3 2 2" xfId="18445"/>
    <cellStyle name="Ввод  2 5 2 3 2 3" xfId="33806"/>
    <cellStyle name="Ввод  2 5 2 3 3" xfId="23431"/>
    <cellStyle name="Ввод  2 5 2 3 3 2" xfId="38792"/>
    <cellStyle name="Ввод  2 5 2 3 4" xfId="12882"/>
    <cellStyle name="Ввод  2 5 2 3 5" xfId="28382"/>
    <cellStyle name="Ввод  2 5 2 4" xfId="2588"/>
    <cellStyle name="Ввод  2 5 2 4 2" xfId="7821"/>
    <cellStyle name="Ввод  2 5 2 4 2 2" xfId="18723"/>
    <cellStyle name="Ввод  2 5 2 4 2 3" xfId="34084"/>
    <cellStyle name="Ввод  2 5 2 4 3" xfId="23709"/>
    <cellStyle name="Ввод  2 5 2 4 3 2" xfId="39070"/>
    <cellStyle name="Ввод  2 5 2 4 4" xfId="13160"/>
    <cellStyle name="Ввод  2 5 2 4 5" xfId="28660"/>
    <cellStyle name="Ввод  2 5 2 5" xfId="3749"/>
    <cellStyle name="Ввод  2 5 2 5 2" xfId="8936"/>
    <cellStyle name="Ввод  2 5 2 5 2 2" xfId="19863"/>
    <cellStyle name="Ввод  2 5 2 5 2 3" xfId="35224"/>
    <cellStyle name="Ввод  2 5 2 5 3" xfId="24824"/>
    <cellStyle name="Ввод  2 5 2 5 3 2" xfId="40185"/>
    <cellStyle name="Ввод  2 5 2 5 4" xfId="14300"/>
    <cellStyle name="Ввод  2 5 2 5 5" xfId="29775"/>
    <cellStyle name="Ввод  2 5 2 6" xfId="4355"/>
    <cellStyle name="Ввод  2 5 2 6 2" xfId="9542"/>
    <cellStyle name="Ввод  2 5 2 6 2 2" xfId="20469"/>
    <cellStyle name="Ввод  2 5 2 6 2 3" xfId="35830"/>
    <cellStyle name="Ввод  2 5 2 6 3" xfId="25430"/>
    <cellStyle name="Ввод  2 5 2 6 3 2" xfId="40791"/>
    <cellStyle name="Ввод  2 5 2 6 4" xfId="14906"/>
    <cellStyle name="Ввод  2 5 2 6 5" xfId="30381"/>
    <cellStyle name="Ввод  2 5 2 7" xfId="4480"/>
    <cellStyle name="Ввод  2 5 2 7 2" xfId="9667"/>
    <cellStyle name="Ввод  2 5 2 7 2 2" xfId="20594"/>
    <cellStyle name="Ввод  2 5 2 7 2 3" xfId="35955"/>
    <cellStyle name="Ввод  2 5 2 7 3" xfId="25555"/>
    <cellStyle name="Ввод  2 5 2 7 3 2" xfId="40916"/>
    <cellStyle name="Ввод  2 5 2 7 4" xfId="15031"/>
    <cellStyle name="Ввод  2 5 2 7 5" xfId="30506"/>
    <cellStyle name="Ввод  2 5 2 8" xfId="6163"/>
    <cellStyle name="Ввод  2 5 2 8 2" xfId="16704"/>
    <cellStyle name="Ввод  2 5 2 8 3" xfId="32171"/>
    <cellStyle name="Ввод  2 5 2 9" xfId="22051"/>
    <cellStyle name="Ввод  2 5 2 9 2" xfId="37412"/>
    <cellStyle name="Ввод  2 5 3" xfId="1652"/>
    <cellStyle name="Ввод  2 5 3 2" xfId="2753"/>
    <cellStyle name="Ввод  2 5 3 2 2" xfId="7982"/>
    <cellStyle name="Ввод  2 5 3 2 2 2" xfId="18886"/>
    <cellStyle name="Ввод  2 5 3 2 2 3" xfId="34247"/>
    <cellStyle name="Ввод  2 5 3 2 3" xfId="23870"/>
    <cellStyle name="Ввод  2 5 3 2 3 2" xfId="39231"/>
    <cellStyle name="Ввод  2 5 3 2 4" xfId="13323"/>
    <cellStyle name="Ввод  2 5 3 2 5" xfId="28821"/>
    <cellStyle name="Ввод  2 5 3 3" xfId="5059"/>
    <cellStyle name="Ввод  2 5 3 3 2" xfId="10242"/>
    <cellStyle name="Ввод  2 5 3 3 2 2" xfId="21168"/>
    <cellStyle name="Ввод  2 5 3 3 2 3" xfId="36529"/>
    <cellStyle name="Ввод  2 5 3 3 3" xfId="26129"/>
    <cellStyle name="Ввод  2 5 3 3 3 2" xfId="41490"/>
    <cellStyle name="Ввод  2 5 3 3 4" xfId="15605"/>
    <cellStyle name="Ввод  2 5 3 3 5" xfId="31080"/>
    <cellStyle name="Ввод  2 5 3 4" xfId="6898"/>
    <cellStyle name="Ввод  2 5 3 4 2" xfId="17794"/>
    <cellStyle name="Ввод  2 5 3 4 3" xfId="33155"/>
    <cellStyle name="Ввод  2 5 3 5" xfId="22786"/>
    <cellStyle name="Ввод  2 5 3 5 2" xfId="38147"/>
    <cellStyle name="Ввод  2 5 3 6" xfId="12230"/>
    <cellStyle name="Ввод  2 5 3 7" xfId="27737"/>
    <cellStyle name="Ввод  2 5 4" xfId="1462"/>
    <cellStyle name="Ввод  2 5 4 2" xfId="6709"/>
    <cellStyle name="Ввод  2 5 4 2 2" xfId="16149"/>
    <cellStyle name="Ввод  2 5 4 2 3" xfId="31616"/>
    <cellStyle name="Ввод  2 5 4 3" xfId="22597"/>
    <cellStyle name="Ввод  2 5 4 3 2" xfId="37958"/>
    <cellStyle name="Ввод  2 5 4 4" xfId="12040"/>
    <cellStyle name="Ввод  2 5 4 5" xfId="27548"/>
    <cellStyle name="Ввод  2 5 5" xfId="3078"/>
    <cellStyle name="Ввод  2 5 5 2" xfId="8273"/>
    <cellStyle name="Ввод  2 5 5 2 2" xfId="19199"/>
    <cellStyle name="Ввод  2 5 5 2 3" xfId="34560"/>
    <cellStyle name="Ввод  2 5 5 3" xfId="24161"/>
    <cellStyle name="Ввод  2 5 5 3 2" xfId="39522"/>
    <cellStyle name="Ввод  2 5 5 4" xfId="13636"/>
    <cellStyle name="Ввод  2 5 5 5" xfId="29112"/>
    <cellStyle name="Ввод  2 5 6" xfId="3940"/>
    <cellStyle name="Ввод  2 5 6 2" xfId="9127"/>
    <cellStyle name="Ввод  2 5 6 2 2" xfId="20054"/>
    <cellStyle name="Ввод  2 5 6 2 3" xfId="35415"/>
    <cellStyle name="Ввод  2 5 6 3" xfId="25015"/>
    <cellStyle name="Ввод  2 5 6 3 2" xfId="40376"/>
    <cellStyle name="Ввод  2 5 6 4" xfId="14491"/>
    <cellStyle name="Ввод  2 5 6 5" xfId="29966"/>
    <cellStyle name="Ввод  2 5 7" xfId="3253"/>
    <cellStyle name="Ввод  2 5 7 2" xfId="8447"/>
    <cellStyle name="Ввод  2 5 7 2 2" xfId="19374"/>
    <cellStyle name="Ввод  2 5 7 2 3" xfId="34735"/>
    <cellStyle name="Ввод  2 5 7 3" xfId="24335"/>
    <cellStyle name="Ввод  2 5 7 3 2" xfId="39696"/>
    <cellStyle name="Ввод  2 5 7 4" xfId="13811"/>
    <cellStyle name="Ввод  2 5 7 5" xfId="29286"/>
    <cellStyle name="Ввод  2 5 8" xfId="4832"/>
    <cellStyle name="Ввод  2 5 8 2" xfId="10019"/>
    <cellStyle name="Ввод  2 5 8 2 2" xfId="20946"/>
    <cellStyle name="Ввод  2 5 8 2 3" xfId="36307"/>
    <cellStyle name="Ввод  2 5 8 3" xfId="25907"/>
    <cellStyle name="Ввод  2 5 8 3 2" xfId="41268"/>
    <cellStyle name="Ввод  2 5 8 4" xfId="15383"/>
    <cellStyle name="Ввод  2 5 8 5" xfId="30858"/>
    <cellStyle name="Ввод  2 5 9" xfId="5676"/>
    <cellStyle name="Ввод  2 5 9 2" xfId="17215"/>
    <cellStyle name="Ввод  2 5 9 3" xfId="32682"/>
    <cellStyle name="Ввод  2 6" xfId="286"/>
    <cellStyle name="Ввод  2 6 10" xfId="16203"/>
    <cellStyle name="Ввод  2 6 10 2" xfId="31670"/>
    <cellStyle name="Ввод  2 6 11" xfId="10972"/>
    <cellStyle name="Ввод  2 6 12" xfId="10906"/>
    <cellStyle name="Ввод  2 6 2" xfId="900"/>
    <cellStyle name="Ввод  2 6 2 10" xfId="11484"/>
    <cellStyle name="Ввод  2 6 2 11" xfId="27001"/>
    <cellStyle name="Ввод  2 6 2 2" xfId="1681"/>
    <cellStyle name="Ввод  2 6 2 2 2" xfId="2607"/>
    <cellStyle name="Ввод  2 6 2 2 2 2" xfId="7839"/>
    <cellStyle name="Ввод  2 6 2 2 2 2 2" xfId="18742"/>
    <cellStyle name="Ввод  2 6 2 2 2 2 3" xfId="34103"/>
    <cellStyle name="Ввод  2 6 2 2 2 3" xfId="23727"/>
    <cellStyle name="Ввод  2 6 2 2 2 3 2" xfId="39088"/>
    <cellStyle name="Ввод  2 6 2 2 2 4" xfId="13179"/>
    <cellStyle name="Ввод  2 6 2 2 2 5" xfId="28678"/>
    <cellStyle name="Ввод  2 6 2 2 3" xfId="5060"/>
    <cellStyle name="Ввод  2 6 2 2 3 2" xfId="10243"/>
    <cellStyle name="Ввод  2 6 2 2 3 2 2" xfId="21169"/>
    <cellStyle name="Ввод  2 6 2 2 3 2 3" xfId="36530"/>
    <cellStyle name="Ввод  2 6 2 2 3 3" xfId="26130"/>
    <cellStyle name="Ввод  2 6 2 2 3 3 2" xfId="41491"/>
    <cellStyle name="Ввод  2 6 2 2 3 4" xfId="15606"/>
    <cellStyle name="Ввод  2 6 2 2 3 5" xfId="31081"/>
    <cellStyle name="Ввод  2 6 2 2 4" xfId="6925"/>
    <cellStyle name="Ввод  2 6 2 2 4 2" xfId="17823"/>
    <cellStyle name="Ввод  2 6 2 2 4 3" xfId="33184"/>
    <cellStyle name="Ввод  2 6 2 2 5" xfId="22813"/>
    <cellStyle name="Ввод  2 6 2 2 5 2" xfId="38174"/>
    <cellStyle name="Ввод  2 6 2 2 6" xfId="12259"/>
    <cellStyle name="Ввод  2 6 2 2 7" xfId="27764"/>
    <cellStyle name="Ввод  2 6 2 3" xfId="2306"/>
    <cellStyle name="Ввод  2 6 2 3 2" xfId="7542"/>
    <cellStyle name="Ввод  2 6 2 3 2 2" xfId="18444"/>
    <cellStyle name="Ввод  2 6 2 3 2 3" xfId="33805"/>
    <cellStyle name="Ввод  2 6 2 3 3" xfId="23430"/>
    <cellStyle name="Ввод  2 6 2 3 3 2" xfId="38791"/>
    <cellStyle name="Ввод  2 6 2 3 4" xfId="12881"/>
    <cellStyle name="Ввод  2 6 2 3 5" xfId="28381"/>
    <cellStyle name="Ввод  2 6 2 4" xfId="1148"/>
    <cellStyle name="Ввод  2 6 2 4 2" xfId="6402"/>
    <cellStyle name="Ввод  2 6 2 4 2 2" xfId="16460"/>
    <cellStyle name="Ввод  2 6 2 4 2 3" xfId="31927"/>
    <cellStyle name="Ввод  2 6 2 4 3" xfId="22290"/>
    <cellStyle name="Ввод  2 6 2 4 3 2" xfId="37651"/>
    <cellStyle name="Ввод  2 6 2 4 4" xfId="11729"/>
    <cellStyle name="Ввод  2 6 2 4 5" xfId="27241"/>
    <cellStyle name="Ввод  2 6 2 5" xfId="3674"/>
    <cellStyle name="Ввод  2 6 2 5 2" xfId="8861"/>
    <cellStyle name="Ввод  2 6 2 5 2 2" xfId="19788"/>
    <cellStyle name="Ввод  2 6 2 5 2 3" xfId="35149"/>
    <cellStyle name="Ввод  2 6 2 5 3" xfId="24749"/>
    <cellStyle name="Ввод  2 6 2 5 3 2" xfId="40110"/>
    <cellStyle name="Ввод  2 6 2 5 4" xfId="14225"/>
    <cellStyle name="Ввод  2 6 2 5 5" xfId="29700"/>
    <cellStyle name="Ввод  2 6 2 6" xfId="4354"/>
    <cellStyle name="Ввод  2 6 2 6 2" xfId="9541"/>
    <cellStyle name="Ввод  2 6 2 6 2 2" xfId="20468"/>
    <cellStyle name="Ввод  2 6 2 6 2 3" xfId="35829"/>
    <cellStyle name="Ввод  2 6 2 6 3" xfId="25429"/>
    <cellStyle name="Ввод  2 6 2 6 3 2" xfId="40790"/>
    <cellStyle name="Ввод  2 6 2 6 4" xfId="14905"/>
    <cellStyle name="Ввод  2 6 2 6 5" xfId="30380"/>
    <cellStyle name="Ввод  2 6 2 7" xfId="4481"/>
    <cellStyle name="Ввод  2 6 2 7 2" xfId="9668"/>
    <cellStyle name="Ввод  2 6 2 7 2 2" xfId="20595"/>
    <cellStyle name="Ввод  2 6 2 7 2 3" xfId="35956"/>
    <cellStyle name="Ввод  2 6 2 7 3" xfId="25556"/>
    <cellStyle name="Ввод  2 6 2 7 3 2" xfId="40917"/>
    <cellStyle name="Ввод  2 6 2 7 4" xfId="15032"/>
    <cellStyle name="Ввод  2 6 2 7 5" xfId="30507"/>
    <cellStyle name="Ввод  2 6 2 8" xfId="6162"/>
    <cellStyle name="Ввод  2 6 2 8 2" xfId="16705"/>
    <cellStyle name="Ввод  2 6 2 8 3" xfId="32172"/>
    <cellStyle name="Ввод  2 6 2 9" xfId="22050"/>
    <cellStyle name="Ввод  2 6 2 9 2" xfId="37411"/>
    <cellStyle name="Ввод  2 6 3" xfId="87"/>
    <cellStyle name="Ввод  2 6 3 2" xfId="2608"/>
    <cellStyle name="Ввод  2 6 3 2 2" xfId="7840"/>
    <cellStyle name="Ввод  2 6 3 2 2 2" xfId="18743"/>
    <cellStyle name="Ввод  2 6 3 2 2 3" xfId="34104"/>
    <cellStyle name="Ввод  2 6 3 2 3" xfId="23728"/>
    <cellStyle name="Ввод  2 6 3 2 3 2" xfId="39089"/>
    <cellStyle name="Ввод  2 6 3 2 4" xfId="13180"/>
    <cellStyle name="Ввод  2 6 3 2 5" xfId="28679"/>
    <cellStyle name="Ввод  2 6 3 3" xfId="5061"/>
    <cellStyle name="Ввод  2 6 3 3 2" xfId="10244"/>
    <cellStyle name="Ввод  2 6 3 3 2 2" xfId="21170"/>
    <cellStyle name="Ввод  2 6 3 3 2 3" xfId="36531"/>
    <cellStyle name="Ввод  2 6 3 3 3" xfId="26131"/>
    <cellStyle name="Ввод  2 6 3 3 3 2" xfId="41492"/>
    <cellStyle name="Ввод  2 6 3 3 4" xfId="15607"/>
    <cellStyle name="Ввод  2 6 3 3 5" xfId="31082"/>
    <cellStyle name="Ввод  2 6 3 4" xfId="5613"/>
    <cellStyle name="Ввод  2 6 3 4 2" xfId="17384"/>
    <cellStyle name="Ввод  2 6 3 4 3" xfId="32851"/>
    <cellStyle name="Ввод  2 6 3 5" xfId="17068"/>
    <cellStyle name="Ввод  2 6 3 5 2" xfId="32535"/>
    <cellStyle name="Ввод  2 6 3 6" xfId="10801"/>
    <cellStyle name="Ввод  2 6 3 7" xfId="11118"/>
    <cellStyle name="Ввод  2 6 4" xfId="1645"/>
    <cellStyle name="Ввод  2 6 4 2" xfId="6891"/>
    <cellStyle name="Ввод  2 6 4 2 2" xfId="17787"/>
    <cellStyle name="Ввод  2 6 4 2 3" xfId="33148"/>
    <cellStyle name="Ввод  2 6 4 3" xfId="22779"/>
    <cellStyle name="Ввод  2 6 4 3 2" xfId="38140"/>
    <cellStyle name="Ввод  2 6 4 4" xfId="12223"/>
    <cellStyle name="Ввод  2 6 4 5" xfId="27730"/>
    <cellStyle name="Ввод  2 6 5" xfId="3077"/>
    <cellStyle name="Ввод  2 6 5 2" xfId="8272"/>
    <cellStyle name="Ввод  2 6 5 2 2" xfId="19198"/>
    <cellStyle name="Ввод  2 6 5 2 3" xfId="34559"/>
    <cellStyle name="Ввод  2 6 5 3" xfId="24160"/>
    <cellStyle name="Ввод  2 6 5 3 2" xfId="39521"/>
    <cellStyle name="Ввод  2 6 5 4" xfId="13635"/>
    <cellStyle name="Ввод  2 6 5 5" xfId="29111"/>
    <cellStyle name="Ввод  2 6 6" xfId="2419"/>
    <cellStyle name="Ввод  2 6 6 2" xfId="7655"/>
    <cellStyle name="Ввод  2 6 6 2 2" xfId="18557"/>
    <cellStyle name="Ввод  2 6 6 2 3" xfId="33918"/>
    <cellStyle name="Ввод  2 6 6 3" xfId="23543"/>
    <cellStyle name="Ввод  2 6 6 3 2" xfId="38904"/>
    <cellStyle name="Ввод  2 6 6 4" xfId="12994"/>
    <cellStyle name="Ввод  2 6 6 5" xfId="28494"/>
    <cellStyle name="Ввод  2 6 7" xfId="3879"/>
    <cellStyle name="Ввод  2 6 7 2" xfId="9066"/>
    <cellStyle name="Ввод  2 6 7 2 2" xfId="19993"/>
    <cellStyle name="Ввод  2 6 7 2 3" xfId="35354"/>
    <cellStyle name="Ввод  2 6 7 3" xfId="24954"/>
    <cellStyle name="Ввод  2 6 7 3 2" xfId="40315"/>
    <cellStyle name="Ввод  2 6 7 4" xfId="14430"/>
    <cellStyle name="Ввод  2 6 7 5" xfId="29905"/>
    <cellStyle name="Ввод  2 6 8" xfId="4789"/>
    <cellStyle name="Ввод  2 6 8 2" xfId="9976"/>
    <cellStyle name="Ввод  2 6 8 2 2" xfId="20903"/>
    <cellStyle name="Ввод  2 6 8 2 3" xfId="36264"/>
    <cellStyle name="Ввод  2 6 8 3" xfId="25864"/>
    <cellStyle name="Ввод  2 6 8 3 2" xfId="41225"/>
    <cellStyle name="Ввод  2 6 8 4" xfId="15340"/>
    <cellStyle name="Ввод  2 6 8 5" xfId="30815"/>
    <cellStyle name="Ввод  2 6 9" xfId="5677"/>
    <cellStyle name="Ввод  2 6 9 2" xfId="17214"/>
    <cellStyle name="Ввод  2 6 9 3" xfId="32681"/>
    <cellStyle name="Ввод  2 7" xfId="287"/>
    <cellStyle name="Ввод  2 7 10" xfId="17280"/>
    <cellStyle name="Ввод  2 7 10 2" xfId="32747"/>
    <cellStyle name="Ввод  2 7 11" xfId="10973"/>
    <cellStyle name="Ввод  2 7 12" xfId="13410"/>
    <cellStyle name="Ввод  2 7 2" xfId="899"/>
    <cellStyle name="Ввод  2 7 2 10" xfId="11483"/>
    <cellStyle name="Ввод  2 7 2 11" xfId="27000"/>
    <cellStyle name="Ввод  2 7 2 2" xfId="1614"/>
    <cellStyle name="Ввод  2 7 2 2 2" xfId="2899"/>
    <cellStyle name="Ввод  2 7 2 2 2 2" xfId="8106"/>
    <cellStyle name="Ввод  2 7 2 2 2 2 2" xfId="19026"/>
    <cellStyle name="Ввод  2 7 2 2 2 2 3" xfId="34387"/>
    <cellStyle name="Ввод  2 7 2 2 2 3" xfId="23994"/>
    <cellStyle name="Ввод  2 7 2 2 2 3 2" xfId="39355"/>
    <cellStyle name="Ввод  2 7 2 2 2 4" xfId="13463"/>
    <cellStyle name="Ввод  2 7 2 2 2 5" xfId="28945"/>
    <cellStyle name="Ввод  2 7 2 2 3" xfId="5062"/>
    <cellStyle name="Ввод  2 7 2 2 3 2" xfId="10245"/>
    <cellStyle name="Ввод  2 7 2 2 3 2 2" xfId="21171"/>
    <cellStyle name="Ввод  2 7 2 2 3 2 3" xfId="36532"/>
    <cellStyle name="Ввод  2 7 2 2 3 3" xfId="26132"/>
    <cellStyle name="Ввод  2 7 2 2 3 3 2" xfId="41493"/>
    <cellStyle name="Ввод  2 7 2 2 3 4" xfId="15608"/>
    <cellStyle name="Ввод  2 7 2 2 3 5" xfId="31083"/>
    <cellStyle name="Ввод  2 7 2 2 4" xfId="6860"/>
    <cellStyle name="Ввод  2 7 2 2 4 2" xfId="17756"/>
    <cellStyle name="Ввод  2 7 2 2 4 3" xfId="33117"/>
    <cellStyle name="Ввод  2 7 2 2 5" xfId="22748"/>
    <cellStyle name="Ввод  2 7 2 2 5 2" xfId="38109"/>
    <cellStyle name="Ввод  2 7 2 2 6" xfId="12192"/>
    <cellStyle name="Ввод  2 7 2 2 7" xfId="27699"/>
    <cellStyle name="Ввод  2 7 2 3" xfId="2305"/>
    <cellStyle name="Ввод  2 7 2 3 2" xfId="7541"/>
    <cellStyle name="Ввод  2 7 2 3 2 2" xfId="18443"/>
    <cellStyle name="Ввод  2 7 2 3 2 3" xfId="33804"/>
    <cellStyle name="Ввод  2 7 2 3 3" xfId="23429"/>
    <cellStyle name="Ввод  2 7 2 3 3 2" xfId="38790"/>
    <cellStyle name="Ввод  2 7 2 3 4" xfId="12880"/>
    <cellStyle name="Ввод  2 7 2 3 5" xfId="28380"/>
    <cellStyle name="Ввод  2 7 2 4" xfId="2898"/>
    <cellStyle name="Ввод  2 7 2 4 2" xfId="8105"/>
    <cellStyle name="Ввод  2 7 2 4 2 2" xfId="19025"/>
    <cellStyle name="Ввод  2 7 2 4 2 3" xfId="34386"/>
    <cellStyle name="Ввод  2 7 2 4 3" xfId="23993"/>
    <cellStyle name="Ввод  2 7 2 4 3 2" xfId="39354"/>
    <cellStyle name="Ввод  2 7 2 4 4" xfId="13462"/>
    <cellStyle name="Ввод  2 7 2 4 5" xfId="28944"/>
    <cellStyle name="Ввод  2 7 2 5" xfId="3750"/>
    <cellStyle name="Ввод  2 7 2 5 2" xfId="8937"/>
    <cellStyle name="Ввод  2 7 2 5 2 2" xfId="19864"/>
    <cellStyle name="Ввод  2 7 2 5 2 3" xfId="35225"/>
    <cellStyle name="Ввод  2 7 2 5 3" xfId="24825"/>
    <cellStyle name="Ввод  2 7 2 5 3 2" xfId="40186"/>
    <cellStyle name="Ввод  2 7 2 5 4" xfId="14301"/>
    <cellStyle name="Ввод  2 7 2 5 5" xfId="29776"/>
    <cellStyle name="Ввод  2 7 2 6" xfId="4353"/>
    <cellStyle name="Ввод  2 7 2 6 2" xfId="9540"/>
    <cellStyle name="Ввод  2 7 2 6 2 2" xfId="20467"/>
    <cellStyle name="Ввод  2 7 2 6 2 3" xfId="35828"/>
    <cellStyle name="Ввод  2 7 2 6 3" xfId="25428"/>
    <cellStyle name="Ввод  2 7 2 6 3 2" xfId="40789"/>
    <cellStyle name="Ввод  2 7 2 6 4" xfId="14904"/>
    <cellStyle name="Ввод  2 7 2 6 5" xfId="30379"/>
    <cellStyle name="Ввод  2 7 2 7" xfId="4482"/>
    <cellStyle name="Ввод  2 7 2 7 2" xfId="9669"/>
    <cellStyle name="Ввод  2 7 2 7 2 2" xfId="20596"/>
    <cellStyle name="Ввод  2 7 2 7 2 3" xfId="35957"/>
    <cellStyle name="Ввод  2 7 2 7 3" xfId="25557"/>
    <cellStyle name="Ввод  2 7 2 7 3 2" xfId="40918"/>
    <cellStyle name="Ввод  2 7 2 7 4" xfId="15033"/>
    <cellStyle name="Ввод  2 7 2 7 5" xfId="30508"/>
    <cellStyle name="Ввод  2 7 2 8" xfId="6161"/>
    <cellStyle name="Ввод  2 7 2 8 2" xfId="16706"/>
    <cellStyle name="Ввод  2 7 2 8 3" xfId="32173"/>
    <cellStyle name="Ввод  2 7 2 9" xfId="22049"/>
    <cellStyle name="Ввод  2 7 2 9 2" xfId="37410"/>
    <cellStyle name="Ввод  2 7 3" xfId="1083"/>
    <cellStyle name="Ввод  2 7 3 2" xfId="2752"/>
    <cellStyle name="Ввод  2 7 3 2 2" xfId="7981"/>
    <cellStyle name="Ввод  2 7 3 2 2 2" xfId="18885"/>
    <cellStyle name="Ввод  2 7 3 2 2 3" xfId="34246"/>
    <cellStyle name="Ввод  2 7 3 2 3" xfId="23869"/>
    <cellStyle name="Ввод  2 7 3 2 3 2" xfId="39230"/>
    <cellStyle name="Ввод  2 7 3 2 4" xfId="13322"/>
    <cellStyle name="Ввод  2 7 3 2 5" xfId="28820"/>
    <cellStyle name="Ввод  2 7 3 3" xfId="5063"/>
    <cellStyle name="Ввод  2 7 3 3 2" xfId="10246"/>
    <cellStyle name="Ввод  2 7 3 3 2 2" xfId="21172"/>
    <cellStyle name="Ввод  2 7 3 3 2 3" xfId="36533"/>
    <cellStyle name="Ввод  2 7 3 3 3" xfId="26133"/>
    <cellStyle name="Ввод  2 7 3 3 3 2" xfId="41494"/>
    <cellStyle name="Ввод  2 7 3 3 4" xfId="15609"/>
    <cellStyle name="Ввод  2 7 3 3 5" xfId="31084"/>
    <cellStyle name="Ввод  2 7 3 4" xfId="6339"/>
    <cellStyle name="Ввод  2 7 3 4 2" xfId="16524"/>
    <cellStyle name="Ввод  2 7 3 4 3" xfId="31991"/>
    <cellStyle name="Ввод  2 7 3 5" xfId="22227"/>
    <cellStyle name="Ввод  2 7 3 5 2" xfId="37588"/>
    <cellStyle name="Ввод  2 7 3 6" xfId="11665"/>
    <cellStyle name="Ввод  2 7 3 7" xfId="27178"/>
    <cellStyle name="Ввод  2 7 4" xfId="105"/>
    <cellStyle name="Ввод  2 7 4 2" xfId="5631"/>
    <cellStyle name="Ввод  2 7 4 2 2" xfId="17366"/>
    <cellStyle name="Ввод  2 7 4 2 3" xfId="32833"/>
    <cellStyle name="Ввод  2 7 4 3" xfId="17074"/>
    <cellStyle name="Ввод  2 7 4 3 2" xfId="32541"/>
    <cellStyle name="Ввод  2 7 4 4" xfId="10819"/>
    <cellStyle name="Ввод  2 7 4 5" xfId="11112"/>
    <cellStyle name="Ввод  2 7 5" xfId="3074"/>
    <cellStyle name="Ввод  2 7 5 2" xfId="8269"/>
    <cellStyle name="Ввод  2 7 5 2 2" xfId="19195"/>
    <cellStyle name="Ввод  2 7 5 2 3" xfId="34556"/>
    <cellStyle name="Ввод  2 7 5 3" xfId="24157"/>
    <cellStyle name="Ввод  2 7 5 3 2" xfId="39518"/>
    <cellStyle name="Ввод  2 7 5 4" xfId="13632"/>
    <cellStyle name="Ввод  2 7 5 5" xfId="29108"/>
    <cellStyle name="Ввод  2 7 6" xfId="3210"/>
    <cellStyle name="Ввод  2 7 6 2" xfId="8405"/>
    <cellStyle name="Ввод  2 7 6 2 2" xfId="19331"/>
    <cellStyle name="Ввод  2 7 6 2 3" xfId="34692"/>
    <cellStyle name="Ввод  2 7 6 3" xfId="24293"/>
    <cellStyle name="Ввод  2 7 6 3 2" xfId="39654"/>
    <cellStyle name="Ввод  2 7 6 4" xfId="13768"/>
    <cellStyle name="Ввод  2 7 6 5" xfId="29244"/>
    <cellStyle name="Ввод  2 7 7" xfId="3921"/>
    <cellStyle name="Ввод  2 7 7 2" xfId="9108"/>
    <cellStyle name="Ввод  2 7 7 2 2" xfId="20035"/>
    <cellStyle name="Ввод  2 7 7 2 3" xfId="35396"/>
    <cellStyle name="Ввод  2 7 7 3" xfId="24996"/>
    <cellStyle name="Ввод  2 7 7 3 2" xfId="40357"/>
    <cellStyle name="Ввод  2 7 7 4" xfId="14472"/>
    <cellStyle name="Ввод  2 7 7 5" xfId="29947"/>
    <cellStyle name="Ввод  2 7 8" xfId="4833"/>
    <cellStyle name="Ввод  2 7 8 2" xfId="10020"/>
    <cellStyle name="Ввод  2 7 8 2 2" xfId="20947"/>
    <cellStyle name="Ввод  2 7 8 2 3" xfId="36308"/>
    <cellStyle name="Ввод  2 7 8 3" xfId="25908"/>
    <cellStyle name="Ввод  2 7 8 3 2" xfId="41269"/>
    <cellStyle name="Ввод  2 7 8 4" xfId="15384"/>
    <cellStyle name="Ввод  2 7 8 5" xfId="30859"/>
    <cellStyle name="Ввод  2 7 9" xfId="5678"/>
    <cellStyle name="Ввод  2 7 9 2" xfId="17213"/>
    <cellStyle name="Ввод  2 7 9 3" xfId="32680"/>
    <cellStyle name="Ввод  2 8" xfId="288"/>
    <cellStyle name="Ввод  2 8 10" xfId="17281"/>
    <cellStyle name="Ввод  2 8 10 2" xfId="32748"/>
    <cellStyle name="Ввод  2 8 11" xfId="10974"/>
    <cellStyle name="Ввод  2 8 12" xfId="11986"/>
    <cellStyle name="Ввод  2 8 2" xfId="898"/>
    <cellStyle name="Ввод  2 8 2 10" xfId="11482"/>
    <cellStyle name="Ввод  2 8 2 11" xfId="26999"/>
    <cellStyle name="Ввод  2 8 2 2" xfId="1268"/>
    <cellStyle name="Ввод  2 8 2 2 2" xfId="2398"/>
    <cellStyle name="Ввод  2 8 2 2 2 2" xfId="7634"/>
    <cellStyle name="Ввод  2 8 2 2 2 2 2" xfId="18536"/>
    <cellStyle name="Ввод  2 8 2 2 2 2 3" xfId="33897"/>
    <cellStyle name="Ввод  2 8 2 2 2 3" xfId="23522"/>
    <cellStyle name="Ввод  2 8 2 2 2 3 2" xfId="38883"/>
    <cellStyle name="Ввод  2 8 2 2 2 4" xfId="12973"/>
    <cellStyle name="Ввод  2 8 2 2 2 5" xfId="28473"/>
    <cellStyle name="Ввод  2 8 2 2 3" xfId="5064"/>
    <cellStyle name="Ввод  2 8 2 2 3 2" xfId="10247"/>
    <cellStyle name="Ввод  2 8 2 2 3 2 2" xfId="21173"/>
    <cellStyle name="Ввод  2 8 2 2 3 2 3" xfId="36534"/>
    <cellStyle name="Ввод  2 8 2 2 3 3" xfId="26134"/>
    <cellStyle name="Ввод  2 8 2 2 3 3 2" xfId="41495"/>
    <cellStyle name="Ввод  2 8 2 2 3 4" xfId="15610"/>
    <cellStyle name="Ввод  2 8 2 2 3 5" xfId="31085"/>
    <cellStyle name="Ввод  2 8 2 2 4" xfId="6521"/>
    <cellStyle name="Ввод  2 8 2 2 4 2" xfId="16340"/>
    <cellStyle name="Ввод  2 8 2 2 4 3" xfId="31807"/>
    <cellStyle name="Ввод  2 8 2 2 5" xfId="22409"/>
    <cellStyle name="Ввод  2 8 2 2 5 2" xfId="37770"/>
    <cellStyle name="Ввод  2 8 2 2 6" xfId="11849"/>
    <cellStyle name="Ввод  2 8 2 2 7" xfId="27360"/>
    <cellStyle name="Ввод  2 8 2 3" xfId="2304"/>
    <cellStyle name="Ввод  2 8 2 3 2" xfId="7540"/>
    <cellStyle name="Ввод  2 8 2 3 2 2" xfId="18442"/>
    <cellStyle name="Ввод  2 8 2 3 2 3" xfId="33803"/>
    <cellStyle name="Ввод  2 8 2 3 3" xfId="23428"/>
    <cellStyle name="Ввод  2 8 2 3 3 2" xfId="38789"/>
    <cellStyle name="Ввод  2 8 2 3 4" xfId="12879"/>
    <cellStyle name="Ввод  2 8 2 3 5" xfId="28379"/>
    <cellStyle name="Ввод  2 8 2 4" xfId="1530"/>
    <cellStyle name="Ввод  2 8 2 4 2" xfId="6777"/>
    <cellStyle name="Ввод  2 8 2 4 2 2" xfId="17672"/>
    <cellStyle name="Ввод  2 8 2 4 2 3" xfId="33033"/>
    <cellStyle name="Ввод  2 8 2 4 3" xfId="22665"/>
    <cellStyle name="Ввод  2 8 2 4 3 2" xfId="38026"/>
    <cellStyle name="Ввод  2 8 2 4 4" xfId="12108"/>
    <cellStyle name="Ввод  2 8 2 4 5" xfId="27616"/>
    <cellStyle name="Ввод  2 8 2 5" xfId="3673"/>
    <cellStyle name="Ввод  2 8 2 5 2" xfId="8860"/>
    <cellStyle name="Ввод  2 8 2 5 2 2" xfId="19787"/>
    <cellStyle name="Ввод  2 8 2 5 2 3" xfId="35148"/>
    <cellStyle name="Ввод  2 8 2 5 3" xfId="24748"/>
    <cellStyle name="Ввод  2 8 2 5 3 2" xfId="40109"/>
    <cellStyle name="Ввод  2 8 2 5 4" xfId="14224"/>
    <cellStyle name="Ввод  2 8 2 5 5" xfId="29699"/>
    <cellStyle name="Ввод  2 8 2 6" xfId="4352"/>
    <cellStyle name="Ввод  2 8 2 6 2" xfId="9539"/>
    <cellStyle name="Ввод  2 8 2 6 2 2" xfId="20466"/>
    <cellStyle name="Ввод  2 8 2 6 2 3" xfId="35827"/>
    <cellStyle name="Ввод  2 8 2 6 3" xfId="25427"/>
    <cellStyle name="Ввод  2 8 2 6 3 2" xfId="40788"/>
    <cellStyle name="Ввод  2 8 2 6 4" xfId="14903"/>
    <cellStyle name="Ввод  2 8 2 6 5" xfId="30378"/>
    <cellStyle name="Ввод  2 8 2 7" xfId="4483"/>
    <cellStyle name="Ввод  2 8 2 7 2" xfId="9670"/>
    <cellStyle name="Ввод  2 8 2 7 2 2" xfId="20597"/>
    <cellStyle name="Ввод  2 8 2 7 2 3" xfId="35958"/>
    <cellStyle name="Ввод  2 8 2 7 3" xfId="25558"/>
    <cellStyle name="Ввод  2 8 2 7 3 2" xfId="40919"/>
    <cellStyle name="Ввод  2 8 2 7 4" xfId="15034"/>
    <cellStyle name="Ввод  2 8 2 7 5" xfId="30509"/>
    <cellStyle name="Ввод  2 8 2 8" xfId="6160"/>
    <cellStyle name="Ввод  2 8 2 8 2" xfId="16707"/>
    <cellStyle name="Ввод  2 8 2 8 3" xfId="32174"/>
    <cellStyle name="Ввод  2 8 2 9" xfId="22048"/>
    <cellStyle name="Ввод  2 8 2 9 2" xfId="37409"/>
    <cellStyle name="Ввод  2 8 3" xfId="1422"/>
    <cellStyle name="Ввод  2 8 3 2" xfId="2587"/>
    <cellStyle name="Ввод  2 8 3 2 2" xfId="7820"/>
    <cellStyle name="Ввод  2 8 3 2 2 2" xfId="18722"/>
    <cellStyle name="Ввод  2 8 3 2 2 3" xfId="34083"/>
    <cellStyle name="Ввод  2 8 3 2 3" xfId="23708"/>
    <cellStyle name="Ввод  2 8 3 2 3 2" xfId="39069"/>
    <cellStyle name="Ввод  2 8 3 2 4" xfId="13159"/>
    <cellStyle name="Ввод  2 8 3 2 5" xfId="28659"/>
    <cellStyle name="Ввод  2 8 3 3" xfId="5065"/>
    <cellStyle name="Ввод  2 8 3 3 2" xfId="10248"/>
    <cellStyle name="Ввод  2 8 3 3 2 2" xfId="21174"/>
    <cellStyle name="Ввод  2 8 3 3 2 3" xfId="36535"/>
    <cellStyle name="Ввод  2 8 3 3 3" xfId="26135"/>
    <cellStyle name="Ввод  2 8 3 3 3 2" xfId="41496"/>
    <cellStyle name="Ввод  2 8 3 3 4" xfId="15611"/>
    <cellStyle name="Ввод  2 8 3 3 5" xfId="31086"/>
    <cellStyle name="Ввод  2 8 3 4" xfId="6670"/>
    <cellStyle name="Ввод  2 8 3 4 2" xfId="16188"/>
    <cellStyle name="Ввод  2 8 3 4 3" xfId="31655"/>
    <cellStyle name="Ввод  2 8 3 5" xfId="22558"/>
    <cellStyle name="Ввод  2 8 3 5 2" xfId="37919"/>
    <cellStyle name="Ввод  2 8 3 6" xfId="12001"/>
    <cellStyle name="Ввод  2 8 3 7" xfId="27509"/>
    <cellStyle name="Ввод  2 8 4" xfId="106"/>
    <cellStyle name="Ввод  2 8 4 2" xfId="5632"/>
    <cellStyle name="Ввод  2 8 4 2 2" xfId="17365"/>
    <cellStyle name="Ввод  2 8 4 2 3" xfId="32832"/>
    <cellStyle name="Ввод  2 8 4 3" xfId="17075"/>
    <cellStyle name="Ввод  2 8 4 3 2" xfId="32542"/>
    <cellStyle name="Ввод  2 8 4 4" xfId="10820"/>
    <cellStyle name="Ввод  2 8 4 5" xfId="11111"/>
    <cellStyle name="Ввод  2 8 5" xfId="3073"/>
    <cellStyle name="Ввод  2 8 5 2" xfId="8268"/>
    <cellStyle name="Ввод  2 8 5 2 2" xfId="19194"/>
    <cellStyle name="Ввод  2 8 5 2 3" xfId="34555"/>
    <cellStyle name="Ввод  2 8 5 3" xfId="24156"/>
    <cellStyle name="Ввод  2 8 5 3 2" xfId="39517"/>
    <cellStyle name="Ввод  2 8 5 4" xfId="13631"/>
    <cellStyle name="Ввод  2 8 5 5" xfId="29107"/>
    <cellStyle name="Ввод  2 8 6" xfId="3503"/>
    <cellStyle name="Ввод  2 8 6 2" xfId="8690"/>
    <cellStyle name="Ввод  2 8 6 2 2" xfId="19617"/>
    <cellStyle name="Ввод  2 8 6 2 3" xfId="34978"/>
    <cellStyle name="Ввод  2 8 6 3" xfId="24578"/>
    <cellStyle name="Ввод  2 8 6 3 2" xfId="39939"/>
    <cellStyle name="Ввод  2 8 6 4" xfId="14054"/>
    <cellStyle name="Ввод  2 8 6 5" xfId="29529"/>
    <cellStyle name="Ввод  2 8 7" xfId="3354"/>
    <cellStyle name="Ввод  2 8 7 2" xfId="8548"/>
    <cellStyle name="Ввод  2 8 7 2 2" xfId="19475"/>
    <cellStyle name="Ввод  2 8 7 2 3" xfId="34836"/>
    <cellStyle name="Ввод  2 8 7 3" xfId="24436"/>
    <cellStyle name="Ввод  2 8 7 3 2" xfId="39797"/>
    <cellStyle name="Ввод  2 8 7 4" xfId="13912"/>
    <cellStyle name="Ввод  2 8 7 5" xfId="29387"/>
    <cellStyle name="Ввод  2 8 8" xfId="4788"/>
    <cellStyle name="Ввод  2 8 8 2" xfId="9975"/>
    <cellStyle name="Ввод  2 8 8 2 2" xfId="20902"/>
    <cellStyle name="Ввод  2 8 8 2 3" xfId="36263"/>
    <cellStyle name="Ввод  2 8 8 3" xfId="25863"/>
    <cellStyle name="Ввод  2 8 8 3 2" xfId="41224"/>
    <cellStyle name="Ввод  2 8 8 4" xfId="15339"/>
    <cellStyle name="Ввод  2 8 8 5" xfId="30814"/>
    <cellStyle name="Ввод  2 8 9" xfId="5679"/>
    <cellStyle name="Ввод  2 8 9 2" xfId="17212"/>
    <cellStyle name="Ввод  2 8 9 3" xfId="32679"/>
    <cellStyle name="Ввод  2 9" xfId="289"/>
    <cellStyle name="Ввод  2 9 10" xfId="17282"/>
    <cellStyle name="Ввод  2 9 10 2" xfId="32749"/>
    <cellStyle name="Ввод  2 9 11" xfId="10975"/>
    <cellStyle name="Ввод  2 9 12" xfId="10905"/>
    <cellStyle name="Ввод  2 9 2" xfId="897"/>
    <cellStyle name="Ввод  2 9 2 10" xfId="11481"/>
    <cellStyle name="Ввод  2 9 2 11" xfId="26998"/>
    <cellStyle name="Ввод  2 9 2 2" xfId="1261"/>
    <cellStyle name="Ввод  2 9 2 2 2" xfId="2609"/>
    <cellStyle name="Ввод  2 9 2 2 2 2" xfId="7841"/>
    <cellStyle name="Ввод  2 9 2 2 2 2 2" xfId="18744"/>
    <cellStyle name="Ввод  2 9 2 2 2 2 3" xfId="34105"/>
    <cellStyle name="Ввод  2 9 2 2 2 3" xfId="23729"/>
    <cellStyle name="Ввод  2 9 2 2 2 3 2" xfId="39090"/>
    <cellStyle name="Ввод  2 9 2 2 2 4" xfId="13181"/>
    <cellStyle name="Ввод  2 9 2 2 2 5" xfId="28680"/>
    <cellStyle name="Ввод  2 9 2 2 3" xfId="5066"/>
    <cellStyle name="Ввод  2 9 2 2 3 2" xfId="10249"/>
    <cellStyle name="Ввод  2 9 2 2 3 2 2" xfId="21175"/>
    <cellStyle name="Ввод  2 9 2 2 3 2 3" xfId="36536"/>
    <cellStyle name="Ввод  2 9 2 2 3 3" xfId="26136"/>
    <cellStyle name="Ввод  2 9 2 2 3 3 2" xfId="41497"/>
    <cellStyle name="Ввод  2 9 2 2 3 4" xfId="15612"/>
    <cellStyle name="Ввод  2 9 2 2 3 5" xfId="31087"/>
    <cellStyle name="Ввод  2 9 2 2 4" xfId="6514"/>
    <cellStyle name="Ввод  2 9 2 2 4 2" xfId="16347"/>
    <cellStyle name="Ввод  2 9 2 2 4 3" xfId="31814"/>
    <cellStyle name="Ввод  2 9 2 2 5" xfId="22402"/>
    <cellStyle name="Ввод  2 9 2 2 5 2" xfId="37763"/>
    <cellStyle name="Ввод  2 9 2 2 6" xfId="11842"/>
    <cellStyle name="Ввод  2 9 2 2 7" xfId="27353"/>
    <cellStyle name="Ввод  2 9 2 3" xfId="2303"/>
    <cellStyle name="Ввод  2 9 2 3 2" xfId="7539"/>
    <cellStyle name="Ввод  2 9 2 3 2 2" xfId="18441"/>
    <cellStyle name="Ввод  2 9 2 3 2 3" xfId="33802"/>
    <cellStyle name="Ввод  2 9 2 3 3" xfId="23427"/>
    <cellStyle name="Ввод  2 9 2 3 3 2" xfId="38788"/>
    <cellStyle name="Ввод  2 9 2 3 4" xfId="12878"/>
    <cellStyle name="Ввод  2 9 2 3 5" xfId="28378"/>
    <cellStyle name="Ввод  2 9 2 4" xfId="2589"/>
    <cellStyle name="Ввод  2 9 2 4 2" xfId="7822"/>
    <cellStyle name="Ввод  2 9 2 4 2 2" xfId="18724"/>
    <cellStyle name="Ввод  2 9 2 4 2 3" xfId="34085"/>
    <cellStyle name="Ввод  2 9 2 4 3" xfId="23710"/>
    <cellStyle name="Ввод  2 9 2 4 3 2" xfId="39071"/>
    <cellStyle name="Ввод  2 9 2 4 4" xfId="13161"/>
    <cellStyle name="Ввод  2 9 2 4 5" xfId="28661"/>
    <cellStyle name="Ввод  2 9 2 5" xfId="3751"/>
    <cellStyle name="Ввод  2 9 2 5 2" xfId="8938"/>
    <cellStyle name="Ввод  2 9 2 5 2 2" xfId="19865"/>
    <cellStyle name="Ввод  2 9 2 5 2 3" xfId="35226"/>
    <cellStyle name="Ввод  2 9 2 5 3" xfId="24826"/>
    <cellStyle name="Ввод  2 9 2 5 3 2" xfId="40187"/>
    <cellStyle name="Ввод  2 9 2 5 4" xfId="14302"/>
    <cellStyle name="Ввод  2 9 2 5 5" xfId="29777"/>
    <cellStyle name="Ввод  2 9 2 6" xfId="4351"/>
    <cellStyle name="Ввод  2 9 2 6 2" xfId="9538"/>
    <cellStyle name="Ввод  2 9 2 6 2 2" xfId="20465"/>
    <cellStyle name="Ввод  2 9 2 6 2 3" xfId="35826"/>
    <cellStyle name="Ввод  2 9 2 6 3" xfId="25426"/>
    <cellStyle name="Ввод  2 9 2 6 3 2" xfId="40787"/>
    <cellStyle name="Ввод  2 9 2 6 4" xfId="14902"/>
    <cellStyle name="Ввод  2 9 2 6 5" xfId="30377"/>
    <cellStyle name="Ввод  2 9 2 7" xfId="4484"/>
    <cellStyle name="Ввод  2 9 2 7 2" xfId="9671"/>
    <cellStyle name="Ввод  2 9 2 7 2 2" xfId="20598"/>
    <cellStyle name="Ввод  2 9 2 7 2 3" xfId="35959"/>
    <cellStyle name="Ввод  2 9 2 7 3" xfId="25559"/>
    <cellStyle name="Ввод  2 9 2 7 3 2" xfId="40920"/>
    <cellStyle name="Ввод  2 9 2 7 4" xfId="15035"/>
    <cellStyle name="Ввод  2 9 2 7 5" xfId="30510"/>
    <cellStyle name="Ввод  2 9 2 8" xfId="6159"/>
    <cellStyle name="Ввод  2 9 2 8 2" xfId="16708"/>
    <cellStyle name="Ввод  2 9 2 8 3" xfId="32175"/>
    <cellStyle name="Ввод  2 9 2 9" xfId="22047"/>
    <cellStyle name="Ввод  2 9 2 9 2" xfId="37408"/>
    <cellStyle name="Ввод  2 9 3" xfId="1762"/>
    <cellStyle name="Ввод  2 9 3 2" xfId="2749"/>
    <cellStyle name="Ввод  2 9 3 2 2" xfId="7978"/>
    <cellStyle name="Ввод  2 9 3 2 2 2" xfId="18882"/>
    <cellStyle name="Ввод  2 9 3 2 2 3" xfId="34243"/>
    <cellStyle name="Ввод  2 9 3 2 3" xfId="23866"/>
    <cellStyle name="Ввод  2 9 3 2 3 2" xfId="39227"/>
    <cellStyle name="Ввод  2 9 3 2 4" xfId="13319"/>
    <cellStyle name="Ввод  2 9 3 2 5" xfId="28817"/>
    <cellStyle name="Ввод  2 9 3 3" xfId="5067"/>
    <cellStyle name="Ввод  2 9 3 3 2" xfId="10250"/>
    <cellStyle name="Ввод  2 9 3 3 2 2" xfId="21176"/>
    <cellStyle name="Ввод  2 9 3 3 2 3" xfId="36537"/>
    <cellStyle name="Ввод  2 9 3 3 3" xfId="26137"/>
    <cellStyle name="Ввод  2 9 3 3 3 2" xfId="41498"/>
    <cellStyle name="Ввод  2 9 3 3 4" xfId="15613"/>
    <cellStyle name="Ввод  2 9 3 3 5" xfId="31088"/>
    <cellStyle name="Ввод  2 9 3 4" xfId="7001"/>
    <cellStyle name="Ввод  2 9 3 4 2" xfId="17903"/>
    <cellStyle name="Ввод  2 9 3 4 3" xfId="33264"/>
    <cellStyle name="Ввод  2 9 3 5" xfId="22889"/>
    <cellStyle name="Ввод  2 9 3 5 2" xfId="38250"/>
    <cellStyle name="Ввод  2 9 3 6" xfId="12340"/>
    <cellStyle name="Ввод  2 9 3 7" xfId="27840"/>
    <cellStyle name="Ввод  2 9 4" xfId="1690"/>
    <cellStyle name="Ввод  2 9 4 2" xfId="6934"/>
    <cellStyle name="Ввод  2 9 4 2 2" xfId="17832"/>
    <cellStyle name="Ввод  2 9 4 2 3" xfId="33193"/>
    <cellStyle name="Ввод  2 9 4 3" xfId="22822"/>
    <cellStyle name="Ввод  2 9 4 3 2" xfId="38183"/>
    <cellStyle name="Ввод  2 9 4 4" xfId="12268"/>
    <cellStyle name="Ввод  2 9 4 5" xfId="27773"/>
    <cellStyle name="Ввод  2 9 5" xfId="3070"/>
    <cellStyle name="Ввод  2 9 5 2" xfId="8265"/>
    <cellStyle name="Ввод  2 9 5 2 2" xfId="19191"/>
    <cellStyle name="Ввод  2 9 5 2 3" xfId="34552"/>
    <cellStyle name="Ввод  2 9 5 3" xfId="24153"/>
    <cellStyle name="Ввод  2 9 5 3 2" xfId="39514"/>
    <cellStyle name="Ввод  2 9 5 4" xfId="13628"/>
    <cellStyle name="Ввод  2 9 5 5" xfId="29104"/>
    <cellStyle name="Ввод  2 9 6" xfId="3941"/>
    <cellStyle name="Ввод  2 9 6 2" xfId="9128"/>
    <cellStyle name="Ввод  2 9 6 2 2" xfId="20055"/>
    <cellStyle name="Ввод  2 9 6 2 3" xfId="35416"/>
    <cellStyle name="Ввод  2 9 6 3" xfId="25016"/>
    <cellStyle name="Ввод  2 9 6 3 2" xfId="40377"/>
    <cellStyle name="Ввод  2 9 6 4" xfId="14492"/>
    <cellStyle name="Ввод  2 9 6 5" xfId="29967"/>
    <cellStyle name="Ввод  2 9 7" xfId="3256"/>
    <cellStyle name="Ввод  2 9 7 2" xfId="8450"/>
    <cellStyle name="Ввод  2 9 7 2 2" xfId="19377"/>
    <cellStyle name="Ввод  2 9 7 2 3" xfId="34738"/>
    <cellStyle name="Ввод  2 9 7 3" xfId="24338"/>
    <cellStyle name="Ввод  2 9 7 3 2" xfId="39699"/>
    <cellStyle name="Ввод  2 9 7 4" xfId="13814"/>
    <cellStyle name="Ввод  2 9 7 5" xfId="29289"/>
    <cellStyle name="Ввод  2 9 8" xfId="4834"/>
    <cellStyle name="Ввод  2 9 8 2" xfId="10021"/>
    <cellStyle name="Ввод  2 9 8 2 2" xfId="20948"/>
    <cellStyle name="Ввод  2 9 8 2 3" xfId="36309"/>
    <cellStyle name="Ввод  2 9 8 3" xfId="25909"/>
    <cellStyle name="Ввод  2 9 8 3 2" xfId="41270"/>
    <cellStyle name="Ввод  2 9 8 4" xfId="15385"/>
    <cellStyle name="Ввод  2 9 8 5" xfId="30860"/>
    <cellStyle name="Ввод  2 9 9" xfId="5680"/>
    <cellStyle name="Ввод  2 9 9 2" xfId="17211"/>
    <cellStyle name="Ввод  2 9 9 3" xfId="32678"/>
    <cellStyle name="Ввод  2_46EE.2011(v1.0)" xfId="42801"/>
    <cellStyle name="Ввод  3" xfId="42802"/>
    <cellStyle name="Ввод  3 2" xfId="42803"/>
    <cellStyle name="Ввод  3 2 2" xfId="44360"/>
    <cellStyle name="Ввод  3 2 2 2" xfId="46187"/>
    <cellStyle name="Ввод  3 2 3" xfId="44361"/>
    <cellStyle name="Ввод  3 3" xfId="44362"/>
    <cellStyle name="Ввод  3 3 2" xfId="46189"/>
    <cellStyle name="Ввод  3 3 3" xfId="46188"/>
    <cellStyle name="Ввод  3 4" xfId="44363"/>
    <cellStyle name="Ввод  3_46EE.2011(v1.0)" xfId="42804"/>
    <cellStyle name="Ввод  4" xfId="42805"/>
    <cellStyle name="Ввод  4 2" xfId="42806"/>
    <cellStyle name="Ввод  4 2 2" xfId="46190"/>
    <cellStyle name="Ввод  4 3" xfId="46191"/>
    <cellStyle name="Ввод  4 3 2" xfId="46192"/>
    <cellStyle name="Ввод  4 4" xfId="46193"/>
    <cellStyle name="Ввод  4_46EE.2011(v1.0)" xfId="42807"/>
    <cellStyle name="Ввод  5" xfId="42808"/>
    <cellStyle name="Ввод  5 2" xfId="42809"/>
    <cellStyle name="Ввод  5 2 2" xfId="46194"/>
    <cellStyle name="Ввод  5 3" xfId="46195"/>
    <cellStyle name="Ввод  5 3 2" xfId="46196"/>
    <cellStyle name="Ввод  5 4" xfId="46197"/>
    <cellStyle name="Ввод  5_46EE.2011(v1.0)" xfId="42810"/>
    <cellStyle name="Ввод  6" xfId="42811"/>
    <cellStyle name="Ввод  6 2" xfId="42812"/>
    <cellStyle name="Ввод  6 2 2" xfId="46198"/>
    <cellStyle name="Ввод  6 3" xfId="46199"/>
    <cellStyle name="Ввод  6 3 2" xfId="46200"/>
    <cellStyle name="Ввод  6 4" xfId="46201"/>
    <cellStyle name="Ввод  6_46EE.2011(v1.0)" xfId="42813"/>
    <cellStyle name="Ввод  7" xfId="42814"/>
    <cellStyle name="Ввод  7 2" xfId="42815"/>
    <cellStyle name="Ввод  7_46EE.2011(v1.0)" xfId="42816"/>
    <cellStyle name="Ввод  8" xfId="42817"/>
    <cellStyle name="Ввод  8 2" xfId="42818"/>
    <cellStyle name="Ввод  8_46EE.2011(v1.0)" xfId="42819"/>
    <cellStyle name="Ввод  9" xfId="42820"/>
    <cellStyle name="Ввод  9 2" xfId="42821"/>
    <cellStyle name="Ввод  9_46EE.2011(v1.0)" xfId="42822"/>
    <cellStyle name="Вывод 2" xfId="290"/>
    <cellStyle name="Вывод 2 10" xfId="291"/>
    <cellStyle name="Вывод 2 10 10" xfId="16465"/>
    <cellStyle name="Вывод 2 10 10 2" xfId="31932"/>
    <cellStyle name="Вывод 2 10 11" xfId="10977"/>
    <cellStyle name="Вывод 2 10 12" xfId="10903"/>
    <cellStyle name="Вывод 2 10 2" xfId="895"/>
    <cellStyle name="Вывод 2 10 2 10" xfId="11479"/>
    <cellStyle name="Вывод 2 10 2 11" xfId="26996"/>
    <cellStyle name="Вывод 2 10 2 2" xfId="1113"/>
    <cellStyle name="Вывод 2 10 2 2 2" xfId="2612"/>
    <cellStyle name="Вывод 2 10 2 2 2 2" xfId="7844"/>
    <cellStyle name="Вывод 2 10 2 2 2 2 2" xfId="18747"/>
    <cellStyle name="Вывод 2 10 2 2 2 2 3" xfId="34108"/>
    <cellStyle name="Вывод 2 10 2 2 2 3" xfId="23732"/>
    <cellStyle name="Вывод 2 10 2 2 2 3 2" xfId="39093"/>
    <cellStyle name="Вывод 2 10 2 2 2 4" xfId="13184"/>
    <cellStyle name="Вывод 2 10 2 2 2 5" xfId="28683"/>
    <cellStyle name="Вывод 2 10 2 2 3" xfId="5068"/>
    <cellStyle name="Вывод 2 10 2 2 3 2" xfId="10251"/>
    <cellStyle name="Вывод 2 10 2 2 3 2 2" xfId="21177"/>
    <cellStyle name="Вывод 2 10 2 2 3 2 3" xfId="36538"/>
    <cellStyle name="Вывод 2 10 2 2 3 3" xfId="26138"/>
    <cellStyle name="Вывод 2 10 2 2 3 3 2" xfId="41499"/>
    <cellStyle name="Вывод 2 10 2 2 3 4" xfId="15614"/>
    <cellStyle name="Вывод 2 10 2 2 3 5" xfId="31089"/>
    <cellStyle name="Вывод 2 10 2 2 4" xfId="6368"/>
    <cellStyle name="Вывод 2 10 2 2 4 2" xfId="16495"/>
    <cellStyle name="Вывод 2 10 2 2 4 3" xfId="31962"/>
    <cellStyle name="Вывод 2 10 2 2 5" xfId="22256"/>
    <cellStyle name="Вывод 2 10 2 2 5 2" xfId="37617"/>
    <cellStyle name="Вывод 2 10 2 2 6" xfId="11694"/>
    <cellStyle name="Вывод 2 10 2 2 7" xfId="27207"/>
    <cellStyle name="Вывод 2 10 2 3" xfId="2301"/>
    <cellStyle name="Вывод 2 10 2 3 2" xfId="7537"/>
    <cellStyle name="Вывод 2 10 2 3 2 2" xfId="18439"/>
    <cellStyle name="Вывод 2 10 2 3 2 3" xfId="33800"/>
    <cellStyle name="Вывод 2 10 2 3 3" xfId="23425"/>
    <cellStyle name="Вывод 2 10 2 3 3 2" xfId="38786"/>
    <cellStyle name="Вывод 2 10 2 3 4" xfId="12876"/>
    <cellStyle name="Вывод 2 10 2 3 5" xfId="28376"/>
    <cellStyle name="Вывод 2 10 2 4" xfId="62"/>
    <cellStyle name="Вывод 2 10 2 4 2" xfId="5589"/>
    <cellStyle name="Вывод 2 10 2 4 2 2" xfId="17409"/>
    <cellStyle name="Вывод 2 10 2 4 2 3" xfId="32876"/>
    <cellStyle name="Вывод 2 10 2 4 3" xfId="17426"/>
    <cellStyle name="Вывод 2 10 2 4 3 2" xfId="32893"/>
    <cellStyle name="Вывод 2 10 2 4 4" xfId="10776"/>
    <cellStyle name="Вывод 2 10 2 4 5" xfId="10759"/>
    <cellStyle name="Вывод 2 10 2 5" xfId="3752"/>
    <cellStyle name="Вывод 2 10 2 5 2" xfId="8939"/>
    <cellStyle name="Вывод 2 10 2 5 2 2" xfId="19866"/>
    <cellStyle name="Вывод 2 10 2 5 2 3" xfId="35227"/>
    <cellStyle name="Вывод 2 10 2 5 3" xfId="24827"/>
    <cellStyle name="Вывод 2 10 2 5 3 2" xfId="40188"/>
    <cellStyle name="Вывод 2 10 2 5 4" xfId="14303"/>
    <cellStyle name="Вывод 2 10 2 5 5" xfId="29778"/>
    <cellStyle name="Вывод 2 10 2 6" xfId="4349"/>
    <cellStyle name="Вывод 2 10 2 6 2" xfId="9536"/>
    <cellStyle name="Вывод 2 10 2 6 2 2" xfId="20463"/>
    <cellStyle name="Вывод 2 10 2 6 2 3" xfId="35824"/>
    <cellStyle name="Вывод 2 10 2 6 3" xfId="25424"/>
    <cellStyle name="Вывод 2 10 2 6 3 2" xfId="40785"/>
    <cellStyle name="Вывод 2 10 2 6 4" xfId="14900"/>
    <cellStyle name="Вывод 2 10 2 6 5" xfId="30375"/>
    <cellStyle name="Вывод 2 10 2 7" xfId="4486"/>
    <cellStyle name="Вывод 2 10 2 7 2" xfId="9673"/>
    <cellStyle name="Вывод 2 10 2 7 2 2" xfId="20600"/>
    <cellStyle name="Вывод 2 10 2 7 2 3" xfId="35961"/>
    <cellStyle name="Вывод 2 10 2 7 3" xfId="25561"/>
    <cellStyle name="Вывод 2 10 2 7 3 2" xfId="40922"/>
    <cellStyle name="Вывод 2 10 2 7 4" xfId="15037"/>
    <cellStyle name="Вывод 2 10 2 7 5" xfId="30512"/>
    <cellStyle name="Вывод 2 10 2 8" xfId="6157"/>
    <cellStyle name="Вывод 2 10 2 8 2" xfId="16710"/>
    <cellStyle name="Вывод 2 10 2 8 3" xfId="32177"/>
    <cellStyle name="Вывод 2 10 2 9" xfId="22045"/>
    <cellStyle name="Вывод 2 10 2 9 2" xfId="37406"/>
    <cellStyle name="Вывод 2 10 3" xfId="1184"/>
    <cellStyle name="Вывод 2 10 3 2" xfId="2748"/>
    <cellStyle name="Вывод 2 10 3 2 2" xfId="7977"/>
    <cellStyle name="Вывод 2 10 3 2 2 2" xfId="18881"/>
    <cellStyle name="Вывод 2 10 3 2 2 3" xfId="34242"/>
    <cellStyle name="Вывод 2 10 3 2 3" xfId="23865"/>
    <cellStyle name="Вывод 2 10 3 2 3 2" xfId="39226"/>
    <cellStyle name="Вывод 2 10 3 2 4" xfId="13318"/>
    <cellStyle name="Вывод 2 10 3 2 5" xfId="28816"/>
    <cellStyle name="Вывод 2 10 3 3" xfId="5069"/>
    <cellStyle name="Вывод 2 10 3 3 2" xfId="10252"/>
    <cellStyle name="Вывод 2 10 3 3 2 2" xfId="21178"/>
    <cellStyle name="Вывод 2 10 3 3 2 3" xfId="36539"/>
    <cellStyle name="Вывод 2 10 3 3 3" xfId="26139"/>
    <cellStyle name="Вывод 2 10 3 3 3 2" xfId="41500"/>
    <cellStyle name="Вывод 2 10 3 3 4" xfId="15615"/>
    <cellStyle name="Вывод 2 10 3 3 5" xfId="31090"/>
    <cellStyle name="Вывод 2 10 3 4" xfId="6438"/>
    <cellStyle name="Вывод 2 10 3 4 2" xfId="16424"/>
    <cellStyle name="Вывод 2 10 3 4 3" xfId="31891"/>
    <cellStyle name="Вывод 2 10 3 5" xfId="22326"/>
    <cellStyle name="Вывод 2 10 3 5 2" xfId="37687"/>
    <cellStyle name="Вывод 2 10 3 6" xfId="11765"/>
    <cellStyle name="Вывод 2 10 3 7" xfId="27277"/>
    <cellStyle name="Вывод 2 10 4" xfId="52"/>
    <cellStyle name="Вывод 2 10 4 2" xfId="5579"/>
    <cellStyle name="Вывод 2 10 4 2 2" xfId="17419"/>
    <cellStyle name="Вывод 2 10 4 2 3" xfId="32886"/>
    <cellStyle name="Вывод 2 10 4 3" xfId="16948"/>
    <cellStyle name="Вывод 2 10 4 3 2" xfId="32415"/>
    <cellStyle name="Вывод 2 10 4 4" xfId="10766"/>
    <cellStyle name="Вывод 2 10 4 5" xfId="11241"/>
    <cellStyle name="Вывод 2 10 5" xfId="3066"/>
    <cellStyle name="Вывод 2 10 5 2" xfId="8261"/>
    <cellStyle name="Вывод 2 10 5 2 2" xfId="19187"/>
    <cellStyle name="Вывод 2 10 5 2 3" xfId="34548"/>
    <cellStyle name="Вывод 2 10 5 3" xfId="24149"/>
    <cellStyle name="Вывод 2 10 5 3 2" xfId="39510"/>
    <cellStyle name="Вывод 2 10 5 4" xfId="13624"/>
    <cellStyle name="Вывод 2 10 5 5" xfId="29100"/>
    <cellStyle name="Вывод 2 10 6" xfId="3207"/>
    <cellStyle name="Вывод 2 10 6 2" xfId="8402"/>
    <cellStyle name="Вывод 2 10 6 2 2" xfId="19328"/>
    <cellStyle name="Вывод 2 10 6 2 3" xfId="34689"/>
    <cellStyle name="Вывод 2 10 6 3" xfId="24290"/>
    <cellStyle name="Вывод 2 10 6 3 2" xfId="39651"/>
    <cellStyle name="Вывод 2 10 6 4" xfId="13765"/>
    <cellStyle name="Вывод 2 10 6 5" xfId="29241"/>
    <cellStyle name="Вывод 2 10 7" xfId="3920"/>
    <cellStyle name="Вывод 2 10 7 2" xfId="9107"/>
    <cellStyle name="Вывод 2 10 7 2 2" xfId="20034"/>
    <cellStyle name="Вывод 2 10 7 2 3" xfId="35395"/>
    <cellStyle name="Вывод 2 10 7 3" xfId="24995"/>
    <cellStyle name="Вывод 2 10 7 3 2" xfId="40356"/>
    <cellStyle name="Вывод 2 10 7 4" xfId="14471"/>
    <cellStyle name="Вывод 2 10 7 5" xfId="29946"/>
    <cellStyle name="Вывод 2 10 8" xfId="4835"/>
    <cellStyle name="Вывод 2 10 8 2" xfId="10022"/>
    <cellStyle name="Вывод 2 10 8 2 2" xfId="20949"/>
    <cellStyle name="Вывод 2 10 8 2 3" xfId="36310"/>
    <cellStyle name="Вывод 2 10 8 3" xfId="25910"/>
    <cellStyle name="Вывод 2 10 8 3 2" xfId="41271"/>
    <cellStyle name="Вывод 2 10 8 4" xfId="15386"/>
    <cellStyle name="Вывод 2 10 8 5" xfId="30861"/>
    <cellStyle name="Вывод 2 10 9" xfId="5682"/>
    <cellStyle name="Вывод 2 10 9 2" xfId="17209"/>
    <cellStyle name="Вывод 2 10 9 3" xfId="32676"/>
    <cellStyle name="Вывод 2 11" xfId="292"/>
    <cellStyle name="Вывод 2 11 10" xfId="18929"/>
    <cellStyle name="Вывод 2 11 10 2" xfId="34290"/>
    <cellStyle name="Вывод 2 11 11" xfId="10978"/>
    <cellStyle name="Вывод 2 11 12" xfId="10902"/>
    <cellStyle name="Вывод 2 11 2" xfId="894"/>
    <cellStyle name="Вывод 2 11 2 10" xfId="11478"/>
    <cellStyle name="Вывод 2 11 2 11" xfId="26995"/>
    <cellStyle name="Вывод 2 11 2 2" xfId="1168"/>
    <cellStyle name="Вывод 2 11 2 2 2" xfId="2761"/>
    <cellStyle name="Вывод 2 11 2 2 2 2" xfId="7990"/>
    <cellStyle name="Вывод 2 11 2 2 2 2 2" xfId="18894"/>
    <cellStyle name="Вывод 2 11 2 2 2 2 3" xfId="34255"/>
    <cellStyle name="Вывод 2 11 2 2 2 3" xfId="23878"/>
    <cellStyle name="Вывод 2 11 2 2 2 3 2" xfId="39239"/>
    <cellStyle name="Вывод 2 11 2 2 2 4" xfId="13331"/>
    <cellStyle name="Вывод 2 11 2 2 2 5" xfId="28829"/>
    <cellStyle name="Вывод 2 11 2 2 3" xfId="5070"/>
    <cellStyle name="Вывод 2 11 2 2 3 2" xfId="10253"/>
    <cellStyle name="Вывод 2 11 2 2 3 2 2" xfId="21179"/>
    <cellStyle name="Вывод 2 11 2 2 3 2 3" xfId="36540"/>
    <cellStyle name="Вывод 2 11 2 2 3 3" xfId="26140"/>
    <cellStyle name="Вывод 2 11 2 2 3 3 2" xfId="41501"/>
    <cellStyle name="Вывод 2 11 2 2 3 4" xfId="15616"/>
    <cellStyle name="Вывод 2 11 2 2 3 5" xfId="31091"/>
    <cellStyle name="Вывод 2 11 2 2 4" xfId="6422"/>
    <cellStyle name="Вывод 2 11 2 2 4 2" xfId="16440"/>
    <cellStyle name="Вывод 2 11 2 2 4 3" xfId="31907"/>
    <cellStyle name="Вывод 2 11 2 2 5" xfId="22310"/>
    <cellStyle name="Вывод 2 11 2 2 5 2" xfId="37671"/>
    <cellStyle name="Вывод 2 11 2 2 6" xfId="11749"/>
    <cellStyle name="Вывод 2 11 2 2 7" xfId="27261"/>
    <cellStyle name="Вывод 2 11 2 3" xfId="2300"/>
    <cellStyle name="Вывод 2 11 2 3 2" xfId="7536"/>
    <cellStyle name="Вывод 2 11 2 3 2 2" xfId="18438"/>
    <cellStyle name="Вывод 2 11 2 3 2 3" xfId="33799"/>
    <cellStyle name="Вывод 2 11 2 3 3" xfId="23424"/>
    <cellStyle name="Вывод 2 11 2 3 3 2" xfId="38785"/>
    <cellStyle name="Вывод 2 11 2 3 4" xfId="12875"/>
    <cellStyle name="Вывод 2 11 2 3 5" xfId="28375"/>
    <cellStyle name="Вывод 2 11 2 4" xfId="2827"/>
    <cellStyle name="Вывод 2 11 2 4 2" xfId="8045"/>
    <cellStyle name="Вывод 2 11 2 4 2 2" xfId="18957"/>
    <cellStyle name="Вывод 2 11 2 4 2 3" xfId="34318"/>
    <cellStyle name="Вывод 2 11 2 4 3" xfId="23933"/>
    <cellStyle name="Вывод 2 11 2 4 3 2" xfId="39294"/>
    <cellStyle name="Вывод 2 11 2 4 4" xfId="13394"/>
    <cellStyle name="Вывод 2 11 2 4 5" xfId="28884"/>
    <cellStyle name="Вывод 2 11 2 5" xfId="3671"/>
    <cellStyle name="Вывод 2 11 2 5 2" xfId="8858"/>
    <cellStyle name="Вывод 2 11 2 5 2 2" xfId="19785"/>
    <cellStyle name="Вывод 2 11 2 5 2 3" xfId="35146"/>
    <cellStyle name="Вывод 2 11 2 5 3" xfId="24746"/>
    <cellStyle name="Вывод 2 11 2 5 3 2" xfId="40107"/>
    <cellStyle name="Вывод 2 11 2 5 4" xfId="14222"/>
    <cellStyle name="Вывод 2 11 2 5 5" xfId="29697"/>
    <cellStyle name="Вывод 2 11 2 6" xfId="4348"/>
    <cellStyle name="Вывод 2 11 2 6 2" xfId="9535"/>
    <cellStyle name="Вывод 2 11 2 6 2 2" xfId="20462"/>
    <cellStyle name="Вывод 2 11 2 6 2 3" xfId="35823"/>
    <cellStyle name="Вывод 2 11 2 6 3" xfId="25423"/>
    <cellStyle name="Вывод 2 11 2 6 3 2" xfId="40784"/>
    <cellStyle name="Вывод 2 11 2 6 4" xfId="14899"/>
    <cellStyle name="Вывод 2 11 2 6 5" xfId="30374"/>
    <cellStyle name="Вывод 2 11 2 7" xfId="4487"/>
    <cellStyle name="Вывод 2 11 2 7 2" xfId="9674"/>
    <cellStyle name="Вывод 2 11 2 7 2 2" xfId="20601"/>
    <cellStyle name="Вывод 2 11 2 7 2 3" xfId="35962"/>
    <cellStyle name="Вывод 2 11 2 7 3" xfId="25562"/>
    <cellStyle name="Вывод 2 11 2 7 3 2" xfId="40923"/>
    <cellStyle name="Вывод 2 11 2 7 4" xfId="15038"/>
    <cellStyle name="Вывод 2 11 2 7 5" xfId="30513"/>
    <cellStyle name="Вывод 2 11 2 8" xfId="6156"/>
    <cellStyle name="Вывод 2 11 2 8 2" xfId="16711"/>
    <cellStyle name="Вывод 2 11 2 8 3" xfId="32178"/>
    <cellStyle name="Вывод 2 11 2 9" xfId="22044"/>
    <cellStyle name="Вывод 2 11 2 9 2" xfId="37405"/>
    <cellStyle name="Вывод 2 11 3" xfId="1342"/>
    <cellStyle name="Вывод 2 11 3 2" xfId="2402"/>
    <cellStyle name="Вывод 2 11 3 2 2" xfId="7638"/>
    <cellStyle name="Вывод 2 11 3 2 2 2" xfId="18540"/>
    <cellStyle name="Вывод 2 11 3 2 2 3" xfId="33901"/>
    <cellStyle name="Вывод 2 11 3 2 3" xfId="23526"/>
    <cellStyle name="Вывод 2 11 3 2 3 2" xfId="38887"/>
    <cellStyle name="Вывод 2 11 3 2 4" xfId="12977"/>
    <cellStyle name="Вывод 2 11 3 2 5" xfId="28477"/>
    <cellStyle name="Вывод 2 11 3 3" xfId="5071"/>
    <cellStyle name="Вывод 2 11 3 3 2" xfId="10254"/>
    <cellStyle name="Вывод 2 11 3 3 2 2" xfId="21180"/>
    <cellStyle name="Вывод 2 11 3 3 2 3" xfId="36541"/>
    <cellStyle name="Вывод 2 11 3 3 3" xfId="26141"/>
    <cellStyle name="Вывод 2 11 3 3 3 2" xfId="41502"/>
    <cellStyle name="Вывод 2 11 3 3 4" xfId="15617"/>
    <cellStyle name="Вывод 2 11 3 3 5" xfId="31092"/>
    <cellStyle name="Вывод 2 11 3 4" xfId="6595"/>
    <cellStyle name="Вывод 2 11 3 4 2" xfId="16266"/>
    <cellStyle name="Вывод 2 11 3 4 3" xfId="31733"/>
    <cellStyle name="Вывод 2 11 3 5" xfId="22483"/>
    <cellStyle name="Вывод 2 11 3 5 2" xfId="37844"/>
    <cellStyle name="Вывод 2 11 3 6" xfId="11923"/>
    <cellStyle name="Вывод 2 11 3 7" xfId="27434"/>
    <cellStyle name="Вывод 2 11 4" xfId="1667"/>
    <cellStyle name="Вывод 2 11 4 2" xfId="6913"/>
    <cellStyle name="Вывод 2 11 4 2 2" xfId="17809"/>
    <cellStyle name="Вывод 2 11 4 2 3" xfId="33170"/>
    <cellStyle name="Вывод 2 11 4 3" xfId="22801"/>
    <cellStyle name="Вывод 2 11 4 3 2" xfId="38162"/>
    <cellStyle name="Вывод 2 11 4 4" xfId="12245"/>
    <cellStyle name="Вывод 2 11 4 5" xfId="27752"/>
    <cellStyle name="Вывод 2 11 5" xfId="3065"/>
    <cellStyle name="Вывод 2 11 5 2" xfId="8260"/>
    <cellStyle name="Вывод 2 11 5 2 2" xfId="19186"/>
    <cellStyle name="Вывод 2 11 5 2 3" xfId="34547"/>
    <cellStyle name="Вывод 2 11 5 3" xfId="24148"/>
    <cellStyle name="Вывод 2 11 5 3 2" xfId="39509"/>
    <cellStyle name="Вывод 2 11 5 4" xfId="13623"/>
    <cellStyle name="Вывод 2 11 5 5" xfId="29099"/>
    <cellStyle name="Вывод 2 11 6" xfId="3505"/>
    <cellStyle name="Вывод 2 11 6 2" xfId="8692"/>
    <cellStyle name="Вывод 2 11 6 2 2" xfId="19619"/>
    <cellStyle name="Вывод 2 11 6 2 3" xfId="34980"/>
    <cellStyle name="Вывод 2 11 6 3" xfId="24580"/>
    <cellStyle name="Вывод 2 11 6 3 2" xfId="39941"/>
    <cellStyle name="Вывод 2 11 6 4" xfId="14056"/>
    <cellStyle name="Вывод 2 11 6 5" xfId="29531"/>
    <cellStyle name="Вывод 2 11 7" xfId="3353"/>
    <cellStyle name="Вывод 2 11 7 2" xfId="8547"/>
    <cellStyle name="Вывод 2 11 7 2 2" xfId="19474"/>
    <cellStyle name="Вывод 2 11 7 2 3" xfId="34835"/>
    <cellStyle name="Вывод 2 11 7 3" xfId="24435"/>
    <cellStyle name="Вывод 2 11 7 3 2" xfId="39796"/>
    <cellStyle name="Вывод 2 11 7 4" xfId="13911"/>
    <cellStyle name="Вывод 2 11 7 5" xfId="29386"/>
    <cellStyle name="Вывод 2 11 8" xfId="4786"/>
    <cellStyle name="Вывод 2 11 8 2" xfId="9973"/>
    <cellStyle name="Вывод 2 11 8 2 2" xfId="20900"/>
    <cellStyle name="Вывод 2 11 8 2 3" xfId="36261"/>
    <cellStyle name="Вывод 2 11 8 3" xfId="25861"/>
    <cellStyle name="Вывод 2 11 8 3 2" xfId="41222"/>
    <cellStyle name="Вывод 2 11 8 4" xfId="15337"/>
    <cellStyle name="Вывод 2 11 8 5" xfId="30812"/>
    <cellStyle name="Вывод 2 11 9" xfId="5683"/>
    <cellStyle name="Вывод 2 11 9 2" xfId="17208"/>
    <cellStyle name="Вывод 2 11 9 3" xfId="32675"/>
    <cellStyle name="Вывод 2 12" xfId="293"/>
    <cellStyle name="Вывод 2 12 10" xfId="17284"/>
    <cellStyle name="Вывод 2 12 10 2" xfId="32751"/>
    <cellStyle name="Вывод 2 12 11" xfId="10979"/>
    <cellStyle name="Вывод 2 12 12" xfId="11724"/>
    <cellStyle name="Вывод 2 12 2" xfId="893"/>
    <cellStyle name="Вывод 2 12 2 10" xfId="11477"/>
    <cellStyle name="Вывод 2 12 2 11" xfId="26994"/>
    <cellStyle name="Вывод 2 12 2 2" xfId="1701"/>
    <cellStyle name="Вывод 2 12 2 2 2" xfId="2745"/>
    <cellStyle name="Вывод 2 12 2 2 2 2" xfId="7974"/>
    <cellStyle name="Вывод 2 12 2 2 2 2 2" xfId="18878"/>
    <cellStyle name="Вывод 2 12 2 2 2 2 3" xfId="34239"/>
    <cellStyle name="Вывод 2 12 2 2 2 3" xfId="23862"/>
    <cellStyle name="Вывод 2 12 2 2 2 3 2" xfId="39223"/>
    <cellStyle name="Вывод 2 12 2 2 2 4" xfId="13315"/>
    <cellStyle name="Вывод 2 12 2 2 2 5" xfId="28813"/>
    <cellStyle name="Вывод 2 12 2 2 3" xfId="5072"/>
    <cellStyle name="Вывод 2 12 2 2 3 2" xfId="10255"/>
    <cellStyle name="Вывод 2 12 2 2 3 2 2" xfId="21181"/>
    <cellStyle name="Вывод 2 12 2 2 3 2 3" xfId="36542"/>
    <cellStyle name="Вывод 2 12 2 2 3 3" xfId="26142"/>
    <cellStyle name="Вывод 2 12 2 2 3 3 2" xfId="41503"/>
    <cellStyle name="Вывод 2 12 2 2 3 4" xfId="15618"/>
    <cellStyle name="Вывод 2 12 2 2 3 5" xfId="31093"/>
    <cellStyle name="Вывод 2 12 2 2 4" xfId="6944"/>
    <cellStyle name="Вывод 2 12 2 2 4 2" xfId="17843"/>
    <cellStyle name="Вывод 2 12 2 2 4 3" xfId="33204"/>
    <cellStyle name="Вывод 2 12 2 2 5" xfId="22832"/>
    <cellStyle name="Вывод 2 12 2 2 5 2" xfId="38193"/>
    <cellStyle name="Вывод 2 12 2 2 6" xfId="12279"/>
    <cellStyle name="Вывод 2 12 2 2 7" xfId="27783"/>
    <cellStyle name="Вывод 2 12 2 3" xfId="2299"/>
    <cellStyle name="Вывод 2 12 2 3 2" xfId="7535"/>
    <cellStyle name="Вывод 2 12 2 3 2 2" xfId="18437"/>
    <cellStyle name="Вывод 2 12 2 3 2 3" xfId="33798"/>
    <cellStyle name="Вывод 2 12 2 3 3" xfId="23423"/>
    <cellStyle name="Вывод 2 12 2 3 3 2" xfId="38784"/>
    <cellStyle name="Вывод 2 12 2 3 4" xfId="12874"/>
    <cellStyle name="Вывод 2 12 2 3 5" xfId="28374"/>
    <cellStyle name="Вывод 2 12 2 4" xfId="1179"/>
    <cellStyle name="Вывод 2 12 2 4 2" xfId="6433"/>
    <cellStyle name="Вывод 2 12 2 4 2 2" xfId="16429"/>
    <cellStyle name="Вывод 2 12 2 4 2 3" xfId="31896"/>
    <cellStyle name="Вывод 2 12 2 4 3" xfId="22321"/>
    <cellStyle name="Вывод 2 12 2 4 3 2" xfId="37682"/>
    <cellStyle name="Вывод 2 12 2 4 4" xfId="11760"/>
    <cellStyle name="Вывод 2 12 2 4 5" xfId="27272"/>
    <cellStyle name="Вывод 2 12 2 5" xfId="3753"/>
    <cellStyle name="Вывод 2 12 2 5 2" xfId="8940"/>
    <cellStyle name="Вывод 2 12 2 5 2 2" xfId="19867"/>
    <cellStyle name="Вывод 2 12 2 5 2 3" xfId="35228"/>
    <cellStyle name="Вывод 2 12 2 5 3" xfId="24828"/>
    <cellStyle name="Вывод 2 12 2 5 3 2" xfId="40189"/>
    <cellStyle name="Вывод 2 12 2 5 4" xfId="14304"/>
    <cellStyle name="Вывод 2 12 2 5 5" xfId="29779"/>
    <cellStyle name="Вывод 2 12 2 6" xfId="4347"/>
    <cellStyle name="Вывод 2 12 2 6 2" xfId="9534"/>
    <cellStyle name="Вывод 2 12 2 6 2 2" xfId="20461"/>
    <cellStyle name="Вывод 2 12 2 6 2 3" xfId="35822"/>
    <cellStyle name="Вывод 2 12 2 6 3" xfId="25422"/>
    <cellStyle name="Вывод 2 12 2 6 3 2" xfId="40783"/>
    <cellStyle name="Вывод 2 12 2 6 4" xfId="14898"/>
    <cellStyle name="Вывод 2 12 2 6 5" xfId="30373"/>
    <cellStyle name="Вывод 2 12 2 7" xfId="4488"/>
    <cellStyle name="Вывод 2 12 2 7 2" xfId="9675"/>
    <cellStyle name="Вывод 2 12 2 7 2 2" xfId="20602"/>
    <cellStyle name="Вывод 2 12 2 7 2 3" xfId="35963"/>
    <cellStyle name="Вывод 2 12 2 7 3" xfId="25563"/>
    <cellStyle name="Вывод 2 12 2 7 3 2" xfId="40924"/>
    <cellStyle name="Вывод 2 12 2 7 4" xfId="15039"/>
    <cellStyle name="Вывод 2 12 2 7 5" xfId="30514"/>
    <cellStyle name="Вывод 2 12 2 8" xfId="6155"/>
    <cellStyle name="Вывод 2 12 2 8 2" xfId="16712"/>
    <cellStyle name="Вывод 2 12 2 8 3" xfId="32179"/>
    <cellStyle name="Вывод 2 12 2 9" xfId="22043"/>
    <cellStyle name="Вывод 2 12 2 9 2" xfId="37404"/>
    <cellStyle name="Вывод 2 12 3" xfId="1411"/>
    <cellStyle name="Вывод 2 12 3 2" xfId="2404"/>
    <cellStyle name="Вывод 2 12 3 2 2" xfId="7640"/>
    <cellStyle name="Вывод 2 12 3 2 2 2" xfId="18542"/>
    <cellStyle name="Вывод 2 12 3 2 2 3" xfId="33903"/>
    <cellStyle name="Вывод 2 12 3 2 3" xfId="23528"/>
    <cellStyle name="Вывод 2 12 3 2 3 2" xfId="38889"/>
    <cellStyle name="Вывод 2 12 3 2 4" xfId="12979"/>
    <cellStyle name="Вывод 2 12 3 2 5" xfId="28479"/>
    <cellStyle name="Вывод 2 12 3 3" xfId="5073"/>
    <cellStyle name="Вывод 2 12 3 3 2" xfId="10256"/>
    <cellStyle name="Вывод 2 12 3 3 2 2" xfId="21182"/>
    <cellStyle name="Вывод 2 12 3 3 2 3" xfId="36543"/>
    <cellStyle name="Вывод 2 12 3 3 3" xfId="26143"/>
    <cellStyle name="Вывод 2 12 3 3 3 2" xfId="41504"/>
    <cellStyle name="Вывод 2 12 3 3 4" xfId="15619"/>
    <cellStyle name="Вывод 2 12 3 3 5" xfId="31094"/>
    <cellStyle name="Вывод 2 12 3 4" xfId="6659"/>
    <cellStyle name="Вывод 2 12 3 4 2" xfId="16199"/>
    <cellStyle name="Вывод 2 12 3 4 3" xfId="31666"/>
    <cellStyle name="Вывод 2 12 3 5" xfId="22547"/>
    <cellStyle name="Вывод 2 12 3 5 2" xfId="37908"/>
    <cellStyle name="Вывод 2 12 3 6" xfId="11990"/>
    <cellStyle name="Вывод 2 12 3 7" xfId="27498"/>
    <cellStyle name="Вывод 2 12 4" xfId="1354"/>
    <cellStyle name="Вывод 2 12 4 2" xfId="6606"/>
    <cellStyle name="Вывод 2 12 4 2 2" xfId="16254"/>
    <cellStyle name="Вывод 2 12 4 2 3" xfId="31721"/>
    <cellStyle name="Вывод 2 12 4 3" xfId="22494"/>
    <cellStyle name="Вывод 2 12 4 3 2" xfId="37855"/>
    <cellStyle name="Вывод 2 12 4 4" xfId="11935"/>
    <cellStyle name="Вывод 2 12 4 5" xfId="27445"/>
    <cellStyle name="Вывод 2 12 5" xfId="3063"/>
    <cellStyle name="Вывод 2 12 5 2" xfId="8258"/>
    <cellStyle name="Вывод 2 12 5 2 2" xfId="19184"/>
    <cellStyle name="Вывод 2 12 5 2 3" xfId="34545"/>
    <cellStyle name="Вывод 2 12 5 3" xfId="24146"/>
    <cellStyle name="Вывод 2 12 5 3 2" xfId="39507"/>
    <cellStyle name="Вывод 2 12 5 4" xfId="13621"/>
    <cellStyle name="Вывод 2 12 5 5" xfId="29097"/>
    <cellStyle name="Вывод 2 12 6" xfId="3942"/>
    <cellStyle name="Вывод 2 12 6 2" xfId="9129"/>
    <cellStyle name="Вывод 2 12 6 2 2" xfId="20056"/>
    <cellStyle name="Вывод 2 12 6 2 3" xfId="35417"/>
    <cellStyle name="Вывод 2 12 6 3" xfId="25017"/>
    <cellStyle name="Вывод 2 12 6 3 2" xfId="40378"/>
    <cellStyle name="Вывод 2 12 6 4" xfId="14493"/>
    <cellStyle name="Вывод 2 12 6 5" xfId="29968"/>
    <cellStyle name="Вывод 2 12 7" xfId="3257"/>
    <cellStyle name="Вывод 2 12 7 2" xfId="8451"/>
    <cellStyle name="Вывод 2 12 7 2 2" xfId="19378"/>
    <cellStyle name="Вывод 2 12 7 2 3" xfId="34739"/>
    <cellStyle name="Вывод 2 12 7 3" xfId="24339"/>
    <cellStyle name="Вывод 2 12 7 3 2" xfId="39700"/>
    <cellStyle name="Вывод 2 12 7 4" xfId="13815"/>
    <cellStyle name="Вывод 2 12 7 5" xfId="29290"/>
    <cellStyle name="Вывод 2 12 8" xfId="4836"/>
    <cellStyle name="Вывод 2 12 8 2" xfId="10023"/>
    <cellStyle name="Вывод 2 12 8 2 2" xfId="20950"/>
    <cellStyle name="Вывод 2 12 8 2 3" xfId="36311"/>
    <cellStyle name="Вывод 2 12 8 3" xfId="25911"/>
    <cellStyle name="Вывод 2 12 8 3 2" xfId="41272"/>
    <cellStyle name="Вывод 2 12 8 4" xfId="15387"/>
    <cellStyle name="Вывод 2 12 8 5" xfId="30862"/>
    <cellStyle name="Вывод 2 12 9" xfId="5684"/>
    <cellStyle name="Вывод 2 12 9 2" xfId="17207"/>
    <cellStyle name="Вывод 2 12 9 3" xfId="32674"/>
    <cellStyle name="Вывод 2 13" xfId="294"/>
    <cellStyle name="Вывод 2 13 10" xfId="17285"/>
    <cellStyle name="Вывод 2 13 10 2" xfId="32752"/>
    <cellStyle name="Вывод 2 13 11" xfId="10980"/>
    <cellStyle name="Вывод 2 13 12" xfId="13366"/>
    <cellStyle name="Вывод 2 13 2" xfId="892"/>
    <cellStyle name="Вывод 2 13 2 10" xfId="11476"/>
    <cellStyle name="Вывод 2 13 2 11" xfId="26993"/>
    <cellStyle name="Вывод 2 13 2 2" xfId="1326"/>
    <cellStyle name="Вывод 2 13 2 2 2" xfId="2743"/>
    <cellStyle name="Вывод 2 13 2 2 2 2" xfId="7972"/>
    <cellStyle name="Вывод 2 13 2 2 2 2 2" xfId="18876"/>
    <cellStyle name="Вывод 2 13 2 2 2 2 3" xfId="34237"/>
    <cellStyle name="Вывод 2 13 2 2 2 3" xfId="23860"/>
    <cellStyle name="Вывод 2 13 2 2 2 3 2" xfId="39221"/>
    <cellStyle name="Вывод 2 13 2 2 2 4" xfId="13313"/>
    <cellStyle name="Вывод 2 13 2 2 2 5" xfId="28811"/>
    <cellStyle name="Вывод 2 13 2 2 3" xfId="5074"/>
    <cellStyle name="Вывод 2 13 2 2 3 2" xfId="10257"/>
    <cellStyle name="Вывод 2 13 2 2 3 2 2" xfId="21183"/>
    <cellStyle name="Вывод 2 13 2 2 3 2 3" xfId="36544"/>
    <cellStyle name="Вывод 2 13 2 2 3 3" xfId="26144"/>
    <cellStyle name="Вывод 2 13 2 2 3 3 2" xfId="41505"/>
    <cellStyle name="Вывод 2 13 2 2 3 4" xfId="15620"/>
    <cellStyle name="Вывод 2 13 2 2 3 5" xfId="31095"/>
    <cellStyle name="Вывод 2 13 2 2 4" xfId="6579"/>
    <cellStyle name="Вывод 2 13 2 2 4 2" xfId="16282"/>
    <cellStyle name="Вывод 2 13 2 2 4 3" xfId="31749"/>
    <cellStyle name="Вывод 2 13 2 2 5" xfId="22467"/>
    <cellStyle name="Вывод 2 13 2 2 5 2" xfId="37828"/>
    <cellStyle name="Вывод 2 13 2 2 6" xfId="11907"/>
    <cellStyle name="Вывод 2 13 2 2 7" xfId="27418"/>
    <cellStyle name="Вывод 2 13 2 3" xfId="2298"/>
    <cellStyle name="Вывод 2 13 2 3 2" xfId="7534"/>
    <cellStyle name="Вывод 2 13 2 3 2 2" xfId="18436"/>
    <cellStyle name="Вывод 2 13 2 3 2 3" xfId="33797"/>
    <cellStyle name="Вывод 2 13 2 3 3" xfId="23422"/>
    <cellStyle name="Вывод 2 13 2 3 3 2" xfId="38783"/>
    <cellStyle name="Вывод 2 13 2 3 4" xfId="12873"/>
    <cellStyle name="Вывод 2 13 2 3 5" xfId="28373"/>
    <cellStyle name="Вывод 2 13 2 4" xfId="2896"/>
    <cellStyle name="Вывод 2 13 2 4 2" xfId="8103"/>
    <cellStyle name="Вывод 2 13 2 4 2 2" xfId="19023"/>
    <cellStyle name="Вывод 2 13 2 4 2 3" xfId="34384"/>
    <cellStyle name="Вывод 2 13 2 4 3" xfId="23991"/>
    <cellStyle name="Вывод 2 13 2 4 3 2" xfId="39352"/>
    <cellStyle name="Вывод 2 13 2 4 4" xfId="13460"/>
    <cellStyle name="Вывод 2 13 2 4 5" xfId="28942"/>
    <cellStyle name="Вывод 2 13 2 5" xfId="3670"/>
    <cellStyle name="Вывод 2 13 2 5 2" xfId="8857"/>
    <cellStyle name="Вывод 2 13 2 5 2 2" xfId="19784"/>
    <cellStyle name="Вывод 2 13 2 5 2 3" xfId="35145"/>
    <cellStyle name="Вывод 2 13 2 5 3" xfId="24745"/>
    <cellStyle name="Вывод 2 13 2 5 3 2" xfId="40106"/>
    <cellStyle name="Вывод 2 13 2 5 4" xfId="14221"/>
    <cellStyle name="Вывод 2 13 2 5 5" xfId="29696"/>
    <cellStyle name="Вывод 2 13 2 6" xfId="4346"/>
    <cellStyle name="Вывод 2 13 2 6 2" xfId="9533"/>
    <cellStyle name="Вывод 2 13 2 6 2 2" xfId="20460"/>
    <cellStyle name="Вывод 2 13 2 6 2 3" xfId="35821"/>
    <cellStyle name="Вывод 2 13 2 6 3" xfId="25421"/>
    <cellStyle name="Вывод 2 13 2 6 3 2" xfId="40782"/>
    <cellStyle name="Вывод 2 13 2 6 4" xfId="14897"/>
    <cellStyle name="Вывод 2 13 2 6 5" xfId="30372"/>
    <cellStyle name="Вывод 2 13 2 7" xfId="4489"/>
    <cellStyle name="Вывод 2 13 2 7 2" xfId="9676"/>
    <cellStyle name="Вывод 2 13 2 7 2 2" xfId="20603"/>
    <cellStyle name="Вывод 2 13 2 7 2 3" xfId="35964"/>
    <cellStyle name="Вывод 2 13 2 7 3" xfId="25564"/>
    <cellStyle name="Вывод 2 13 2 7 3 2" xfId="40925"/>
    <cellStyle name="Вывод 2 13 2 7 4" xfId="15040"/>
    <cellStyle name="Вывод 2 13 2 7 5" xfId="30515"/>
    <cellStyle name="Вывод 2 13 2 8" xfId="6154"/>
    <cellStyle name="Вывод 2 13 2 8 2" xfId="16713"/>
    <cellStyle name="Вывод 2 13 2 8 3" xfId="32180"/>
    <cellStyle name="Вывод 2 13 2 9" xfId="22042"/>
    <cellStyle name="Вывод 2 13 2 9 2" xfId="37403"/>
    <cellStyle name="Вывод 2 13 3" xfId="86"/>
    <cellStyle name="Вывод 2 13 3 2" xfId="2406"/>
    <cellStyle name="Вывод 2 13 3 2 2" xfId="7642"/>
    <cellStyle name="Вывод 2 13 3 2 2 2" xfId="18544"/>
    <cellStyle name="Вывод 2 13 3 2 2 3" xfId="33905"/>
    <cellStyle name="Вывод 2 13 3 2 3" xfId="23530"/>
    <cellStyle name="Вывод 2 13 3 2 3 2" xfId="38891"/>
    <cellStyle name="Вывод 2 13 3 2 4" xfId="12981"/>
    <cellStyle name="Вывод 2 13 3 2 5" xfId="28481"/>
    <cellStyle name="Вывод 2 13 3 3" xfId="5075"/>
    <cellStyle name="Вывод 2 13 3 3 2" xfId="10258"/>
    <cellStyle name="Вывод 2 13 3 3 2 2" xfId="21184"/>
    <cellStyle name="Вывод 2 13 3 3 2 3" xfId="36545"/>
    <cellStyle name="Вывод 2 13 3 3 3" xfId="26145"/>
    <cellStyle name="Вывод 2 13 3 3 3 2" xfId="41506"/>
    <cellStyle name="Вывод 2 13 3 3 4" xfId="15621"/>
    <cellStyle name="Вывод 2 13 3 3 5" xfId="31096"/>
    <cellStyle name="Вывод 2 13 3 4" xfId="5612"/>
    <cellStyle name="Вывод 2 13 3 4 2" xfId="17385"/>
    <cellStyle name="Вывод 2 13 3 4 3" xfId="32852"/>
    <cellStyle name="Вывод 2 13 3 5" xfId="17067"/>
    <cellStyle name="Вывод 2 13 3 5 2" xfId="32534"/>
    <cellStyle name="Вывод 2 13 3 6" xfId="10800"/>
    <cellStyle name="Вывод 2 13 3 7" xfId="11119"/>
    <cellStyle name="Вывод 2 13 4" xfId="1557"/>
    <cellStyle name="Вывод 2 13 4 2" xfId="6804"/>
    <cellStyle name="Вывод 2 13 4 2 2" xfId="17699"/>
    <cellStyle name="Вывод 2 13 4 2 3" xfId="33060"/>
    <cellStyle name="Вывод 2 13 4 3" xfId="22692"/>
    <cellStyle name="Вывод 2 13 4 3 2" xfId="38053"/>
    <cellStyle name="Вывод 2 13 4 4" xfId="12135"/>
    <cellStyle name="Вывод 2 13 4 5" xfId="27643"/>
    <cellStyle name="Вывод 2 13 5" xfId="3061"/>
    <cellStyle name="Вывод 2 13 5 2" xfId="8256"/>
    <cellStyle name="Вывод 2 13 5 2 2" xfId="19182"/>
    <cellStyle name="Вывод 2 13 5 2 3" xfId="34543"/>
    <cellStyle name="Вывод 2 13 5 3" xfId="24144"/>
    <cellStyle name="Вывод 2 13 5 3 2" xfId="39505"/>
    <cellStyle name="Вывод 2 13 5 4" xfId="13619"/>
    <cellStyle name="Вывод 2 13 5 5" xfId="29095"/>
    <cellStyle name="Вывод 2 13 6" xfId="3506"/>
    <cellStyle name="Вывод 2 13 6 2" xfId="8693"/>
    <cellStyle name="Вывод 2 13 6 2 2" xfId="19620"/>
    <cellStyle name="Вывод 2 13 6 2 3" xfId="34981"/>
    <cellStyle name="Вывод 2 13 6 3" xfId="24581"/>
    <cellStyle name="Вывод 2 13 6 3 2" xfId="39942"/>
    <cellStyle name="Вывод 2 13 6 4" xfId="14057"/>
    <cellStyle name="Вывод 2 13 6 5" xfId="29532"/>
    <cellStyle name="Вывод 2 13 7" xfId="3881"/>
    <cellStyle name="Вывод 2 13 7 2" xfId="9068"/>
    <cellStyle name="Вывод 2 13 7 2 2" xfId="19995"/>
    <cellStyle name="Вывод 2 13 7 2 3" xfId="35356"/>
    <cellStyle name="Вывод 2 13 7 3" xfId="24956"/>
    <cellStyle name="Вывод 2 13 7 3 2" xfId="40317"/>
    <cellStyle name="Вывод 2 13 7 4" xfId="14432"/>
    <cellStyle name="Вывод 2 13 7 5" xfId="29907"/>
    <cellStyle name="Вывод 2 13 8" xfId="4785"/>
    <cellStyle name="Вывод 2 13 8 2" xfId="9972"/>
    <cellStyle name="Вывод 2 13 8 2 2" xfId="20899"/>
    <cellStyle name="Вывод 2 13 8 2 3" xfId="36260"/>
    <cellStyle name="Вывод 2 13 8 3" xfId="25860"/>
    <cellStyle name="Вывод 2 13 8 3 2" xfId="41221"/>
    <cellStyle name="Вывод 2 13 8 4" xfId="15336"/>
    <cellStyle name="Вывод 2 13 8 5" xfId="30811"/>
    <cellStyle name="Вывод 2 13 9" xfId="5685"/>
    <cellStyle name="Вывод 2 13 9 2" xfId="17206"/>
    <cellStyle name="Вывод 2 13 9 3" xfId="32673"/>
    <cellStyle name="Вывод 2 14" xfId="295"/>
    <cellStyle name="Вывод 2 14 10" xfId="18971"/>
    <cellStyle name="Вывод 2 14 10 2" xfId="34332"/>
    <cellStyle name="Вывод 2 14 11" xfId="10981"/>
    <cellStyle name="Вывод 2 14 12" xfId="10901"/>
    <cellStyle name="Вывод 2 14 2" xfId="891"/>
    <cellStyle name="Вывод 2 14 2 10" xfId="11475"/>
    <cellStyle name="Вывод 2 14 2 11" xfId="26992"/>
    <cellStyle name="Вывод 2 14 2 2" xfId="1265"/>
    <cellStyle name="Вывод 2 14 2 2 2" xfId="2407"/>
    <cellStyle name="Вывод 2 14 2 2 2 2" xfId="7643"/>
    <cellStyle name="Вывод 2 14 2 2 2 2 2" xfId="18545"/>
    <cellStyle name="Вывод 2 14 2 2 2 2 3" xfId="33906"/>
    <cellStyle name="Вывод 2 14 2 2 2 3" xfId="23531"/>
    <cellStyle name="Вывод 2 14 2 2 2 3 2" xfId="38892"/>
    <cellStyle name="Вывод 2 14 2 2 2 4" xfId="12982"/>
    <cellStyle name="Вывод 2 14 2 2 2 5" xfId="28482"/>
    <cellStyle name="Вывод 2 14 2 2 3" xfId="5076"/>
    <cellStyle name="Вывод 2 14 2 2 3 2" xfId="10259"/>
    <cellStyle name="Вывод 2 14 2 2 3 2 2" xfId="21185"/>
    <cellStyle name="Вывод 2 14 2 2 3 2 3" xfId="36546"/>
    <cellStyle name="Вывод 2 14 2 2 3 3" xfId="26146"/>
    <cellStyle name="Вывод 2 14 2 2 3 3 2" xfId="41507"/>
    <cellStyle name="Вывод 2 14 2 2 3 4" xfId="15622"/>
    <cellStyle name="Вывод 2 14 2 2 3 5" xfId="31097"/>
    <cellStyle name="Вывод 2 14 2 2 4" xfId="6518"/>
    <cellStyle name="Вывод 2 14 2 2 4 2" xfId="16343"/>
    <cellStyle name="Вывод 2 14 2 2 4 3" xfId="31810"/>
    <cellStyle name="Вывод 2 14 2 2 5" xfId="22406"/>
    <cellStyle name="Вывод 2 14 2 2 5 2" xfId="37767"/>
    <cellStyle name="Вывод 2 14 2 2 6" xfId="11846"/>
    <cellStyle name="Вывод 2 14 2 2 7" xfId="27357"/>
    <cellStyle name="Вывод 2 14 2 3" xfId="2297"/>
    <cellStyle name="Вывод 2 14 2 3 2" xfId="7533"/>
    <cellStyle name="Вывод 2 14 2 3 2 2" xfId="18435"/>
    <cellStyle name="Вывод 2 14 2 3 2 3" xfId="33796"/>
    <cellStyle name="Вывод 2 14 2 3 3" xfId="23421"/>
    <cellStyle name="Вывод 2 14 2 3 3 2" xfId="38782"/>
    <cellStyle name="Вывод 2 14 2 3 4" xfId="12872"/>
    <cellStyle name="Вывод 2 14 2 3 5" xfId="28372"/>
    <cellStyle name="Вывод 2 14 2 4" xfId="1293"/>
    <cellStyle name="Вывод 2 14 2 4 2" xfId="6546"/>
    <cellStyle name="Вывод 2 14 2 4 2 2" xfId="16315"/>
    <cellStyle name="Вывод 2 14 2 4 2 3" xfId="31782"/>
    <cellStyle name="Вывод 2 14 2 4 3" xfId="22434"/>
    <cellStyle name="Вывод 2 14 2 4 3 2" xfId="37795"/>
    <cellStyle name="Вывод 2 14 2 4 4" xfId="11874"/>
    <cellStyle name="Вывод 2 14 2 4 5" xfId="27385"/>
    <cellStyle name="Вывод 2 14 2 5" xfId="3754"/>
    <cellStyle name="Вывод 2 14 2 5 2" xfId="8941"/>
    <cellStyle name="Вывод 2 14 2 5 2 2" xfId="19868"/>
    <cellStyle name="Вывод 2 14 2 5 2 3" xfId="35229"/>
    <cellStyle name="Вывод 2 14 2 5 3" xfId="24829"/>
    <cellStyle name="Вывод 2 14 2 5 3 2" xfId="40190"/>
    <cellStyle name="Вывод 2 14 2 5 4" xfId="14305"/>
    <cellStyle name="Вывод 2 14 2 5 5" xfId="29780"/>
    <cellStyle name="Вывод 2 14 2 6" xfId="4345"/>
    <cellStyle name="Вывод 2 14 2 6 2" xfId="9532"/>
    <cellStyle name="Вывод 2 14 2 6 2 2" xfId="20459"/>
    <cellStyle name="Вывод 2 14 2 6 2 3" xfId="35820"/>
    <cellStyle name="Вывод 2 14 2 6 3" xfId="25420"/>
    <cellStyle name="Вывод 2 14 2 6 3 2" xfId="40781"/>
    <cellStyle name="Вывод 2 14 2 6 4" xfId="14896"/>
    <cellStyle name="Вывод 2 14 2 6 5" xfId="30371"/>
    <cellStyle name="Вывод 2 14 2 7" xfId="4490"/>
    <cellStyle name="Вывод 2 14 2 7 2" xfId="9677"/>
    <cellStyle name="Вывод 2 14 2 7 2 2" xfId="20604"/>
    <cellStyle name="Вывод 2 14 2 7 2 3" xfId="35965"/>
    <cellStyle name="Вывод 2 14 2 7 3" xfId="25565"/>
    <cellStyle name="Вывод 2 14 2 7 3 2" xfId="40926"/>
    <cellStyle name="Вывод 2 14 2 7 4" xfId="15041"/>
    <cellStyle name="Вывод 2 14 2 7 5" xfId="30516"/>
    <cellStyle name="Вывод 2 14 2 8" xfId="6153"/>
    <cellStyle name="Вывод 2 14 2 8 2" xfId="16714"/>
    <cellStyle name="Вывод 2 14 2 8 3" xfId="32181"/>
    <cellStyle name="Вывод 2 14 2 9" xfId="22041"/>
    <cellStyle name="Вывод 2 14 2 9 2" xfId="37402"/>
    <cellStyle name="Вывод 2 14 3" xfId="1122"/>
    <cellStyle name="Вывод 2 14 3 2" xfId="2625"/>
    <cellStyle name="Вывод 2 14 3 2 2" xfId="7856"/>
    <cellStyle name="Вывод 2 14 3 2 2 2" xfId="18760"/>
    <cellStyle name="Вывод 2 14 3 2 2 3" xfId="34121"/>
    <cellStyle name="Вывод 2 14 3 2 3" xfId="23744"/>
    <cellStyle name="Вывод 2 14 3 2 3 2" xfId="39105"/>
    <cellStyle name="Вывод 2 14 3 2 4" xfId="13197"/>
    <cellStyle name="Вывод 2 14 3 2 5" xfId="28695"/>
    <cellStyle name="Вывод 2 14 3 3" xfId="5077"/>
    <cellStyle name="Вывод 2 14 3 3 2" xfId="10260"/>
    <cellStyle name="Вывод 2 14 3 3 2 2" xfId="21186"/>
    <cellStyle name="Вывод 2 14 3 3 2 3" xfId="36547"/>
    <cellStyle name="Вывод 2 14 3 3 3" xfId="26147"/>
    <cellStyle name="Вывод 2 14 3 3 3 2" xfId="41508"/>
    <cellStyle name="Вывод 2 14 3 3 4" xfId="15623"/>
    <cellStyle name="Вывод 2 14 3 3 5" xfId="31098"/>
    <cellStyle name="Вывод 2 14 3 4" xfId="6377"/>
    <cellStyle name="Вывод 2 14 3 4 2" xfId="16486"/>
    <cellStyle name="Вывод 2 14 3 4 3" xfId="31953"/>
    <cellStyle name="Вывод 2 14 3 5" xfId="22265"/>
    <cellStyle name="Вывод 2 14 3 5 2" xfId="37626"/>
    <cellStyle name="Вывод 2 14 3 6" xfId="11703"/>
    <cellStyle name="Вывод 2 14 3 7" xfId="27216"/>
    <cellStyle name="Вывод 2 14 4" xfId="1409"/>
    <cellStyle name="Вывод 2 14 4 2" xfId="6657"/>
    <cellStyle name="Вывод 2 14 4 2 2" xfId="16201"/>
    <cellStyle name="Вывод 2 14 4 2 3" xfId="31668"/>
    <cellStyle name="Вывод 2 14 4 3" xfId="22545"/>
    <cellStyle name="Вывод 2 14 4 3 2" xfId="37906"/>
    <cellStyle name="Вывод 2 14 4 4" xfId="11988"/>
    <cellStyle name="Вывод 2 14 4 5" xfId="27496"/>
    <cellStyle name="Вывод 2 14 5" xfId="3058"/>
    <cellStyle name="Вывод 2 14 5 2" xfId="8253"/>
    <cellStyle name="Вывод 2 14 5 2 2" xfId="19179"/>
    <cellStyle name="Вывод 2 14 5 2 3" xfId="34540"/>
    <cellStyle name="Вывод 2 14 5 3" xfId="24141"/>
    <cellStyle name="Вывод 2 14 5 3 2" xfId="39502"/>
    <cellStyle name="Вывод 2 14 5 4" xfId="13616"/>
    <cellStyle name="Вывод 2 14 5 5" xfId="29092"/>
    <cellStyle name="Вывод 2 14 6" xfId="3206"/>
    <cellStyle name="Вывод 2 14 6 2" xfId="8401"/>
    <cellStyle name="Вывод 2 14 6 2 2" xfId="19327"/>
    <cellStyle name="Вывод 2 14 6 2 3" xfId="34688"/>
    <cellStyle name="Вывод 2 14 6 3" xfId="24289"/>
    <cellStyle name="Вывод 2 14 6 3 2" xfId="39650"/>
    <cellStyle name="Вывод 2 14 6 4" xfId="13764"/>
    <cellStyle name="Вывод 2 14 6 5" xfId="29240"/>
    <cellStyle name="Вывод 2 14 7" xfId="3919"/>
    <cellStyle name="Вывод 2 14 7 2" xfId="9106"/>
    <cellStyle name="Вывод 2 14 7 2 2" xfId="20033"/>
    <cellStyle name="Вывод 2 14 7 2 3" xfId="35394"/>
    <cellStyle name="Вывод 2 14 7 3" xfId="24994"/>
    <cellStyle name="Вывод 2 14 7 3 2" xfId="40355"/>
    <cellStyle name="Вывод 2 14 7 4" xfId="14470"/>
    <cellStyle name="Вывод 2 14 7 5" xfId="29945"/>
    <cellStyle name="Вывод 2 14 8" xfId="4837"/>
    <cellStyle name="Вывод 2 14 8 2" xfId="10024"/>
    <cellStyle name="Вывод 2 14 8 2 2" xfId="20951"/>
    <cellStyle name="Вывод 2 14 8 2 3" xfId="36312"/>
    <cellStyle name="Вывод 2 14 8 3" xfId="25912"/>
    <cellStyle name="Вывод 2 14 8 3 2" xfId="41273"/>
    <cellStyle name="Вывод 2 14 8 4" xfId="15388"/>
    <cellStyle name="Вывод 2 14 8 5" xfId="30863"/>
    <cellStyle name="Вывод 2 14 9" xfId="5686"/>
    <cellStyle name="Вывод 2 14 9 2" xfId="17205"/>
    <cellStyle name="Вывод 2 14 9 3" xfId="32672"/>
    <cellStyle name="Вывод 2 15" xfId="296"/>
    <cellStyle name="Вывод 2 15 10" xfId="16646"/>
    <cellStyle name="Вывод 2 15 10 2" xfId="32113"/>
    <cellStyle name="Вывод 2 15 11" xfId="10982"/>
    <cellStyle name="Вывод 2 15 12" xfId="10900"/>
    <cellStyle name="Вывод 2 15 2" xfId="890"/>
    <cellStyle name="Вывод 2 15 2 10" xfId="11474"/>
    <cellStyle name="Вывод 2 15 2 11" xfId="26991"/>
    <cellStyle name="Вывод 2 15 2 2" xfId="1300"/>
    <cellStyle name="Вывод 2 15 2 2 2" xfId="2740"/>
    <cellStyle name="Вывод 2 15 2 2 2 2" xfId="7969"/>
    <cellStyle name="Вывод 2 15 2 2 2 2 2" xfId="18873"/>
    <cellStyle name="Вывод 2 15 2 2 2 2 3" xfId="34234"/>
    <cellStyle name="Вывод 2 15 2 2 2 3" xfId="23857"/>
    <cellStyle name="Вывод 2 15 2 2 2 3 2" xfId="39218"/>
    <cellStyle name="Вывод 2 15 2 2 2 4" xfId="13310"/>
    <cellStyle name="Вывод 2 15 2 2 2 5" xfId="28808"/>
    <cellStyle name="Вывод 2 15 2 2 3" xfId="5078"/>
    <cellStyle name="Вывод 2 15 2 2 3 2" xfId="10261"/>
    <cellStyle name="Вывод 2 15 2 2 3 2 2" xfId="21187"/>
    <cellStyle name="Вывод 2 15 2 2 3 2 3" xfId="36548"/>
    <cellStyle name="Вывод 2 15 2 2 3 3" xfId="26148"/>
    <cellStyle name="Вывод 2 15 2 2 3 3 2" xfId="41509"/>
    <cellStyle name="Вывод 2 15 2 2 3 4" xfId="15624"/>
    <cellStyle name="Вывод 2 15 2 2 3 5" xfId="31099"/>
    <cellStyle name="Вывод 2 15 2 2 4" xfId="6553"/>
    <cellStyle name="Вывод 2 15 2 2 4 2" xfId="16308"/>
    <cellStyle name="Вывод 2 15 2 2 4 3" xfId="31775"/>
    <cellStyle name="Вывод 2 15 2 2 5" xfId="22441"/>
    <cellStyle name="Вывод 2 15 2 2 5 2" xfId="37802"/>
    <cellStyle name="Вывод 2 15 2 2 6" xfId="11881"/>
    <cellStyle name="Вывод 2 15 2 2 7" xfId="27392"/>
    <cellStyle name="Вывод 2 15 2 3" xfId="2296"/>
    <cellStyle name="Вывод 2 15 2 3 2" xfId="7532"/>
    <cellStyle name="Вывод 2 15 2 3 2 2" xfId="18434"/>
    <cellStyle name="Вывод 2 15 2 3 2 3" xfId="33795"/>
    <cellStyle name="Вывод 2 15 2 3 3" xfId="23420"/>
    <cellStyle name="Вывод 2 15 2 3 3 2" xfId="38781"/>
    <cellStyle name="Вывод 2 15 2 3 4" xfId="12871"/>
    <cellStyle name="Вывод 2 15 2 3 5" xfId="28371"/>
    <cellStyle name="Вывод 2 15 2 4" xfId="2895"/>
    <cellStyle name="Вывод 2 15 2 4 2" xfId="8102"/>
    <cellStyle name="Вывод 2 15 2 4 2 2" xfId="19022"/>
    <cellStyle name="Вывод 2 15 2 4 2 3" xfId="34383"/>
    <cellStyle name="Вывод 2 15 2 4 3" xfId="23990"/>
    <cellStyle name="Вывод 2 15 2 4 3 2" xfId="39351"/>
    <cellStyle name="Вывод 2 15 2 4 4" xfId="13459"/>
    <cellStyle name="Вывод 2 15 2 4 5" xfId="28941"/>
    <cellStyle name="Вывод 2 15 2 5" xfId="2441"/>
    <cellStyle name="Вывод 2 15 2 5 2" xfId="7677"/>
    <cellStyle name="Вывод 2 15 2 5 2 2" xfId="18579"/>
    <cellStyle name="Вывод 2 15 2 5 2 3" xfId="33940"/>
    <cellStyle name="Вывод 2 15 2 5 3" xfId="23565"/>
    <cellStyle name="Вывод 2 15 2 5 3 2" xfId="38926"/>
    <cellStyle name="Вывод 2 15 2 5 4" xfId="13016"/>
    <cellStyle name="Вывод 2 15 2 5 5" xfId="28516"/>
    <cellStyle name="Вывод 2 15 2 6" xfId="4344"/>
    <cellStyle name="Вывод 2 15 2 6 2" xfId="9531"/>
    <cellStyle name="Вывод 2 15 2 6 2 2" xfId="20458"/>
    <cellStyle name="Вывод 2 15 2 6 2 3" xfId="35819"/>
    <cellStyle name="Вывод 2 15 2 6 3" xfId="25419"/>
    <cellStyle name="Вывод 2 15 2 6 3 2" xfId="40780"/>
    <cellStyle name="Вывод 2 15 2 6 4" xfId="14895"/>
    <cellStyle name="Вывод 2 15 2 6 5" xfId="30370"/>
    <cellStyle name="Вывод 2 15 2 7" xfId="4407"/>
    <cellStyle name="Вывод 2 15 2 7 2" xfId="9594"/>
    <cellStyle name="Вывод 2 15 2 7 2 2" xfId="20521"/>
    <cellStyle name="Вывод 2 15 2 7 2 3" xfId="35882"/>
    <cellStyle name="Вывод 2 15 2 7 3" xfId="25482"/>
    <cellStyle name="Вывод 2 15 2 7 3 2" xfId="40843"/>
    <cellStyle name="Вывод 2 15 2 7 4" xfId="14958"/>
    <cellStyle name="Вывод 2 15 2 7 5" xfId="30433"/>
    <cellStyle name="Вывод 2 15 2 8" xfId="6152"/>
    <cellStyle name="Вывод 2 15 2 8 2" xfId="16715"/>
    <cellStyle name="Вывод 2 15 2 8 3" xfId="32182"/>
    <cellStyle name="Вывод 2 15 2 9" xfId="22040"/>
    <cellStyle name="Вывод 2 15 2 9 2" xfId="37401"/>
    <cellStyle name="Вывод 2 15 3" xfId="1786"/>
    <cellStyle name="Вывод 2 15 3 2" xfId="2409"/>
    <cellStyle name="Вывод 2 15 3 2 2" xfId="7645"/>
    <cellStyle name="Вывод 2 15 3 2 2 2" xfId="18547"/>
    <cellStyle name="Вывод 2 15 3 2 2 3" xfId="33908"/>
    <cellStyle name="Вывод 2 15 3 2 3" xfId="23533"/>
    <cellStyle name="Вывод 2 15 3 2 3 2" xfId="38894"/>
    <cellStyle name="Вывод 2 15 3 2 4" xfId="12984"/>
    <cellStyle name="Вывод 2 15 3 2 5" xfId="28484"/>
    <cellStyle name="Вывод 2 15 3 3" xfId="5079"/>
    <cellStyle name="Вывод 2 15 3 3 2" xfId="10262"/>
    <cellStyle name="Вывод 2 15 3 3 2 2" xfId="21188"/>
    <cellStyle name="Вывод 2 15 3 3 2 3" xfId="36549"/>
    <cellStyle name="Вывод 2 15 3 3 3" xfId="26149"/>
    <cellStyle name="Вывод 2 15 3 3 3 2" xfId="41510"/>
    <cellStyle name="Вывод 2 15 3 3 4" xfId="15625"/>
    <cellStyle name="Вывод 2 15 3 3 5" xfId="31100"/>
    <cellStyle name="Вывод 2 15 3 4" xfId="7025"/>
    <cellStyle name="Вывод 2 15 3 4 2" xfId="17927"/>
    <cellStyle name="Вывод 2 15 3 4 3" xfId="33288"/>
    <cellStyle name="Вывод 2 15 3 5" xfId="22913"/>
    <cellStyle name="Вывод 2 15 3 5 2" xfId="38274"/>
    <cellStyle name="Вывод 2 15 3 6" xfId="12364"/>
    <cellStyle name="Вывод 2 15 3 7" xfId="27864"/>
    <cellStyle name="Вывод 2 15 4" xfId="1099"/>
    <cellStyle name="Вывод 2 15 4 2" xfId="6355"/>
    <cellStyle name="Вывод 2 15 4 2 2" xfId="16508"/>
    <cellStyle name="Вывод 2 15 4 2 3" xfId="31975"/>
    <cellStyle name="Вывод 2 15 4 3" xfId="22243"/>
    <cellStyle name="Вывод 2 15 4 3 2" xfId="37604"/>
    <cellStyle name="Вывод 2 15 4 4" xfId="11681"/>
    <cellStyle name="Вывод 2 15 4 5" xfId="27194"/>
    <cellStyle name="Вывод 2 15 5" xfId="3057"/>
    <cellStyle name="Вывод 2 15 5 2" xfId="8252"/>
    <cellStyle name="Вывод 2 15 5 2 2" xfId="19178"/>
    <cellStyle name="Вывод 2 15 5 2 3" xfId="34539"/>
    <cellStyle name="Вывод 2 15 5 3" xfId="24140"/>
    <cellStyle name="Вывод 2 15 5 3 2" xfId="39501"/>
    <cellStyle name="Вывод 2 15 5 4" xfId="13615"/>
    <cellStyle name="Вывод 2 15 5 5" xfId="29091"/>
    <cellStyle name="Вывод 2 15 6" xfId="3507"/>
    <cellStyle name="Вывод 2 15 6 2" xfId="8694"/>
    <cellStyle name="Вывод 2 15 6 2 2" xfId="19621"/>
    <cellStyle name="Вывод 2 15 6 2 3" xfId="34982"/>
    <cellStyle name="Вывод 2 15 6 3" xfId="24582"/>
    <cellStyle name="Вывод 2 15 6 3 2" xfId="39943"/>
    <cellStyle name="Вывод 2 15 6 4" xfId="14058"/>
    <cellStyle name="Вывод 2 15 6 5" xfId="29533"/>
    <cellStyle name="Вывод 2 15 7" xfId="3350"/>
    <cellStyle name="Вывод 2 15 7 2" xfId="8544"/>
    <cellStyle name="Вывод 2 15 7 2 2" xfId="19471"/>
    <cellStyle name="Вывод 2 15 7 2 3" xfId="34832"/>
    <cellStyle name="Вывод 2 15 7 3" xfId="24432"/>
    <cellStyle name="Вывод 2 15 7 3 2" xfId="39793"/>
    <cellStyle name="Вывод 2 15 7 4" xfId="13908"/>
    <cellStyle name="Вывод 2 15 7 5" xfId="29383"/>
    <cellStyle name="Вывод 2 15 8" xfId="4784"/>
    <cellStyle name="Вывод 2 15 8 2" xfId="9971"/>
    <cellStyle name="Вывод 2 15 8 2 2" xfId="20898"/>
    <cellStyle name="Вывод 2 15 8 2 3" xfId="36259"/>
    <cellStyle name="Вывод 2 15 8 3" xfId="25859"/>
    <cellStyle name="Вывод 2 15 8 3 2" xfId="41220"/>
    <cellStyle name="Вывод 2 15 8 4" xfId="15335"/>
    <cellStyle name="Вывод 2 15 8 5" xfId="30810"/>
    <cellStyle name="Вывод 2 15 9" xfId="5687"/>
    <cellStyle name="Вывод 2 15 9 2" xfId="17204"/>
    <cellStyle name="Вывод 2 15 9 3" xfId="32671"/>
    <cellStyle name="Вывод 2 16" xfId="297"/>
    <cellStyle name="Вывод 2 16 10" xfId="17286"/>
    <cellStyle name="Вывод 2 16 10 2" xfId="32753"/>
    <cellStyle name="Вывод 2 16 11" xfId="10983"/>
    <cellStyle name="Вывод 2 16 12" xfId="13408"/>
    <cellStyle name="Вывод 2 16 2" xfId="889"/>
    <cellStyle name="Вывод 2 16 2 10" xfId="11473"/>
    <cellStyle name="Вывод 2 16 2 11" xfId="26990"/>
    <cellStyle name="Вывод 2 16 2 2" xfId="1330"/>
    <cellStyle name="Вывод 2 16 2 2 2" xfId="2410"/>
    <cellStyle name="Вывод 2 16 2 2 2 2" xfId="7646"/>
    <cellStyle name="Вывод 2 16 2 2 2 2 2" xfId="18548"/>
    <cellStyle name="Вывод 2 16 2 2 2 2 3" xfId="33909"/>
    <cellStyle name="Вывод 2 16 2 2 2 3" xfId="23534"/>
    <cellStyle name="Вывод 2 16 2 2 2 3 2" xfId="38895"/>
    <cellStyle name="Вывод 2 16 2 2 2 4" xfId="12985"/>
    <cellStyle name="Вывод 2 16 2 2 2 5" xfId="28485"/>
    <cellStyle name="Вывод 2 16 2 2 3" xfId="5080"/>
    <cellStyle name="Вывод 2 16 2 2 3 2" xfId="10263"/>
    <cellStyle name="Вывод 2 16 2 2 3 2 2" xfId="21189"/>
    <cellStyle name="Вывод 2 16 2 2 3 2 3" xfId="36550"/>
    <cellStyle name="Вывод 2 16 2 2 3 3" xfId="26150"/>
    <cellStyle name="Вывод 2 16 2 2 3 3 2" xfId="41511"/>
    <cellStyle name="Вывод 2 16 2 2 3 4" xfId="15626"/>
    <cellStyle name="Вывод 2 16 2 2 3 5" xfId="31101"/>
    <cellStyle name="Вывод 2 16 2 2 4" xfId="6583"/>
    <cellStyle name="Вывод 2 16 2 2 4 2" xfId="16278"/>
    <cellStyle name="Вывод 2 16 2 2 4 3" xfId="31745"/>
    <cellStyle name="Вывод 2 16 2 2 5" xfId="22471"/>
    <cellStyle name="Вывод 2 16 2 2 5 2" xfId="37832"/>
    <cellStyle name="Вывод 2 16 2 2 6" xfId="11911"/>
    <cellStyle name="Вывод 2 16 2 2 7" xfId="27422"/>
    <cellStyle name="Вывод 2 16 2 3" xfId="2295"/>
    <cellStyle name="Вывод 2 16 2 3 2" xfId="7531"/>
    <cellStyle name="Вывод 2 16 2 3 2 2" xfId="18433"/>
    <cellStyle name="Вывод 2 16 2 3 2 3" xfId="33794"/>
    <cellStyle name="Вывод 2 16 2 3 3" xfId="23419"/>
    <cellStyle name="Вывод 2 16 2 3 3 2" xfId="38780"/>
    <cellStyle name="Вывод 2 16 2 3 4" xfId="12870"/>
    <cellStyle name="Вывод 2 16 2 3 5" xfId="28370"/>
    <cellStyle name="Вывод 2 16 2 4" xfId="1088"/>
    <cellStyle name="Вывод 2 16 2 4 2" xfId="6344"/>
    <cellStyle name="Вывод 2 16 2 4 2 2" xfId="16519"/>
    <cellStyle name="Вывод 2 16 2 4 2 3" xfId="31986"/>
    <cellStyle name="Вывод 2 16 2 4 3" xfId="22232"/>
    <cellStyle name="Вывод 2 16 2 4 3 2" xfId="37593"/>
    <cellStyle name="Вывод 2 16 2 4 4" xfId="11670"/>
    <cellStyle name="Вывод 2 16 2 4 5" xfId="27183"/>
    <cellStyle name="Вывод 2 16 2 5" xfId="3724"/>
    <cellStyle name="Вывод 2 16 2 5 2" xfId="8911"/>
    <cellStyle name="Вывод 2 16 2 5 2 2" xfId="19838"/>
    <cellStyle name="Вывод 2 16 2 5 2 3" xfId="35199"/>
    <cellStyle name="Вывод 2 16 2 5 3" xfId="24799"/>
    <cellStyle name="Вывод 2 16 2 5 3 2" xfId="40160"/>
    <cellStyle name="Вывод 2 16 2 5 4" xfId="14275"/>
    <cellStyle name="Вывод 2 16 2 5 5" xfId="29750"/>
    <cellStyle name="Вывод 2 16 2 6" xfId="4343"/>
    <cellStyle name="Вывод 2 16 2 6 2" xfId="9530"/>
    <cellStyle name="Вывод 2 16 2 6 2 2" xfId="20457"/>
    <cellStyle name="Вывод 2 16 2 6 2 3" xfId="35818"/>
    <cellStyle name="Вывод 2 16 2 6 3" xfId="25418"/>
    <cellStyle name="Вывод 2 16 2 6 3 2" xfId="40779"/>
    <cellStyle name="Вывод 2 16 2 6 4" xfId="14894"/>
    <cellStyle name="Вывод 2 16 2 6 5" xfId="30369"/>
    <cellStyle name="Вывод 2 16 2 7" xfId="4402"/>
    <cellStyle name="Вывод 2 16 2 7 2" xfId="9589"/>
    <cellStyle name="Вывод 2 16 2 7 2 2" xfId="20516"/>
    <cellStyle name="Вывод 2 16 2 7 2 3" xfId="35877"/>
    <cellStyle name="Вывод 2 16 2 7 3" xfId="25477"/>
    <cellStyle name="Вывод 2 16 2 7 3 2" xfId="40838"/>
    <cellStyle name="Вывод 2 16 2 7 4" xfId="14953"/>
    <cellStyle name="Вывод 2 16 2 7 5" xfId="30428"/>
    <cellStyle name="Вывод 2 16 2 8" xfId="6151"/>
    <cellStyle name="Вывод 2 16 2 8 2" xfId="16716"/>
    <cellStyle name="Вывод 2 16 2 8 3" xfId="32183"/>
    <cellStyle name="Вывод 2 16 2 9" xfId="22039"/>
    <cellStyle name="Вывод 2 16 2 9 2" xfId="37400"/>
    <cellStyle name="Вывод 2 16 3" xfId="1497"/>
    <cellStyle name="Вывод 2 16 3 2" xfId="54"/>
    <cellStyle name="Вывод 2 16 3 2 2" xfId="5581"/>
    <cellStyle name="Вывод 2 16 3 2 2 2" xfId="17417"/>
    <cellStyle name="Вывод 2 16 3 2 2 3" xfId="32884"/>
    <cellStyle name="Вывод 2 16 3 2 3" xfId="16946"/>
    <cellStyle name="Вывод 2 16 3 2 3 2" xfId="32413"/>
    <cellStyle name="Вывод 2 16 3 2 4" xfId="10768"/>
    <cellStyle name="Вывод 2 16 3 2 5" xfId="11243"/>
    <cellStyle name="Вывод 2 16 3 3" xfId="5081"/>
    <cellStyle name="Вывод 2 16 3 3 2" xfId="10264"/>
    <cellStyle name="Вывод 2 16 3 3 2 2" xfId="21190"/>
    <cellStyle name="Вывод 2 16 3 3 2 3" xfId="36551"/>
    <cellStyle name="Вывод 2 16 3 3 3" xfId="26151"/>
    <cellStyle name="Вывод 2 16 3 3 3 2" xfId="41512"/>
    <cellStyle name="Вывод 2 16 3 3 4" xfId="15627"/>
    <cellStyle name="Вывод 2 16 3 3 5" xfId="31102"/>
    <cellStyle name="Вывод 2 16 3 4" xfId="6744"/>
    <cellStyle name="Вывод 2 16 3 4 2" xfId="16114"/>
    <cellStyle name="Вывод 2 16 3 4 3" xfId="31581"/>
    <cellStyle name="Вывод 2 16 3 5" xfId="22632"/>
    <cellStyle name="Вывод 2 16 3 5 2" xfId="37993"/>
    <cellStyle name="Вывод 2 16 3 6" xfId="12075"/>
    <cellStyle name="Вывод 2 16 3 7" xfId="27583"/>
    <cellStyle name="Вывод 2 16 4" xfId="1067"/>
    <cellStyle name="Вывод 2 16 4 2" xfId="6324"/>
    <cellStyle name="Вывод 2 16 4 2 2" xfId="16540"/>
    <cellStyle name="Вывод 2 16 4 2 3" xfId="32007"/>
    <cellStyle name="Вывод 2 16 4 3" xfId="22212"/>
    <cellStyle name="Вывод 2 16 4 3 2" xfId="37573"/>
    <cellStyle name="Вывод 2 16 4 4" xfId="11649"/>
    <cellStyle name="Вывод 2 16 4 5" xfId="27163"/>
    <cellStyle name="Вывод 2 16 5" xfId="3054"/>
    <cellStyle name="Вывод 2 16 5 2" xfId="8249"/>
    <cellStyle name="Вывод 2 16 5 2 2" xfId="19175"/>
    <cellStyle name="Вывод 2 16 5 2 3" xfId="34536"/>
    <cellStyle name="Вывод 2 16 5 3" xfId="24137"/>
    <cellStyle name="Вывод 2 16 5 3 2" xfId="39498"/>
    <cellStyle name="Вывод 2 16 5 4" xfId="13612"/>
    <cellStyle name="Вывод 2 16 5 5" xfId="29088"/>
    <cellStyle name="Вывод 2 16 6" xfId="3943"/>
    <cellStyle name="Вывод 2 16 6 2" xfId="9130"/>
    <cellStyle name="Вывод 2 16 6 2 2" xfId="20057"/>
    <cellStyle name="Вывод 2 16 6 2 3" xfId="35418"/>
    <cellStyle name="Вывод 2 16 6 3" xfId="25018"/>
    <cellStyle name="Вывод 2 16 6 3 2" xfId="40379"/>
    <cellStyle name="Вывод 2 16 6 4" xfId="14494"/>
    <cellStyle name="Вывод 2 16 6 5" xfId="29969"/>
    <cellStyle name="Вывод 2 16 7" xfId="3260"/>
    <cellStyle name="Вывод 2 16 7 2" xfId="8454"/>
    <cellStyle name="Вывод 2 16 7 2 2" xfId="19381"/>
    <cellStyle name="Вывод 2 16 7 2 3" xfId="34742"/>
    <cellStyle name="Вывод 2 16 7 3" xfId="24342"/>
    <cellStyle name="Вывод 2 16 7 3 2" xfId="39703"/>
    <cellStyle name="Вывод 2 16 7 4" xfId="13818"/>
    <cellStyle name="Вывод 2 16 7 5" xfId="29293"/>
    <cellStyle name="Вывод 2 16 8" xfId="4838"/>
    <cellStyle name="Вывод 2 16 8 2" xfId="10025"/>
    <cellStyle name="Вывод 2 16 8 2 2" xfId="20952"/>
    <cellStyle name="Вывод 2 16 8 2 3" xfId="36313"/>
    <cellStyle name="Вывод 2 16 8 3" xfId="25913"/>
    <cellStyle name="Вывод 2 16 8 3 2" xfId="41274"/>
    <cellStyle name="Вывод 2 16 8 4" xfId="15389"/>
    <cellStyle name="Вывод 2 16 8 5" xfId="30864"/>
    <cellStyle name="Вывод 2 16 9" xfId="5688"/>
    <cellStyle name="Вывод 2 16 9 2" xfId="17203"/>
    <cellStyle name="Вывод 2 16 9 3" xfId="32670"/>
    <cellStyle name="Вывод 2 17" xfId="298"/>
    <cellStyle name="Вывод 2 17 10" xfId="17287"/>
    <cellStyle name="Вывод 2 17 10 2" xfId="32754"/>
    <cellStyle name="Вывод 2 17 11" xfId="10984"/>
    <cellStyle name="Вывод 2 17 12" xfId="11543"/>
    <cellStyle name="Вывод 2 17 2" xfId="888"/>
    <cellStyle name="Вывод 2 17 2 10" xfId="11472"/>
    <cellStyle name="Вывод 2 17 2 11" xfId="26989"/>
    <cellStyle name="Вывод 2 17 2 2" xfId="1470"/>
    <cellStyle name="Вывод 2 17 2 2 2" xfId="2411"/>
    <cellStyle name="Вывод 2 17 2 2 2 2" xfId="7647"/>
    <cellStyle name="Вывод 2 17 2 2 2 2 2" xfId="18549"/>
    <cellStyle name="Вывод 2 17 2 2 2 2 3" xfId="33910"/>
    <cellStyle name="Вывод 2 17 2 2 2 3" xfId="23535"/>
    <cellStyle name="Вывод 2 17 2 2 2 3 2" xfId="38896"/>
    <cellStyle name="Вывод 2 17 2 2 2 4" xfId="12986"/>
    <cellStyle name="Вывод 2 17 2 2 2 5" xfId="28486"/>
    <cellStyle name="Вывод 2 17 2 2 3" xfId="5082"/>
    <cellStyle name="Вывод 2 17 2 2 3 2" xfId="10265"/>
    <cellStyle name="Вывод 2 17 2 2 3 2 2" xfId="21191"/>
    <cellStyle name="Вывод 2 17 2 2 3 2 3" xfId="36552"/>
    <cellStyle name="Вывод 2 17 2 2 3 3" xfId="26152"/>
    <cellStyle name="Вывод 2 17 2 2 3 3 2" xfId="41513"/>
    <cellStyle name="Вывод 2 17 2 2 3 4" xfId="15628"/>
    <cellStyle name="Вывод 2 17 2 2 3 5" xfId="31103"/>
    <cellStyle name="Вывод 2 17 2 2 4" xfId="6717"/>
    <cellStyle name="Вывод 2 17 2 2 4 2" xfId="16141"/>
    <cellStyle name="Вывод 2 17 2 2 4 3" xfId="31608"/>
    <cellStyle name="Вывод 2 17 2 2 5" xfId="22605"/>
    <cellStyle name="Вывод 2 17 2 2 5 2" xfId="37966"/>
    <cellStyle name="Вывод 2 17 2 2 6" xfId="12048"/>
    <cellStyle name="Вывод 2 17 2 2 7" xfId="27556"/>
    <cellStyle name="Вывод 2 17 2 3" xfId="2294"/>
    <cellStyle name="Вывод 2 17 2 3 2" xfId="7530"/>
    <cellStyle name="Вывод 2 17 2 3 2 2" xfId="18432"/>
    <cellStyle name="Вывод 2 17 2 3 2 3" xfId="33793"/>
    <cellStyle name="Вывод 2 17 2 3 3" xfId="23418"/>
    <cellStyle name="Вывод 2 17 2 3 3 2" xfId="38779"/>
    <cellStyle name="Вывод 2 17 2 3 4" xfId="12869"/>
    <cellStyle name="Вывод 2 17 2 3 5" xfId="28369"/>
    <cellStyle name="Вывод 2 17 2 4" xfId="2826"/>
    <cellStyle name="Вывод 2 17 2 4 2" xfId="8044"/>
    <cellStyle name="Вывод 2 17 2 4 2 2" xfId="18956"/>
    <cellStyle name="Вывод 2 17 2 4 2 3" xfId="34317"/>
    <cellStyle name="Вывод 2 17 2 4 3" xfId="23932"/>
    <cellStyle name="Вывод 2 17 2 4 3 2" xfId="39293"/>
    <cellStyle name="Вывод 2 17 2 4 4" xfId="13393"/>
    <cellStyle name="Вывод 2 17 2 4 5" xfId="28883"/>
    <cellStyle name="Вывод 2 17 2 5" xfId="3669"/>
    <cellStyle name="Вывод 2 17 2 5 2" xfId="8856"/>
    <cellStyle name="Вывод 2 17 2 5 2 2" xfId="19783"/>
    <cellStyle name="Вывод 2 17 2 5 2 3" xfId="35144"/>
    <cellStyle name="Вывод 2 17 2 5 3" xfId="24744"/>
    <cellStyle name="Вывод 2 17 2 5 3 2" xfId="40105"/>
    <cellStyle name="Вывод 2 17 2 5 4" xfId="14220"/>
    <cellStyle name="Вывод 2 17 2 5 5" xfId="29695"/>
    <cellStyle name="Вывод 2 17 2 6" xfId="4342"/>
    <cellStyle name="Вывод 2 17 2 6 2" xfId="9529"/>
    <cellStyle name="Вывод 2 17 2 6 2 2" xfId="20456"/>
    <cellStyle name="Вывод 2 17 2 6 2 3" xfId="35817"/>
    <cellStyle name="Вывод 2 17 2 6 3" xfId="25417"/>
    <cellStyle name="Вывод 2 17 2 6 3 2" xfId="40778"/>
    <cellStyle name="Вывод 2 17 2 6 4" xfId="14893"/>
    <cellStyle name="Вывод 2 17 2 6 5" xfId="30368"/>
    <cellStyle name="Вывод 2 17 2 7" xfId="4491"/>
    <cellStyle name="Вывод 2 17 2 7 2" xfId="9678"/>
    <cellStyle name="Вывод 2 17 2 7 2 2" xfId="20605"/>
    <cellStyle name="Вывод 2 17 2 7 2 3" xfId="35966"/>
    <cellStyle name="Вывод 2 17 2 7 3" xfId="25566"/>
    <cellStyle name="Вывод 2 17 2 7 3 2" xfId="40927"/>
    <cellStyle name="Вывод 2 17 2 7 4" xfId="15042"/>
    <cellStyle name="Вывод 2 17 2 7 5" xfId="30517"/>
    <cellStyle name="Вывод 2 17 2 8" xfId="6150"/>
    <cellStyle name="Вывод 2 17 2 8 2" xfId="16717"/>
    <cellStyle name="Вывод 2 17 2 8 3" xfId="32184"/>
    <cellStyle name="Вывод 2 17 2 9" xfId="22038"/>
    <cellStyle name="Вывод 2 17 2 9 2" xfId="37399"/>
    <cellStyle name="Вывод 2 17 3" xfId="1665"/>
    <cellStyle name="Вывод 2 17 3 2" xfId="2885"/>
    <cellStyle name="Вывод 2 17 3 2 2" xfId="8092"/>
    <cellStyle name="Вывод 2 17 3 2 2 2" xfId="19012"/>
    <cellStyle name="Вывод 2 17 3 2 2 3" xfId="34373"/>
    <cellStyle name="Вывод 2 17 3 2 3" xfId="23980"/>
    <cellStyle name="Вывод 2 17 3 2 3 2" xfId="39341"/>
    <cellStyle name="Вывод 2 17 3 2 4" xfId="13449"/>
    <cellStyle name="Вывод 2 17 3 2 5" xfId="28931"/>
    <cellStyle name="Вывод 2 17 3 3" xfId="5083"/>
    <cellStyle name="Вывод 2 17 3 3 2" xfId="10266"/>
    <cellStyle name="Вывод 2 17 3 3 2 2" xfId="21192"/>
    <cellStyle name="Вывод 2 17 3 3 2 3" xfId="36553"/>
    <cellStyle name="Вывод 2 17 3 3 3" xfId="26153"/>
    <cellStyle name="Вывод 2 17 3 3 3 2" xfId="41514"/>
    <cellStyle name="Вывод 2 17 3 3 4" xfId="15629"/>
    <cellStyle name="Вывод 2 17 3 3 5" xfId="31104"/>
    <cellStyle name="Вывод 2 17 3 4" xfId="6911"/>
    <cellStyle name="Вывод 2 17 3 4 2" xfId="17807"/>
    <cellStyle name="Вывод 2 17 3 4 3" xfId="33168"/>
    <cellStyle name="Вывод 2 17 3 5" xfId="22799"/>
    <cellStyle name="Вывод 2 17 3 5 2" xfId="38160"/>
    <cellStyle name="Вывод 2 17 3 6" xfId="12243"/>
    <cellStyle name="Вывод 2 17 3 7" xfId="27750"/>
    <cellStyle name="Вывод 2 17 4" xfId="1223"/>
    <cellStyle name="Вывод 2 17 4 2" xfId="6476"/>
    <cellStyle name="Вывод 2 17 4 2 2" xfId="16385"/>
    <cellStyle name="Вывод 2 17 4 2 3" xfId="31852"/>
    <cellStyle name="Вывод 2 17 4 3" xfId="22364"/>
    <cellStyle name="Вывод 2 17 4 3 2" xfId="37725"/>
    <cellStyle name="Вывод 2 17 4 4" xfId="11804"/>
    <cellStyle name="Вывод 2 17 4 5" xfId="27315"/>
    <cellStyle name="Вывод 2 17 5" xfId="3053"/>
    <cellStyle name="Вывод 2 17 5 2" xfId="8248"/>
    <cellStyle name="Вывод 2 17 5 2 2" xfId="19174"/>
    <cellStyle name="Вывод 2 17 5 2 3" xfId="34535"/>
    <cellStyle name="Вывод 2 17 5 3" xfId="24136"/>
    <cellStyle name="Вывод 2 17 5 3 2" xfId="39497"/>
    <cellStyle name="Вывод 2 17 5 4" xfId="13611"/>
    <cellStyle name="Вывод 2 17 5 5" xfId="29087"/>
    <cellStyle name="Вывод 2 17 6" xfId="3508"/>
    <cellStyle name="Вывод 2 17 6 2" xfId="8695"/>
    <cellStyle name="Вывод 2 17 6 2 2" xfId="19622"/>
    <cellStyle name="Вывод 2 17 6 2 3" xfId="34983"/>
    <cellStyle name="Вывод 2 17 6 3" xfId="24583"/>
    <cellStyle name="Вывод 2 17 6 3 2" xfId="39944"/>
    <cellStyle name="Вывод 2 17 6 4" xfId="14059"/>
    <cellStyle name="Вывод 2 17 6 5" xfId="29534"/>
    <cellStyle name="Вывод 2 17 7" xfId="3882"/>
    <cellStyle name="Вывод 2 17 7 2" xfId="9069"/>
    <cellStyle name="Вывод 2 17 7 2 2" xfId="19996"/>
    <cellStyle name="Вывод 2 17 7 2 3" xfId="35357"/>
    <cellStyle name="Вывод 2 17 7 3" xfId="24957"/>
    <cellStyle name="Вывод 2 17 7 3 2" xfId="40318"/>
    <cellStyle name="Вывод 2 17 7 4" xfId="14433"/>
    <cellStyle name="Вывод 2 17 7 5" xfId="29908"/>
    <cellStyle name="Вывод 2 17 8" xfId="4783"/>
    <cellStyle name="Вывод 2 17 8 2" xfId="9970"/>
    <cellStyle name="Вывод 2 17 8 2 2" xfId="20897"/>
    <cellStyle name="Вывод 2 17 8 2 3" xfId="36258"/>
    <cellStyle name="Вывод 2 17 8 3" xfId="25858"/>
    <cellStyle name="Вывод 2 17 8 3 2" xfId="41219"/>
    <cellStyle name="Вывод 2 17 8 4" xfId="15334"/>
    <cellStyle name="Вывод 2 17 8 5" xfId="30809"/>
    <cellStyle name="Вывод 2 17 9" xfId="5689"/>
    <cellStyle name="Вывод 2 17 9 2" xfId="17202"/>
    <cellStyle name="Вывод 2 17 9 3" xfId="32669"/>
    <cellStyle name="Вывод 2 18" xfId="299"/>
    <cellStyle name="Вывод 2 18 10" xfId="17288"/>
    <cellStyle name="Вывод 2 18 10 2" xfId="32755"/>
    <cellStyle name="Вывод 2 18 11" xfId="10985"/>
    <cellStyle name="Вывод 2 18 12" xfId="10899"/>
    <cellStyle name="Вывод 2 18 2" xfId="887"/>
    <cellStyle name="Вывод 2 18 2 10" xfId="11471"/>
    <cellStyle name="Вывод 2 18 2 11" xfId="26988"/>
    <cellStyle name="Вывод 2 18 2 2" xfId="1003"/>
    <cellStyle name="Вывод 2 18 2 2 2" xfId="2412"/>
    <cellStyle name="Вывод 2 18 2 2 2 2" xfId="7648"/>
    <cellStyle name="Вывод 2 18 2 2 2 2 2" xfId="18550"/>
    <cellStyle name="Вывод 2 18 2 2 2 2 3" xfId="33911"/>
    <cellStyle name="Вывод 2 18 2 2 2 3" xfId="23536"/>
    <cellStyle name="Вывод 2 18 2 2 2 3 2" xfId="38897"/>
    <cellStyle name="Вывод 2 18 2 2 2 4" xfId="12987"/>
    <cellStyle name="Вывод 2 18 2 2 2 5" xfId="28487"/>
    <cellStyle name="Вывод 2 18 2 2 3" xfId="5084"/>
    <cellStyle name="Вывод 2 18 2 2 3 2" xfId="10267"/>
    <cellStyle name="Вывод 2 18 2 2 3 2 2" xfId="21193"/>
    <cellStyle name="Вывод 2 18 2 2 3 2 3" xfId="36554"/>
    <cellStyle name="Вывод 2 18 2 2 3 3" xfId="26154"/>
    <cellStyle name="Вывод 2 18 2 2 3 3 2" xfId="41515"/>
    <cellStyle name="Вывод 2 18 2 2 3 4" xfId="15630"/>
    <cellStyle name="Вывод 2 18 2 2 3 5" xfId="31105"/>
    <cellStyle name="Вывод 2 18 2 2 4" xfId="6262"/>
    <cellStyle name="Вывод 2 18 2 2 4 2" xfId="16603"/>
    <cellStyle name="Вывод 2 18 2 2 4 3" xfId="32070"/>
    <cellStyle name="Вывод 2 18 2 2 5" xfId="22150"/>
    <cellStyle name="Вывод 2 18 2 2 5 2" xfId="37511"/>
    <cellStyle name="Вывод 2 18 2 2 6" xfId="11586"/>
    <cellStyle name="Вывод 2 18 2 2 7" xfId="27101"/>
    <cellStyle name="Вывод 2 18 2 3" xfId="2293"/>
    <cellStyle name="Вывод 2 18 2 3 2" xfId="7529"/>
    <cellStyle name="Вывод 2 18 2 3 2 2" xfId="18431"/>
    <cellStyle name="Вывод 2 18 2 3 2 3" xfId="33792"/>
    <cellStyle name="Вывод 2 18 2 3 3" xfId="23417"/>
    <cellStyle name="Вывод 2 18 2 3 3 2" xfId="38778"/>
    <cellStyle name="Вывод 2 18 2 3 4" xfId="12868"/>
    <cellStyle name="Вывод 2 18 2 3 5" xfId="28368"/>
    <cellStyle name="Вывод 2 18 2 4" xfId="1541"/>
    <cellStyle name="Вывод 2 18 2 4 2" xfId="6788"/>
    <cellStyle name="Вывод 2 18 2 4 2 2" xfId="17683"/>
    <cellStyle name="Вывод 2 18 2 4 2 3" xfId="33044"/>
    <cellStyle name="Вывод 2 18 2 4 3" xfId="22676"/>
    <cellStyle name="Вывод 2 18 2 4 3 2" xfId="38037"/>
    <cellStyle name="Вывод 2 18 2 4 4" xfId="12119"/>
    <cellStyle name="Вывод 2 18 2 4 5" xfId="27627"/>
    <cellStyle name="Вывод 2 18 2 5" xfId="3755"/>
    <cellStyle name="Вывод 2 18 2 5 2" xfId="8942"/>
    <cellStyle name="Вывод 2 18 2 5 2 2" xfId="19869"/>
    <cellStyle name="Вывод 2 18 2 5 2 3" xfId="35230"/>
    <cellStyle name="Вывод 2 18 2 5 3" xfId="24830"/>
    <cellStyle name="Вывод 2 18 2 5 3 2" xfId="40191"/>
    <cellStyle name="Вывод 2 18 2 5 4" xfId="14306"/>
    <cellStyle name="Вывод 2 18 2 5 5" xfId="29781"/>
    <cellStyle name="Вывод 2 18 2 6" xfId="4341"/>
    <cellStyle name="Вывод 2 18 2 6 2" xfId="9528"/>
    <cellStyle name="Вывод 2 18 2 6 2 2" xfId="20455"/>
    <cellStyle name="Вывод 2 18 2 6 2 3" xfId="35816"/>
    <cellStyle name="Вывод 2 18 2 6 3" xfId="25416"/>
    <cellStyle name="Вывод 2 18 2 6 3 2" xfId="40777"/>
    <cellStyle name="Вывод 2 18 2 6 4" xfId="14892"/>
    <cellStyle name="Вывод 2 18 2 6 5" xfId="30367"/>
    <cellStyle name="Вывод 2 18 2 7" xfId="4492"/>
    <cellStyle name="Вывод 2 18 2 7 2" xfId="9679"/>
    <cellStyle name="Вывод 2 18 2 7 2 2" xfId="20606"/>
    <cellStyle name="Вывод 2 18 2 7 2 3" xfId="35967"/>
    <cellStyle name="Вывод 2 18 2 7 3" xfId="25567"/>
    <cellStyle name="Вывод 2 18 2 7 3 2" xfId="40928"/>
    <cellStyle name="Вывод 2 18 2 7 4" xfId="15043"/>
    <cellStyle name="Вывод 2 18 2 7 5" xfId="30518"/>
    <cellStyle name="Вывод 2 18 2 8" xfId="6149"/>
    <cellStyle name="Вывод 2 18 2 8 2" xfId="16718"/>
    <cellStyle name="Вывод 2 18 2 8 3" xfId="32185"/>
    <cellStyle name="Вывод 2 18 2 9" xfId="22037"/>
    <cellStyle name="Вывод 2 18 2 9 2" xfId="37398"/>
    <cellStyle name="Вывод 2 18 3" xfId="1744"/>
    <cellStyle name="Вывод 2 18 3 2" xfId="2886"/>
    <cellStyle name="Вывод 2 18 3 2 2" xfId="8093"/>
    <cellStyle name="Вывод 2 18 3 2 2 2" xfId="19013"/>
    <cellStyle name="Вывод 2 18 3 2 2 3" xfId="34374"/>
    <cellStyle name="Вывод 2 18 3 2 3" xfId="23981"/>
    <cellStyle name="Вывод 2 18 3 2 3 2" xfId="39342"/>
    <cellStyle name="Вывод 2 18 3 2 4" xfId="13450"/>
    <cellStyle name="Вывод 2 18 3 2 5" xfId="28932"/>
    <cellStyle name="Вывод 2 18 3 3" xfId="5085"/>
    <cellStyle name="Вывод 2 18 3 3 2" xfId="10268"/>
    <cellStyle name="Вывод 2 18 3 3 2 2" xfId="21194"/>
    <cellStyle name="Вывод 2 18 3 3 2 3" xfId="36555"/>
    <cellStyle name="Вывод 2 18 3 3 3" xfId="26155"/>
    <cellStyle name="Вывод 2 18 3 3 3 2" xfId="41516"/>
    <cellStyle name="Вывод 2 18 3 3 4" xfId="15631"/>
    <cellStyle name="Вывод 2 18 3 3 5" xfId="31106"/>
    <cellStyle name="Вывод 2 18 3 4" xfId="6983"/>
    <cellStyle name="Вывод 2 18 3 4 2" xfId="17885"/>
    <cellStyle name="Вывод 2 18 3 4 3" xfId="33246"/>
    <cellStyle name="Вывод 2 18 3 5" xfId="22871"/>
    <cellStyle name="Вывод 2 18 3 5 2" xfId="38232"/>
    <cellStyle name="Вывод 2 18 3 6" xfId="12322"/>
    <cellStyle name="Вывод 2 18 3 7" xfId="27822"/>
    <cellStyle name="Вывод 2 18 4" xfId="1242"/>
    <cellStyle name="Вывод 2 18 4 2" xfId="6495"/>
    <cellStyle name="Вывод 2 18 4 2 2" xfId="16366"/>
    <cellStyle name="Вывод 2 18 4 2 3" xfId="31833"/>
    <cellStyle name="Вывод 2 18 4 3" xfId="22383"/>
    <cellStyle name="Вывод 2 18 4 3 2" xfId="37744"/>
    <cellStyle name="Вывод 2 18 4 4" xfId="11823"/>
    <cellStyle name="Вывод 2 18 4 5" xfId="27334"/>
    <cellStyle name="Вывод 2 18 5" xfId="3050"/>
    <cellStyle name="Вывод 2 18 5 2" xfId="8245"/>
    <cellStyle name="Вывод 2 18 5 2 2" xfId="19171"/>
    <cellStyle name="Вывод 2 18 5 2 3" xfId="34532"/>
    <cellStyle name="Вывод 2 18 5 3" xfId="24133"/>
    <cellStyle name="Вывод 2 18 5 3 2" xfId="39494"/>
    <cellStyle name="Вывод 2 18 5 4" xfId="13608"/>
    <cellStyle name="Вывод 2 18 5 5" xfId="29084"/>
    <cellStyle name="Вывод 2 18 6" xfId="3190"/>
    <cellStyle name="Вывод 2 18 6 2" xfId="8385"/>
    <cellStyle name="Вывод 2 18 6 2 2" xfId="19311"/>
    <cellStyle name="Вывод 2 18 6 2 3" xfId="34672"/>
    <cellStyle name="Вывод 2 18 6 3" xfId="24273"/>
    <cellStyle name="Вывод 2 18 6 3 2" xfId="39634"/>
    <cellStyle name="Вывод 2 18 6 4" xfId="13748"/>
    <cellStyle name="Вывод 2 18 6 5" xfId="29224"/>
    <cellStyle name="Вывод 2 18 7" xfId="3918"/>
    <cellStyle name="Вывод 2 18 7 2" xfId="9105"/>
    <cellStyle name="Вывод 2 18 7 2 2" xfId="20032"/>
    <cellStyle name="Вывод 2 18 7 2 3" xfId="35393"/>
    <cellStyle name="Вывод 2 18 7 3" xfId="24993"/>
    <cellStyle name="Вывод 2 18 7 3 2" xfId="40354"/>
    <cellStyle name="Вывод 2 18 7 4" xfId="14469"/>
    <cellStyle name="Вывод 2 18 7 5" xfId="29944"/>
    <cellStyle name="Вывод 2 18 8" xfId="4853"/>
    <cellStyle name="Вывод 2 18 8 2" xfId="10040"/>
    <cellStyle name="Вывод 2 18 8 2 2" xfId="20967"/>
    <cellStyle name="Вывод 2 18 8 2 3" xfId="36328"/>
    <cellStyle name="Вывод 2 18 8 3" xfId="25928"/>
    <cellStyle name="Вывод 2 18 8 3 2" xfId="41289"/>
    <cellStyle name="Вывод 2 18 8 4" xfId="15404"/>
    <cellStyle name="Вывод 2 18 8 5" xfId="30879"/>
    <cellStyle name="Вывод 2 18 9" xfId="5690"/>
    <cellStyle name="Вывод 2 18 9 2" xfId="17201"/>
    <cellStyle name="Вывод 2 18 9 3" xfId="32668"/>
    <cellStyle name="Вывод 2 19" xfId="300"/>
    <cellStyle name="Вывод 2 19 10" xfId="17289"/>
    <cellStyle name="Вывод 2 19 10 2" xfId="32756"/>
    <cellStyle name="Вывод 2 19 11" xfId="10986"/>
    <cellStyle name="Вывод 2 19 12" xfId="10898"/>
    <cellStyle name="Вывод 2 19 2" xfId="886"/>
    <cellStyle name="Вывод 2 19 2 10" xfId="11470"/>
    <cellStyle name="Вывод 2 19 2 11" xfId="26987"/>
    <cellStyle name="Вывод 2 19 2 2" xfId="1734"/>
    <cellStyle name="Вывод 2 19 2 2 2" xfId="2772"/>
    <cellStyle name="Вывод 2 19 2 2 2 2" xfId="8001"/>
    <cellStyle name="Вывод 2 19 2 2 2 2 2" xfId="18905"/>
    <cellStyle name="Вывод 2 19 2 2 2 2 3" xfId="34266"/>
    <cellStyle name="Вывод 2 19 2 2 2 3" xfId="23889"/>
    <cellStyle name="Вывод 2 19 2 2 2 3 2" xfId="39250"/>
    <cellStyle name="Вывод 2 19 2 2 2 4" xfId="13342"/>
    <cellStyle name="Вывод 2 19 2 2 2 5" xfId="28840"/>
    <cellStyle name="Вывод 2 19 2 2 3" xfId="5086"/>
    <cellStyle name="Вывод 2 19 2 2 3 2" xfId="10269"/>
    <cellStyle name="Вывод 2 19 2 2 3 2 2" xfId="21195"/>
    <cellStyle name="Вывод 2 19 2 2 3 2 3" xfId="36556"/>
    <cellStyle name="Вывод 2 19 2 2 3 3" xfId="26156"/>
    <cellStyle name="Вывод 2 19 2 2 3 3 2" xfId="41517"/>
    <cellStyle name="Вывод 2 19 2 2 3 4" xfId="15632"/>
    <cellStyle name="Вывод 2 19 2 2 3 5" xfId="31107"/>
    <cellStyle name="Вывод 2 19 2 2 4" xfId="6974"/>
    <cellStyle name="Вывод 2 19 2 2 4 2" xfId="17875"/>
    <cellStyle name="Вывод 2 19 2 2 4 3" xfId="33236"/>
    <cellStyle name="Вывод 2 19 2 2 5" xfId="22862"/>
    <cellStyle name="Вывод 2 19 2 2 5 2" xfId="38223"/>
    <cellStyle name="Вывод 2 19 2 2 6" xfId="12312"/>
    <cellStyle name="Вывод 2 19 2 2 7" xfId="27813"/>
    <cellStyle name="Вывод 2 19 2 3" xfId="2292"/>
    <cellStyle name="Вывод 2 19 2 3 2" xfId="7528"/>
    <cellStyle name="Вывод 2 19 2 3 2 2" xfId="18430"/>
    <cellStyle name="Вывод 2 19 2 3 2 3" xfId="33791"/>
    <cellStyle name="Вывод 2 19 2 3 3" xfId="23416"/>
    <cellStyle name="Вывод 2 19 2 3 3 2" xfId="38777"/>
    <cellStyle name="Вывод 2 19 2 3 4" xfId="12867"/>
    <cellStyle name="Вывод 2 19 2 3 5" xfId="28367"/>
    <cellStyle name="Вывод 2 19 2 4" xfId="2825"/>
    <cellStyle name="Вывод 2 19 2 4 2" xfId="8043"/>
    <cellStyle name="Вывод 2 19 2 4 2 2" xfId="18955"/>
    <cellStyle name="Вывод 2 19 2 4 2 3" xfId="34316"/>
    <cellStyle name="Вывод 2 19 2 4 3" xfId="23931"/>
    <cellStyle name="Вывод 2 19 2 4 3 2" xfId="39292"/>
    <cellStyle name="Вывод 2 19 2 4 4" xfId="13392"/>
    <cellStyle name="Вывод 2 19 2 4 5" xfId="28882"/>
    <cellStyle name="Вывод 2 19 2 5" xfId="2626"/>
    <cellStyle name="Вывод 2 19 2 5 2" xfId="7857"/>
    <cellStyle name="Вывод 2 19 2 5 2 2" xfId="18761"/>
    <cellStyle name="Вывод 2 19 2 5 2 3" xfId="34122"/>
    <cellStyle name="Вывод 2 19 2 5 3" xfId="23745"/>
    <cellStyle name="Вывод 2 19 2 5 3 2" xfId="39106"/>
    <cellStyle name="Вывод 2 19 2 5 4" xfId="13198"/>
    <cellStyle name="Вывод 2 19 2 5 5" xfId="28696"/>
    <cellStyle name="Вывод 2 19 2 6" xfId="4340"/>
    <cellStyle name="Вывод 2 19 2 6 2" xfId="9527"/>
    <cellStyle name="Вывод 2 19 2 6 2 2" xfId="20454"/>
    <cellStyle name="Вывод 2 19 2 6 2 3" xfId="35815"/>
    <cellStyle name="Вывод 2 19 2 6 3" xfId="25415"/>
    <cellStyle name="Вывод 2 19 2 6 3 2" xfId="40776"/>
    <cellStyle name="Вывод 2 19 2 6 4" xfId="14891"/>
    <cellStyle name="Вывод 2 19 2 6 5" xfId="30366"/>
    <cellStyle name="Вывод 2 19 2 7" xfId="4403"/>
    <cellStyle name="Вывод 2 19 2 7 2" xfId="9590"/>
    <cellStyle name="Вывод 2 19 2 7 2 2" xfId="20517"/>
    <cellStyle name="Вывод 2 19 2 7 2 3" xfId="35878"/>
    <cellStyle name="Вывод 2 19 2 7 3" xfId="25478"/>
    <cellStyle name="Вывод 2 19 2 7 3 2" xfId="40839"/>
    <cellStyle name="Вывод 2 19 2 7 4" xfId="14954"/>
    <cellStyle name="Вывод 2 19 2 7 5" xfId="30429"/>
    <cellStyle name="Вывод 2 19 2 8" xfId="6148"/>
    <cellStyle name="Вывод 2 19 2 8 2" xfId="16719"/>
    <cellStyle name="Вывод 2 19 2 8 3" xfId="32186"/>
    <cellStyle name="Вывод 2 19 2 9" xfId="22036"/>
    <cellStyle name="Вывод 2 19 2 9 2" xfId="37397"/>
    <cellStyle name="Вывод 2 19 3" xfId="1579"/>
    <cellStyle name="Вывод 2 19 3 2" xfId="1282"/>
    <cellStyle name="Вывод 2 19 3 2 2" xfId="6535"/>
    <cellStyle name="Вывод 2 19 3 2 2 2" xfId="16326"/>
    <cellStyle name="Вывод 2 19 3 2 2 3" xfId="31793"/>
    <cellStyle name="Вывод 2 19 3 2 3" xfId="22423"/>
    <cellStyle name="Вывод 2 19 3 2 3 2" xfId="37784"/>
    <cellStyle name="Вывод 2 19 3 2 4" xfId="11863"/>
    <cellStyle name="Вывод 2 19 3 2 5" xfId="27374"/>
    <cellStyle name="Вывод 2 19 3 3" xfId="5087"/>
    <cellStyle name="Вывод 2 19 3 3 2" xfId="10270"/>
    <cellStyle name="Вывод 2 19 3 3 2 2" xfId="21196"/>
    <cellStyle name="Вывод 2 19 3 3 2 3" xfId="36557"/>
    <cellStyle name="Вывод 2 19 3 3 3" xfId="26157"/>
    <cellStyle name="Вывод 2 19 3 3 3 2" xfId="41518"/>
    <cellStyle name="Вывод 2 19 3 3 4" xfId="15633"/>
    <cellStyle name="Вывод 2 19 3 3 5" xfId="31108"/>
    <cellStyle name="Вывод 2 19 3 4" xfId="6826"/>
    <cellStyle name="Вывод 2 19 3 4 2" xfId="17721"/>
    <cellStyle name="Вывод 2 19 3 4 3" xfId="33082"/>
    <cellStyle name="Вывод 2 19 3 5" xfId="22714"/>
    <cellStyle name="Вывод 2 19 3 5 2" xfId="38075"/>
    <cellStyle name="Вывод 2 19 3 6" xfId="12157"/>
    <cellStyle name="Вывод 2 19 3 7" xfId="27665"/>
    <cellStyle name="Вывод 2 19 4" xfId="1700"/>
    <cellStyle name="Вывод 2 19 4 2" xfId="6943"/>
    <cellStyle name="Вывод 2 19 4 2 2" xfId="17842"/>
    <cellStyle name="Вывод 2 19 4 2 3" xfId="33203"/>
    <cellStyle name="Вывод 2 19 4 3" xfId="22831"/>
    <cellStyle name="Вывод 2 19 4 3 2" xfId="38192"/>
    <cellStyle name="Вывод 2 19 4 4" xfId="12278"/>
    <cellStyle name="Вывод 2 19 4 5" xfId="27782"/>
    <cellStyle name="Вывод 2 19 5" xfId="3049"/>
    <cellStyle name="Вывод 2 19 5 2" xfId="8244"/>
    <cellStyle name="Вывод 2 19 5 2 2" xfId="19170"/>
    <cellStyle name="Вывод 2 19 5 2 3" xfId="34531"/>
    <cellStyle name="Вывод 2 19 5 3" xfId="24132"/>
    <cellStyle name="Вывод 2 19 5 3 2" xfId="39493"/>
    <cellStyle name="Вывод 2 19 5 4" xfId="13607"/>
    <cellStyle name="Вывод 2 19 5 5" xfId="29083"/>
    <cellStyle name="Вывод 2 19 6" xfId="3522"/>
    <cellStyle name="Вывод 2 19 6 2" xfId="8709"/>
    <cellStyle name="Вывод 2 19 6 2 2" xfId="19636"/>
    <cellStyle name="Вывод 2 19 6 2 3" xfId="34997"/>
    <cellStyle name="Вывод 2 19 6 3" xfId="24597"/>
    <cellStyle name="Вывод 2 19 6 3 2" xfId="39958"/>
    <cellStyle name="Вывод 2 19 6 4" xfId="14073"/>
    <cellStyle name="Вывод 2 19 6 5" xfId="29548"/>
    <cellStyle name="Вывод 2 19 7" xfId="3349"/>
    <cellStyle name="Вывод 2 19 7 2" xfId="8543"/>
    <cellStyle name="Вывод 2 19 7 2 2" xfId="19470"/>
    <cellStyle name="Вывод 2 19 7 2 3" xfId="34831"/>
    <cellStyle name="Вывод 2 19 7 3" xfId="24431"/>
    <cellStyle name="Вывод 2 19 7 3 2" xfId="39792"/>
    <cellStyle name="Вывод 2 19 7 4" xfId="13907"/>
    <cellStyle name="Вывод 2 19 7 5" xfId="29382"/>
    <cellStyle name="Вывод 2 19 8" xfId="4768"/>
    <cellStyle name="Вывод 2 19 8 2" xfId="9955"/>
    <cellStyle name="Вывод 2 19 8 2 2" xfId="20882"/>
    <cellStyle name="Вывод 2 19 8 2 3" xfId="36243"/>
    <cellStyle name="Вывод 2 19 8 3" xfId="25843"/>
    <cellStyle name="Вывод 2 19 8 3 2" xfId="41204"/>
    <cellStyle name="Вывод 2 19 8 4" xfId="15319"/>
    <cellStyle name="Вывод 2 19 8 5" xfId="30794"/>
    <cellStyle name="Вывод 2 19 9" xfId="5691"/>
    <cellStyle name="Вывод 2 19 9 2" xfId="17200"/>
    <cellStyle name="Вывод 2 19 9 3" xfId="32667"/>
    <cellStyle name="Вывод 2 2" xfId="301"/>
    <cellStyle name="Вывод 2 2 10" xfId="302"/>
    <cellStyle name="Вывод 2 2 10 10" xfId="18931"/>
    <cellStyle name="Вывод 2 2 10 10 2" xfId="34292"/>
    <cellStyle name="Вывод 2 2 10 11" xfId="10988"/>
    <cellStyle name="Вывод 2 2 10 12" xfId="10896"/>
    <cellStyle name="Вывод 2 2 10 2" xfId="884"/>
    <cellStyle name="Вывод 2 2 10 2 10" xfId="11468"/>
    <cellStyle name="Вывод 2 2 10 2 11" xfId="26985"/>
    <cellStyle name="Вывод 2 2 10 2 2" xfId="1662"/>
    <cellStyle name="Вывод 2 2 10 2 2 2" xfId="2735"/>
    <cellStyle name="Вывод 2 2 10 2 2 2 2" xfId="7964"/>
    <cellStyle name="Вывод 2 2 10 2 2 2 2 2" xfId="18868"/>
    <cellStyle name="Вывод 2 2 10 2 2 2 2 3" xfId="34229"/>
    <cellStyle name="Вывод 2 2 10 2 2 2 3" xfId="23852"/>
    <cellStyle name="Вывод 2 2 10 2 2 2 3 2" xfId="39213"/>
    <cellStyle name="Вывод 2 2 10 2 2 2 4" xfId="13305"/>
    <cellStyle name="Вывод 2 2 10 2 2 2 5" xfId="28803"/>
    <cellStyle name="Вывод 2 2 10 2 2 3" xfId="5088"/>
    <cellStyle name="Вывод 2 2 10 2 2 3 2" xfId="10271"/>
    <cellStyle name="Вывод 2 2 10 2 2 3 2 2" xfId="21197"/>
    <cellStyle name="Вывод 2 2 10 2 2 3 2 3" xfId="36558"/>
    <cellStyle name="Вывод 2 2 10 2 2 3 3" xfId="26158"/>
    <cellStyle name="Вывод 2 2 10 2 2 3 3 2" xfId="41519"/>
    <cellStyle name="Вывод 2 2 10 2 2 3 4" xfId="15634"/>
    <cellStyle name="Вывод 2 2 10 2 2 3 5" xfId="31109"/>
    <cellStyle name="Вывод 2 2 10 2 2 4" xfId="6908"/>
    <cellStyle name="Вывод 2 2 10 2 2 4 2" xfId="17804"/>
    <cellStyle name="Вывод 2 2 10 2 2 4 3" xfId="33165"/>
    <cellStyle name="Вывод 2 2 10 2 2 5" xfId="22796"/>
    <cellStyle name="Вывод 2 2 10 2 2 5 2" xfId="38157"/>
    <cellStyle name="Вывод 2 2 10 2 2 6" xfId="12240"/>
    <cellStyle name="Вывод 2 2 10 2 2 7" xfId="27747"/>
    <cellStyle name="Вывод 2 2 10 2 3" xfId="2290"/>
    <cellStyle name="Вывод 2 2 10 2 3 2" xfId="7526"/>
    <cellStyle name="Вывод 2 2 10 2 3 2 2" xfId="18428"/>
    <cellStyle name="Вывод 2 2 10 2 3 2 3" xfId="33789"/>
    <cellStyle name="Вывод 2 2 10 2 3 3" xfId="23414"/>
    <cellStyle name="Вывод 2 2 10 2 3 3 2" xfId="38775"/>
    <cellStyle name="Вывод 2 2 10 2 3 4" xfId="12865"/>
    <cellStyle name="Вывод 2 2 10 2 3 5" xfId="28365"/>
    <cellStyle name="Вывод 2 2 10 2 4" xfId="967"/>
    <cellStyle name="Вывод 2 2 10 2 4 2" xfId="6227"/>
    <cellStyle name="Вывод 2 2 10 2 4 2 2" xfId="16639"/>
    <cellStyle name="Вывод 2 2 10 2 4 2 3" xfId="32106"/>
    <cellStyle name="Вывод 2 2 10 2 4 3" xfId="22115"/>
    <cellStyle name="Вывод 2 2 10 2 4 3 2" xfId="37476"/>
    <cellStyle name="Вывод 2 2 10 2 4 4" xfId="11550"/>
    <cellStyle name="Вывод 2 2 10 2 4 5" xfId="27066"/>
    <cellStyle name="Вывод 2 2 10 2 5" xfId="3756"/>
    <cellStyle name="Вывод 2 2 10 2 5 2" xfId="8943"/>
    <cellStyle name="Вывод 2 2 10 2 5 2 2" xfId="19870"/>
    <cellStyle name="Вывод 2 2 10 2 5 2 3" xfId="35231"/>
    <cellStyle name="Вывод 2 2 10 2 5 3" xfId="24831"/>
    <cellStyle name="Вывод 2 2 10 2 5 3 2" xfId="40192"/>
    <cellStyle name="Вывод 2 2 10 2 5 4" xfId="14307"/>
    <cellStyle name="Вывод 2 2 10 2 5 5" xfId="29782"/>
    <cellStyle name="Вывод 2 2 10 2 6" xfId="4338"/>
    <cellStyle name="Вывод 2 2 10 2 6 2" xfId="9525"/>
    <cellStyle name="Вывод 2 2 10 2 6 2 2" xfId="20452"/>
    <cellStyle name="Вывод 2 2 10 2 6 2 3" xfId="35813"/>
    <cellStyle name="Вывод 2 2 10 2 6 3" xfId="25413"/>
    <cellStyle name="Вывод 2 2 10 2 6 3 2" xfId="40774"/>
    <cellStyle name="Вывод 2 2 10 2 6 4" xfId="14889"/>
    <cellStyle name="Вывод 2 2 10 2 6 5" xfId="30364"/>
    <cellStyle name="Вывод 2 2 10 2 7" xfId="4494"/>
    <cellStyle name="Вывод 2 2 10 2 7 2" xfId="9681"/>
    <cellStyle name="Вывод 2 2 10 2 7 2 2" xfId="20608"/>
    <cellStyle name="Вывод 2 2 10 2 7 2 3" xfId="35969"/>
    <cellStyle name="Вывод 2 2 10 2 7 3" xfId="25569"/>
    <cellStyle name="Вывод 2 2 10 2 7 3 2" xfId="40930"/>
    <cellStyle name="Вывод 2 2 10 2 7 4" xfId="15045"/>
    <cellStyle name="Вывод 2 2 10 2 7 5" xfId="30520"/>
    <cellStyle name="Вывод 2 2 10 2 8" xfId="6146"/>
    <cellStyle name="Вывод 2 2 10 2 8 2" xfId="16721"/>
    <cellStyle name="Вывод 2 2 10 2 8 3" xfId="32188"/>
    <cellStyle name="Вывод 2 2 10 2 9" xfId="22034"/>
    <cellStyle name="Вывод 2 2 10 2 9 2" xfId="37395"/>
    <cellStyle name="Вывод 2 2 10 3" xfId="1620"/>
    <cellStyle name="Вывод 2 2 10 3 2" xfId="2888"/>
    <cellStyle name="Вывод 2 2 10 3 2 2" xfId="8095"/>
    <cellStyle name="Вывод 2 2 10 3 2 2 2" xfId="19015"/>
    <cellStyle name="Вывод 2 2 10 3 2 2 3" xfId="34376"/>
    <cellStyle name="Вывод 2 2 10 3 2 3" xfId="23983"/>
    <cellStyle name="Вывод 2 2 10 3 2 3 2" xfId="39344"/>
    <cellStyle name="Вывод 2 2 10 3 2 4" xfId="13452"/>
    <cellStyle name="Вывод 2 2 10 3 2 5" xfId="28934"/>
    <cellStyle name="Вывод 2 2 10 3 3" xfId="5089"/>
    <cellStyle name="Вывод 2 2 10 3 3 2" xfId="10272"/>
    <cellStyle name="Вывод 2 2 10 3 3 2 2" xfId="21198"/>
    <cellStyle name="Вывод 2 2 10 3 3 2 3" xfId="36559"/>
    <cellStyle name="Вывод 2 2 10 3 3 3" xfId="26159"/>
    <cellStyle name="Вывод 2 2 10 3 3 3 2" xfId="41520"/>
    <cellStyle name="Вывод 2 2 10 3 3 4" xfId="15635"/>
    <cellStyle name="Вывод 2 2 10 3 3 5" xfId="31110"/>
    <cellStyle name="Вывод 2 2 10 3 4" xfId="6866"/>
    <cellStyle name="Вывод 2 2 10 3 4 2" xfId="17762"/>
    <cellStyle name="Вывод 2 2 10 3 4 3" xfId="33123"/>
    <cellStyle name="Вывод 2 2 10 3 5" xfId="22754"/>
    <cellStyle name="Вывод 2 2 10 3 5 2" xfId="38115"/>
    <cellStyle name="Вывод 2 2 10 3 6" xfId="12198"/>
    <cellStyle name="Вывод 2 2 10 3 7" xfId="27705"/>
    <cellStyle name="Вывод 2 2 10 4" xfId="1253"/>
    <cellStyle name="Вывод 2 2 10 4 2" xfId="6506"/>
    <cellStyle name="Вывод 2 2 10 4 2 2" xfId="16355"/>
    <cellStyle name="Вывод 2 2 10 4 2 3" xfId="31822"/>
    <cellStyle name="Вывод 2 2 10 4 3" xfId="22394"/>
    <cellStyle name="Вывод 2 2 10 4 3 2" xfId="37755"/>
    <cellStyle name="Вывод 2 2 10 4 4" xfId="11834"/>
    <cellStyle name="Вывод 2 2 10 4 5" xfId="27345"/>
    <cellStyle name="Вывод 2 2 10 5" xfId="3045"/>
    <cellStyle name="Вывод 2 2 10 5 2" xfId="8240"/>
    <cellStyle name="Вывод 2 2 10 5 2 2" xfId="19166"/>
    <cellStyle name="Вывод 2 2 10 5 2 3" xfId="34527"/>
    <cellStyle name="Вывод 2 2 10 5 3" xfId="24128"/>
    <cellStyle name="Вывод 2 2 10 5 3 2" xfId="39489"/>
    <cellStyle name="Вывод 2 2 10 5 4" xfId="13603"/>
    <cellStyle name="Вывод 2 2 10 5 5" xfId="29079"/>
    <cellStyle name="Вывод 2 2 10 6" xfId="3509"/>
    <cellStyle name="Вывод 2 2 10 6 2" xfId="8696"/>
    <cellStyle name="Вывод 2 2 10 6 2 2" xfId="19623"/>
    <cellStyle name="Вывод 2 2 10 6 2 3" xfId="34984"/>
    <cellStyle name="Вывод 2 2 10 6 3" xfId="24584"/>
    <cellStyle name="Вывод 2 2 10 6 3 2" xfId="39945"/>
    <cellStyle name="Вывод 2 2 10 6 4" xfId="14060"/>
    <cellStyle name="Вывод 2 2 10 6 5" xfId="29535"/>
    <cellStyle name="Вывод 2 2 10 7" xfId="3883"/>
    <cellStyle name="Вывод 2 2 10 7 2" xfId="9070"/>
    <cellStyle name="Вывод 2 2 10 7 2 2" xfId="19997"/>
    <cellStyle name="Вывод 2 2 10 7 2 3" xfId="35358"/>
    <cellStyle name="Вывод 2 2 10 7 3" xfId="24958"/>
    <cellStyle name="Вывод 2 2 10 7 3 2" xfId="40319"/>
    <cellStyle name="Вывод 2 2 10 7 4" xfId="14434"/>
    <cellStyle name="Вывод 2 2 10 7 5" xfId="29909"/>
    <cellStyle name="Вывод 2 2 10 8" xfId="4782"/>
    <cellStyle name="Вывод 2 2 10 8 2" xfId="9969"/>
    <cellStyle name="Вывод 2 2 10 8 2 2" xfId="20896"/>
    <cellStyle name="Вывод 2 2 10 8 2 3" xfId="36257"/>
    <cellStyle name="Вывод 2 2 10 8 3" xfId="25857"/>
    <cellStyle name="Вывод 2 2 10 8 3 2" xfId="41218"/>
    <cellStyle name="Вывод 2 2 10 8 4" xfId="15333"/>
    <cellStyle name="Вывод 2 2 10 8 5" xfId="30808"/>
    <cellStyle name="Вывод 2 2 10 9" xfId="5693"/>
    <cellStyle name="Вывод 2 2 10 9 2" xfId="17198"/>
    <cellStyle name="Вывод 2 2 10 9 3" xfId="32665"/>
    <cellStyle name="Вывод 2 2 11" xfId="303"/>
    <cellStyle name="Вывод 2 2 11 10" xfId="17290"/>
    <cellStyle name="Вывод 2 2 11 10 2" xfId="32757"/>
    <cellStyle name="Вывод 2 2 11 11" xfId="10989"/>
    <cellStyle name="Вывод 2 2 11 12" xfId="12257"/>
    <cellStyle name="Вывод 2 2 11 2" xfId="883"/>
    <cellStyle name="Вывод 2 2 11 2 10" xfId="11467"/>
    <cellStyle name="Вывод 2 2 11 2 11" xfId="26984"/>
    <cellStyle name="Вывод 2 2 11 2 2" xfId="1635"/>
    <cellStyle name="Вывод 2 2 11 2 2 2" xfId="2734"/>
    <cellStyle name="Вывод 2 2 11 2 2 2 2" xfId="7963"/>
    <cellStyle name="Вывод 2 2 11 2 2 2 2 2" xfId="18867"/>
    <cellStyle name="Вывод 2 2 11 2 2 2 2 3" xfId="34228"/>
    <cellStyle name="Вывод 2 2 11 2 2 2 3" xfId="23851"/>
    <cellStyle name="Вывод 2 2 11 2 2 2 3 2" xfId="39212"/>
    <cellStyle name="Вывод 2 2 11 2 2 2 4" xfId="13304"/>
    <cellStyle name="Вывод 2 2 11 2 2 2 5" xfId="28802"/>
    <cellStyle name="Вывод 2 2 11 2 2 3" xfId="5090"/>
    <cellStyle name="Вывод 2 2 11 2 2 3 2" xfId="10273"/>
    <cellStyle name="Вывод 2 2 11 2 2 3 2 2" xfId="21199"/>
    <cellStyle name="Вывод 2 2 11 2 2 3 2 3" xfId="36560"/>
    <cellStyle name="Вывод 2 2 11 2 2 3 3" xfId="26160"/>
    <cellStyle name="Вывод 2 2 11 2 2 3 3 2" xfId="41521"/>
    <cellStyle name="Вывод 2 2 11 2 2 3 4" xfId="15636"/>
    <cellStyle name="Вывод 2 2 11 2 2 3 5" xfId="31111"/>
    <cellStyle name="Вывод 2 2 11 2 2 4" xfId="6881"/>
    <cellStyle name="Вывод 2 2 11 2 2 4 2" xfId="17777"/>
    <cellStyle name="Вывод 2 2 11 2 2 4 3" xfId="33138"/>
    <cellStyle name="Вывод 2 2 11 2 2 5" xfId="22769"/>
    <cellStyle name="Вывод 2 2 11 2 2 5 2" xfId="38130"/>
    <cellStyle name="Вывод 2 2 11 2 2 6" xfId="12213"/>
    <cellStyle name="Вывод 2 2 11 2 2 7" xfId="27720"/>
    <cellStyle name="Вывод 2 2 11 2 3" xfId="2289"/>
    <cellStyle name="Вывод 2 2 11 2 3 2" xfId="7525"/>
    <cellStyle name="Вывод 2 2 11 2 3 2 2" xfId="18427"/>
    <cellStyle name="Вывод 2 2 11 2 3 2 3" xfId="33788"/>
    <cellStyle name="Вывод 2 2 11 2 3 3" xfId="23413"/>
    <cellStyle name="Вывод 2 2 11 2 3 3 2" xfId="38774"/>
    <cellStyle name="Вывод 2 2 11 2 3 4" xfId="12864"/>
    <cellStyle name="Вывод 2 2 11 2 3 5" xfId="28364"/>
    <cellStyle name="Вывод 2 2 11 2 4" xfId="2824"/>
    <cellStyle name="Вывод 2 2 11 2 4 2" xfId="8042"/>
    <cellStyle name="Вывод 2 2 11 2 4 2 2" xfId="18954"/>
    <cellStyle name="Вывод 2 2 11 2 4 2 3" xfId="34315"/>
    <cellStyle name="Вывод 2 2 11 2 4 3" xfId="23930"/>
    <cellStyle name="Вывод 2 2 11 2 4 3 2" xfId="39291"/>
    <cellStyle name="Вывод 2 2 11 2 4 4" xfId="13391"/>
    <cellStyle name="Вывод 2 2 11 2 4 5" xfId="28881"/>
    <cellStyle name="Вывод 2 2 11 2 5" xfId="3722"/>
    <cellStyle name="Вывод 2 2 11 2 5 2" xfId="8909"/>
    <cellStyle name="Вывод 2 2 11 2 5 2 2" xfId="19836"/>
    <cellStyle name="Вывод 2 2 11 2 5 2 3" xfId="35197"/>
    <cellStyle name="Вывод 2 2 11 2 5 3" xfId="24797"/>
    <cellStyle name="Вывод 2 2 11 2 5 3 2" xfId="40158"/>
    <cellStyle name="Вывод 2 2 11 2 5 4" xfId="14273"/>
    <cellStyle name="Вывод 2 2 11 2 5 5" xfId="29748"/>
    <cellStyle name="Вывод 2 2 11 2 6" xfId="4337"/>
    <cellStyle name="Вывод 2 2 11 2 6 2" xfId="9524"/>
    <cellStyle name="Вывод 2 2 11 2 6 2 2" xfId="20451"/>
    <cellStyle name="Вывод 2 2 11 2 6 2 3" xfId="35812"/>
    <cellStyle name="Вывод 2 2 11 2 6 3" xfId="25412"/>
    <cellStyle name="Вывод 2 2 11 2 6 3 2" xfId="40773"/>
    <cellStyle name="Вывод 2 2 11 2 6 4" xfId="14888"/>
    <cellStyle name="Вывод 2 2 11 2 6 5" xfId="30363"/>
    <cellStyle name="Вывод 2 2 11 2 7" xfId="4404"/>
    <cellStyle name="Вывод 2 2 11 2 7 2" xfId="9591"/>
    <cellStyle name="Вывод 2 2 11 2 7 2 2" xfId="20518"/>
    <cellStyle name="Вывод 2 2 11 2 7 2 3" xfId="35879"/>
    <cellStyle name="Вывод 2 2 11 2 7 3" xfId="25479"/>
    <cellStyle name="Вывод 2 2 11 2 7 3 2" xfId="40840"/>
    <cellStyle name="Вывод 2 2 11 2 7 4" xfId="14955"/>
    <cellStyle name="Вывод 2 2 11 2 7 5" xfId="30430"/>
    <cellStyle name="Вывод 2 2 11 2 8" xfId="6145"/>
    <cellStyle name="Вывод 2 2 11 2 8 2" xfId="16722"/>
    <cellStyle name="Вывод 2 2 11 2 8 3" xfId="32189"/>
    <cellStyle name="Вывод 2 2 11 2 9" xfId="22033"/>
    <cellStyle name="Вывод 2 2 11 2 9 2" xfId="37394"/>
    <cellStyle name="Вывод 2 2 11 3" xfId="1246"/>
    <cellStyle name="Вывод 2 2 11 3 2" xfId="2889"/>
    <cellStyle name="Вывод 2 2 11 3 2 2" xfId="8096"/>
    <cellStyle name="Вывод 2 2 11 3 2 2 2" xfId="19016"/>
    <cellStyle name="Вывод 2 2 11 3 2 2 3" xfId="34377"/>
    <cellStyle name="Вывод 2 2 11 3 2 3" xfId="23984"/>
    <cellStyle name="Вывод 2 2 11 3 2 3 2" xfId="39345"/>
    <cellStyle name="Вывод 2 2 11 3 2 4" xfId="13453"/>
    <cellStyle name="Вывод 2 2 11 3 2 5" xfId="28935"/>
    <cellStyle name="Вывод 2 2 11 3 3" xfId="5091"/>
    <cellStyle name="Вывод 2 2 11 3 3 2" xfId="10274"/>
    <cellStyle name="Вывод 2 2 11 3 3 2 2" xfId="21200"/>
    <cellStyle name="Вывод 2 2 11 3 3 2 3" xfId="36561"/>
    <cellStyle name="Вывод 2 2 11 3 3 3" xfId="26161"/>
    <cellStyle name="Вывод 2 2 11 3 3 3 2" xfId="41522"/>
    <cellStyle name="Вывод 2 2 11 3 3 4" xfId="15637"/>
    <cellStyle name="Вывод 2 2 11 3 3 5" xfId="31112"/>
    <cellStyle name="Вывод 2 2 11 3 4" xfId="6499"/>
    <cellStyle name="Вывод 2 2 11 3 4 2" xfId="16362"/>
    <cellStyle name="Вывод 2 2 11 3 4 3" xfId="31829"/>
    <cellStyle name="Вывод 2 2 11 3 5" xfId="22387"/>
    <cellStyle name="Вывод 2 2 11 3 5 2" xfId="37748"/>
    <cellStyle name="Вывод 2 2 11 3 6" xfId="11827"/>
    <cellStyle name="Вывод 2 2 11 3 7" xfId="27338"/>
    <cellStyle name="Вывод 2 2 11 4" xfId="1344"/>
    <cellStyle name="Вывод 2 2 11 4 2" xfId="6597"/>
    <cellStyle name="Вывод 2 2 11 4 2 2" xfId="16264"/>
    <cellStyle name="Вывод 2 2 11 4 2 3" xfId="31731"/>
    <cellStyle name="Вывод 2 2 11 4 3" xfId="22485"/>
    <cellStyle name="Вывод 2 2 11 4 3 2" xfId="37846"/>
    <cellStyle name="Вывод 2 2 11 4 4" xfId="11925"/>
    <cellStyle name="Вывод 2 2 11 4 5" xfId="27436"/>
    <cellStyle name="Вывод 2 2 11 5" xfId="3042"/>
    <cellStyle name="Вывод 2 2 11 5 2" xfId="8237"/>
    <cellStyle name="Вывод 2 2 11 5 2 2" xfId="19163"/>
    <cellStyle name="Вывод 2 2 11 5 2 3" xfId="34524"/>
    <cellStyle name="Вывод 2 2 11 5 3" xfId="24125"/>
    <cellStyle name="Вывод 2 2 11 5 3 2" xfId="39486"/>
    <cellStyle name="Вывод 2 2 11 5 4" xfId="13600"/>
    <cellStyle name="Вывод 2 2 11 5 5" xfId="29076"/>
    <cellStyle name="Вывод 2 2 11 6" xfId="3944"/>
    <cellStyle name="Вывод 2 2 11 6 2" xfId="9131"/>
    <cellStyle name="Вывод 2 2 11 6 2 2" xfId="20058"/>
    <cellStyle name="Вывод 2 2 11 6 2 3" xfId="35419"/>
    <cellStyle name="Вывод 2 2 11 6 3" xfId="25019"/>
    <cellStyle name="Вывод 2 2 11 6 3 2" xfId="40380"/>
    <cellStyle name="Вывод 2 2 11 6 4" xfId="14495"/>
    <cellStyle name="Вывод 2 2 11 6 5" xfId="29970"/>
    <cellStyle name="Вывод 2 2 11 7" xfId="3917"/>
    <cellStyle name="Вывод 2 2 11 7 2" xfId="9104"/>
    <cellStyle name="Вывод 2 2 11 7 2 2" xfId="20031"/>
    <cellStyle name="Вывод 2 2 11 7 2 3" xfId="35392"/>
    <cellStyle name="Вывод 2 2 11 7 3" xfId="24992"/>
    <cellStyle name="Вывод 2 2 11 7 3 2" xfId="40353"/>
    <cellStyle name="Вывод 2 2 11 7 4" xfId="14468"/>
    <cellStyle name="Вывод 2 2 11 7 5" xfId="29943"/>
    <cellStyle name="Вывод 2 2 11 8" xfId="4840"/>
    <cellStyle name="Вывод 2 2 11 8 2" xfId="10027"/>
    <cellStyle name="Вывод 2 2 11 8 2 2" xfId="20954"/>
    <cellStyle name="Вывод 2 2 11 8 2 3" xfId="36315"/>
    <cellStyle name="Вывод 2 2 11 8 3" xfId="25915"/>
    <cellStyle name="Вывод 2 2 11 8 3 2" xfId="41276"/>
    <cellStyle name="Вывод 2 2 11 8 4" xfId="15391"/>
    <cellStyle name="Вывод 2 2 11 8 5" xfId="30866"/>
    <cellStyle name="Вывод 2 2 11 9" xfId="5694"/>
    <cellStyle name="Вывод 2 2 11 9 2" xfId="17197"/>
    <cellStyle name="Вывод 2 2 11 9 3" xfId="32664"/>
    <cellStyle name="Вывод 2 2 12" xfId="304"/>
    <cellStyle name="Вывод 2 2 12 10" xfId="17291"/>
    <cellStyle name="Вывод 2 2 12 10 2" xfId="32758"/>
    <cellStyle name="Вывод 2 2 12 11" xfId="10990"/>
    <cellStyle name="Вывод 2 2 12 12" xfId="13368"/>
    <cellStyle name="Вывод 2 2 12 2" xfId="882"/>
    <cellStyle name="Вывод 2 2 12 2 10" xfId="11466"/>
    <cellStyle name="Вывод 2 2 12 2 11" xfId="26983"/>
    <cellStyle name="Вывод 2 2 12 2 2" xfId="100"/>
    <cellStyle name="Вывод 2 2 12 2 2 2" xfId="2733"/>
    <cellStyle name="Вывод 2 2 12 2 2 2 2" xfId="7962"/>
    <cellStyle name="Вывод 2 2 12 2 2 2 2 2" xfId="18866"/>
    <cellStyle name="Вывод 2 2 12 2 2 2 2 3" xfId="34227"/>
    <cellStyle name="Вывод 2 2 12 2 2 2 3" xfId="23850"/>
    <cellStyle name="Вывод 2 2 12 2 2 2 3 2" xfId="39211"/>
    <cellStyle name="Вывод 2 2 12 2 2 2 4" xfId="13303"/>
    <cellStyle name="Вывод 2 2 12 2 2 2 5" xfId="28801"/>
    <cellStyle name="Вывод 2 2 12 2 2 3" xfId="5092"/>
    <cellStyle name="Вывод 2 2 12 2 2 3 2" xfId="10275"/>
    <cellStyle name="Вывод 2 2 12 2 2 3 2 2" xfId="21201"/>
    <cellStyle name="Вывод 2 2 12 2 2 3 2 3" xfId="36562"/>
    <cellStyle name="Вывод 2 2 12 2 2 3 3" xfId="26162"/>
    <cellStyle name="Вывод 2 2 12 2 2 3 3 2" xfId="41523"/>
    <cellStyle name="Вывод 2 2 12 2 2 3 4" xfId="15638"/>
    <cellStyle name="Вывод 2 2 12 2 2 3 5" xfId="31113"/>
    <cellStyle name="Вывод 2 2 12 2 2 4" xfId="5626"/>
    <cellStyle name="Вывод 2 2 12 2 2 4 2" xfId="17371"/>
    <cellStyle name="Вывод 2 2 12 2 2 4 3" xfId="32838"/>
    <cellStyle name="Вывод 2 2 12 2 2 5" xfId="17072"/>
    <cellStyle name="Вывод 2 2 12 2 2 5 2" xfId="32539"/>
    <cellStyle name="Вывод 2 2 12 2 2 6" xfId="10814"/>
    <cellStyle name="Вывод 2 2 12 2 2 7" xfId="11114"/>
    <cellStyle name="Вывод 2 2 12 2 3" xfId="2288"/>
    <cellStyle name="Вывод 2 2 12 2 3 2" xfId="7524"/>
    <cellStyle name="Вывод 2 2 12 2 3 2 2" xfId="18426"/>
    <cellStyle name="Вывод 2 2 12 2 3 2 3" xfId="33787"/>
    <cellStyle name="Вывод 2 2 12 2 3 3" xfId="23412"/>
    <cellStyle name="Вывод 2 2 12 2 3 3 2" xfId="38773"/>
    <cellStyle name="Вывод 2 2 12 2 3 4" xfId="12863"/>
    <cellStyle name="Вывод 2 2 12 2 3 5" xfId="28363"/>
    <cellStyle name="Вывод 2 2 12 2 4" xfId="1658"/>
    <cellStyle name="Вывод 2 2 12 2 4 2" xfId="6904"/>
    <cellStyle name="Вывод 2 2 12 2 4 2 2" xfId="17800"/>
    <cellStyle name="Вывод 2 2 12 2 4 2 3" xfId="33161"/>
    <cellStyle name="Вывод 2 2 12 2 4 3" xfId="22792"/>
    <cellStyle name="Вывод 2 2 12 2 4 3 2" xfId="38153"/>
    <cellStyle name="Вывод 2 2 12 2 4 4" xfId="12236"/>
    <cellStyle name="Вывод 2 2 12 2 4 5" xfId="27743"/>
    <cellStyle name="Вывод 2 2 12 2 5" xfId="3667"/>
    <cellStyle name="Вывод 2 2 12 2 5 2" xfId="8854"/>
    <cellStyle name="Вывод 2 2 12 2 5 2 2" xfId="19781"/>
    <cellStyle name="Вывод 2 2 12 2 5 2 3" xfId="35142"/>
    <cellStyle name="Вывод 2 2 12 2 5 3" xfId="24742"/>
    <cellStyle name="Вывод 2 2 12 2 5 3 2" xfId="40103"/>
    <cellStyle name="Вывод 2 2 12 2 5 4" xfId="14218"/>
    <cellStyle name="Вывод 2 2 12 2 5 5" xfId="29693"/>
    <cellStyle name="Вывод 2 2 12 2 6" xfId="4336"/>
    <cellStyle name="Вывод 2 2 12 2 6 2" xfId="9523"/>
    <cellStyle name="Вывод 2 2 12 2 6 2 2" xfId="20450"/>
    <cellStyle name="Вывод 2 2 12 2 6 2 3" xfId="35811"/>
    <cellStyle name="Вывод 2 2 12 2 6 3" xfId="25411"/>
    <cellStyle name="Вывод 2 2 12 2 6 3 2" xfId="40772"/>
    <cellStyle name="Вывод 2 2 12 2 6 4" xfId="14887"/>
    <cellStyle name="Вывод 2 2 12 2 6 5" xfId="30362"/>
    <cellStyle name="Вывод 2 2 12 2 7" xfId="4495"/>
    <cellStyle name="Вывод 2 2 12 2 7 2" xfId="9682"/>
    <cellStyle name="Вывод 2 2 12 2 7 2 2" xfId="20609"/>
    <cellStyle name="Вывод 2 2 12 2 7 2 3" xfId="35970"/>
    <cellStyle name="Вывод 2 2 12 2 7 3" xfId="25570"/>
    <cellStyle name="Вывод 2 2 12 2 7 3 2" xfId="40931"/>
    <cellStyle name="Вывод 2 2 12 2 7 4" xfId="15046"/>
    <cellStyle name="Вывод 2 2 12 2 7 5" xfId="30521"/>
    <cellStyle name="Вывод 2 2 12 2 8" xfId="6144"/>
    <cellStyle name="Вывод 2 2 12 2 8 2" xfId="16723"/>
    <cellStyle name="Вывод 2 2 12 2 8 3" xfId="32190"/>
    <cellStyle name="Вывод 2 2 12 2 9" xfId="22032"/>
    <cellStyle name="Вывод 2 2 12 2 9 2" xfId="37393"/>
    <cellStyle name="Вывод 2 2 12 3" xfId="1749"/>
    <cellStyle name="Вывод 2 2 12 3 2" xfId="2890"/>
    <cellStyle name="Вывод 2 2 12 3 2 2" xfId="8097"/>
    <cellStyle name="Вывод 2 2 12 3 2 2 2" xfId="19017"/>
    <cellStyle name="Вывод 2 2 12 3 2 2 3" xfId="34378"/>
    <cellStyle name="Вывод 2 2 12 3 2 3" xfId="23985"/>
    <cellStyle name="Вывод 2 2 12 3 2 3 2" xfId="39346"/>
    <cellStyle name="Вывод 2 2 12 3 2 4" xfId="13454"/>
    <cellStyle name="Вывод 2 2 12 3 2 5" xfId="28936"/>
    <cellStyle name="Вывод 2 2 12 3 3" xfId="5093"/>
    <cellStyle name="Вывод 2 2 12 3 3 2" xfId="10276"/>
    <cellStyle name="Вывод 2 2 12 3 3 2 2" xfId="21202"/>
    <cellStyle name="Вывод 2 2 12 3 3 2 3" xfId="36563"/>
    <cellStyle name="Вывод 2 2 12 3 3 3" xfId="26163"/>
    <cellStyle name="Вывод 2 2 12 3 3 3 2" xfId="41524"/>
    <cellStyle name="Вывод 2 2 12 3 3 4" xfId="15639"/>
    <cellStyle name="Вывод 2 2 12 3 3 5" xfId="31114"/>
    <cellStyle name="Вывод 2 2 12 3 4" xfId="6988"/>
    <cellStyle name="Вывод 2 2 12 3 4 2" xfId="17890"/>
    <cellStyle name="Вывод 2 2 12 3 4 3" xfId="33251"/>
    <cellStyle name="Вывод 2 2 12 3 5" xfId="22876"/>
    <cellStyle name="Вывод 2 2 12 3 5 2" xfId="38237"/>
    <cellStyle name="Вывод 2 2 12 3 6" xfId="12327"/>
    <cellStyle name="Вывод 2 2 12 3 7" xfId="27827"/>
    <cellStyle name="Вывод 2 2 12 4" xfId="1776"/>
    <cellStyle name="Вывод 2 2 12 4 2" xfId="7015"/>
    <cellStyle name="Вывод 2 2 12 4 2 2" xfId="17917"/>
    <cellStyle name="Вывод 2 2 12 4 2 3" xfId="33278"/>
    <cellStyle name="Вывод 2 2 12 4 3" xfId="22903"/>
    <cellStyle name="Вывод 2 2 12 4 3 2" xfId="38264"/>
    <cellStyle name="Вывод 2 2 12 4 4" xfId="12354"/>
    <cellStyle name="Вывод 2 2 12 4 5" xfId="27854"/>
    <cellStyle name="Вывод 2 2 12 5" xfId="3041"/>
    <cellStyle name="Вывод 2 2 12 5 2" xfId="8236"/>
    <cellStyle name="Вывод 2 2 12 5 2 2" xfId="19162"/>
    <cellStyle name="Вывод 2 2 12 5 2 3" xfId="34523"/>
    <cellStyle name="Вывод 2 2 12 5 3" xfId="24124"/>
    <cellStyle name="Вывод 2 2 12 5 3 2" xfId="39485"/>
    <cellStyle name="Вывод 2 2 12 5 4" xfId="13599"/>
    <cellStyle name="Вывод 2 2 12 5 5" xfId="29075"/>
    <cellStyle name="Вывод 2 2 12 6" xfId="3510"/>
    <cellStyle name="Вывод 2 2 12 6 2" xfId="8697"/>
    <cellStyle name="Вывод 2 2 12 6 2 2" xfId="19624"/>
    <cellStyle name="Вывод 2 2 12 6 2 3" xfId="34985"/>
    <cellStyle name="Вывод 2 2 12 6 3" xfId="24585"/>
    <cellStyle name="Вывод 2 2 12 6 3 2" xfId="39946"/>
    <cellStyle name="Вывод 2 2 12 6 4" xfId="14061"/>
    <cellStyle name="Вывод 2 2 12 6 5" xfId="29536"/>
    <cellStyle name="Вывод 2 2 12 7" xfId="3346"/>
    <cellStyle name="Вывод 2 2 12 7 2" xfId="8540"/>
    <cellStyle name="Вывод 2 2 12 7 2 2" xfId="19467"/>
    <cellStyle name="Вывод 2 2 12 7 2 3" xfId="34828"/>
    <cellStyle name="Вывод 2 2 12 7 3" xfId="24428"/>
    <cellStyle name="Вывод 2 2 12 7 3 2" xfId="39789"/>
    <cellStyle name="Вывод 2 2 12 7 4" xfId="13904"/>
    <cellStyle name="Вывод 2 2 12 7 5" xfId="29379"/>
    <cellStyle name="Вывод 2 2 12 8" xfId="4781"/>
    <cellStyle name="Вывод 2 2 12 8 2" xfId="9968"/>
    <cellStyle name="Вывод 2 2 12 8 2 2" xfId="20895"/>
    <cellStyle name="Вывод 2 2 12 8 2 3" xfId="36256"/>
    <cellStyle name="Вывод 2 2 12 8 3" xfId="25856"/>
    <cellStyle name="Вывод 2 2 12 8 3 2" xfId="41217"/>
    <cellStyle name="Вывод 2 2 12 8 4" xfId="15332"/>
    <cellStyle name="Вывод 2 2 12 8 5" xfId="30807"/>
    <cellStyle name="Вывод 2 2 12 9" xfId="5695"/>
    <cellStyle name="Вывод 2 2 12 9 2" xfId="17196"/>
    <cellStyle name="Вывод 2 2 12 9 3" xfId="32663"/>
    <cellStyle name="Вывод 2 2 13" xfId="305"/>
    <cellStyle name="Вывод 2 2 13 10" xfId="17292"/>
    <cellStyle name="Вывод 2 2 13 10 2" xfId="32759"/>
    <cellStyle name="Вывод 2 2 13 11" xfId="10991"/>
    <cellStyle name="Вывод 2 2 13 12" xfId="10895"/>
    <cellStyle name="Вывод 2 2 13 2" xfId="881"/>
    <cellStyle name="Вывод 2 2 13 2 10" xfId="11465"/>
    <cellStyle name="Вывод 2 2 13 2 11" xfId="26982"/>
    <cellStyle name="Вывод 2 2 13 2 2" xfId="109"/>
    <cellStyle name="Вывод 2 2 13 2 2 2" xfId="2732"/>
    <cellStyle name="Вывод 2 2 13 2 2 2 2" xfId="7961"/>
    <cellStyle name="Вывод 2 2 13 2 2 2 2 2" xfId="18865"/>
    <cellStyle name="Вывод 2 2 13 2 2 2 2 3" xfId="34226"/>
    <cellStyle name="Вывод 2 2 13 2 2 2 3" xfId="23849"/>
    <cellStyle name="Вывод 2 2 13 2 2 2 3 2" xfId="39210"/>
    <cellStyle name="Вывод 2 2 13 2 2 2 4" xfId="13302"/>
    <cellStyle name="Вывод 2 2 13 2 2 2 5" xfId="28800"/>
    <cellStyle name="Вывод 2 2 13 2 2 3" xfId="5094"/>
    <cellStyle name="Вывод 2 2 13 2 2 3 2" xfId="10277"/>
    <cellStyle name="Вывод 2 2 13 2 2 3 2 2" xfId="21203"/>
    <cellStyle name="Вывод 2 2 13 2 2 3 2 3" xfId="36564"/>
    <cellStyle name="Вывод 2 2 13 2 2 3 3" xfId="26164"/>
    <cellStyle name="Вывод 2 2 13 2 2 3 3 2" xfId="41525"/>
    <cellStyle name="Вывод 2 2 13 2 2 3 4" xfId="15640"/>
    <cellStyle name="Вывод 2 2 13 2 2 3 5" xfId="31115"/>
    <cellStyle name="Вывод 2 2 13 2 2 4" xfId="5635"/>
    <cellStyle name="Вывод 2 2 13 2 2 4 2" xfId="17362"/>
    <cellStyle name="Вывод 2 2 13 2 2 4 3" xfId="32829"/>
    <cellStyle name="Вывод 2 2 13 2 2 5" xfId="17077"/>
    <cellStyle name="Вывод 2 2 13 2 2 5 2" xfId="32544"/>
    <cellStyle name="Вывод 2 2 13 2 2 6" xfId="10823"/>
    <cellStyle name="Вывод 2 2 13 2 2 7" xfId="11109"/>
    <cellStyle name="Вывод 2 2 13 2 3" xfId="2287"/>
    <cellStyle name="Вывод 2 2 13 2 3 2" xfId="7523"/>
    <cellStyle name="Вывод 2 2 13 2 3 2 2" xfId="18425"/>
    <cellStyle name="Вывод 2 2 13 2 3 2 3" xfId="33786"/>
    <cellStyle name="Вывод 2 2 13 2 3 3" xfId="23411"/>
    <cellStyle name="Вывод 2 2 13 2 3 3 2" xfId="38772"/>
    <cellStyle name="Вывод 2 2 13 2 3 4" xfId="12862"/>
    <cellStyle name="Вывод 2 2 13 2 3 5" xfId="28362"/>
    <cellStyle name="Вывод 2 2 13 2 4" xfId="2590"/>
    <cellStyle name="Вывод 2 2 13 2 4 2" xfId="7823"/>
    <cellStyle name="Вывод 2 2 13 2 4 2 2" xfId="18725"/>
    <cellStyle name="Вывод 2 2 13 2 4 2 3" xfId="34086"/>
    <cellStyle name="Вывод 2 2 13 2 4 3" xfId="23711"/>
    <cellStyle name="Вывод 2 2 13 2 4 3 2" xfId="39072"/>
    <cellStyle name="Вывод 2 2 13 2 4 4" xfId="13162"/>
    <cellStyle name="Вывод 2 2 13 2 4 5" xfId="28662"/>
    <cellStyle name="Вывод 2 2 13 2 5" xfId="3757"/>
    <cellStyle name="Вывод 2 2 13 2 5 2" xfId="8944"/>
    <cellStyle name="Вывод 2 2 13 2 5 2 2" xfId="19871"/>
    <cellStyle name="Вывод 2 2 13 2 5 2 3" xfId="35232"/>
    <cellStyle name="Вывод 2 2 13 2 5 3" xfId="24832"/>
    <cellStyle name="Вывод 2 2 13 2 5 3 2" xfId="40193"/>
    <cellStyle name="Вывод 2 2 13 2 5 4" xfId="14308"/>
    <cellStyle name="Вывод 2 2 13 2 5 5" xfId="29783"/>
    <cellStyle name="Вывод 2 2 13 2 6" xfId="4335"/>
    <cellStyle name="Вывод 2 2 13 2 6 2" xfId="9522"/>
    <cellStyle name="Вывод 2 2 13 2 6 2 2" xfId="20449"/>
    <cellStyle name="Вывод 2 2 13 2 6 2 3" xfId="35810"/>
    <cellStyle name="Вывод 2 2 13 2 6 3" xfId="25410"/>
    <cellStyle name="Вывод 2 2 13 2 6 3 2" xfId="40771"/>
    <cellStyle name="Вывод 2 2 13 2 6 4" xfId="14886"/>
    <cellStyle name="Вывод 2 2 13 2 6 5" xfId="30361"/>
    <cellStyle name="Вывод 2 2 13 2 7" xfId="4496"/>
    <cellStyle name="Вывод 2 2 13 2 7 2" xfId="9683"/>
    <cellStyle name="Вывод 2 2 13 2 7 2 2" xfId="20610"/>
    <cellStyle name="Вывод 2 2 13 2 7 2 3" xfId="35971"/>
    <cellStyle name="Вывод 2 2 13 2 7 3" xfId="25571"/>
    <cellStyle name="Вывод 2 2 13 2 7 3 2" xfId="40932"/>
    <cellStyle name="Вывод 2 2 13 2 7 4" xfId="15047"/>
    <cellStyle name="Вывод 2 2 13 2 7 5" xfId="30522"/>
    <cellStyle name="Вывод 2 2 13 2 8" xfId="6143"/>
    <cellStyle name="Вывод 2 2 13 2 8 2" xfId="16724"/>
    <cellStyle name="Вывод 2 2 13 2 8 3" xfId="32191"/>
    <cellStyle name="Вывод 2 2 13 2 9" xfId="22031"/>
    <cellStyle name="Вывод 2 2 13 2 9 2" xfId="37392"/>
    <cellStyle name="Вывод 2 2 13 3" xfId="99"/>
    <cellStyle name="Вывод 2 2 13 3 2" xfId="2891"/>
    <cellStyle name="Вывод 2 2 13 3 2 2" xfId="8098"/>
    <cellStyle name="Вывод 2 2 13 3 2 2 2" xfId="19018"/>
    <cellStyle name="Вывод 2 2 13 3 2 2 3" xfId="34379"/>
    <cellStyle name="Вывод 2 2 13 3 2 3" xfId="23986"/>
    <cellStyle name="Вывод 2 2 13 3 2 3 2" xfId="39347"/>
    <cellStyle name="Вывод 2 2 13 3 2 4" xfId="13455"/>
    <cellStyle name="Вывод 2 2 13 3 2 5" xfId="28937"/>
    <cellStyle name="Вывод 2 2 13 3 3" xfId="5095"/>
    <cellStyle name="Вывод 2 2 13 3 3 2" xfId="10278"/>
    <cellStyle name="Вывод 2 2 13 3 3 2 2" xfId="21204"/>
    <cellStyle name="Вывод 2 2 13 3 3 2 3" xfId="36565"/>
    <cellStyle name="Вывод 2 2 13 3 3 3" xfId="26165"/>
    <cellStyle name="Вывод 2 2 13 3 3 3 2" xfId="41526"/>
    <cellStyle name="Вывод 2 2 13 3 3 4" xfId="15641"/>
    <cellStyle name="Вывод 2 2 13 3 3 5" xfId="31116"/>
    <cellStyle name="Вывод 2 2 13 3 4" xfId="5625"/>
    <cellStyle name="Вывод 2 2 13 3 4 2" xfId="17372"/>
    <cellStyle name="Вывод 2 2 13 3 4 3" xfId="32839"/>
    <cellStyle name="Вывод 2 2 13 3 5" xfId="17434"/>
    <cellStyle name="Вывод 2 2 13 3 5 2" xfId="32901"/>
    <cellStyle name="Вывод 2 2 13 3 6" xfId="10813"/>
    <cellStyle name="Вывод 2 2 13 3 7" xfId="10751"/>
    <cellStyle name="Вывод 2 2 13 4" xfId="1434"/>
    <cellStyle name="Вывод 2 2 13 4 2" xfId="6682"/>
    <cellStyle name="Вывод 2 2 13 4 2 2" xfId="16176"/>
    <cellStyle name="Вывод 2 2 13 4 2 3" xfId="31643"/>
    <cellStyle name="Вывод 2 2 13 4 3" xfId="22570"/>
    <cellStyle name="Вывод 2 2 13 4 3 2" xfId="37931"/>
    <cellStyle name="Вывод 2 2 13 4 4" xfId="12013"/>
    <cellStyle name="Вывод 2 2 13 4 5" xfId="27521"/>
    <cellStyle name="Вывод 2 2 13 5" xfId="3038"/>
    <cellStyle name="Вывод 2 2 13 5 2" xfId="8233"/>
    <cellStyle name="Вывод 2 2 13 5 2 2" xfId="19159"/>
    <cellStyle name="Вывод 2 2 13 5 2 3" xfId="34520"/>
    <cellStyle name="Вывод 2 2 13 5 3" xfId="24121"/>
    <cellStyle name="Вывод 2 2 13 5 3 2" xfId="39482"/>
    <cellStyle name="Вывод 2 2 13 5 4" xfId="13596"/>
    <cellStyle name="Вывод 2 2 13 5 5" xfId="29072"/>
    <cellStyle name="Вывод 2 2 13 6" xfId="3202"/>
    <cellStyle name="Вывод 2 2 13 6 2" xfId="8397"/>
    <cellStyle name="Вывод 2 2 13 6 2 2" xfId="19323"/>
    <cellStyle name="Вывод 2 2 13 6 2 3" xfId="34684"/>
    <cellStyle name="Вывод 2 2 13 6 3" xfId="24285"/>
    <cellStyle name="Вывод 2 2 13 6 3 2" xfId="39646"/>
    <cellStyle name="Вывод 2 2 13 6 4" xfId="13760"/>
    <cellStyle name="Вывод 2 2 13 6 5" xfId="29236"/>
    <cellStyle name="Вывод 2 2 13 7" xfId="3884"/>
    <cellStyle name="Вывод 2 2 13 7 2" xfId="9071"/>
    <cellStyle name="Вывод 2 2 13 7 2 2" xfId="19998"/>
    <cellStyle name="Вывод 2 2 13 7 2 3" xfId="35359"/>
    <cellStyle name="Вывод 2 2 13 7 3" xfId="24959"/>
    <cellStyle name="Вывод 2 2 13 7 3 2" xfId="40320"/>
    <cellStyle name="Вывод 2 2 13 7 4" xfId="14435"/>
    <cellStyle name="Вывод 2 2 13 7 5" xfId="29910"/>
    <cellStyle name="Вывод 2 2 13 8" xfId="4841"/>
    <cellStyle name="Вывод 2 2 13 8 2" xfId="10028"/>
    <cellStyle name="Вывод 2 2 13 8 2 2" xfId="20955"/>
    <cellStyle name="Вывод 2 2 13 8 2 3" xfId="36316"/>
    <cellStyle name="Вывод 2 2 13 8 3" xfId="25916"/>
    <cellStyle name="Вывод 2 2 13 8 3 2" xfId="41277"/>
    <cellStyle name="Вывод 2 2 13 8 4" xfId="15392"/>
    <cellStyle name="Вывод 2 2 13 8 5" xfId="30867"/>
    <cellStyle name="Вывод 2 2 13 9" xfId="5696"/>
    <cellStyle name="Вывод 2 2 13 9 2" xfId="17195"/>
    <cellStyle name="Вывод 2 2 13 9 3" xfId="32662"/>
    <cellStyle name="Вывод 2 2 14" xfId="306"/>
    <cellStyle name="Вывод 2 2 14 10" xfId="17293"/>
    <cellStyle name="Вывод 2 2 14 10 2" xfId="32760"/>
    <cellStyle name="Вывод 2 2 14 11" xfId="10992"/>
    <cellStyle name="Вывод 2 2 14 12" xfId="10894"/>
    <cellStyle name="Вывод 2 2 14 2" xfId="880"/>
    <cellStyle name="Вывод 2 2 14 2 10" xfId="11464"/>
    <cellStyle name="Вывод 2 2 14 2 11" xfId="26981"/>
    <cellStyle name="Вывод 2 2 14 2 2" xfId="1031"/>
    <cellStyle name="Вывод 2 2 14 2 2 2" xfId="2731"/>
    <cellStyle name="Вывод 2 2 14 2 2 2 2" xfId="7960"/>
    <cellStyle name="Вывод 2 2 14 2 2 2 2 2" xfId="18864"/>
    <cellStyle name="Вывод 2 2 14 2 2 2 2 3" xfId="34225"/>
    <cellStyle name="Вывод 2 2 14 2 2 2 3" xfId="23848"/>
    <cellStyle name="Вывод 2 2 14 2 2 2 3 2" xfId="39209"/>
    <cellStyle name="Вывод 2 2 14 2 2 2 4" xfId="13301"/>
    <cellStyle name="Вывод 2 2 14 2 2 2 5" xfId="28799"/>
    <cellStyle name="Вывод 2 2 14 2 2 3" xfId="5096"/>
    <cellStyle name="Вывод 2 2 14 2 2 3 2" xfId="10279"/>
    <cellStyle name="Вывод 2 2 14 2 2 3 2 2" xfId="21205"/>
    <cellStyle name="Вывод 2 2 14 2 2 3 2 3" xfId="36566"/>
    <cellStyle name="Вывод 2 2 14 2 2 3 3" xfId="26166"/>
    <cellStyle name="Вывод 2 2 14 2 2 3 3 2" xfId="41527"/>
    <cellStyle name="Вывод 2 2 14 2 2 3 4" xfId="15642"/>
    <cellStyle name="Вывод 2 2 14 2 2 3 5" xfId="31117"/>
    <cellStyle name="Вывод 2 2 14 2 2 4" xfId="6289"/>
    <cellStyle name="Вывод 2 2 14 2 2 4 2" xfId="16575"/>
    <cellStyle name="Вывод 2 2 14 2 2 4 3" xfId="32042"/>
    <cellStyle name="Вывод 2 2 14 2 2 5" xfId="22177"/>
    <cellStyle name="Вывод 2 2 14 2 2 5 2" xfId="37538"/>
    <cellStyle name="Вывод 2 2 14 2 2 6" xfId="11614"/>
    <cellStyle name="Вывод 2 2 14 2 2 7" xfId="27128"/>
    <cellStyle name="Вывод 2 2 14 2 3" xfId="2286"/>
    <cellStyle name="Вывод 2 2 14 2 3 2" xfId="7522"/>
    <cellStyle name="Вывод 2 2 14 2 3 2 2" xfId="18424"/>
    <cellStyle name="Вывод 2 2 14 2 3 2 3" xfId="33785"/>
    <cellStyle name="Вывод 2 2 14 2 3 3" xfId="23410"/>
    <cellStyle name="Вывод 2 2 14 2 3 3 2" xfId="38771"/>
    <cellStyle name="Вывод 2 2 14 2 3 4" xfId="12861"/>
    <cellStyle name="Вывод 2 2 14 2 3 5" xfId="28361"/>
    <cellStyle name="Вывод 2 2 14 2 4" xfId="2040"/>
    <cellStyle name="Вывод 2 2 14 2 4 2" xfId="7276"/>
    <cellStyle name="Вывод 2 2 14 2 4 2 2" xfId="18178"/>
    <cellStyle name="Вывод 2 2 14 2 4 2 3" xfId="33539"/>
    <cellStyle name="Вывод 2 2 14 2 4 3" xfId="23164"/>
    <cellStyle name="Вывод 2 2 14 2 4 3 2" xfId="38525"/>
    <cellStyle name="Вывод 2 2 14 2 4 4" xfId="12615"/>
    <cellStyle name="Вывод 2 2 14 2 4 5" xfId="28115"/>
    <cellStyle name="Вывод 2 2 14 2 5" xfId="3721"/>
    <cellStyle name="Вывод 2 2 14 2 5 2" xfId="8908"/>
    <cellStyle name="Вывод 2 2 14 2 5 2 2" xfId="19835"/>
    <cellStyle name="Вывод 2 2 14 2 5 2 3" xfId="35196"/>
    <cellStyle name="Вывод 2 2 14 2 5 3" xfId="24796"/>
    <cellStyle name="Вывод 2 2 14 2 5 3 2" xfId="40157"/>
    <cellStyle name="Вывод 2 2 14 2 5 4" xfId="14272"/>
    <cellStyle name="Вывод 2 2 14 2 5 5" xfId="29747"/>
    <cellStyle name="Вывод 2 2 14 2 6" xfId="4334"/>
    <cellStyle name="Вывод 2 2 14 2 6 2" xfId="9521"/>
    <cellStyle name="Вывод 2 2 14 2 6 2 2" xfId="20448"/>
    <cellStyle name="Вывод 2 2 14 2 6 2 3" xfId="35809"/>
    <cellStyle name="Вывод 2 2 14 2 6 3" xfId="25409"/>
    <cellStyle name="Вывод 2 2 14 2 6 3 2" xfId="40770"/>
    <cellStyle name="Вывод 2 2 14 2 6 4" xfId="14885"/>
    <cellStyle name="Вывод 2 2 14 2 6 5" xfId="30360"/>
    <cellStyle name="Вывод 2 2 14 2 7" xfId="4405"/>
    <cellStyle name="Вывод 2 2 14 2 7 2" xfId="9592"/>
    <cellStyle name="Вывод 2 2 14 2 7 2 2" xfId="20519"/>
    <cellStyle name="Вывод 2 2 14 2 7 2 3" xfId="35880"/>
    <cellStyle name="Вывод 2 2 14 2 7 3" xfId="25480"/>
    <cellStyle name="Вывод 2 2 14 2 7 3 2" xfId="40841"/>
    <cellStyle name="Вывод 2 2 14 2 7 4" xfId="14956"/>
    <cellStyle name="Вывод 2 2 14 2 7 5" xfId="30431"/>
    <cellStyle name="Вывод 2 2 14 2 8" xfId="6142"/>
    <cellStyle name="Вывод 2 2 14 2 8 2" xfId="16725"/>
    <cellStyle name="Вывод 2 2 14 2 8 3" xfId="32192"/>
    <cellStyle name="Вывод 2 2 14 2 9" xfId="22030"/>
    <cellStyle name="Вывод 2 2 14 2 9 2" xfId="37391"/>
    <cellStyle name="Вывод 2 2 14 3" xfId="1092"/>
    <cellStyle name="Вывод 2 2 14 3 2" xfId="2892"/>
    <cellStyle name="Вывод 2 2 14 3 2 2" xfId="8099"/>
    <cellStyle name="Вывод 2 2 14 3 2 2 2" xfId="19019"/>
    <cellStyle name="Вывод 2 2 14 3 2 2 3" xfId="34380"/>
    <cellStyle name="Вывод 2 2 14 3 2 3" xfId="23987"/>
    <cellStyle name="Вывод 2 2 14 3 2 3 2" xfId="39348"/>
    <cellStyle name="Вывод 2 2 14 3 2 4" xfId="13456"/>
    <cellStyle name="Вывод 2 2 14 3 2 5" xfId="28938"/>
    <cellStyle name="Вывод 2 2 14 3 3" xfId="5097"/>
    <cellStyle name="Вывод 2 2 14 3 3 2" xfId="10280"/>
    <cellStyle name="Вывод 2 2 14 3 3 2 2" xfId="21206"/>
    <cellStyle name="Вывод 2 2 14 3 3 2 3" xfId="36567"/>
    <cellStyle name="Вывод 2 2 14 3 3 3" xfId="26167"/>
    <cellStyle name="Вывод 2 2 14 3 3 3 2" xfId="41528"/>
    <cellStyle name="Вывод 2 2 14 3 3 4" xfId="15643"/>
    <cellStyle name="Вывод 2 2 14 3 3 5" xfId="31118"/>
    <cellStyle name="Вывод 2 2 14 3 4" xfId="6348"/>
    <cellStyle name="Вывод 2 2 14 3 4 2" xfId="16515"/>
    <cellStyle name="Вывод 2 2 14 3 4 3" xfId="31982"/>
    <cellStyle name="Вывод 2 2 14 3 5" xfId="22236"/>
    <cellStyle name="Вывод 2 2 14 3 5 2" xfId="37597"/>
    <cellStyle name="Вывод 2 2 14 3 6" xfId="11674"/>
    <cellStyle name="Вывод 2 2 14 3 7" xfId="27187"/>
    <cellStyle name="Вывод 2 2 14 4" xfId="1424"/>
    <cellStyle name="Вывод 2 2 14 4 2" xfId="6672"/>
    <cellStyle name="Вывод 2 2 14 4 2 2" xfId="16186"/>
    <cellStyle name="Вывод 2 2 14 4 2 3" xfId="31653"/>
    <cellStyle name="Вывод 2 2 14 4 3" xfId="22560"/>
    <cellStyle name="Вывод 2 2 14 4 3 2" xfId="37921"/>
    <cellStyle name="Вывод 2 2 14 4 4" xfId="12003"/>
    <cellStyle name="Вывод 2 2 14 4 5" xfId="27511"/>
    <cellStyle name="Вывод 2 2 14 5" xfId="3037"/>
    <cellStyle name="Вывод 2 2 14 5 2" xfId="8232"/>
    <cellStyle name="Вывод 2 2 14 5 2 2" xfId="19158"/>
    <cellStyle name="Вывод 2 2 14 5 2 3" xfId="34519"/>
    <cellStyle name="Вывод 2 2 14 5 3" xfId="24120"/>
    <cellStyle name="Вывод 2 2 14 5 3 2" xfId="39481"/>
    <cellStyle name="Вывод 2 2 14 5 4" xfId="13595"/>
    <cellStyle name="Вывод 2 2 14 5 5" xfId="29071"/>
    <cellStyle name="Вывод 2 2 14 6" xfId="3511"/>
    <cellStyle name="Вывод 2 2 14 6 2" xfId="8698"/>
    <cellStyle name="Вывод 2 2 14 6 2 2" xfId="19625"/>
    <cellStyle name="Вывод 2 2 14 6 2 3" xfId="34986"/>
    <cellStyle name="Вывод 2 2 14 6 3" xfId="24586"/>
    <cellStyle name="Вывод 2 2 14 6 3 2" xfId="39947"/>
    <cellStyle name="Вывод 2 2 14 6 4" xfId="14062"/>
    <cellStyle name="Вывод 2 2 14 6 5" xfId="29537"/>
    <cellStyle name="Вывод 2 2 14 7" xfId="3916"/>
    <cellStyle name="Вывод 2 2 14 7 2" xfId="9103"/>
    <cellStyle name="Вывод 2 2 14 7 2 2" xfId="20030"/>
    <cellStyle name="Вывод 2 2 14 7 2 3" xfId="35391"/>
    <cellStyle name="Вывод 2 2 14 7 3" xfId="24991"/>
    <cellStyle name="Вывод 2 2 14 7 3 2" xfId="40352"/>
    <cellStyle name="Вывод 2 2 14 7 4" xfId="14467"/>
    <cellStyle name="Вывод 2 2 14 7 5" xfId="29942"/>
    <cellStyle name="Вывод 2 2 14 8" xfId="4780"/>
    <cellStyle name="Вывод 2 2 14 8 2" xfId="9967"/>
    <cellStyle name="Вывод 2 2 14 8 2 2" xfId="20894"/>
    <cellStyle name="Вывод 2 2 14 8 2 3" xfId="36255"/>
    <cellStyle name="Вывод 2 2 14 8 3" xfId="25855"/>
    <cellStyle name="Вывод 2 2 14 8 3 2" xfId="41216"/>
    <cellStyle name="Вывод 2 2 14 8 4" xfId="15331"/>
    <cellStyle name="Вывод 2 2 14 8 5" xfId="30806"/>
    <cellStyle name="Вывод 2 2 14 9" xfId="5697"/>
    <cellStyle name="Вывод 2 2 14 9 2" xfId="17194"/>
    <cellStyle name="Вывод 2 2 14 9 3" xfId="32661"/>
    <cellStyle name="Вывод 2 2 15" xfId="307"/>
    <cellStyle name="Вывод 2 2 15 10" xfId="18968"/>
    <cellStyle name="Вывод 2 2 15 10 2" xfId="34329"/>
    <cellStyle name="Вывод 2 2 15 11" xfId="10993"/>
    <cellStyle name="Вывод 2 2 15 12" xfId="10893"/>
    <cellStyle name="Вывод 2 2 15 2" xfId="879"/>
    <cellStyle name="Вывод 2 2 15 2 10" xfId="11463"/>
    <cellStyle name="Вывод 2 2 15 2 11" xfId="26980"/>
    <cellStyle name="Вывод 2 2 15 2 2" xfId="1114"/>
    <cellStyle name="Вывод 2 2 15 2 2 2" xfId="1181"/>
    <cellStyle name="Вывод 2 2 15 2 2 2 2" xfId="6435"/>
    <cellStyle name="Вывод 2 2 15 2 2 2 2 2" xfId="16427"/>
    <cellStyle name="Вывод 2 2 15 2 2 2 2 3" xfId="31894"/>
    <cellStyle name="Вывод 2 2 15 2 2 2 3" xfId="22323"/>
    <cellStyle name="Вывод 2 2 15 2 2 2 3 2" xfId="37684"/>
    <cellStyle name="Вывод 2 2 15 2 2 2 4" xfId="11762"/>
    <cellStyle name="Вывод 2 2 15 2 2 2 5" xfId="27274"/>
    <cellStyle name="Вывод 2 2 15 2 2 3" xfId="5098"/>
    <cellStyle name="Вывод 2 2 15 2 2 3 2" xfId="10281"/>
    <cellStyle name="Вывод 2 2 15 2 2 3 2 2" xfId="21207"/>
    <cellStyle name="Вывод 2 2 15 2 2 3 2 3" xfId="36568"/>
    <cellStyle name="Вывод 2 2 15 2 2 3 3" xfId="26168"/>
    <cellStyle name="Вывод 2 2 15 2 2 3 3 2" xfId="41529"/>
    <cellStyle name="Вывод 2 2 15 2 2 3 4" xfId="15644"/>
    <cellStyle name="Вывод 2 2 15 2 2 3 5" xfId="31119"/>
    <cellStyle name="Вывод 2 2 15 2 2 4" xfId="6369"/>
    <cellStyle name="Вывод 2 2 15 2 2 4 2" xfId="16494"/>
    <cellStyle name="Вывод 2 2 15 2 2 4 3" xfId="31961"/>
    <cellStyle name="Вывод 2 2 15 2 2 5" xfId="22257"/>
    <cellStyle name="Вывод 2 2 15 2 2 5 2" xfId="37618"/>
    <cellStyle name="Вывод 2 2 15 2 2 6" xfId="11695"/>
    <cellStyle name="Вывод 2 2 15 2 2 7" xfId="27208"/>
    <cellStyle name="Вывод 2 2 15 2 3" xfId="2285"/>
    <cellStyle name="Вывод 2 2 15 2 3 2" xfId="7521"/>
    <cellStyle name="Вывод 2 2 15 2 3 2 2" xfId="18423"/>
    <cellStyle name="Вывод 2 2 15 2 3 2 3" xfId="33784"/>
    <cellStyle name="Вывод 2 2 15 2 3 3" xfId="23409"/>
    <cellStyle name="Вывод 2 2 15 2 3 3 2" xfId="38770"/>
    <cellStyle name="Вывод 2 2 15 2 3 4" xfId="12860"/>
    <cellStyle name="Вывод 2 2 15 2 3 5" xfId="28360"/>
    <cellStyle name="Вывод 2 2 15 2 4" xfId="2584"/>
    <cellStyle name="Вывод 2 2 15 2 4 2" xfId="7817"/>
    <cellStyle name="Вывод 2 2 15 2 4 2 2" xfId="18719"/>
    <cellStyle name="Вывод 2 2 15 2 4 2 3" xfId="34080"/>
    <cellStyle name="Вывод 2 2 15 2 4 3" xfId="23705"/>
    <cellStyle name="Вывод 2 2 15 2 4 3 2" xfId="39066"/>
    <cellStyle name="Вывод 2 2 15 2 4 4" xfId="13156"/>
    <cellStyle name="Вывод 2 2 15 2 4 5" xfId="28656"/>
    <cellStyle name="Вывод 2 2 15 2 5" xfId="3720"/>
    <cellStyle name="Вывод 2 2 15 2 5 2" xfId="8907"/>
    <cellStyle name="Вывод 2 2 15 2 5 2 2" xfId="19834"/>
    <cellStyle name="Вывод 2 2 15 2 5 2 3" xfId="35195"/>
    <cellStyle name="Вывод 2 2 15 2 5 3" xfId="24795"/>
    <cellStyle name="Вывод 2 2 15 2 5 3 2" xfId="40156"/>
    <cellStyle name="Вывод 2 2 15 2 5 4" xfId="14271"/>
    <cellStyle name="Вывод 2 2 15 2 5 5" xfId="29746"/>
    <cellStyle name="Вывод 2 2 15 2 6" xfId="4333"/>
    <cellStyle name="Вывод 2 2 15 2 6 2" xfId="9520"/>
    <cellStyle name="Вывод 2 2 15 2 6 2 2" xfId="20447"/>
    <cellStyle name="Вывод 2 2 15 2 6 2 3" xfId="35808"/>
    <cellStyle name="Вывод 2 2 15 2 6 3" xfId="25408"/>
    <cellStyle name="Вывод 2 2 15 2 6 3 2" xfId="40769"/>
    <cellStyle name="Вывод 2 2 15 2 6 4" xfId="14884"/>
    <cellStyle name="Вывод 2 2 15 2 6 5" xfId="30359"/>
    <cellStyle name="Вывод 2 2 15 2 7" xfId="4406"/>
    <cellStyle name="Вывод 2 2 15 2 7 2" xfId="9593"/>
    <cellStyle name="Вывод 2 2 15 2 7 2 2" xfId="20520"/>
    <cellStyle name="Вывод 2 2 15 2 7 2 3" xfId="35881"/>
    <cellStyle name="Вывод 2 2 15 2 7 3" xfId="25481"/>
    <cellStyle name="Вывод 2 2 15 2 7 3 2" xfId="40842"/>
    <cellStyle name="Вывод 2 2 15 2 7 4" xfId="14957"/>
    <cellStyle name="Вывод 2 2 15 2 7 5" xfId="30432"/>
    <cellStyle name="Вывод 2 2 15 2 8" xfId="6141"/>
    <cellStyle name="Вывод 2 2 15 2 8 2" xfId="16726"/>
    <cellStyle name="Вывод 2 2 15 2 8 3" xfId="32193"/>
    <cellStyle name="Вывод 2 2 15 2 9" xfId="22029"/>
    <cellStyle name="Вывод 2 2 15 2 9 2" xfId="37390"/>
    <cellStyle name="Вывод 2 2 15 3" xfId="1232"/>
    <cellStyle name="Вывод 2 2 15 3 2" xfId="2730"/>
    <cellStyle name="Вывод 2 2 15 3 2 2" xfId="7959"/>
    <cellStyle name="Вывод 2 2 15 3 2 2 2" xfId="18863"/>
    <cellStyle name="Вывод 2 2 15 3 2 2 3" xfId="34224"/>
    <cellStyle name="Вывод 2 2 15 3 2 3" xfId="23847"/>
    <cellStyle name="Вывод 2 2 15 3 2 3 2" xfId="39208"/>
    <cellStyle name="Вывод 2 2 15 3 2 4" xfId="13300"/>
    <cellStyle name="Вывод 2 2 15 3 2 5" xfId="28798"/>
    <cellStyle name="Вывод 2 2 15 3 3" xfId="5099"/>
    <cellStyle name="Вывод 2 2 15 3 3 2" xfId="10282"/>
    <cellStyle name="Вывод 2 2 15 3 3 2 2" xfId="21208"/>
    <cellStyle name="Вывод 2 2 15 3 3 2 3" xfId="36569"/>
    <cellStyle name="Вывод 2 2 15 3 3 3" xfId="26169"/>
    <cellStyle name="Вывод 2 2 15 3 3 3 2" xfId="41530"/>
    <cellStyle name="Вывод 2 2 15 3 3 4" xfId="15645"/>
    <cellStyle name="Вывод 2 2 15 3 3 5" xfId="31120"/>
    <cellStyle name="Вывод 2 2 15 3 4" xfId="6485"/>
    <cellStyle name="Вывод 2 2 15 3 4 2" xfId="16376"/>
    <cellStyle name="Вывод 2 2 15 3 4 3" xfId="31843"/>
    <cellStyle name="Вывод 2 2 15 3 5" xfId="22373"/>
    <cellStyle name="Вывод 2 2 15 3 5 2" xfId="37734"/>
    <cellStyle name="Вывод 2 2 15 3 6" xfId="11813"/>
    <cellStyle name="Вывод 2 2 15 3 7" xfId="27324"/>
    <cellStyle name="Вывод 2 2 15 4" xfId="1746"/>
    <cellStyle name="Вывод 2 2 15 4 2" xfId="6985"/>
    <cellStyle name="Вывод 2 2 15 4 2 2" xfId="17887"/>
    <cellStyle name="Вывод 2 2 15 4 2 3" xfId="33248"/>
    <cellStyle name="Вывод 2 2 15 4 3" xfId="22873"/>
    <cellStyle name="Вывод 2 2 15 4 3 2" xfId="38234"/>
    <cellStyle name="Вывод 2 2 15 4 4" xfId="12324"/>
    <cellStyle name="Вывод 2 2 15 4 5" xfId="27824"/>
    <cellStyle name="Вывод 2 2 15 5" xfId="3034"/>
    <cellStyle name="Вывод 2 2 15 5 2" xfId="8229"/>
    <cellStyle name="Вывод 2 2 15 5 2 2" xfId="19155"/>
    <cellStyle name="Вывод 2 2 15 5 2 3" xfId="34516"/>
    <cellStyle name="Вывод 2 2 15 5 3" xfId="24117"/>
    <cellStyle name="Вывод 2 2 15 5 3 2" xfId="39478"/>
    <cellStyle name="Вывод 2 2 15 5 4" xfId="13592"/>
    <cellStyle name="Вывод 2 2 15 5 5" xfId="29068"/>
    <cellStyle name="Вывод 2 2 15 6" xfId="3945"/>
    <cellStyle name="Вывод 2 2 15 6 2" xfId="9132"/>
    <cellStyle name="Вывод 2 2 15 6 2 2" xfId="20059"/>
    <cellStyle name="Вывод 2 2 15 6 2 3" xfId="35420"/>
    <cellStyle name="Вывод 2 2 15 6 3" xfId="25020"/>
    <cellStyle name="Вывод 2 2 15 6 3 2" xfId="40381"/>
    <cellStyle name="Вывод 2 2 15 6 4" xfId="14496"/>
    <cellStyle name="Вывод 2 2 15 6 5" xfId="29971"/>
    <cellStyle name="Вывод 2 2 15 7" xfId="3345"/>
    <cellStyle name="Вывод 2 2 15 7 2" xfId="8539"/>
    <cellStyle name="Вывод 2 2 15 7 2 2" xfId="19466"/>
    <cellStyle name="Вывод 2 2 15 7 2 3" xfId="34827"/>
    <cellStyle name="Вывод 2 2 15 7 3" xfId="24427"/>
    <cellStyle name="Вывод 2 2 15 7 3 2" xfId="39788"/>
    <cellStyle name="Вывод 2 2 15 7 4" xfId="13903"/>
    <cellStyle name="Вывод 2 2 15 7 5" xfId="29378"/>
    <cellStyle name="Вывод 2 2 15 8" xfId="4842"/>
    <cellStyle name="Вывод 2 2 15 8 2" xfId="10029"/>
    <cellStyle name="Вывод 2 2 15 8 2 2" xfId="20956"/>
    <cellStyle name="Вывод 2 2 15 8 2 3" xfId="36317"/>
    <cellStyle name="Вывод 2 2 15 8 3" xfId="25917"/>
    <cellStyle name="Вывод 2 2 15 8 3 2" xfId="41278"/>
    <cellStyle name="Вывод 2 2 15 8 4" xfId="15393"/>
    <cellStyle name="Вывод 2 2 15 8 5" xfId="30868"/>
    <cellStyle name="Вывод 2 2 15 9" xfId="5698"/>
    <cellStyle name="Вывод 2 2 15 9 2" xfId="17193"/>
    <cellStyle name="Вывод 2 2 15 9 3" xfId="32660"/>
    <cellStyle name="Вывод 2 2 16" xfId="308"/>
    <cellStyle name="Вывод 2 2 16 10" xfId="16597"/>
    <cellStyle name="Вывод 2 2 16 10 2" xfId="32064"/>
    <cellStyle name="Вывод 2 2 16 11" xfId="10994"/>
    <cellStyle name="Вывод 2 2 16 12" xfId="10892"/>
    <cellStyle name="Вывод 2 2 16 2" xfId="878"/>
    <cellStyle name="Вывод 2 2 16 2 10" xfId="11462"/>
    <cellStyle name="Вывод 2 2 16 2 11" xfId="26979"/>
    <cellStyle name="Вывод 2 2 16 2 2" xfId="1052"/>
    <cellStyle name="Вывод 2 2 16 2 2 2" xfId="1286"/>
    <cellStyle name="Вывод 2 2 16 2 2 2 2" xfId="6539"/>
    <cellStyle name="Вывод 2 2 16 2 2 2 2 2" xfId="16322"/>
    <cellStyle name="Вывод 2 2 16 2 2 2 2 3" xfId="31789"/>
    <cellStyle name="Вывод 2 2 16 2 2 2 3" xfId="22427"/>
    <cellStyle name="Вывод 2 2 16 2 2 2 3 2" xfId="37788"/>
    <cellStyle name="Вывод 2 2 16 2 2 2 4" xfId="11867"/>
    <cellStyle name="Вывод 2 2 16 2 2 2 5" xfId="27378"/>
    <cellStyle name="Вывод 2 2 16 2 2 3" xfId="5100"/>
    <cellStyle name="Вывод 2 2 16 2 2 3 2" xfId="10283"/>
    <cellStyle name="Вывод 2 2 16 2 2 3 2 2" xfId="21209"/>
    <cellStyle name="Вывод 2 2 16 2 2 3 2 3" xfId="36570"/>
    <cellStyle name="Вывод 2 2 16 2 2 3 3" xfId="26170"/>
    <cellStyle name="Вывод 2 2 16 2 2 3 3 2" xfId="41531"/>
    <cellStyle name="Вывод 2 2 16 2 2 3 4" xfId="15646"/>
    <cellStyle name="Вывод 2 2 16 2 2 3 5" xfId="31121"/>
    <cellStyle name="Вывод 2 2 16 2 2 4" xfId="6309"/>
    <cellStyle name="Вывод 2 2 16 2 2 4 2" xfId="16555"/>
    <cellStyle name="Вывод 2 2 16 2 2 4 3" xfId="32022"/>
    <cellStyle name="Вывод 2 2 16 2 2 5" xfId="22197"/>
    <cellStyle name="Вывод 2 2 16 2 2 5 2" xfId="37558"/>
    <cellStyle name="Вывод 2 2 16 2 2 6" xfId="11634"/>
    <cellStyle name="Вывод 2 2 16 2 2 7" xfId="27148"/>
    <cellStyle name="Вывод 2 2 16 2 3" xfId="2284"/>
    <cellStyle name="Вывод 2 2 16 2 3 2" xfId="7520"/>
    <cellStyle name="Вывод 2 2 16 2 3 2 2" xfId="18422"/>
    <cellStyle name="Вывод 2 2 16 2 3 2 3" xfId="33783"/>
    <cellStyle name="Вывод 2 2 16 2 3 3" xfId="23408"/>
    <cellStyle name="Вывод 2 2 16 2 3 3 2" xfId="38769"/>
    <cellStyle name="Вывод 2 2 16 2 3 4" xfId="12859"/>
    <cellStyle name="Вывод 2 2 16 2 3 5" xfId="28359"/>
    <cellStyle name="Вывод 2 2 16 2 4" xfId="1313"/>
    <cellStyle name="Вывод 2 2 16 2 4 2" xfId="6566"/>
    <cellStyle name="Вывод 2 2 16 2 4 2 2" xfId="16295"/>
    <cellStyle name="Вывод 2 2 16 2 4 2 3" xfId="31762"/>
    <cellStyle name="Вывод 2 2 16 2 4 3" xfId="22454"/>
    <cellStyle name="Вывод 2 2 16 2 4 3 2" xfId="37815"/>
    <cellStyle name="Вывод 2 2 16 2 4 4" xfId="11894"/>
    <cellStyle name="Вывод 2 2 16 2 4 5" xfId="27405"/>
    <cellStyle name="Вывод 2 2 16 2 5" xfId="3666"/>
    <cellStyle name="Вывод 2 2 16 2 5 2" xfId="8853"/>
    <cellStyle name="Вывод 2 2 16 2 5 2 2" xfId="19780"/>
    <cellStyle name="Вывод 2 2 16 2 5 2 3" xfId="35141"/>
    <cellStyle name="Вывод 2 2 16 2 5 3" xfId="24741"/>
    <cellStyle name="Вывод 2 2 16 2 5 3 2" xfId="40102"/>
    <cellStyle name="Вывод 2 2 16 2 5 4" xfId="14217"/>
    <cellStyle name="Вывод 2 2 16 2 5 5" xfId="29692"/>
    <cellStyle name="Вывод 2 2 16 2 6" xfId="4332"/>
    <cellStyle name="Вывод 2 2 16 2 6 2" xfId="9519"/>
    <cellStyle name="Вывод 2 2 16 2 6 2 2" xfId="20446"/>
    <cellStyle name="Вывод 2 2 16 2 6 2 3" xfId="35807"/>
    <cellStyle name="Вывод 2 2 16 2 6 3" xfId="25407"/>
    <cellStyle name="Вывод 2 2 16 2 6 3 2" xfId="40768"/>
    <cellStyle name="Вывод 2 2 16 2 6 4" xfId="14883"/>
    <cellStyle name="Вывод 2 2 16 2 6 5" xfId="30358"/>
    <cellStyle name="Вывод 2 2 16 2 7" xfId="4497"/>
    <cellStyle name="Вывод 2 2 16 2 7 2" xfId="9684"/>
    <cellStyle name="Вывод 2 2 16 2 7 2 2" xfId="20611"/>
    <cellStyle name="Вывод 2 2 16 2 7 2 3" xfId="35972"/>
    <cellStyle name="Вывод 2 2 16 2 7 3" xfId="25572"/>
    <cellStyle name="Вывод 2 2 16 2 7 3 2" xfId="40933"/>
    <cellStyle name="Вывод 2 2 16 2 7 4" xfId="15048"/>
    <cellStyle name="Вывод 2 2 16 2 7 5" xfId="30523"/>
    <cellStyle name="Вывод 2 2 16 2 8" xfId="6140"/>
    <cellStyle name="Вывод 2 2 16 2 8 2" xfId="16727"/>
    <cellStyle name="Вывод 2 2 16 2 8 3" xfId="32194"/>
    <cellStyle name="Вывод 2 2 16 2 9" xfId="22028"/>
    <cellStyle name="Вывод 2 2 16 2 9 2" xfId="37389"/>
    <cellStyle name="Вывод 2 2 16 3" xfId="1655"/>
    <cellStyle name="Вывод 2 2 16 3 2" xfId="2729"/>
    <cellStyle name="Вывод 2 2 16 3 2 2" xfId="7958"/>
    <cellStyle name="Вывод 2 2 16 3 2 2 2" xfId="18862"/>
    <cellStyle name="Вывод 2 2 16 3 2 2 3" xfId="34223"/>
    <cellStyle name="Вывод 2 2 16 3 2 3" xfId="23846"/>
    <cellStyle name="Вывод 2 2 16 3 2 3 2" xfId="39207"/>
    <cellStyle name="Вывод 2 2 16 3 2 4" xfId="13299"/>
    <cellStyle name="Вывод 2 2 16 3 2 5" xfId="28797"/>
    <cellStyle name="Вывод 2 2 16 3 3" xfId="5101"/>
    <cellStyle name="Вывод 2 2 16 3 3 2" xfId="10284"/>
    <cellStyle name="Вывод 2 2 16 3 3 2 2" xfId="21210"/>
    <cellStyle name="Вывод 2 2 16 3 3 2 3" xfId="36571"/>
    <cellStyle name="Вывод 2 2 16 3 3 3" xfId="26171"/>
    <cellStyle name="Вывод 2 2 16 3 3 3 2" xfId="41532"/>
    <cellStyle name="Вывод 2 2 16 3 3 4" xfId="15647"/>
    <cellStyle name="Вывод 2 2 16 3 3 5" xfId="31122"/>
    <cellStyle name="Вывод 2 2 16 3 4" xfId="6901"/>
    <cellStyle name="Вывод 2 2 16 3 4 2" xfId="17797"/>
    <cellStyle name="Вывод 2 2 16 3 4 3" xfId="33158"/>
    <cellStyle name="Вывод 2 2 16 3 5" xfId="22789"/>
    <cellStyle name="Вывод 2 2 16 3 5 2" xfId="38150"/>
    <cellStyle name="Вывод 2 2 16 3 6" xfId="12233"/>
    <cellStyle name="Вывод 2 2 16 3 7" xfId="27740"/>
    <cellStyle name="Вывод 2 2 16 4" xfId="1085"/>
    <cellStyle name="Вывод 2 2 16 4 2" xfId="6341"/>
    <cellStyle name="Вывод 2 2 16 4 2 2" xfId="16522"/>
    <cellStyle name="Вывод 2 2 16 4 2 3" xfId="31989"/>
    <cellStyle name="Вывод 2 2 16 4 3" xfId="22229"/>
    <cellStyle name="Вывод 2 2 16 4 3 2" xfId="37590"/>
    <cellStyle name="Вывод 2 2 16 4 4" xfId="11667"/>
    <cellStyle name="Вывод 2 2 16 4 5" xfId="27180"/>
    <cellStyle name="Вывод 2 2 16 5" xfId="3033"/>
    <cellStyle name="Вывод 2 2 16 5 2" xfId="8228"/>
    <cellStyle name="Вывод 2 2 16 5 2 2" xfId="19154"/>
    <cellStyle name="Вывод 2 2 16 5 2 3" xfId="34515"/>
    <cellStyle name="Вывод 2 2 16 5 3" xfId="24116"/>
    <cellStyle name="Вывод 2 2 16 5 3 2" xfId="39477"/>
    <cellStyle name="Вывод 2 2 16 5 4" xfId="13591"/>
    <cellStyle name="Вывод 2 2 16 5 5" xfId="29067"/>
    <cellStyle name="Вывод 2 2 16 6" xfId="3512"/>
    <cellStyle name="Вывод 2 2 16 6 2" xfId="8699"/>
    <cellStyle name="Вывод 2 2 16 6 2 2" xfId="19626"/>
    <cellStyle name="Вывод 2 2 16 6 2 3" xfId="34987"/>
    <cellStyle name="Вывод 2 2 16 6 3" xfId="24587"/>
    <cellStyle name="Вывод 2 2 16 6 3 2" xfId="39948"/>
    <cellStyle name="Вывод 2 2 16 6 4" xfId="14063"/>
    <cellStyle name="Вывод 2 2 16 6 5" xfId="29538"/>
    <cellStyle name="Вывод 2 2 16 7" xfId="3265"/>
    <cellStyle name="Вывод 2 2 16 7 2" xfId="8459"/>
    <cellStyle name="Вывод 2 2 16 7 2 2" xfId="19386"/>
    <cellStyle name="Вывод 2 2 16 7 2 3" xfId="34747"/>
    <cellStyle name="Вывод 2 2 16 7 3" xfId="24347"/>
    <cellStyle name="Вывод 2 2 16 7 3 2" xfId="39708"/>
    <cellStyle name="Вывод 2 2 16 7 4" xfId="13823"/>
    <cellStyle name="Вывод 2 2 16 7 5" xfId="29298"/>
    <cellStyle name="Вывод 2 2 16 8" xfId="4779"/>
    <cellStyle name="Вывод 2 2 16 8 2" xfId="9966"/>
    <cellStyle name="Вывод 2 2 16 8 2 2" xfId="20893"/>
    <cellStyle name="Вывод 2 2 16 8 2 3" xfId="36254"/>
    <cellStyle name="Вывод 2 2 16 8 3" xfId="25854"/>
    <cellStyle name="Вывод 2 2 16 8 3 2" xfId="41215"/>
    <cellStyle name="Вывод 2 2 16 8 4" xfId="15330"/>
    <cellStyle name="Вывод 2 2 16 8 5" xfId="30805"/>
    <cellStyle name="Вывод 2 2 16 9" xfId="5699"/>
    <cellStyle name="Вывод 2 2 16 9 2" xfId="17192"/>
    <cellStyle name="Вывод 2 2 16 9 3" xfId="32659"/>
    <cellStyle name="Вывод 2 2 17" xfId="309"/>
    <cellStyle name="Вывод 2 2 17 10" xfId="17294"/>
    <cellStyle name="Вывод 2 2 17 10 2" xfId="32761"/>
    <cellStyle name="Вывод 2 2 17 11" xfId="10995"/>
    <cellStyle name="Вывод 2 2 17 12" xfId="13405"/>
    <cellStyle name="Вывод 2 2 17 2" xfId="877"/>
    <cellStyle name="Вывод 2 2 17 2 10" xfId="11461"/>
    <cellStyle name="Вывод 2 2 17 2 11" xfId="26978"/>
    <cellStyle name="Вывод 2 2 17 2 2" xfId="1638"/>
    <cellStyle name="Вывод 2 2 17 2 2 2" xfId="1379"/>
    <cellStyle name="Вывод 2 2 17 2 2 2 2" xfId="6629"/>
    <cellStyle name="Вывод 2 2 17 2 2 2 2 2" xfId="16230"/>
    <cellStyle name="Вывод 2 2 17 2 2 2 2 3" xfId="31697"/>
    <cellStyle name="Вывод 2 2 17 2 2 2 3" xfId="22517"/>
    <cellStyle name="Вывод 2 2 17 2 2 2 3 2" xfId="37878"/>
    <cellStyle name="Вывод 2 2 17 2 2 2 4" xfId="11959"/>
    <cellStyle name="Вывод 2 2 17 2 2 2 5" xfId="27468"/>
    <cellStyle name="Вывод 2 2 17 2 2 3" xfId="5102"/>
    <cellStyle name="Вывод 2 2 17 2 2 3 2" xfId="10285"/>
    <cellStyle name="Вывод 2 2 17 2 2 3 2 2" xfId="21211"/>
    <cellStyle name="Вывод 2 2 17 2 2 3 2 3" xfId="36572"/>
    <cellStyle name="Вывод 2 2 17 2 2 3 3" xfId="26172"/>
    <cellStyle name="Вывод 2 2 17 2 2 3 3 2" xfId="41533"/>
    <cellStyle name="Вывод 2 2 17 2 2 3 4" xfId="15648"/>
    <cellStyle name="Вывод 2 2 17 2 2 3 5" xfId="31123"/>
    <cellStyle name="Вывод 2 2 17 2 2 4" xfId="6884"/>
    <cellStyle name="Вывод 2 2 17 2 2 4 2" xfId="17780"/>
    <cellStyle name="Вывод 2 2 17 2 2 4 3" xfId="33141"/>
    <cellStyle name="Вывод 2 2 17 2 2 5" xfId="22772"/>
    <cellStyle name="Вывод 2 2 17 2 2 5 2" xfId="38133"/>
    <cellStyle name="Вывод 2 2 17 2 2 6" xfId="12216"/>
    <cellStyle name="Вывод 2 2 17 2 2 7" xfId="27723"/>
    <cellStyle name="Вывод 2 2 17 2 3" xfId="2283"/>
    <cellStyle name="Вывод 2 2 17 2 3 2" xfId="7519"/>
    <cellStyle name="Вывод 2 2 17 2 3 2 2" xfId="18421"/>
    <cellStyle name="Вывод 2 2 17 2 3 2 3" xfId="33782"/>
    <cellStyle name="Вывод 2 2 17 2 3 3" xfId="23407"/>
    <cellStyle name="Вывод 2 2 17 2 3 3 2" xfId="38768"/>
    <cellStyle name="Вывод 2 2 17 2 3 4" xfId="12858"/>
    <cellStyle name="Вывод 2 2 17 2 3 5" xfId="28358"/>
    <cellStyle name="Вывод 2 2 17 2 4" xfId="1504"/>
    <cellStyle name="Вывод 2 2 17 2 4 2" xfId="6751"/>
    <cellStyle name="Вывод 2 2 17 2 4 2 2" xfId="17646"/>
    <cellStyle name="Вывод 2 2 17 2 4 2 3" xfId="33007"/>
    <cellStyle name="Вывод 2 2 17 2 4 3" xfId="22639"/>
    <cellStyle name="Вывод 2 2 17 2 4 3 2" xfId="38000"/>
    <cellStyle name="Вывод 2 2 17 2 4 4" xfId="12082"/>
    <cellStyle name="Вывод 2 2 17 2 4 5" xfId="27590"/>
    <cellStyle name="Вывод 2 2 17 2 5" xfId="3758"/>
    <cellStyle name="Вывод 2 2 17 2 5 2" xfId="8945"/>
    <cellStyle name="Вывод 2 2 17 2 5 2 2" xfId="19872"/>
    <cellStyle name="Вывод 2 2 17 2 5 2 3" xfId="35233"/>
    <cellStyle name="Вывод 2 2 17 2 5 3" xfId="24833"/>
    <cellStyle name="Вывод 2 2 17 2 5 3 2" xfId="40194"/>
    <cellStyle name="Вывод 2 2 17 2 5 4" xfId="14309"/>
    <cellStyle name="Вывод 2 2 17 2 5 5" xfId="29784"/>
    <cellStyle name="Вывод 2 2 17 2 6" xfId="4331"/>
    <cellStyle name="Вывод 2 2 17 2 6 2" xfId="9518"/>
    <cellStyle name="Вывод 2 2 17 2 6 2 2" xfId="20445"/>
    <cellStyle name="Вывод 2 2 17 2 6 2 3" xfId="35806"/>
    <cellStyle name="Вывод 2 2 17 2 6 3" xfId="25406"/>
    <cellStyle name="Вывод 2 2 17 2 6 3 2" xfId="40767"/>
    <cellStyle name="Вывод 2 2 17 2 6 4" xfId="14882"/>
    <cellStyle name="Вывод 2 2 17 2 6 5" xfId="30357"/>
    <cellStyle name="Вывод 2 2 17 2 7" xfId="4498"/>
    <cellStyle name="Вывод 2 2 17 2 7 2" xfId="9685"/>
    <cellStyle name="Вывод 2 2 17 2 7 2 2" xfId="20612"/>
    <cellStyle name="Вывод 2 2 17 2 7 2 3" xfId="35973"/>
    <cellStyle name="Вывод 2 2 17 2 7 3" xfId="25573"/>
    <cellStyle name="Вывод 2 2 17 2 7 3 2" xfId="40934"/>
    <cellStyle name="Вывод 2 2 17 2 7 4" xfId="15049"/>
    <cellStyle name="Вывод 2 2 17 2 7 5" xfId="30524"/>
    <cellStyle name="Вывод 2 2 17 2 8" xfId="6139"/>
    <cellStyle name="Вывод 2 2 17 2 8 2" xfId="16728"/>
    <cellStyle name="Вывод 2 2 17 2 8 3" xfId="32195"/>
    <cellStyle name="Вывод 2 2 17 2 9" xfId="22027"/>
    <cellStyle name="Вывод 2 2 17 2 9 2" xfId="37388"/>
    <cellStyle name="Вывод 2 2 17 3" xfId="1722"/>
    <cellStyle name="Вывод 2 2 17 3 2" xfId="2418"/>
    <cellStyle name="Вывод 2 2 17 3 2 2" xfId="7654"/>
    <cellStyle name="Вывод 2 2 17 3 2 2 2" xfId="18556"/>
    <cellStyle name="Вывод 2 2 17 3 2 2 3" xfId="33917"/>
    <cellStyle name="Вывод 2 2 17 3 2 3" xfId="23542"/>
    <cellStyle name="Вывод 2 2 17 3 2 3 2" xfId="38903"/>
    <cellStyle name="Вывод 2 2 17 3 2 4" xfId="12993"/>
    <cellStyle name="Вывод 2 2 17 3 2 5" xfId="28493"/>
    <cellStyle name="Вывод 2 2 17 3 3" xfId="5103"/>
    <cellStyle name="Вывод 2 2 17 3 3 2" xfId="10286"/>
    <cellStyle name="Вывод 2 2 17 3 3 2 2" xfId="21212"/>
    <cellStyle name="Вывод 2 2 17 3 3 2 3" xfId="36573"/>
    <cellStyle name="Вывод 2 2 17 3 3 3" xfId="26173"/>
    <cellStyle name="Вывод 2 2 17 3 3 3 2" xfId="41534"/>
    <cellStyle name="Вывод 2 2 17 3 3 4" xfId="15649"/>
    <cellStyle name="Вывод 2 2 17 3 3 5" xfId="31124"/>
    <cellStyle name="Вывод 2 2 17 3 4" xfId="6962"/>
    <cellStyle name="Вывод 2 2 17 3 4 2" xfId="17863"/>
    <cellStyle name="Вывод 2 2 17 3 4 3" xfId="33224"/>
    <cellStyle name="Вывод 2 2 17 3 5" xfId="22850"/>
    <cellStyle name="Вывод 2 2 17 3 5 2" xfId="38211"/>
    <cellStyle name="Вывод 2 2 17 3 6" xfId="12300"/>
    <cellStyle name="Вывод 2 2 17 3 7" xfId="27801"/>
    <cellStyle name="Вывод 2 2 17 4" xfId="1404"/>
    <cellStyle name="Вывод 2 2 17 4 2" xfId="6653"/>
    <cellStyle name="Вывод 2 2 17 4 2 2" xfId="16206"/>
    <cellStyle name="Вывод 2 2 17 4 2 3" xfId="31673"/>
    <cellStyle name="Вывод 2 2 17 4 3" xfId="22541"/>
    <cellStyle name="Вывод 2 2 17 4 3 2" xfId="37902"/>
    <cellStyle name="Вывод 2 2 17 4 4" xfId="11983"/>
    <cellStyle name="Вывод 2 2 17 4 5" xfId="27492"/>
    <cellStyle name="Вывод 2 2 17 5" xfId="3030"/>
    <cellStyle name="Вывод 2 2 17 5 2" xfId="8225"/>
    <cellStyle name="Вывод 2 2 17 5 2 2" xfId="19151"/>
    <cellStyle name="Вывод 2 2 17 5 2 3" xfId="34512"/>
    <cellStyle name="Вывод 2 2 17 5 3" xfId="24113"/>
    <cellStyle name="Вывод 2 2 17 5 3 2" xfId="39474"/>
    <cellStyle name="Вывод 2 2 17 5 4" xfId="13588"/>
    <cellStyle name="Вывод 2 2 17 5 5" xfId="29064"/>
    <cellStyle name="Вывод 2 2 17 6" xfId="3199"/>
    <cellStyle name="Вывод 2 2 17 6 2" xfId="8394"/>
    <cellStyle name="Вывод 2 2 17 6 2 2" xfId="19320"/>
    <cellStyle name="Вывод 2 2 17 6 2 3" xfId="34681"/>
    <cellStyle name="Вывод 2 2 17 6 3" xfId="24282"/>
    <cellStyle name="Вывод 2 2 17 6 3 2" xfId="39643"/>
    <cellStyle name="Вывод 2 2 17 6 4" xfId="13757"/>
    <cellStyle name="Вывод 2 2 17 6 5" xfId="29233"/>
    <cellStyle name="Вывод 2 2 17 7" xfId="3885"/>
    <cellStyle name="Вывод 2 2 17 7 2" xfId="9072"/>
    <cellStyle name="Вывод 2 2 17 7 2 2" xfId="19999"/>
    <cellStyle name="Вывод 2 2 17 7 2 3" xfId="35360"/>
    <cellStyle name="Вывод 2 2 17 7 3" xfId="24960"/>
    <cellStyle name="Вывод 2 2 17 7 3 2" xfId="40321"/>
    <cellStyle name="Вывод 2 2 17 7 4" xfId="14436"/>
    <cellStyle name="Вывод 2 2 17 7 5" xfId="29911"/>
    <cellStyle name="Вывод 2 2 17 8" xfId="4843"/>
    <cellStyle name="Вывод 2 2 17 8 2" xfId="10030"/>
    <cellStyle name="Вывод 2 2 17 8 2 2" xfId="20957"/>
    <cellStyle name="Вывод 2 2 17 8 2 3" xfId="36318"/>
    <cellStyle name="Вывод 2 2 17 8 3" xfId="25918"/>
    <cellStyle name="Вывод 2 2 17 8 3 2" xfId="41279"/>
    <cellStyle name="Вывод 2 2 17 8 4" xfId="15394"/>
    <cellStyle name="Вывод 2 2 17 8 5" xfId="30869"/>
    <cellStyle name="Вывод 2 2 17 9" xfId="5700"/>
    <cellStyle name="Вывод 2 2 17 9 2" xfId="17191"/>
    <cellStyle name="Вывод 2 2 17 9 3" xfId="32658"/>
    <cellStyle name="Вывод 2 2 18" xfId="310"/>
    <cellStyle name="Вывод 2 2 18 10" xfId="17295"/>
    <cellStyle name="Вывод 2 2 18 10 2" xfId="32762"/>
    <cellStyle name="Вывод 2 2 18 11" xfId="10996"/>
    <cellStyle name="Вывод 2 2 18 12" xfId="11592"/>
    <cellStyle name="Вывод 2 2 18 2" xfId="876"/>
    <cellStyle name="Вывод 2 2 18 2 10" xfId="11460"/>
    <cellStyle name="Вывод 2 2 18 2 11" xfId="26977"/>
    <cellStyle name="Вывод 2 2 18 2 2" xfId="1568"/>
    <cellStyle name="Вывод 2 2 18 2 2 2" xfId="2059"/>
    <cellStyle name="Вывод 2 2 18 2 2 2 2" xfId="7295"/>
    <cellStyle name="Вывод 2 2 18 2 2 2 2 2" xfId="18197"/>
    <cellStyle name="Вывод 2 2 18 2 2 2 2 3" xfId="33558"/>
    <cellStyle name="Вывод 2 2 18 2 2 2 3" xfId="23183"/>
    <cellStyle name="Вывод 2 2 18 2 2 2 3 2" xfId="38544"/>
    <cellStyle name="Вывод 2 2 18 2 2 2 4" xfId="12634"/>
    <cellStyle name="Вывод 2 2 18 2 2 2 5" xfId="28134"/>
    <cellStyle name="Вывод 2 2 18 2 2 3" xfId="5104"/>
    <cellStyle name="Вывод 2 2 18 2 2 3 2" xfId="10287"/>
    <cellStyle name="Вывод 2 2 18 2 2 3 2 2" xfId="21213"/>
    <cellStyle name="Вывод 2 2 18 2 2 3 2 3" xfId="36574"/>
    <cellStyle name="Вывод 2 2 18 2 2 3 3" xfId="26174"/>
    <cellStyle name="Вывод 2 2 18 2 2 3 3 2" xfId="41535"/>
    <cellStyle name="Вывод 2 2 18 2 2 3 4" xfId="15650"/>
    <cellStyle name="Вывод 2 2 18 2 2 3 5" xfId="31125"/>
    <cellStyle name="Вывод 2 2 18 2 2 4" xfId="6815"/>
    <cellStyle name="Вывод 2 2 18 2 2 4 2" xfId="17710"/>
    <cellStyle name="Вывод 2 2 18 2 2 4 3" xfId="33071"/>
    <cellStyle name="Вывод 2 2 18 2 2 5" xfId="22703"/>
    <cellStyle name="Вывод 2 2 18 2 2 5 2" xfId="38064"/>
    <cellStyle name="Вывод 2 2 18 2 2 6" xfId="12146"/>
    <cellStyle name="Вывод 2 2 18 2 2 7" xfId="27654"/>
    <cellStyle name="Вывод 2 2 18 2 3" xfId="2282"/>
    <cellStyle name="Вывод 2 2 18 2 3 2" xfId="7518"/>
    <cellStyle name="Вывод 2 2 18 2 3 2 2" xfId="18420"/>
    <cellStyle name="Вывод 2 2 18 2 3 2 3" xfId="33781"/>
    <cellStyle name="Вывод 2 2 18 2 3 3" xfId="23406"/>
    <cellStyle name="Вывод 2 2 18 2 3 3 2" xfId="38767"/>
    <cellStyle name="Вывод 2 2 18 2 3 4" xfId="12857"/>
    <cellStyle name="Вывод 2 2 18 2 3 5" xfId="28357"/>
    <cellStyle name="Вывод 2 2 18 2 4" xfId="2039"/>
    <cellStyle name="Вывод 2 2 18 2 4 2" xfId="7275"/>
    <cellStyle name="Вывод 2 2 18 2 4 2 2" xfId="18177"/>
    <cellStyle name="Вывод 2 2 18 2 4 2 3" xfId="33538"/>
    <cellStyle name="Вывод 2 2 18 2 4 3" xfId="23163"/>
    <cellStyle name="Вывод 2 2 18 2 4 3 2" xfId="38524"/>
    <cellStyle name="Вывод 2 2 18 2 4 4" xfId="12614"/>
    <cellStyle name="Вывод 2 2 18 2 4 5" xfId="28114"/>
    <cellStyle name="Вывод 2 2 18 2 5" xfId="3665"/>
    <cellStyle name="Вывод 2 2 18 2 5 2" xfId="8852"/>
    <cellStyle name="Вывод 2 2 18 2 5 2 2" xfId="19779"/>
    <cellStyle name="Вывод 2 2 18 2 5 2 3" xfId="35140"/>
    <cellStyle name="Вывод 2 2 18 2 5 3" xfId="24740"/>
    <cellStyle name="Вывод 2 2 18 2 5 3 2" xfId="40101"/>
    <cellStyle name="Вывод 2 2 18 2 5 4" xfId="14216"/>
    <cellStyle name="Вывод 2 2 18 2 5 5" xfId="29691"/>
    <cellStyle name="Вывод 2 2 18 2 6" xfId="4330"/>
    <cellStyle name="Вывод 2 2 18 2 6 2" xfId="9517"/>
    <cellStyle name="Вывод 2 2 18 2 6 2 2" xfId="20444"/>
    <cellStyle name="Вывод 2 2 18 2 6 2 3" xfId="35805"/>
    <cellStyle name="Вывод 2 2 18 2 6 3" xfId="25405"/>
    <cellStyle name="Вывод 2 2 18 2 6 3 2" xfId="40766"/>
    <cellStyle name="Вывод 2 2 18 2 6 4" xfId="14881"/>
    <cellStyle name="Вывод 2 2 18 2 6 5" xfId="30356"/>
    <cellStyle name="Вывод 2 2 18 2 7" xfId="4499"/>
    <cellStyle name="Вывод 2 2 18 2 7 2" xfId="9686"/>
    <cellStyle name="Вывод 2 2 18 2 7 2 2" xfId="20613"/>
    <cellStyle name="Вывод 2 2 18 2 7 2 3" xfId="35974"/>
    <cellStyle name="Вывод 2 2 18 2 7 3" xfId="25574"/>
    <cellStyle name="Вывод 2 2 18 2 7 3 2" xfId="40935"/>
    <cellStyle name="Вывод 2 2 18 2 7 4" xfId="15050"/>
    <cellStyle name="Вывод 2 2 18 2 7 5" xfId="30525"/>
    <cellStyle name="Вывод 2 2 18 2 8" xfId="6138"/>
    <cellStyle name="Вывод 2 2 18 2 8 2" xfId="16729"/>
    <cellStyle name="Вывод 2 2 18 2 8 3" xfId="32196"/>
    <cellStyle name="Вывод 2 2 18 2 9" xfId="22026"/>
    <cellStyle name="Вывод 2 2 18 2 9 2" xfId="37387"/>
    <cellStyle name="Вывод 2 2 18 3" xfId="1508"/>
    <cellStyle name="Вывод 2 2 18 3 2" xfId="2420"/>
    <cellStyle name="Вывод 2 2 18 3 2 2" xfId="7656"/>
    <cellStyle name="Вывод 2 2 18 3 2 2 2" xfId="18558"/>
    <cellStyle name="Вывод 2 2 18 3 2 2 3" xfId="33919"/>
    <cellStyle name="Вывод 2 2 18 3 2 3" xfId="23544"/>
    <cellStyle name="Вывод 2 2 18 3 2 3 2" xfId="38905"/>
    <cellStyle name="Вывод 2 2 18 3 2 4" xfId="12995"/>
    <cellStyle name="Вывод 2 2 18 3 2 5" xfId="28495"/>
    <cellStyle name="Вывод 2 2 18 3 3" xfId="5105"/>
    <cellStyle name="Вывод 2 2 18 3 3 2" xfId="10288"/>
    <cellStyle name="Вывод 2 2 18 3 3 2 2" xfId="21214"/>
    <cellStyle name="Вывод 2 2 18 3 3 2 3" xfId="36575"/>
    <cellStyle name="Вывод 2 2 18 3 3 3" xfId="26175"/>
    <cellStyle name="Вывод 2 2 18 3 3 3 2" xfId="41536"/>
    <cellStyle name="Вывод 2 2 18 3 3 4" xfId="15651"/>
    <cellStyle name="Вывод 2 2 18 3 3 5" xfId="31126"/>
    <cellStyle name="Вывод 2 2 18 3 4" xfId="6755"/>
    <cellStyle name="Вывод 2 2 18 3 4 2" xfId="17650"/>
    <cellStyle name="Вывод 2 2 18 3 4 3" xfId="33011"/>
    <cellStyle name="Вывод 2 2 18 3 5" xfId="22643"/>
    <cellStyle name="Вывод 2 2 18 3 5 2" xfId="38004"/>
    <cellStyle name="Вывод 2 2 18 3 6" xfId="12086"/>
    <cellStyle name="Вывод 2 2 18 3 7" xfId="27594"/>
    <cellStyle name="Вывод 2 2 18 4" xfId="1373"/>
    <cellStyle name="Вывод 2 2 18 4 2" xfId="6623"/>
    <cellStyle name="Вывод 2 2 18 4 2 2" xfId="16236"/>
    <cellStyle name="Вывод 2 2 18 4 2 3" xfId="31703"/>
    <cellStyle name="Вывод 2 2 18 4 3" xfId="22511"/>
    <cellStyle name="Вывод 2 2 18 4 3 2" xfId="37872"/>
    <cellStyle name="Вывод 2 2 18 4 4" xfId="11953"/>
    <cellStyle name="Вывод 2 2 18 4 5" xfId="27462"/>
    <cellStyle name="Вывод 2 2 18 5" xfId="3029"/>
    <cellStyle name="Вывод 2 2 18 5 2" xfId="8224"/>
    <cellStyle name="Вывод 2 2 18 5 2 2" xfId="19150"/>
    <cellStyle name="Вывод 2 2 18 5 2 3" xfId="34511"/>
    <cellStyle name="Вывод 2 2 18 5 3" xfId="24112"/>
    <cellStyle name="Вывод 2 2 18 5 3 2" xfId="39473"/>
    <cellStyle name="Вывод 2 2 18 5 4" xfId="13587"/>
    <cellStyle name="Вывод 2 2 18 5 5" xfId="29063"/>
    <cellStyle name="Вывод 2 2 18 6" xfId="3513"/>
    <cellStyle name="Вывод 2 2 18 6 2" xfId="8700"/>
    <cellStyle name="Вывод 2 2 18 6 2 2" xfId="19627"/>
    <cellStyle name="Вывод 2 2 18 6 2 3" xfId="34988"/>
    <cellStyle name="Вывод 2 2 18 6 3" xfId="24588"/>
    <cellStyle name="Вывод 2 2 18 6 3 2" xfId="39949"/>
    <cellStyle name="Вывод 2 2 18 6 4" xfId="14064"/>
    <cellStyle name="Вывод 2 2 18 6 5" xfId="29539"/>
    <cellStyle name="Вывод 2 2 18 7" xfId="3449"/>
    <cellStyle name="Вывод 2 2 18 7 2" xfId="8637"/>
    <cellStyle name="Вывод 2 2 18 7 2 2" xfId="19564"/>
    <cellStyle name="Вывод 2 2 18 7 2 3" xfId="34925"/>
    <cellStyle name="Вывод 2 2 18 7 3" xfId="24525"/>
    <cellStyle name="Вывод 2 2 18 7 3 2" xfId="39886"/>
    <cellStyle name="Вывод 2 2 18 7 4" xfId="14001"/>
    <cellStyle name="Вывод 2 2 18 7 5" xfId="29476"/>
    <cellStyle name="Вывод 2 2 18 8" xfId="4778"/>
    <cellStyle name="Вывод 2 2 18 8 2" xfId="9965"/>
    <cellStyle name="Вывод 2 2 18 8 2 2" xfId="20892"/>
    <cellStyle name="Вывод 2 2 18 8 2 3" xfId="36253"/>
    <cellStyle name="Вывод 2 2 18 8 3" xfId="25853"/>
    <cellStyle name="Вывод 2 2 18 8 3 2" xfId="41214"/>
    <cellStyle name="Вывод 2 2 18 8 4" xfId="15329"/>
    <cellStyle name="Вывод 2 2 18 8 5" xfId="30804"/>
    <cellStyle name="Вывод 2 2 18 9" xfId="5701"/>
    <cellStyle name="Вывод 2 2 18 9 2" xfId="17190"/>
    <cellStyle name="Вывод 2 2 18 9 3" xfId="32657"/>
    <cellStyle name="Вывод 2 2 19" xfId="311"/>
    <cellStyle name="Вывод 2 2 19 10" xfId="17813"/>
    <cellStyle name="Вывод 2 2 19 10 2" xfId="33174"/>
    <cellStyle name="Вывод 2 2 19 11" xfId="10997"/>
    <cellStyle name="Вывод 2 2 19 12" xfId="10891"/>
    <cellStyle name="Вывод 2 2 19 2" xfId="875"/>
    <cellStyle name="Вывод 2 2 19 2 10" xfId="11459"/>
    <cellStyle name="Вывод 2 2 19 2 11" xfId="26976"/>
    <cellStyle name="Вывод 2 2 19 2 2" xfId="1013"/>
    <cellStyle name="Вывод 2 2 19 2 2 2" xfId="1466"/>
    <cellStyle name="Вывод 2 2 19 2 2 2 2" xfId="6713"/>
    <cellStyle name="Вывод 2 2 19 2 2 2 2 2" xfId="16145"/>
    <cellStyle name="Вывод 2 2 19 2 2 2 2 3" xfId="31612"/>
    <cellStyle name="Вывод 2 2 19 2 2 2 3" xfId="22601"/>
    <cellStyle name="Вывод 2 2 19 2 2 2 3 2" xfId="37962"/>
    <cellStyle name="Вывод 2 2 19 2 2 2 4" xfId="12044"/>
    <cellStyle name="Вывод 2 2 19 2 2 2 5" xfId="27552"/>
    <cellStyle name="Вывод 2 2 19 2 2 3" xfId="5106"/>
    <cellStyle name="Вывод 2 2 19 2 2 3 2" xfId="10289"/>
    <cellStyle name="Вывод 2 2 19 2 2 3 2 2" xfId="21215"/>
    <cellStyle name="Вывод 2 2 19 2 2 3 2 3" xfId="36576"/>
    <cellStyle name="Вывод 2 2 19 2 2 3 3" xfId="26176"/>
    <cellStyle name="Вывод 2 2 19 2 2 3 3 2" xfId="41537"/>
    <cellStyle name="Вывод 2 2 19 2 2 3 4" xfId="15652"/>
    <cellStyle name="Вывод 2 2 19 2 2 3 5" xfId="31127"/>
    <cellStyle name="Вывод 2 2 19 2 2 4" xfId="6271"/>
    <cellStyle name="Вывод 2 2 19 2 2 4 2" xfId="16593"/>
    <cellStyle name="Вывод 2 2 19 2 2 4 3" xfId="32060"/>
    <cellStyle name="Вывод 2 2 19 2 2 5" xfId="22159"/>
    <cellStyle name="Вывод 2 2 19 2 2 5 2" xfId="37520"/>
    <cellStyle name="Вывод 2 2 19 2 2 6" xfId="11596"/>
    <cellStyle name="Вывод 2 2 19 2 2 7" xfId="27110"/>
    <cellStyle name="Вывод 2 2 19 2 3" xfId="2281"/>
    <cellStyle name="Вывод 2 2 19 2 3 2" xfId="7517"/>
    <cellStyle name="Вывод 2 2 19 2 3 2 2" xfId="18419"/>
    <cellStyle name="Вывод 2 2 19 2 3 2 3" xfId="33780"/>
    <cellStyle name="Вывод 2 2 19 2 3 3" xfId="23405"/>
    <cellStyle name="Вывод 2 2 19 2 3 3 2" xfId="38766"/>
    <cellStyle name="Вывод 2 2 19 2 3 4" xfId="12856"/>
    <cellStyle name="Вывод 2 2 19 2 3 5" xfId="28356"/>
    <cellStyle name="Вывод 2 2 19 2 4" xfId="2591"/>
    <cellStyle name="Вывод 2 2 19 2 4 2" xfId="7824"/>
    <cellStyle name="Вывод 2 2 19 2 4 2 2" xfId="18726"/>
    <cellStyle name="Вывод 2 2 19 2 4 2 3" xfId="34087"/>
    <cellStyle name="Вывод 2 2 19 2 4 3" xfId="23712"/>
    <cellStyle name="Вывод 2 2 19 2 4 3 2" xfId="39073"/>
    <cellStyle name="Вывод 2 2 19 2 4 4" xfId="13163"/>
    <cellStyle name="Вывод 2 2 19 2 4 5" xfId="28663"/>
    <cellStyle name="Вывод 2 2 19 2 5" xfId="3759"/>
    <cellStyle name="Вывод 2 2 19 2 5 2" xfId="8946"/>
    <cellStyle name="Вывод 2 2 19 2 5 2 2" xfId="19873"/>
    <cellStyle name="Вывод 2 2 19 2 5 2 3" xfId="35234"/>
    <cellStyle name="Вывод 2 2 19 2 5 3" xfId="24834"/>
    <cellStyle name="Вывод 2 2 19 2 5 3 2" xfId="40195"/>
    <cellStyle name="Вывод 2 2 19 2 5 4" xfId="14310"/>
    <cellStyle name="Вывод 2 2 19 2 5 5" xfId="29785"/>
    <cellStyle name="Вывод 2 2 19 2 6" xfId="4329"/>
    <cellStyle name="Вывод 2 2 19 2 6 2" xfId="9516"/>
    <cellStyle name="Вывод 2 2 19 2 6 2 2" xfId="20443"/>
    <cellStyle name="Вывод 2 2 19 2 6 2 3" xfId="35804"/>
    <cellStyle name="Вывод 2 2 19 2 6 3" xfId="25404"/>
    <cellStyle name="Вывод 2 2 19 2 6 3 2" xfId="40765"/>
    <cellStyle name="Вывод 2 2 19 2 6 4" xfId="14880"/>
    <cellStyle name="Вывод 2 2 19 2 6 5" xfId="30355"/>
    <cellStyle name="Вывод 2 2 19 2 7" xfId="4500"/>
    <cellStyle name="Вывод 2 2 19 2 7 2" xfId="9687"/>
    <cellStyle name="Вывод 2 2 19 2 7 2 2" xfId="20614"/>
    <cellStyle name="Вывод 2 2 19 2 7 2 3" xfId="35975"/>
    <cellStyle name="Вывод 2 2 19 2 7 3" xfId="25575"/>
    <cellStyle name="Вывод 2 2 19 2 7 3 2" xfId="40936"/>
    <cellStyle name="Вывод 2 2 19 2 7 4" xfId="15051"/>
    <cellStyle name="Вывод 2 2 19 2 7 5" xfId="30526"/>
    <cellStyle name="Вывод 2 2 19 2 8" xfId="6137"/>
    <cellStyle name="Вывод 2 2 19 2 8 2" xfId="16730"/>
    <cellStyle name="Вывод 2 2 19 2 8 3" xfId="32197"/>
    <cellStyle name="Вывод 2 2 19 2 9" xfId="22025"/>
    <cellStyle name="Вывод 2 2 19 2 9 2" xfId="37386"/>
    <cellStyle name="Вывод 2 2 19 3" xfId="1549"/>
    <cellStyle name="Вывод 2 2 19 3 2" xfId="2067"/>
    <cellStyle name="Вывод 2 2 19 3 2 2" xfId="7303"/>
    <cellStyle name="Вывод 2 2 19 3 2 2 2" xfId="18205"/>
    <cellStyle name="Вывод 2 2 19 3 2 2 3" xfId="33566"/>
    <cellStyle name="Вывод 2 2 19 3 2 3" xfId="23191"/>
    <cellStyle name="Вывод 2 2 19 3 2 3 2" xfId="38552"/>
    <cellStyle name="Вывод 2 2 19 3 2 4" xfId="12642"/>
    <cellStyle name="Вывод 2 2 19 3 2 5" xfId="28142"/>
    <cellStyle name="Вывод 2 2 19 3 3" xfId="5107"/>
    <cellStyle name="Вывод 2 2 19 3 3 2" xfId="10290"/>
    <cellStyle name="Вывод 2 2 19 3 3 2 2" xfId="21216"/>
    <cellStyle name="Вывод 2 2 19 3 3 2 3" xfId="36577"/>
    <cellStyle name="Вывод 2 2 19 3 3 3" xfId="26177"/>
    <cellStyle name="Вывод 2 2 19 3 3 3 2" xfId="41538"/>
    <cellStyle name="Вывод 2 2 19 3 3 4" xfId="15653"/>
    <cellStyle name="Вывод 2 2 19 3 3 5" xfId="31128"/>
    <cellStyle name="Вывод 2 2 19 3 4" xfId="6796"/>
    <cellStyle name="Вывод 2 2 19 3 4 2" xfId="17691"/>
    <cellStyle name="Вывод 2 2 19 3 4 3" xfId="33052"/>
    <cellStyle name="Вывод 2 2 19 3 5" xfId="22684"/>
    <cellStyle name="Вывод 2 2 19 3 5 2" xfId="38045"/>
    <cellStyle name="Вывод 2 2 19 3 6" xfId="12127"/>
    <cellStyle name="Вывод 2 2 19 3 7" xfId="27635"/>
    <cellStyle name="Вывод 2 2 19 4" xfId="1415"/>
    <cellStyle name="Вывод 2 2 19 4 2" xfId="6663"/>
    <cellStyle name="Вывод 2 2 19 4 2 2" xfId="16195"/>
    <cellStyle name="Вывод 2 2 19 4 2 3" xfId="31662"/>
    <cellStyle name="Вывод 2 2 19 4 3" xfId="22551"/>
    <cellStyle name="Вывод 2 2 19 4 3 2" xfId="37912"/>
    <cellStyle name="Вывод 2 2 19 4 4" xfId="11994"/>
    <cellStyle name="Вывод 2 2 19 4 5" xfId="27502"/>
    <cellStyle name="Вывод 2 2 19 5" xfId="3026"/>
    <cellStyle name="Вывод 2 2 19 5 2" xfId="8221"/>
    <cellStyle name="Вывод 2 2 19 5 2 2" xfId="19147"/>
    <cellStyle name="Вывод 2 2 19 5 2 3" xfId="34508"/>
    <cellStyle name="Вывод 2 2 19 5 3" xfId="24109"/>
    <cellStyle name="Вывод 2 2 19 5 3 2" xfId="39470"/>
    <cellStyle name="Вывод 2 2 19 5 4" xfId="13584"/>
    <cellStyle name="Вывод 2 2 19 5 5" xfId="29060"/>
    <cellStyle name="Вывод 2 2 19 6" xfId="3946"/>
    <cellStyle name="Вывод 2 2 19 6 2" xfId="9133"/>
    <cellStyle name="Вывод 2 2 19 6 2 2" xfId="20060"/>
    <cellStyle name="Вывод 2 2 19 6 2 3" xfId="35421"/>
    <cellStyle name="Вывод 2 2 19 6 3" xfId="25021"/>
    <cellStyle name="Вывод 2 2 19 6 3 2" xfId="40382"/>
    <cellStyle name="Вывод 2 2 19 6 4" xfId="14497"/>
    <cellStyle name="Вывод 2 2 19 6 5" xfId="29972"/>
    <cellStyle name="Вывод 2 2 19 7" xfId="3959"/>
    <cellStyle name="Вывод 2 2 19 7 2" xfId="9146"/>
    <cellStyle name="Вывод 2 2 19 7 2 2" xfId="20073"/>
    <cellStyle name="Вывод 2 2 19 7 2 3" xfId="35434"/>
    <cellStyle name="Вывод 2 2 19 7 3" xfId="25034"/>
    <cellStyle name="Вывод 2 2 19 7 3 2" xfId="40395"/>
    <cellStyle name="Вывод 2 2 19 7 4" xfId="14510"/>
    <cellStyle name="Вывод 2 2 19 7 5" xfId="29985"/>
    <cellStyle name="Вывод 2 2 19 8" xfId="4844"/>
    <cellStyle name="Вывод 2 2 19 8 2" xfId="10031"/>
    <cellStyle name="Вывод 2 2 19 8 2 2" xfId="20958"/>
    <cellStyle name="Вывод 2 2 19 8 2 3" xfId="36319"/>
    <cellStyle name="Вывод 2 2 19 8 3" xfId="25919"/>
    <cellStyle name="Вывод 2 2 19 8 3 2" xfId="41280"/>
    <cellStyle name="Вывод 2 2 19 8 4" xfId="15395"/>
    <cellStyle name="Вывод 2 2 19 8 5" xfId="30870"/>
    <cellStyle name="Вывод 2 2 19 9" xfId="5702"/>
    <cellStyle name="Вывод 2 2 19 9 2" xfId="17189"/>
    <cellStyle name="Вывод 2 2 19 9 3" xfId="32656"/>
    <cellStyle name="Вывод 2 2 2" xfId="312"/>
    <cellStyle name="Вывод 2 2 2 10" xfId="18740"/>
    <cellStyle name="Вывод 2 2 2 10 2" xfId="34101"/>
    <cellStyle name="Вывод 2 2 2 11" xfId="10998"/>
    <cellStyle name="Вывод 2 2 2 12" xfId="10890"/>
    <cellStyle name="Вывод 2 2 2 13" xfId="43814"/>
    <cellStyle name="Вывод 2 2 2 2" xfId="874"/>
    <cellStyle name="Вывод 2 2 2 2 10" xfId="11458"/>
    <cellStyle name="Вывод 2 2 2 2 11" xfId="26975"/>
    <cellStyle name="Вывод 2 2 2 2 12" xfId="43989"/>
    <cellStyle name="Вывод 2 2 2 2 2" xfId="994"/>
    <cellStyle name="Вывод 2 2 2 2 2 2" xfId="1759"/>
    <cellStyle name="Вывод 2 2 2 2 2 2 2" xfId="6998"/>
    <cellStyle name="Вывод 2 2 2 2 2 2 2 2" xfId="17900"/>
    <cellStyle name="Вывод 2 2 2 2 2 2 2 3" xfId="33261"/>
    <cellStyle name="Вывод 2 2 2 2 2 2 3" xfId="22886"/>
    <cellStyle name="Вывод 2 2 2 2 2 2 3 2" xfId="38247"/>
    <cellStyle name="Вывод 2 2 2 2 2 2 4" xfId="12337"/>
    <cellStyle name="Вывод 2 2 2 2 2 2 5" xfId="27837"/>
    <cellStyle name="Вывод 2 2 2 2 2 2 6" xfId="46204"/>
    <cellStyle name="Вывод 2 2 2 2 2 3" xfId="5108"/>
    <cellStyle name="Вывод 2 2 2 2 2 3 2" xfId="10291"/>
    <cellStyle name="Вывод 2 2 2 2 2 3 2 2" xfId="21217"/>
    <cellStyle name="Вывод 2 2 2 2 2 3 2 3" xfId="36578"/>
    <cellStyle name="Вывод 2 2 2 2 2 3 3" xfId="26178"/>
    <cellStyle name="Вывод 2 2 2 2 2 3 3 2" xfId="41539"/>
    <cellStyle name="Вывод 2 2 2 2 2 3 4" xfId="15654"/>
    <cellStyle name="Вывод 2 2 2 2 2 3 5" xfId="31129"/>
    <cellStyle name="Вывод 2 2 2 2 2 4" xfId="6253"/>
    <cellStyle name="Вывод 2 2 2 2 2 4 2" xfId="16612"/>
    <cellStyle name="Вывод 2 2 2 2 2 4 3" xfId="32079"/>
    <cellStyle name="Вывод 2 2 2 2 2 5" xfId="22141"/>
    <cellStyle name="Вывод 2 2 2 2 2 5 2" xfId="37502"/>
    <cellStyle name="Вывод 2 2 2 2 2 6" xfId="11577"/>
    <cellStyle name="Вывод 2 2 2 2 2 7" xfId="27092"/>
    <cellStyle name="Вывод 2 2 2 2 3" xfId="2280"/>
    <cellStyle name="Вывод 2 2 2 2 3 2" xfId="7516"/>
    <cellStyle name="Вывод 2 2 2 2 3 2 2" xfId="18418"/>
    <cellStyle name="Вывод 2 2 2 2 3 2 3" xfId="33779"/>
    <cellStyle name="Вывод 2 2 2 2 3 3" xfId="23404"/>
    <cellStyle name="Вывод 2 2 2 2 3 3 2" xfId="38765"/>
    <cellStyle name="Вывод 2 2 2 2 3 4" xfId="12855"/>
    <cellStyle name="Вывод 2 2 2 2 3 5" xfId="28355"/>
    <cellStyle name="Вывод 2 2 2 2 4" xfId="81"/>
    <cellStyle name="Вывод 2 2 2 2 4 2" xfId="5607"/>
    <cellStyle name="Вывод 2 2 2 2 4 2 2" xfId="17390"/>
    <cellStyle name="Вывод 2 2 2 2 4 2 3" xfId="32857"/>
    <cellStyle name="Вывод 2 2 2 2 4 3" xfId="21452"/>
    <cellStyle name="Вывод 2 2 2 2 4 3 2" xfId="36813"/>
    <cellStyle name="Вывод 2 2 2 2 4 4" xfId="10795"/>
    <cellStyle name="Вывод 2 2 2 2 4 5" xfId="15889"/>
    <cellStyle name="Вывод 2 2 2 2 5" xfId="3664"/>
    <cellStyle name="Вывод 2 2 2 2 5 2" xfId="8851"/>
    <cellStyle name="Вывод 2 2 2 2 5 2 2" xfId="19778"/>
    <cellStyle name="Вывод 2 2 2 2 5 2 3" xfId="35139"/>
    <cellStyle name="Вывод 2 2 2 2 5 3" xfId="24739"/>
    <cellStyle name="Вывод 2 2 2 2 5 3 2" xfId="40100"/>
    <cellStyle name="Вывод 2 2 2 2 5 4" xfId="14215"/>
    <cellStyle name="Вывод 2 2 2 2 5 5" xfId="29690"/>
    <cellStyle name="Вывод 2 2 2 2 5 6" xfId="45351"/>
    <cellStyle name="Вывод 2 2 2 2 6" xfId="4328"/>
    <cellStyle name="Вывод 2 2 2 2 6 2" xfId="9515"/>
    <cellStyle name="Вывод 2 2 2 2 6 2 2" xfId="20442"/>
    <cellStyle name="Вывод 2 2 2 2 6 2 3" xfId="35803"/>
    <cellStyle name="Вывод 2 2 2 2 6 3" xfId="25403"/>
    <cellStyle name="Вывод 2 2 2 2 6 3 2" xfId="40764"/>
    <cellStyle name="Вывод 2 2 2 2 6 4" xfId="14879"/>
    <cellStyle name="Вывод 2 2 2 2 6 5" xfId="30354"/>
    <cellStyle name="Вывод 2 2 2 2 6 6" xfId="46203"/>
    <cellStyle name="Вывод 2 2 2 2 7" xfId="4501"/>
    <cellStyle name="Вывод 2 2 2 2 7 2" xfId="9688"/>
    <cellStyle name="Вывод 2 2 2 2 7 2 2" xfId="20615"/>
    <cellStyle name="Вывод 2 2 2 2 7 2 3" xfId="35976"/>
    <cellStyle name="Вывод 2 2 2 2 7 3" xfId="25576"/>
    <cellStyle name="Вывод 2 2 2 2 7 3 2" xfId="40937"/>
    <cellStyle name="Вывод 2 2 2 2 7 4" xfId="15052"/>
    <cellStyle name="Вывод 2 2 2 2 7 5" xfId="30527"/>
    <cellStyle name="Вывод 2 2 2 2 8" xfId="6136"/>
    <cellStyle name="Вывод 2 2 2 2 8 2" xfId="16731"/>
    <cellStyle name="Вывод 2 2 2 2 8 3" xfId="32198"/>
    <cellStyle name="Вывод 2 2 2 2 9" xfId="22024"/>
    <cellStyle name="Вывод 2 2 2 2 9 2" xfId="37385"/>
    <cellStyle name="Вывод 2 2 2 3" xfId="964"/>
    <cellStyle name="Вывод 2 2 2 3 2" xfId="2423"/>
    <cellStyle name="Вывод 2 2 2 3 2 2" xfId="7659"/>
    <cellStyle name="Вывод 2 2 2 3 2 2 2" xfId="18561"/>
    <cellStyle name="Вывод 2 2 2 3 2 2 3" xfId="33922"/>
    <cellStyle name="Вывод 2 2 2 3 2 3" xfId="23547"/>
    <cellStyle name="Вывод 2 2 2 3 2 3 2" xfId="38908"/>
    <cellStyle name="Вывод 2 2 2 3 2 4" xfId="12998"/>
    <cellStyle name="Вывод 2 2 2 3 2 5" xfId="28498"/>
    <cellStyle name="Вывод 2 2 2 3 2 6" xfId="46206"/>
    <cellStyle name="Вывод 2 2 2 3 3" xfId="5109"/>
    <cellStyle name="Вывод 2 2 2 3 3 2" xfId="10292"/>
    <cellStyle name="Вывод 2 2 2 3 3 2 2" xfId="21218"/>
    <cellStyle name="Вывод 2 2 2 3 3 2 3" xfId="36579"/>
    <cellStyle name="Вывод 2 2 2 3 3 3" xfId="26179"/>
    <cellStyle name="Вывод 2 2 2 3 3 3 2" xfId="41540"/>
    <cellStyle name="Вывод 2 2 2 3 3 4" xfId="15655"/>
    <cellStyle name="Вывод 2 2 2 3 3 5" xfId="31130"/>
    <cellStyle name="Вывод 2 2 2 3 3 6" xfId="46205"/>
    <cellStyle name="Вывод 2 2 2 3 4" xfId="6224"/>
    <cellStyle name="Вывод 2 2 2 3 4 2" xfId="16642"/>
    <cellStyle name="Вывод 2 2 2 3 4 3" xfId="32109"/>
    <cellStyle name="Вывод 2 2 2 3 5" xfId="22112"/>
    <cellStyle name="Вывод 2 2 2 3 5 2" xfId="37473"/>
    <cellStyle name="Вывод 2 2 2 3 6" xfId="11547"/>
    <cellStyle name="Вывод 2 2 2 3 7" xfId="27063"/>
    <cellStyle name="Вывод 2 2 2 4" xfId="68"/>
    <cellStyle name="Вывод 2 2 2 4 2" xfId="5595"/>
    <cellStyle name="Вывод 2 2 2 4 2 2" xfId="17403"/>
    <cellStyle name="Вывод 2 2 2 4 2 3" xfId="32870"/>
    <cellStyle name="Вывод 2 2 2 4 2 4" xfId="46207"/>
    <cellStyle name="Вывод 2 2 2 4 3" xfId="19120"/>
    <cellStyle name="Вывод 2 2 2 4 3 2" xfId="34481"/>
    <cellStyle name="Вывод 2 2 2 4 4" xfId="10782"/>
    <cellStyle name="Вывод 2 2 2 4 5" xfId="13557"/>
    <cellStyle name="Вывод 2 2 2 5" xfId="3025"/>
    <cellStyle name="Вывод 2 2 2 5 2" xfId="8220"/>
    <cellStyle name="Вывод 2 2 2 5 2 2" xfId="19146"/>
    <cellStyle name="Вывод 2 2 2 5 2 3" xfId="34507"/>
    <cellStyle name="Вывод 2 2 2 5 3" xfId="24108"/>
    <cellStyle name="Вывод 2 2 2 5 3 2" xfId="39469"/>
    <cellStyle name="Вывод 2 2 2 5 4" xfId="13583"/>
    <cellStyle name="Вывод 2 2 2 5 5" xfId="29059"/>
    <cellStyle name="Вывод 2 2 2 6" xfId="3514"/>
    <cellStyle name="Вывод 2 2 2 6 2" xfId="8701"/>
    <cellStyle name="Вывод 2 2 2 6 2 2" xfId="19628"/>
    <cellStyle name="Вывод 2 2 2 6 2 3" xfId="34989"/>
    <cellStyle name="Вывод 2 2 2 6 3" xfId="24589"/>
    <cellStyle name="Вывод 2 2 2 6 3 2" xfId="39950"/>
    <cellStyle name="Вывод 2 2 2 6 4" xfId="14065"/>
    <cellStyle name="Вывод 2 2 2 6 5" xfId="29540"/>
    <cellStyle name="Вывод 2 2 2 6 6" xfId="45300"/>
    <cellStyle name="Вывод 2 2 2 7" xfId="3915"/>
    <cellStyle name="Вывод 2 2 2 7 2" xfId="9102"/>
    <cellStyle name="Вывод 2 2 2 7 2 2" xfId="20029"/>
    <cellStyle name="Вывод 2 2 2 7 2 3" xfId="35390"/>
    <cellStyle name="Вывод 2 2 2 7 3" xfId="24990"/>
    <cellStyle name="Вывод 2 2 2 7 3 2" xfId="40351"/>
    <cellStyle name="Вывод 2 2 2 7 4" xfId="14466"/>
    <cellStyle name="Вывод 2 2 2 7 5" xfId="29941"/>
    <cellStyle name="Вывод 2 2 2 8" xfId="4777"/>
    <cellStyle name="Вывод 2 2 2 8 2" xfId="9964"/>
    <cellStyle name="Вывод 2 2 2 8 2 2" xfId="20891"/>
    <cellStyle name="Вывод 2 2 2 8 2 3" xfId="36252"/>
    <cellStyle name="Вывод 2 2 2 8 3" xfId="25852"/>
    <cellStyle name="Вывод 2 2 2 8 3 2" xfId="41213"/>
    <cellStyle name="Вывод 2 2 2 8 4" xfId="15328"/>
    <cellStyle name="Вывод 2 2 2 8 5" xfId="30803"/>
    <cellStyle name="Вывод 2 2 2 9" xfId="5703"/>
    <cellStyle name="Вывод 2 2 2 9 2" xfId="17188"/>
    <cellStyle name="Вывод 2 2 2 9 3" xfId="32655"/>
    <cellStyle name="Вывод 2 2 20" xfId="313"/>
    <cellStyle name="Вывод 2 2 20 10" xfId="17296"/>
    <cellStyle name="Вывод 2 2 20 10 2" xfId="32763"/>
    <cellStyle name="Вывод 2 2 20 11" xfId="10999"/>
    <cellStyle name="Вывод 2 2 20 12" xfId="12249"/>
    <cellStyle name="Вывод 2 2 20 2" xfId="946"/>
    <cellStyle name="Вывод 2 2 20 2 10" xfId="11530"/>
    <cellStyle name="Вывод 2 2 20 2 11" xfId="27047"/>
    <cellStyle name="Вывод 2 2 20 2 2" xfId="1733"/>
    <cellStyle name="Вывод 2 2 20 2 2 2" xfId="1436"/>
    <cellStyle name="Вывод 2 2 20 2 2 2 2" xfId="6684"/>
    <cellStyle name="Вывод 2 2 20 2 2 2 2 2" xfId="16174"/>
    <cellStyle name="Вывод 2 2 20 2 2 2 2 3" xfId="31641"/>
    <cellStyle name="Вывод 2 2 20 2 2 2 3" xfId="22572"/>
    <cellStyle name="Вывод 2 2 20 2 2 2 3 2" xfId="37933"/>
    <cellStyle name="Вывод 2 2 20 2 2 2 4" xfId="12015"/>
    <cellStyle name="Вывод 2 2 20 2 2 2 5" xfId="27523"/>
    <cellStyle name="Вывод 2 2 20 2 2 3" xfId="5110"/>
    <cellStyle name="Вывод 2 2 20 2 2 3 2" xfId="10293"/>
    <cellStyle name="Вывод 2 2 20 2 2 3 2 2" xfId="21219"/>
    <cellStyle name="Вывод 2 2 20 2 2 3 2 3" xfId="36580"/>
    <cellStyle name="Вывод 2 2 20 2 2 3 3" xfId="26180"/>
    <cellStyle name="Вывод 2 2 20 2 2 3 3 2" xfId="41541"/>
    <cellStyle name="Вывод 2 2 20 2 2 3 4" xfId="15656"/>
    <cellStyle name="Вывод 2 2 20 2 2 3 5" xfId="31131"/>
    <cellStyle name="Вывод 2 2 20 2 2 4" xfId="6973"/>
    <cellStyle name="Вывод 2 2 20 2 2 4 2" xfId="17874"/>
    <cellStyle name="Вывод 2 2 20 2 2 4 3" xfId="33235"/>
    <cellStyle name="Вывод 2 2 20 2 2 5" xfId="22861"/>
    <cellStyle name="Вывод 2 2 20 2 2 5 2" xfId="38222"/>
    <cellStyle name="Вывод 2 2 20 2 2 6" xfId="12311"/>
    <cellStyle name="Вывод 2 2 20 2 2 7" xfId="27812"/>
    <cellStyle name="Вывод 2 2 20 2 3" xfId="2352"/>
    <cellStyle name="Вывод 2 2 20 2 3 2" xfId="7588"/>
    <cellStyle name="Вывод 2 2 20 2 3 2 2" xfId="18490"/>
    <cellStyle name="Вывод 2 2 20 2 3 2 3" xfId="33851"/>
    <cellStyle name="Вывод 2 2 20 2 3 3" xfId="23476"/>
    <cellStyle name="Вывод 2 2 20 2 3 3 2" xfId="38837"/>
    <cellStyle name="Вывод 2 2 20 2 3 4" xfId="12927"/>
    <cellStyle name="Вывод 2 2 20 2 3 5" xfId="28427"/>
    <cellStyle name="Вывод 2 2 20 2 4" xfId="3495"/>
    <cellStyle name="Вывод 2 2 20 2 4 2" xfId="8682"/>
    <cellStyle name="Вывод 2 2 20 2 4 2 2" xfId="19609"/>
    <cellStyle name="Вывод 2 2 20 2 4 2 3" xfId="34970"/>
    <cellStyle name="Вывод 2 2 20 2 4 3" xfId="24570"/>
    <cellStyle name="Вывод 2 2 20 2 4 3 2" xfId="39931"/>
    <cellStyle name="Вывод 2 2 20 2 4 4" xfId="14046"/>
    <cellStyle name="Вывод 2 2 20 2 4 5" xfId="29521"/>
    <cellStyle name="Вывод 2 2 20 2 5" xfId="2433"/>
    <cellStyle name="Вывод 2 2 20 2 5 2" xfId="7669"/>
    <cellStyle name="Вывод 2 2 20 2 5 2 2" xfId="18571"/>
    <cellStyle name="Вывод 2 2 20 2 5 2 3" xfId="33932"/>
    <cellStyle name="Вывод 2 2 20 2 5 3" xfId="23557"/>
    <cellStyle name="Вывод 2 2 20 2 5 3 2" xfId="38918"/>
    <cellStyle name="Вывод 2 2 20 2 5 4" xfId="13008"/>
    <cellStyle name="Вывод 2 2 20 2 5 5" xfId="28508"/>
    <cellStyle name="Вывод 2 2 20 2 6" xfId="4400"/>
    <cellStyle name="Вывод 2 2 20 2 6 2" xfId="9587"/>
    <cellStyle name="Вывод 2 2 20 2 6 2 2" xfId="20514"/>
    <cellStyle name="Вывод 2 2 20 2 6 2 3" xfId="35875"/>
    <cellStyle name="Вывод 2 2 20 2 6 3" xfId="25475"/>
    <cellStyle name="Вывод 2 2 20 2 6 3 2" xfId="40836"/>
    <cellStyle name="Вывод 2 2 20 2 6 4" xfId="14951"/>
    <cellStyle name="Вывод 2 2 20 2 6 5" xfId="30426"/>
    <cellStyle name="Вывод 2 2 20 2 7" xfId="4435"/>
    <cellStyle name="Вывод 2 2 20 2 7 2" xfId="9622"/>
    <cellStyle name="Вывод 2 2 20 2 7 2 2" xfId="20549"/>
    <cellStyle name="Вывод 2 2 20 2 7 2 3" xfId="35910"/>
    <cellStyle name="Вывод 2 2 20 2 7 3" xfId="25510"/>
    <cellStyle name="Вывод 2 2 20 2 7 3 2" xfId="40871"/>
    <cellStyle name="Вывод 2 2 20 2 7 4" xfId="14986"/>
    <cellStyle name="Вывод 2 2 20 2 7 5" xfId="30461"/>
    <cellStyle name="Вывод 2 2 20 2 8" xfId="6208"/>
    <cellStyle name="Вывод 2 2 20 2 8 2" xfId="16659"/>
    <cellStyle name="Вывод 2 2 20 2 8 3" xfId="32126"/>
    <cellStyle name="Вывод 2 2 20 2 9" xfId="22096"/>
    <cellStyle name="Вывод 2 2 20 2 9 2" xfId="37457"/>
    <cellStyle name="Вывод 2 2 20 3" xfId="1206"/>
    <cellStyle name="Вывод 2 2 20 3 2" xfId="2424"/>
    <cellStyle name="Вывод 2 2 20 3 2 2" xfId="7660"/>
    <cellStyle name="Вывод 2 2 20 3 2 2 2" xfId="18562"/>
    <cellStyle name="Вывод 2 2 20 3 2 2 3" xfId="33923"/>
    <cellStyle name="Вывод 2 2 20 3 2 3" xfId="23548"/>
    <cellStyle name="Вывод 2 2 20 3 2 3 2" xfId="38909"/>
    <cellStyle name="Вывод 2 2 20 3 2 4" xfId="12999"/>
    <cellStyle name="Вывод 2 2 20 3 2 5" xfId="28499"/>
    <cellStyle name="Вывод 2 2 20 3 3" xfId="5111"/>
    <cellStyle name="Вывод 2 2 20 3 3 2" xfId="10294"/>
    <cellStyle name="Вывод 2 2 20 3 3 2 2" xfId="21220"/>
    <cellStyle name="Вывод 2 2 20 3 3 2 3" xfId="36581"/>
    <cellStyle name="Вывод 2 2 20 3 3 3" xfId="26181"/>
    <cellStyle name="Вывод 2 2 20 3 3 3 2" xfId="41542"/>
    <cellStyle name="Вывод 2 2 20 3 3 4" xfId="15657"/>
    <cellStyle name="Вывод 2 2 20 3 3 5" xfId="31132"/>
    <cellStyle name="Вывод 2 2 20 3 4" xfId="6459"/>
    <cellStyle name="Вывод 2 2 20 3 4 2" xfId="16402"/>
    <cellStyle name="Вывод 2 2 20 3 4 3" xfId="31869"/>
    <cellStyle name="Вывод 2 2 20 3 5" xfId="22347"/>
    <cellStyle name="Вывод 2 2 20 3 5 2" xfId="37708"/>
    <cellStyle name="Вывод 2 2 20 3 6" xfId="11787"/>
    <cellStyle name="Вывод 2 2 20 3 7" xfId="27298"/>
    <cellStyle name="Вывод 2 2 20 4" xfId="1469"/>
    <cellStyle name="Вывод 2 2 20 4 2" xfId="6716"/>
    <cellStyle name="Вывод 2 2 20 4 2 2" xfId="16142"/>
    <cellStyle name="Вывод 2 2 20 4 2 3" xfId="31609"/>
    <cellStyle name="Вывод 2 2 20 4 3" xfId="22604"/>
    <cellStyle name="Вывод 2 2 20 4 3 2" xfId="37965"/>
    <cellStyle name="Вывод 2 2 20 4 4" xfId="12047"/>
    <cellStyle name="Вывод 2 2 20 4 5" xfId="27555"/>
    <cellStyle name="Вывод 2 2 20 5" xfId="3022"/>
    <cellStyle name="Вывод 2 2 20 5 2" xfId="8217"/>
    <cellStyle name="Вывод 2 2 20 5 2 2" xfId="19143"/>
    <cellStyle name="Вывод 2 2 20 5 2 3" xfId="34504"/>
    <cellStyle name="Вывод 2 2 20 5 3" xfId="24105"/>
    <cellStyle name="Вывод 2 2 20 5 3 2" xfId="39466"/>
    <cellStyle name="Вывод 2 2 20 5 4" xfId="13580"/>
    <cellStyle name="Вывод 2 2 20 5 5" xfId="29056"/>
    <cellStyle name="Вывод 2 2 20 6" xfId="3198"/>
    <cellStyle name="Вывод 2 2 20 6 2" xfId="8393"/>
    <cellStyle name="Вывод 2 2 20 6 2 2" xfId="19319"/>
    <cellStyle name="Вывод 2 2 20 6 2 3" xfId="34680"/>
    <cellStyle name="Вывод 2 2 20 6 3" xfId="24281"/>
    <cellStyle name="Вывод 2 2 20 6 3 2" xfId="39642"/>
    <cellStyle name="Вывод 2 2 20 6 4" xfId="13756"/>
    <cellStyle name="Вывод 2 2 20 6 5" xfId="29232"/>
    <cellStyle name="Вывод 2 2 20 7" xfId="3342"/>
    <cellStyle name="Вывод 2 2 20 7 2" xfId="8536"/>
    <cellStyle name="Вывод 2 2 20 7 2 2" xfId="19463"/>
    <cellStyle name="Вывод 2 2 20 7 2 3" xfId="34824"/>
    <cellStyle name="Вывод 2 2 20 7 3" xfId="24424"/>
    <cellStyle name="Вывод 2 2 20 7 3 2" xfId="39785"/>
    <cellStyle name="Вывод 2 2 20 7 4" xfId="13900"/>
    <cellStyle name="Вывод 2 2 20 7 5" xfId="29375"/>
    <cellStyle name="Вывод 2 2 20 8" xfId="4845"/>
    <cellStyle name="Вывод 2 2 20 8 2" xfId="10032"/>
    <cellStyle name="Вывод 2 2 20 8 2 2" xfId="20959"/>
    <cellStyle name="Вывод 2 2 20 8 2 3" xfId="36320"/>
    <cellStyle name="Вывод 2 2 20 8 3" xfId="25920"/>
    <cellStyle name="Вывод 2 2 20 8 3 2" xfId="41281"/>
    <cellStyle name="Вывод 2 2 20 8 4" xfId="15396"/>
    <cellStyle name="Вывод 2 2 20 8 5" xfId="30871"/>
    <cellStyle name="Вывод 2 2 20 9" xfId="5704"/>
    <cellStyle name="Вывод 2 2 20 9 2" xfId="17187"/>
    <cellStyle name="Вывод 2 2 20 9 3" xfId="32654"/>
    <cellStyle name="Вывод 2 2 21" xfId="314"/>
    <cellStyle name="Вывод 2 2 21 10" xfId="17297"/>
    <cellStyle name="Вывод 2 2 21 10 2" xfId="32764"/>
    <cellStyle name="Вывод 2 2 21 11" xfId="11000"/>
    <cellStyle name="Вывод 2 2 21 12" xfId="13177"/>
    <cellStyle name="Вывод 2 2 21 2" xfId="945"/>
    <cellStyle name="Вывод 2 2 21 2 10" xfId="11529"/>
    <cellStyle name="Вывод 2 2 21 2 11" xfId="27046"/>
    <cellStyle name="Вывод 2 2 21 2 2" xfId="1705"/>
    <cellStyle name="Вывод 2 2 21 2 2 2" xfId="2426"/>
    <cellStyle name="Вывод 2 2 21 2 2 2 2" xfId="7662"/>
    <cellStyle name="Вывод 2 2 21 2 2 2 2 2" xfId="18564"/>
    <cellStyle name="Вывод 2 2 21 2 2 2 2 3" xfId="33925"/>
    <cellStyle name="Вывод 2 2 21 2 2 2 3" xfId="23550"/>
    <cellStyle name="Вывод 2 2 21 2 2 2 3 2" xfId="38911"/>
    <cellStyle name="Вывод 2 2 21 2 2 2 4" xfId="13001"/>
    <cellStyle name="Вывод 2 2 21 2 2 2 5" xfId="28501"/>
    <cellStyle name="Вывод 2 2 21 2 2 3" xfId="5112"/>
    <cellStyle name="Вывод 2 2 21 2 2 3 2" xfId="10295"/>
    <cellStyle name="Вывод 2 2 21 2 2 3 2 2" xfId="21221"/>
    <cellStyle name="Вывод 2 2 21 2 2 3 2 3" xfId="36582"/>
    <cellStyle name="Вывод 2 2 21 2 2 3 3" xfId="26182"/>
    <cellStyle name="Вывод 2 2 21 2 2 3 3 2" xfId="41543"/>
    <cellStyle name="Вывод 2 2 21 2 2 3 4" xfId="15658"/>
    <cellStyle name="Вывод 2 2 21 2 2 3 5" xfId="31133"/>
    <cellStyle name="Вывод 2 2 21 2 2 4" xfId="6948"/>
    <cellStyle name="Вывод 2 2 21 2 2 4 2" xfId="17847"/>
    <cellStyle name="Вывод 2 2 21 2 2 4 3" xfId="33208"/>
    <cellStyle name="Вывод 2 2 21 2 2 5" xfId="22836"/>
    <cellStyle name="Вывод 2 2 21 2 2 5 2" xfId="38197"/>
    <cellStyle name="Вывод 2 2 21 2 2 6" xfId="12283"/>
    <cellStyle name="Вывод 2 2 21 2 2 7" xfId="27787"/>
    <cellStyle name="Вывод 2 2 21 2 3" xfId="2351"/>
    <cellStyle name="Вывод 2 2 21 2 3 2" xfId="7587"/>
    <cellStyle name="Вывод 2 2 21 2 3 2 2" xfId="18489"/>
    <cellStyle name="Вывод 2 2 21 2 3 2 3" xfId="33850"/>
    <cellStyle name="Вывод 2 2 21 2 3 3" xfId="23475"/>
    <cellStyle name="Вывод 2 2 21 2 3 3 2" xfId="38836"/>
    <cellStyle name="Вывод 2 2 21 2 3 4" xfId="12926"/>
    <cellStyle name="Вывод 2 2 21 2 3 5" xfId="28426"/>
    <cellStyle name="Вывод 2 2 21 2 4" xfId="3494"/>
    <cellStyle name="Вывод 2 2 21 2 4 2" xfId="8681"/>
    <cellStyle name="Вывод 2 2 21 2 4 2 2" xfId="19608"/>
    <cellStyle name="Вывод 2 2 21 2 4 2 3" xfId="34969"/>
    <cellStyle name="Вывод 2 2 21 2 4 3" xfId="24569"/>
    <cellStyle name="Вывод 2 2 21 2 4 3 2" xfId="39930"/>
    <cellStyle name="Вывод 2 2 21 2 4 4" xfId="14045"/>
    <cellStyle name="Вывод 2 2 21 2 4 5" xfId="29520"/>
    <cellStyle name="Вывод 2 2 21 2 5" xfId="3728"/>
    <cellStyle name="Вывод 2 2 21 2 5 2" xfId="8915"/>
    <cellStyle name="Вывод 2 2 21 2 5 2 2" xfId="19842"/>
    <cellStyle name="Вывод 2 2 21 2 5 2 3" xfId="35203"/>
    <cellStyle name="Вывод 2 2 21 2 5 3" xfId="24803"/>
    <cellStyle name="Вывод 2 2 21 2 5 3 2" xfId="40164"/>
    <cellStyle name="Вывод 2 2 21 2 5 4" xfId="14279"/>
    <cellStyle name="Вывод 2 2 21 2 5 5" xfId="29754"/>
    <cellStyle name="Вывод 2 2 21 2 6" xfId="4399"/>
    <cellStyle name="Вывод 2 2 21 2 6 2" xfId="9586"/>
    <cellStyle name="Вывод 2 2 21 2 6 2 2" xfId="20513"/>
    <cellStyle name="Вывод 2 2 21 2 6 2 3" xfId="35874"/>
    <cellStyle name="Вывод 2 2 21 2 6 3" xfId="25474"/>
    <cellStyle name="Вывод 2 2 21 2 6 3 2" xfId="40835"/>
    <cellStyle name="Вывод 2 2 21 2 6 4" xfId="14950"/>
    <cellStyle name="Вывод 2 2 21 2 6 5" xfId="30425"/>
    <cellStyle name="Вывод 2 2 21 2 7" xfId="4436"/>
    <cellStyle name="Вывод 2 2 21 2 7 2" xfId="9623"/>
    <cellStyle name="Вывод 2 2 21 2 7 2 2" xfId="20550"/>
    <cellStyle name="Вывод 2 2 21 2 7 2 3" xfId="35911"/>
    <cellStyle name="Вывод 2 2 21 2 7 3" xfId="25511"/>
    <cellStyle name="Вывод 2 2 21 2 7 3 2" xfId="40872"/>
    <cellStyle name="Вывод 2 2 21 2 7 4" xfId="14987"/>
    <cellStyle name="Вывод 2 2 21 2 7 5" xfId="30462"/>
    <cellStyle name="Вывод 2 2 21 2 8" xfId="6207"/>
    <cellStyle name="Вывод 2 2 21 2 8 2" xfId="16660"/>
    <cellStyle name="Вывод 2 2 21 2 8 3" xfId="32127"/>
    <cellStyle name="Вывод 2 2 21 2 9" xfId="22095"/>
    <cellStyle name="Вывод 2 2 21 2 9 2" xfId="37456"/>
    <cellStyle name="Вывод 2 2 21 3" xfId="1539"/>
    <cellStyle name="Вывод 2 2 21 3 2" xfId="1402"/>
    <cellStyle name="Вывод 2 2 21 3 2 2" xfId="6651"/>
    <cellStyle name="Вывод 2 2 21 3 2 2 2" xfId="16208"/>
    <cellStyle name="Вывод 2 2 21 3 2 2 3" xfId="31675"/>
    <cellStyle name="Вывод 2 2 21 3 2 3" xfId="22539"/>
    <cellStyle name="Вывод 2 2 21 3 2 3 2" xfId="37900"/>
    <cellStyle name="Вывод 2 2 21 3 2 4" xfId="11981"/>
    <cellStyle name="Вывод 2 2 21 3 2 5" xfId="27490"/>
    <cellStyle name="Вывод 2 2 21 3 3" xfId="5113"/>
    <cellStyle name="Вывод 2 2 21 3 3 2" xfId="10296"/>
    <cellStyle name="Вывод 2 2 21 3 3 2 2" xfId="21222"/>
    <cellStyle name="Вывод 2 2 21 3 3 2 3" xfId="36583"/>
    <cellStyle name="Вывод 2 2 21 3 3 3" xfId="26183"/>
    <cellStyle name="Вывод 2 2 21 3 3 3 2" xfId="41544"/>
    <cellStyle name="Вывод 2 2 21 3 3 4" xfId="15659"/>
    <cellStyle name="Вывод 2 2 21 3 3 5" xfId="31134"/>
    <cellStyle name="Вывод 2 2 21 3 4" xfId="6786"/>
    <cellStyle name="Вывод 2 2 21 3 4 2" xfId="17681"/>
    <cellStyle name="Вывод 2 2 21 3 4 3" xfId="33042"/>
    <cellStyle name="Вывод 2 2 21 3 5" xfId="22674"/>
    <cellStyle name="Вывод 2 2 21 3 5 2" xfId="38035"/>
    <cellStyle name="Вывод 2 2 21 3 6" xfId="12117"/>
    <cellStyle name="Вывод 2 2 21 3 7" xfId="27625"/>
    <cellStyle name="Вывод 2 2 21 4" xfId="1087"/>
    <cellStyle name="Вывод 2 2 21 4 2" xfId="6343"/>
    <cellStyle name="Вывод 2 2 21 4 2 2" xfId="16520"/>
    <cellStyle name="Вывод 2 2 21 4 2 3" xfId="31987"/>
    <cellStyle name="Вывод 2 2 21 4 3" xfId="22231"/>
    <cellStyle name="Вывод 2 2 21 4 3 2" xfId="37592"/>
    <cellStyle name="Вывод 2 2 21 4 4" xfId="11669"/>
    <cellStyle name="Вывод 2 2 21 4 5" xfId="27182"/>
    <cellStyle name="Вывод 2 2 21 5" xfId="3021"/>
    <cellStyle name="Вывод 2 2 21 5 2" xfId="8216"/>
    <cellStyle name="Вывод 2 2 21 5 2 2" xfId="19142"/>
    <cellStyle name="Вывод 2 2 21 5 2 3" xfId="34503"/>
    <cellStyle name="Вывод 2 2 21 5 3" xfId="24104"/>
    <cellStyle name="Вывод 2 2 21 5 3 2" xfId="39465"/>
    <cellStyle name="Вывод 2 2 21 5 4" xfId="13579"/>
    <cellStyle name="Вывод 2 2 21 5 5" xfId="29055"/>
    <cellStyle name="Вывод 2 2 21 6" xfId="3515"/>
    <cellStyle name="Вывод 2 2 21 6 2" xfId="8702"/>
    <cellStyle name="Вывод 2 2 21 6 2 2" xfId="19629"/>
    <cellStyle name="Вывод 2 2 21 6 2 3" xfId="34990"/>
    <cellStyle name="Вывод 2 2 21 6 3" xfId="24590"/>
    <cellStyle name="Вывод 2 2 21 6 3 2" xfId="39951"/>
    <cellStyle name="Вывод 2 2 21 6 4" xfId="14066"/>
    <cellStyle name="Вывод 2 2 21 6 5" xfId="29541"/>
    <cellStyle name="Вывод 2 2 21 7" xfId="3293"/>
    <cellStyle name="Вывод 2 2 21 7 2" xfId="8487"/>
    <cellStyle name="Вывод 2 2 21 7 2 2" xfId="19414"/>
    <cellStyle name="Вывод 2 2 21 7 2 3" xfId="34775"/>
    <cellStyle name="Вывод 2 2 21 7 3" xfId="24375"/>
    <cellStyle name="Вывод 2 2 21 7 3 2" xfId="39736"/>
    <cellStyle name="Вывод 2 2 21 7 4" xfId="13851"/>
    <cellStyle name="Вывод 2 2 21 7 5" xfId="29326"/>
    <cellStyle name="Вывод 2 2 21 8" xfId="4776"/>
    <cellStyle name="Вывод 2 2 21 8 2" xfId="9963"/>
    <cellStyle name="Вывод 2 2 21 8 2 2" xfId="20890"/>
    <cellStyle name="Вывод 2 2 21 8 2 3" xfId="36251"/>
    <cellStyle name="Вывод 2 2 21 8 3" xfId="25851"/>
    <cellStyle name="Вывод 2 2 21 8 3 2" xfId="41212"/>
    <cellStyle name="Вывод 2 2 21 8 4" xfId="15327"/>
    <cellStyle name="Вывод 2 2 21 8 5" xfId="30802"/>
    <cellStyle name="Вывод 2 2 21 9" xfId="5705"/>
    <cellStyle name="Вывод 2 2 21 9 2" xfId="17186"/>
    <cellStyle name="Вывод 2 2 21 9 3" xfId="32653"/>
    <cellStyle name="Вывод 2 2 22" xfId="315"/>
    <cellStyle name="Вывод 2 2 22 10" xfId="17298"/>
    <cellStyle name="Вывод 2 2 22 10 2" xfId="32765"/>
    <cellStyle name="Вывод 2 2 22 11" xfId="11001"/>
    <cellStyle name="Вывод 2 2 22 12" xfId="10889"/>
    <cellStyle name="Вывод 2 2 22 2" xfId="873"/>
    <cellStyle name="Вывод 2 2 22 2 10" xfId="11457"/>
    <cellStyle name="Вывод 2 2 22 2 11" xfId="26974"/>
    <cellStyle name="Вывод 2 2 22 2 2" xfId="1630"/>
    <cellStyle name="Вывод 2 2 22 2 2 2" xfId="2428"/>
    <cellStyle name="Вывод 2 2 22 2 2 2 2" xfId="7664"/>
    <cellStyle name="Вывод 2 2 22 2 2 2 2 2" xfId="18566"/>
    <cellStyle name="Вывод 2 2 22 2 2 2 2 3" xfId="33927"/>
    <cellStyle name="Вывод 2 2 22 2 2 2 3" xfId="23552"/>
    <cellStyle name="Вывод 2 2 22 2 2 2 3 2" xfId="38913"/>
    <cellStyle name="Вывод 2 2 22 2 2 2 4" xfId="13003"/>
    <cellStyle name="Вывод 2 2 22 2 2 2 5" xfId="28503"/>
    <cellStyle name="Вывод 2 2 22 2 2 3" xfId="5114"/>
    <cellStyle name="Вывод 2 2 22 2 2 3 2" xfId="10297"/>
    <cellStyle name="Вывод 2 2 22 2 2 3 2 2" xfId="21223"/>
    <cellStyle name="Вывод 2 2 22 2 2 3 2 3" xfId="36584"/>
    <cellStyle name="Вывод 2 2 22 2 2 3 3" xfId="26184"/>
    <cellStyle name="Вывод 2 2 22 2 2 3 3 2" xfId="41545"/>
    <cellStyle name="Вывод 2 2 22 2 2 3 4" xfId="15660"/>
    <cellStyle name="Вывод 2 2 22 2 2 3 5" xfId="31135"/>
    <cellStyle name="Вывод 2 2 22 2 2 4" xfId="6876"/>
    <cellStyle name="Вывод 2 2 22 2 2 4 2" xfId="17772"/>
    <cellStyle name="Вывод 2 2 22 2 2 4 3" xfId="33133"/>
    <cellStyle name="Вывод 2 2 22 2 2 5" xfId="22764"/>
    <cellStyle name="Вывод 2 2 22 2 2 5 2" xfId="38125"/>
    <cellStyle name="Вывод 2 2 22 2 2 6" xfId="12208"/>
    <cellStyle name="Вывод 2 2 22 2 2 7" xfId="27715"/>
    <cellStyle name="Вывод 2 2 22 2 3" xfId="2279"/>
    <cellStyle name="Вывод 2 2 22 2 3 2" xfId="7515"/>
    <cellStyle name="Вывод 2 2 22 2 3 2 2" xfId="18417"/>
    <cellStyle name="Вывод 2 2 22 2 3 2 3" xfId="33778"/>
    <cellStyle name="Вывод 2 2 22 2 3 3" xfId="23403"/>
    <cellStyle name="Вывод 2 2 22 2 3 3 2" xfId="38764"/>
    <cellStyle name="Вывод 2 2 22 2 3 4" xfId="12854"/>
    <cellStyle name="Вывод 2 2 22 2 3 5" xfId="28354"/>
    <cellStyle name="Вывод 2 2 22 2 4" xfId="2821"/>
    <cellStyle name="Вывод 2 2 22 2 4 2" xfId="8039"/>
    <cellStyle name="Вывод 2 2 22 2 4 2 2" xfId="18951"/>
    <cellStyle name="Вывод 2 2 22 2 4 2 3" xfId="34312"/>
    <cellStyle name="Вывод 2 2 22 2 4 3" xfId="23927"/>
    <cellStyle name="Вывод 2 2 22 2 4 3 2" xfId="39288"/>
    <cellStyle name="Вывод 2 2 22 2 4 4" xfId="13388"/>
    <cellStyle name="Вывод 2 2 22 2 4 5" xfId="28878"/>
    <cellStyle name="Вывод 2 2 22 2 5" xfId="3663"/>
    <cellStyle name="Вывод 2 2 22 2 5 2" xfId="8850"/>
    <cellStyle name="Вывод 2 2 22 2 5 2 2" xfId="19777"/>
    <cellStyle name="Вывод 2 2 22 2 5 2 3" xfId="35138"/>
    <cellStyle name="Вывод 2 2 22 2 5 3" xfId="24738"/>
    <cellStyle name="Вывод 2 2 22 2 5 3 2" xfId="40099"/>
    <cellStyle name="Вывод 2 2 22 2 5 4" xfId="14214"/>
    <cellStyle name="Вывод 2 2 22 2 5 5" xfId="29689"/>
    <cellStyle name="Вывод 2 2 22 2 6" xfId="4327"/>
    <cellStyle name="Вывод 2 2 22 2 6 2" xfId="9514"/>
    <cellStyle name="Вывод 2 2 22 2 6 2 2" xfId="20441"/>
    <cellStyle name="Вывод 2 2 22 2 6 2 3" xfId="35802"/>
    <cellStyle name="Вывод 2 2 22 2 6 3" xfId="25402"/>
    <cellStyle name="Вывод 2 2 22 2 6 3 2" xfId="40763"/>
    <cellStyle name="Вывод 2 2 22 2 6 4" xfId="14878"/>
    <cellStyle name="Вывод 2 2 22 2 6 5" xfId="30353"/>
    <cellStyle name="Вывод 2 2 22 2 7" xfId="4502"/>
    <cellStyle name="Вывод 2 2 22 2 7 2" xfId="9689"/>
    <cellStyle name="Вывод 2 2 22 2 7 2 2" xfId="20616"/>
    <cellStyle name="Вывод 2 2 22 2 7 2 3" xfId="35977"/>
    <cellStyle name="Вывод 2 2 22 2 7 3" xfId="25577"/>
    <cellStyle name="Вывод 2 2 22 2 7 3 2" xfId="40938"/>
    <cellStyle name="Вывод 2 2 22 2 7 4" xfId="15053"/>
    <cellStyle name="Вывод 2 2 22 2 7 5" xfId="30528"/>
    <cellStyle name="Вывод 2 2 22 2 8" xfId="6135"/>
    <cellStyle name="Вывод 2 2 22 2 8 2" xfId="16732"/>
    <cellStyle name="Вывод 2 2 22 2 8 3" xfId="32199"/>
    <cellStyle name="Вывод 2 2 22 2 9" xfId="22023"/>
    <cellStyle name="Вывод 2 2 22 2 9 2" xfId="37384"/>
    <cellStyle name="Вывод 2 2 22 3" xfId="1427"/>
    <cellStyle name="Вывод 2 2 22 3 2" xfId="1699"/>
    <cellStyle name="Вывод 2 2 22 3 2 2" xfId="6942"/>
    <cellStyle name="Вывод 2 2 22 3 2 2 2" xfId="17841"/>
    <cellStyle name="Вывод 2 2 22 3 2 2 3" xfId="33202"/>
    <cellStyle name="Вывод 2 2 22 3 2 3" xfId="22830"/>
    <cellStyle name="Вывод 2 2 22 3 2 3 2" xfId="38191"/>
    <cellStyle name="Вывод 2 2 22 3 2 4" xfId="12277"/>
    <cellStyle name="Вывод 2 2 22 3 2 5" xfId="27781"/>
    <cellStyle name="Вывод 2 2 22 3 3" xfId="5115"/>
    <cellStyle name="Вывод 2 2 22 3 3 2" xfId="10298"/>
    <cellStyle name="Вывод 2 2 22 3 3 2 2" xfId="21224"/>
    <cellStyle name="Вывод 2 2 22 3 3 2 3" xfId="36585"/>
    <cellStyle name="Вывод 2 2 22 3 3 3" xfId="26185"/>
    <cellStyle name="Вывод 2 2 22 3 3 3 2" xfId="41546"/>
    <cellStyle name="Вывод 2 2 22 3 3 4" xfId="15661"/>
    <cellStyle name="Вывод 2 2 22 3 3 5" xfId="31136"/>
    <cellStyle name="Вывод 2 2 22 3 4" xfId="6675"/>
    <cellStyle name="Вывод 2 2 22 3 4 2" xfId="16183"/>
    <cellStyle name="Вывод 2 2 22 3 4 3" xfId="31650"/>
    <cellStyle name="Вывод 2 2 22 3 5" xfId="22563"/>
    <cellStyle name="Вывод 2 2 22 3 5 2" xfId="37924"/>
    <cellStyle name="Вывод 2 2 22 3 6" xfId="12006"/>
    <cellStyle name="Вывод 2 2 22 3 7" xfId="27514"/>
    <cellStyle name="Вывод 2 2 22 4" xfId="1065"/>
    <cellStyle name="Вывод 2 2 22 4 2" xfId="6322"/>
    <cellStyle name="Вывод 2 2 22 4 2 2" xfId="16542"/>
    <cellStyle name="Вывод 2 2 22 4 2 3" xfId="32009"/>
    <cellStyle name="Вывод 2 2 22 4 3" xfId="22210"/>
    <cellStyle name="Вывод 2 2 22 4 3 2" xfId="37571"/>
    <cellStyle name="Вывод 2 2 22 4 4" xfId="11647"/>
    <cellStyle name="Вывод 2 2 22 4 5" xfId="27161"/>
    <cellStyle name="Вывод 2 2 22 5" xfId="3018"/>
    <cellStyle name="Вывод 2 2 22 5 2" xfId="8213"/>
    <cellStyle name="Вывод 2 2 22 5 2 2" xfId="19139"/>
    <cellStyle name="Вывод 2 2 22 5 2 3" xfId="34500"/>
    <cellStyle name="Вывод 2 2 22 5 3" xfId="24101"/>
    <cellStyle name="Вывод 2 2 22 5 3 2" xfId="39462"/>
    <cellStyle name="Вывод 2 2 22 5 4" xfId="13576"/>
    <cellStyle name="Вывод 2 2 22 5 5" xfId="29052"/>
    <cellStyle name="Вывод 2 2 22 6" xfId="3947"/>
    <cellStyle name="Вывод 2 2 22 6 2" xfId="9134"/>
    <cellStyle name="Вывод 2 2 22 6 2 2" xfId="20061"/>
    <cellStyle name="Вывод 2 2 22 6 2 3" xfId="35422"/>
    <cellStyle name="Вывод 2 2 22 6 3" xfId="25022"/>
    <cellStyle name="Вывод 2 2 22 6 3 2" xfId="40383"/>
    <cellStyle name="Вывод 2 2 22 6 4" xfId="14498"/>
    <cellStyle name="Вывод 2 2 22 6 5" xfId="29973"/>
    <cellStyle name="Вывод 2 2 22 7" xfId="3268"/>
    <cellStyle name="Вывод 2 2 22 7 2" xfId="8462"/>
    <cellStyle name="Вывод 2 2 22 7 2 2" xfId="19389"/>
    <cellStyle name="Вывод 2 2 22 7 2 3" xfId="34750"/>
    <cellStyle name="Вывод 2 2 22 7 3" xfId="24350"/>
    <cellStyle name="Вывод 2 2 22 7 3 2" xfId="39711"/>
    <cellStyle name="Вывод 2 2 22 7 4" xfId="13826"/>
    <cellStyle name="Вывод 2 2 22 7 5" xfId="29301"/>
    <cellStyle name="Вывод 2 2 22 8" xfId="4846"/>
    <cellStyle name="Вывод 2 2 22 8 2" xfId="10033"/>
    <cellStyle name="Вывод 2 2 22 8 2 2" xfId="20960"/>
    <cellStyle name="Вывод 2 2 22 8 2 3" xfId="36321"/>
    <cellStyle name="Вывод 2 2 22 8 3" xfId="25921"/>
    <cellStyle name="Вывод 2 2 22 8 3 2" xfId="41282"/>
    <cellStyle name="Вывод 2 2 22 8 4" xfId="15397"/>
    <cellStyle name="Вывод 2 2 22 8 5" xfId="30872"/>
    <cellStyle name="Вывод 2 2 22 9" xfId="5706"/>
    <cellStyle name="Вывод 2 2 22 9 2" xfId="17185"/>
    <cellStyle name="Вывод 2 2 22 9 3" xfId="32652"/>
    <cellStyle name="Вывод 2 2 23" xfId="885"/>
    <cellStyle name="Вывод 2 2 23 10" xfId="11469"/>
    <cellStyle name="Вывод 2 2 23 11" xfId="26986"/>
    <cellStyle name="Вывод 2 2 23 2" xfId="1595"/>
    <cellStyle name="Вывод 2 2 23 2 2" xfId="1721"/>
    <cellStyle name="Вывод 2 2 23 2 2 2" xfId="6961"/>
    <cellStyle name="Вывод 2 2 23 2 2 2 2" xfId="17862"/>
    <cellStyle name="Вывод 2 2 23 2 2 2 3" xfId="33223"/>
    <cellStyle name="Вывод 2 2 23 2 2 3" xfId="22849"/>
    <cellStyle name="Вывод 2 2 23 2 2 3 2" xfId="38210"/>
    <cellStyle name="Вывод 2 2 23 2 2 4" xfId="12299"/>
    <cellStyle name="Вывод 2 2 23 2 2 5" xfId="27800"/>
    <cellStyle name="Вывод 2 2 23 2 3" xfId="5116"/>
    <cellStyle name="Вывод 2 2 23 2 3 2" xfId="10299"/>
    <cellStyle name="Вывод 2 2 23 2 3 2 2" xfId="21225"/>
    <cellStyle name="Вывод 2 2 23 2 3 2 3" xfId="36586"/>
    <cellStyle name="Вывод 2 2 23 2 3 3" xfId="26186"/>
    <cellStyle name="Вывод 2 2 23 2 3 3 2" xfId="41547"/>
    <cellStyle name="Вывод 2 2 23 2 3 4" xfId="15662"/>
    <cellStyle name="Вывод 2 2 23 2 3 5" xfId="31137"/>
    <cellStyle name="Вывод 2 2 23 2 4" xfId="6842"/>
    <cellStyle name="Вывод 2 2 23 2 4 2" xfId="17737"/>
    <cellStyle name="Вывод 2 2 23 2 4 3" xfId="33098"/>
    <cellStyle name="Вывод 2 2 23 2 5" xfId="22730"/>
    <cellStyle name="Вывод 2 2 23 2 5 2" xfId="38091"/>
    <cellStyle name="Вывод 2 2 23 2 6" xfId="12173"/>
    <cellStyle name="Вывод 2 2 23 2 7" xfId="27681"/>
    <cellStyle name="Вывод 2 2 23 3" xfId="2291"/>
    <cellStyle name="Вывод 2 2 23 3 2" xfId="7527"/>
    <cellStyle name="Вывод 2 2 23 3 2 2" xfId="18429"/>
    <cellStyle name="Вывод 2 2 23 3 2 3" xfId="33790"/>
    <cellStyle name="Вывод 2 2 23 3 3" xfId="23415"/>
    <cellStyle name="Вывод 2 2 23 3 3 2" xfId="38776"/>
    <cellStyle name="Вывод 2 2 23 3 4" xfId="12866"/>
    <cellStyle name="Вывод 2 2 23 3 5" xfId="28366"/>
    <cellStyle name="Вывод 2 2 23 4" xfId="2585"/>
    <cellStyle name="Вывод 2 2 23 4 2" xfId="7818"/>
    <cellStyle name="Вывод 2 2 23 4 2 2" xfId="18720"/>
    <cellStyle name="Вывод 2 2 23 4 2 3" xfId="34081"/>
    <cellStyle name="Вывод 2 2 23 4 3" xfId="23706"/>
    <cellStyle name="Вывод 2 2 23 4 3 2" xfId="39067"/>
    <cellStyle name="Вывод 2 2 23 4 4" xfId="13157"/>
    <cellStyle name="Вывод 2 2 23 4 5" xfId="28657"/>
    <cellStyle name="Вывод 2 2 23 5" xfId="3668"/>
    <cellStyle name="Вывод 2 2 23 5 2" xfId="8855"/>
    <cellStyle name="Вывод 2 2 23 5 2 2" xfId="19782"/>
    <cellStyle name="Вывод 2 2 23 5 2 3" xfId="35143"/>
    <cellStyle name="Вывод 2 2 23 5 3" xfId="24743"/>
    <cellStyle name="Вывод 2 2 23 5 3 2" xfId="40104"/>
    <cellStyle name="Вывод 2 2 23 5 4" xfId="14219"/>
    <cellStyle name="Вывод 2 2 23 5 5" xfId="29694"/>
    <cellStyle name="Вывод 2 2 23 6" xfId="4339"/>
    <cellStyle name="Вывод 2 2 23 6 2" xfId="9526"/>
    <cellStyle name="Вывод 2 2 23 6 2 2" xfId="20453"/>
    <cellStyle name="Вывод 2 2 23 6 2 3" xfId="35814"/>
    <cellStyle name="Вывод 2 2 23 6 3" xfId="25414"/>
    <cellStyle name="Вывод 2 2 23 6 3 2" xfId="40775"/>
    <cellStyle name="Вывод 2 2 23 6 4" xfId="14890"/>
    <cellStyle name="Вывод 2 2 23 6 5" xfId="30365"/>
    <cellStyle name="Вывод 2 2 23 7" xfId="4493"/>
    <cellStyle name="Вывод 2 2 23 7 2" xfId="9680"/>
    <cellStyle name="Вывод 2 2 23 7 2 2" xfId="20607"/>
    <cellStyle name="Вывод 2 2 23 7 2 3" xfId="35968"/>
    <cellStyle name="Вывод 2 2 23 7 3" xfId="25568"/>
    <cellStyle name="Вывод 2 2 23 7 3 2" xfId="40929"/>
    <cellStyle name="Вывод 2 2 23 7 4" xfId="15044"/>
    <cellStyle name="Вывод 2 2 23 7 5" xfId="30519"/>
    <cellStyle name="Вывод 2 2 23 8" xfId="6147"/>
    <cellStyle name="Вывод 2 2 23 8 2" xfId="16720"/>
    <cellStyle name="Вывод 2 2 23 8 3" xfId="32187"/>
    <cellStyle name="Вывод 2 2 23 9" xfId="22035"/>
    <cellStyle name="Вывод 2 2 23 9 2" xfId="37396"/>
    <cellStyle name="Вывод 2 2 24" xfId="1586"/>
    <cellStyle name="Вывод 2 2 24 2" xfId="2430"/>
    <cellStyle name="Вывод 2 2 24 2 2" xfId="7666"/>
    <cellStyle name="Вывод 2 2 24 2 2 2" xfId="18568"/>
    <cellStyle name="Вывод 2 2 24 2 2 3" xfId="33929"/>
    <cellStyle name="Вывод 2 2 24 2 3" xfId="23554"/>
    <cellStyle name="Вывод 2 2 24 2 3 2" xfId="38915"/>
    <cellStyle name="Вывод 2 2 24 2 4" xfId="13005"/>
    <cellStyle name="Вывод 2 2 24 2 5" xfId="28505"/>
    <cellStyle name="Вывод 2 2 24 3" xfId="5117"/>
    <cellStyle name="Вывод 2 2 24 3 2" xfId="10300"/>
    <cellStyle name="Вывод 2 2 24 3 2 2" xfId="21226"/>
    <cellStyle name="Вывод 2 2 24 3 2 3" xfId="36587"/>
    <cellStyle name="Вывод 2 2 24 3 3" xfId="26187"/>
    <cellStyle name="Вывод 2 2 24 3 3 2" xfId="41548"/>
    <cellStyle name="Вывод 2 2 24 3 4" xfId="15663"/>
    <cellStyle name="Вывод 2 2 24 3 5" xfId="31138"/>
    <cellStyle name="Вывод 2 2 24 4" xfId="6833"/>
    <cellStyle name="Вывод 2 2 24 4 2" xfId="17728"/>
    <cellStyle name="Вывод 2 2 24 4 3" xfId="33089"/>
    <cellStyle name="Вывод 2 2 24 5" xfId="22721"/>
    <cellStyle name="Вывод 2 2 24 5 2" xfId="38082"/>
    <cellStyle name="Вывод 2 2 24 6" xfId="12164"/>
    <cellStyle name="Вывод 2 2 24 7" xfId="27672"/>
    <cellStyle name="Вывод 2 2 25" xfId="947"/>
    <cellStyle name="Вывод 2 2 25 2" xfId="6209"/>
    <cellStyle name="Вывод 2 2 25 2 2" xfId="16658"/>
    <cellStyle name="Вывод 2 2 25 2 3" xfId="32125"/>
    <cellStyle name="Вывод 2 2 25 3" xfId="22097"/>
    <cellStyle name="Вывод 2 2 25 3 2" xfId="37458"/>
    <cellStyle name="Вывод 2 2 25 4" xfId="11531"/>
    <cellStyle name="Вывод 2 2 25 5" xfId="27048"/>
    <cellStyle name="Вывод 2 2 26" xfId="3046"/>
    <cellStyle name="Вывод 2 2 26 2" xfId="8241"/>
    <cellStyle name="Вывод 2 2 26 2 2" xfId="19167"/>
    <cellStyle name="Вывод 2 2 26 2 3" xfId="34528"/>
    <cellStyle name="Вывод 2 2 26 3" xfId="24129"/>
    <cellStyle name="Вывод 2 2 26 3 2" xfId="39490"/>
    <cellStyle name="Вывод 2 2 26 4" xfId="13604"/>
    <cellStyle name="Вывод 2 2 26 5" xfId="29080"/>
    <cellStyle name="Вывод 2 2 27" xfId="3203"/>
    <cellStyle name="Вывод 2 2 27 2" xfId="8398"/>
    <cellStyle name="Вывод 2 2 27 2 2" xfId="19324"/>
    <cellStyle name="Вывод 2 2 27 2 3" xfId="34685"/>
    <cellStyle name="Вывод 2 2 27 3" xfId="24286"/>
    <cellStyle name="Вывод 2 2 27 3 2" xfId="39647"/>
    <cellStyle name="Вывод 2 2 27 4" xfId="13761"/>
    <cellStyle name="Вывод 2 2 27 5" xfId="29237"/>
    <cellStyle name="Вывод 2 2 27 6" xfId="45299"/>
    <cellStyle name="Вывод 2 2 28" xfId="3261"/>
    <cellStyle name="Вывод 2 2 28 2" xfId="8455"/>
    <cellStyle name="Вывод 2 2 28 2 2" xfId="19382"/>
    <cellStyle name="Вывод 2 2 28 2 3" xfId="34743"/>
    <cellStyle name="Вывод 2 2 28 3" xfId="24343"/>
    <cellStyle name="Вывод 2 2 28 3 2" xfId="39704"/>
    <cellStyle name="Вывод 2 2 28 4" xfId="13819"/>
    <cellStyle name="Вывод 2 2 28 5" xfId="29294"/>
    <cellStyle name="Вывод 2 2 28 6" xfId="46202"/>
    <cellStyle name="Вывод 2 2 29" xfId="4839"/>
    <cellStyle name="Вывод 2 2 29 2" xfId="10026"/>
    <cellStyle name="Вывод 2 2 29 2 2" xfId="20953"/>
    <cellStyle name="Вывод 2 2 29 2 3" xfId="36314"/>
    <cellStyle name="Вывод 2 2 29 3" xfId="25914"/>
    <cellStyle name="Вывод 2 2 29 3 2" xfId="41275"/>
    <cellStyle name="Вывод 2 2 29 4" xfId="15390"/>
    <cellStyle name="Вывод 2 2 29 5" xfId="30865"/>
    <cellStyle name="Вывод 2 2 3" xfId="316"/>
    <cellStyle name="Вывод 2 2 3 10" xfId="17299"/>
    <cellStyle name="Вывод 2 2 3 10 2" xfId="32766"/>
    <cellStyle name="Вывод 2 2 3 11" xfId="11002"/>
    <cellStyle name="Вывод 2 2 3 12" xfId="10888"/>
    <cellStyle name="Вывод 2 2 3 13" xfId="43815"/>
    <cellStyle name="Вывод 2 2 3 2" xfId="944"/>
    <cellStyle name="Вывод 2 2 3 2 10" xfId="11528"/>
    <cellStyle name="Вывод 2 2 3 2 11" xfId="27045"/>
    <cellStyle name="Вывод 2 2 3 2 12" xfId="43990"/>
    <cellStyle name="Вывод 2 2 3 2 2" xfId="1049"/>
    <cellStyle name="Вывод 2 2 3 2 2 2" xfId="1018"/>
    <cellStyle name="Вывод 2 2 3 2 2 2 2" xfId="6276"/>
    <cellStyle name="Вывод 2 2 3 2 2 2 2 2" xfId="16588"/>
    <cellStyle name="Вывод 2 2 3 2 2 2 2 3" xfId="32055"/>
    <cellStyle name="Вывод 2 2 3 2 2 2 3" xfId="22164"/>
    <cellStyle name="Вывод 2 2 3 2 2 2 3 2" xfId="37525"/>
    <cellStyle name="Вывод 2 2 3 2 2 2 4" xfId="11601"/>
    <cellStyle name="Вывод 2 2 3 2 2 2 5" xfId="27115"/>
    <cellStyle name="Вывод 2 2 3 2 2 3" xfId="5118"/>
    <cellStyle name="Вывод 2 2 3 2 2 3 2" xfId="10301"/>
    <cellStyle name="Вывод 2 2 3 2 2 3 2 2" xfId="21227"/>
    <cellStyle name="Вывод 2 2 3 2 2 3 2 3" xfId="36588"/>
    <cellStyle name="Вывод 2 2 3 2 2 3 3" xfId="26188"/>
    <cellStyle name="Вывод 2 2 3 2 2 3 3 2" xfId="41549"/>
    <cellStyle name="Вывод 2 2 3 2 2 3 4" xfId="15664"/>
    <cellStyle name="Вывод 2 2 3 2 2 3 5" xfId="31139"/>
    <cellStyle name="Вывод 2 2 3 2 2 4" xfId="6306"/>
    <cellStyle name="Вывод 2 2 3 2 2 4 2" xfId="16558"/>
    <cellStyle name="Вывод 2 2 3 2 2 4 3" xfId="32025"/>
    <cellStyle name="Вывод 2 2 3 2 2 5" xfId="22194"/>
    <cellStyle name="Вывод 2 2 3 2 2 5 2" xfId="37555"/>
    <cellStyle name="Вывод 2 2 3 2 2 6" xfId="11631"/>
    <cellStyle name="Вывод 2 2 3 2 2 7" xfId="27145"/>
    <cellStyle name="Вывод 2 2 3 2 3" xfId="2350"/>
    <cellStyle name="Вывод 2 2 3 2 3 2" xfId="7586"/>
    <cellStyle name="Вывод 2 2 3 2 3 2 2" xfId="18488"/>
    <cellStyle name="Вывод 2 2 3 2 3 2 3" xfId="33849"/>
    <cellStyle name="Вывод 2 2 3 2 3 3" xfId="23474"/>
    <cellStyle name="Вывод 2 2 3 2 3 3 2" xfId="38835"/>
    <cellStyle name="Вывод 2 2 3 2 3 4" xfId="12925"/>
    <cellStyle name="Вывод 2 2 3 2 3 5" xfId="28425"/>
    <cellStyle name="Вывод 2 2 3 2 4" xfId="3493"/>
    <cellStyle name="Вывод 2 2 3 2 4 2" xfId="8680"/>
    <cellStyle name="Вывод 2 2 3 2 4 2 2" xfId="19607"/>
    <cellStyle name="Вывод 2 2 3 2 4 2 3" xfId="34968"/>
    <cellStyle name="Вывод 2 2 3 2 4 3" xfId="24568"/>
    <cellStyle name="Вывод 2 2 3 2 4 3 2" xfId="39929"/>
    <cellStyle name="Вывод 2 2 3 2 4 4" xfId="14044"/>
    <cellStyle name="Вывод 2 2 3 2 4 5" xfId="29519"/>
    <cellStyle name="Вывод 2 2 3 2 5" xfId="3695"/>
    <cellStyle name="Вывод 2 2 3 2 5 2" xfId="8882"/>
    <cellStyle name="Вывод 2 2 3 2 5 2 2" xfId="19809"/>
    <cellStyle name="Вывод 2 2 3 2 5 2 3" xfId="35170"/>
    <cellStyle name="Вывод 2 2 3 2 5 3" xfId="24770"/>
    <cellStyle name="Вывод 2 2 3 2 5 3 2" xfId="40131"/>
    <cellStyle name="Вывод 2 2 3 2 5 4" xfId="14246"/>
    <cellStyle name="Вывод 2 2 3 2 5 5" xfId="29721"/>
    <cellStyle name="Вывод 2 2 3 2 5 6" xfId="45352"/>
    <cellStyle name="Вывод 2 2 3 2 6" xfId="4398"/>
    <cellStyle name="Вывод 2 2 3 2 6 2" xfId="9585"/>
    <cellStyle name="Вывод 2 2 3 2 6 2 2" xfId="20512"/>
    <cellStyle name="Вывод 2 2 3 2 6 2 3" xfId="35873"/>
    <cellStyle name="Вывод 2 2 3 2 6 3" xfId="25473"/>
    <cellStyle name="Вывод 2 2 3 2 6 3 2" xfId="40834"/>
    <cellStyle name="Вывод 2 2 3 2 6 4" xfId="14949"/>
    <cellStyle name="Вывод 2 2 3 2 6 5" xfId="30424"/>
    <cellStyle name="Вывод 2 2 3 2 6 6" xfId="46209"/>
    <cellStyle name="Вывод 2 2 3 2 7" xfId="4437"/>
    <cellStyle name="Вывод 2 2 3 2 7 2" xfId="9624"/>
    <cellStyle name="Вывод 2 2 3 2 7 2 2" xfId="20551"/>
    <cellStyle name="Вывод 2 2 3 2 7 2 3" xfId="35912"/>
    <cellStyle name="Вывод 2 2 3 2 7 3" xfId="25512"/>
    <cellStyle name="Вывод 2 2 3 2 7 3 2" xfId="40873"/>
    <cellStyle name="Вывод 2 2 3 2 7 4" xfId="14988"/>
    <cellStyle name="Вывод 2 2 3 2 7 5" xfId="30463"/>
    <cellStyle name="Вывод 2 2 3 2 8" xfId="6206"/>
    <cellStyle name="Вывод 2 2 3 2 8 2" xfId="16661"/>
    <cellStyle name="Вывод 2 2 3 2 8 3" xfId="32128"/>
    <cellStyle name="Вывод 2 2 3 2 9" xfId="22094"/>
    <cellStyle name="Вывод 2 2 3 2 9 2" xfId="37455"/>
    <cellStyle name="Вывод 2 2 3 3" xfId="1211"/>
    <cellStyle name="Вывод 2 2 3 3 2" xfId="2431"/>
    <cellStyle name="Вывод 2 2 3 3 2 2" xfId="7667"/>
    <cellStyle name="Вывод 2 2 3 3 2 2 2" xfId="18569"/>
    <cellStyle name="Вывод 2 2 3 3 2 2 3" xfId="33930"/>
    <cellStyle name="Вывод 2 2 3 3 2 3" xfId="23555"/>
    <cellStyle name="Вывод 2 2 3 3 2 3 2" xfId="38916"/>
    <cellStyle name="Вывод 2 2 3 3 2 4" xfId="13006"/>
    <cellStyle name="Вывод 2 2 3 3 2 5" xfId="28506"/>
    <cellStyle name="Вывод 2 2 3 3 3" xfId="5119"/>
    <cellStyle name="Вывод 2 2 3 3 3 2" xfId="10302"/>
    <cellStyle name="Вывод 2 2 3 3 3 2 2" xfId="21228"/>
    <cellStyle name="Вывод 2 2 3 3 3 2 3" xfId="36589"/>
    <cellStyle name="Вывод 2 2 3 3 3 3" xfId="26189"/>
    <cellStyle name="Вывод 2 2 3 3 3 3 2" xfId="41550"/>
    <cellStyle name="Вывод 2 2 3 3 3 4" xfId="15665"/>
    <cellStyle name="Вывод 2 2 3 3 3 5" xfId="31140"/>
    <cellStyle name="Вывод 2 2 3 3 4" xfId="6464"/>
    <cellStyle name="Вывод 2 2 3 3 4 2" xfId="16397"/>
    <cellStyle name="Вывод 2 2 3 3 4 3" xfId="31864"/>
    <cellStyle name="Вывод 2 2 3 3 5" xfId="22352"/>
    <cellStyle name="Вывод 2 2 3 3 5 2" xfId="37713"/>
    <cellStyle name="Вывод 2 2 3 3 6" xfId="11792"/>
    <cellStyle name="Вывод 2 2 3 3 7" xfId="27303"/>
    <cellStyle name="Вывод 2 2 3 4" xfId="1758"/>
    <cellStyle name="Вывод 2 2 3 4 2" xfId="6997"/>
    <cellStyle name="Вывод 2 2 3 4 2 2" xfId="17899"/>
    <cellStyle name="Вывод 2 2 3 4 2 3" xfId="33260"/>
    <cellStyle name="Вывод 2 2 3 4 3" xfId="22885"/>
    <cellStyle name="Вывод 2 2 3 4 3 2" xfId="38246"/>
    <cellStyle name="Вывод 2 2 3 4 4" xfId="12336"/>
    <cellStyle name="Вывод 2 2 3 4 5" xfId="27836"/>
    <cellStyle name="Вывод 2 2 3 5" xfId="3017"/>
    <cellStyle name="Вывод 2 2 3 5 2" xfId="8212"/>
    <cellStyle name="Вывод 2 2 3 5 2 2" xfId="19138"/>
    <cellStyle name="Вывод 2 2 3 5 2 3" xfId="34499"/>
    <cellStyle name="Вывод 2 2 3 5 3" xfId="24100"/>
    <cellStyle name="Вывод 2 2 3 5 3 2" xfId="39461"/>
    <cellStyle name="Вывод 2 2 3 5 4" xfId="13575"/>
    <cellStyle name="Вывод 2 2 3 5 5" xfId="29051"/>
    <cellStyle name="Вывод 2 2 3 6" xfId="3516"/>
    <cellStyle name="Вывод 2 2 3 6 2" xfId="8703"/>
    <cellStyle name="Вывод 2 2 3 6 2 2" xfId="19630"/>
    <cellStyle name="Вывод 2 2 3 6 2 3" xfId="34991"/>
    <cellStyle name="Вывод 2 2 3 6 3" xfId="24591"/>
    <cellStyle name="Вывод 2 2 3 6 3 2" xfId="39952"/>
    <cellStyle name="Вывод 2 2 3 6 4" xfId="14067"/>
    <cellStyle name="Вывод 2 2 3 6 5" xfId="29542"/>
    <cellStyle name="Вывод 2 2 3 6 6" xfId="45301"/>
    <cellStyle name="Вывод 2 2 3 7" xfId="3886"/>
    <cellStyle name="Вывод 2 2 3 7 2" xfId="9073"/>
    <cellStyle name="Вывод 2 2 3 7 2 2" xfId="20000"/>
    <cellStyle name="Вывод 2 2 3 7 2 3" xfId="35361"/>
    <cellStyle name="Вывод 2 2 3 7 3" xfId="24961"/>
    <cellStyle name="Вывод 2 2 3 7 3 2" xfId="40322"/>
    <cellStyle name="Вывод 2 2 3 7 4" xfId="14437"/>
    <cellStyle name="Вывод 2 2 3 7 5" xfId="29912"/>
    <cellStyle name="Вывод 2 2 3 7 6" xfId="46208"/>
    <cellStyle name="Вывод 2 2 3 8" xfId="4775"/>
    <cellStyle name="Вывод 2 2 3 8 2" xfId="9962"/>
    <cellStyle name="Вывод 2 2 3 8 2 2" xfId="20889"/>
    <cellStyle name="Вывод 2 2 3 8 2 3" xfId="36250"/>
    <cellStyle name="Вывод 2 2 3 8 3" xfId="25850"/>
    <cellStyle name="Вывод 2 2 3 8 3 2" xfId="41211"/>
    <cellStyle name="Вывод 2 2 3 8 4" xfId="15326"/>
    <cellStyle name="Вывод 2 2 3 8 5" xfId="30801"/>
    <cellStyle name="Вывод 2 2 3 9" xfId="5707"/>
    <cellStyle name="Вывод 2 2 3 9 2" xfId="17184"/>
    <cellStyle name="Вывод 2 2 3 9 3" xfId="32651"/>
    <cellStyle name="Вывод 2 2 30" xfId="5692"/>
    <cellStyle name="Вывод 2 2 30 2" xfId="17199"/>
    <cellStyle name="Вывод 2 2 30 3" xfId="32666"/>
    <cellStyle name="Вывод 2 2 31" xfId="17821"/>
    <cellStyle name="Вывод 2 2 31 2" xfId="33182"/>
    <cellStyle name="Вывод 2 2 32" xfId="10987"/>
    <cellStyle name="Вывод 2 2 33" xfId="10897"/>
    <cellStyle name="Вывод 2 2 34" xfId="43813"/>
    <cellStyle name="Вывод 2 2 4" xfId="317"/>
    <cellStyle name="Вывод 2 2 4 10" xfId="17755"/>
    <cellStyle name="Вывод 2 2 4 10 2" xfId="33116"/>
    <cellStyle name="Вывод 2 2 4 11" xfId="11003"/>
    <cellStyle name="Вывод 2 2 4 12" xfId="10887"/>
    <cellStyle name="Вывод 2 2 4 13" xfId="43988"/>
    <cellStyle name="Вывод 2 2 4 2" xfId="943"/>
    <cellStyle name="Вывод 2 2 4 2 10" xfId="11527"/>
    <cellStyle name="Вывод 2 2 4 2 11" xfId="27044"/>
    <cellStyle name="Вывод 2 2 4 2 2" xfId="1661"/>
    <cellStyle name="Вывод 2 2 4 2 2 2" xfId="2060"/>
    <cellStyle name="Вывод 2 2 4 2 2 2 2" xfId="7296"/>
    <cellStyle name="Вывод 2 2 4 2 2 2 2 2" xfId="18198"/>
    <cellStyle name="Вывод 2 2 4 2 2 2 2 3" xfId="33559"/>
    <cellStyle name="Вывод 2 2 4 2 2 2 3" xfId="23184"/>
    <cellStyle name="Вывод 2 2 4 2 2 2 3 2" xfId="38545"/>
    <cellStyle name="Вывод 2 2 4 2 2 2 4" xfId="12635"/>
    <cellStyle name="Вывод 2 2 4 2 2 2 5" xfId="28135"/>
    <cellStyle name="Вывод 2 2 4 2 2 3" xfId="5120"/>
    <cellStyle name="Вывод 2 2 4 2 2 3 2" xfId="10303"/>
    <cellStyle name="Вывод 2 2 4 2 2 3 2 2" xfId="21229"/>
    <cellStyle name="Вывод 2 2 4 2 2 3 2 3" xfId="36590"/>
    <cellStyle name="Вывод 2 2 4 2 2 3 3" xfId="26190"/>
    <cellStyle name="Вывод 2 2 4 2 2 3 3 2" xfId="41551"/>
    <cellStyle name="Вывод 2 2 4 2 2 3 4" xfId="15666"/>
    <cellStyle name="Вывод 2 2 4 2 2 3 5" xfId="31141"/>
    <cellStyle name="Вывод 2 2 4 2 2 4" xfId="6907"/>
    <cellStyle name="Вывод 2 2 4 2 2 4 2" xfId="17803"/>
    <cellStyle name="Вывод 2 2 4 2 2 4 3" xfId="33164"/>
    <cellStyle name="Вывод 2 2 4 2 2 5" xfId="22795"/>
    <cellStyle name="Вывод 2 2 4 2 2 5 2" xfId="38156"/>
    <cellStyle name="Вывод 2 2 4 2 2 6" xfId="12239"/>
    <cellStyle name="Вывод 2 2 4 2 2 7" xfId="27746"/>
    <cellStyle name="Вывод 2 2 4 2 3" xfId="2349"/>
    <cellStyle name="Вывод 2 2 4 2 3 2" xfId="7585"/>
    <cellStyle name="Вывод 2 2 4 2 3 2 2" xfId="18487"/>
    <cellStyle name="Вывод 2 2 4 2 3 2 3" xfId="33848"/>
    <cellStyle name="Вывод 2 2 4 2 3 3" xfId="23473"/>
    <cellStyle name="Вывод 2 2 4 2 3 3 2" xfId="38834"/>
    <cellStyle name="Вывод 2 2 4 2 3 4" xfId="12924"/>
    <cellStyle name="Вывод 2 2 4 2 3 5" xfId="28424"/>
    <cellStyle name="Вывод 2 2 4 2 4" xfId="3492"/>
    <cellStyle name="Вывод 2 2 4 2 4 2" xfId="8679"/>
    <cellStyle name="Вывод 2 2 4 2 4 2 2" xfId="19606"/>
    <cellStyle name="Вывод 2 2 4 2 4 2 3" xfId="34967"/>
    <cellStyle name="Вывод 2 2 4 2 4 3" xfId="24567"/>
    <cellStyle name="Вывод 2 2 4 2 4 3 2" xfId="39928"/>
    <cellStyle name="Вывод 2 2 4 2 4 4" xfId="14043"/>
    <cellStyle name="Вывод 2 2 4 2 4 5" xfId="29518"/>
    <cellStyle name="Вывод 2 2 4 2 5" xfId="3729"/>
    <cellStyle name="Вывод 2 2 4 2 5 2" xfId="8916"/>
    <cellStyle name="Вывод 2 2 4 2 5 2 2" xfId="19843"/>
    <cellStyle name="Вывод 2 2 4 2 5 2 3" xfId="35204"/>
    <cellStyle name="Вывод 2 2 4 2 5 3" xfId="24804"/>
    <cellStyle name="Вывод 2 2 4 2 5 3 2" xfId="40165"/>
    <cellStyle name="Вывод 2 2 4 2 5 4" xfId="14280"/>
    <cellStyle name="Вывод 2 2 4 2 5 5" xfId="29755"/>
    <cellStyle name="Вывод 2 2 4 2 6" xfId="4397"/>
    <cellStyle name="Вывод 2 2 4 2 6 2" xfId="9584"/>
    <cellStyle name="Вывод 2 2 4 2 6 2 2" xfId="20511"/>
    <cellStyle name="Вывод 2 2 4 2 6 2 3" xfId="35872"/>
    <cellStyle name="Вывод 2 2 4 2 6 3" xfId="25472"/>
    <cellStyle name="Вывод 2 2 4 2 6 3 2" xfId="40833"/>
    <cellStyle name="Вывод 2 2 4 2 6 4" xfId="14948"/>
    <cellStyle name="Вывод 2 2 4 2 6 5" xfId="30423"/>
    <cellStyle name="Вывод 2 2 4 2 7" xfId="4438"/>
    <cellStyle name="Вывод 2 2 4 2 7 2" xfId="9625"/>
    <cellStyle name="Вывод 2 2 4 2 7 2 2" xfId="20552"/>
    <cellStyle name="Вывод 2 2 4 2 7 2 3" xfId="35913"/>
    <cellStyle name="Вывод 2 2 4 2 7 3" xfId="25513"/>
    <cellStyle name="Вывод 2 2 4 2 7 3 2" xfId="40874"/>
    <cellStyle name="Вывод 2 2 4 2 7 4" xfId="14989"/>
    <cellStyle name="Вывод 2 2 4 2 7 5" xfId="30464"/>
    <cellStyle name="Вывод 2 2 4 2 8" xfId="6205"/>
    <cellStyle name="Вывод 2 2 4 2 8 2" xfId="16662"/>
    <cellStyle name="Вывод 2 2 4 2 8 3" xfId="32129"/>
    <cellStyle name="Вывод 2 2 4 2 9" xfId="22093"/>
    <cellStyle name="Вывод 2 2 4 2 9 2" xfId="37454"/>
    <cellStyle name="Вывод 2 2 4 3" xfId="1315"/>
    <cellStyle name="Вывод 2 2 4 3 2" xfId="2432"/>
    <cellStyle name="Вывод 2 2 4 3 2 2" xfId="7668"/>
    <cellStyle name="Вывод 2 2 4 3 2 2 2" xfId="18570"/>
    <cellStyle name="Вывод 2 2 4 3 2 2 3" xfId="33931"/>
    <cellStyle name="Вывод 2 2 4 3 2 3" xfId="23556"/>
    <cellStyle name="Вывод 2 2 4 3 2 3 2" xfId="38917"/>
    <cellStyle name="Вывод 2 2 4 3 2 4" xfId="13007"/>
    <cellStyle name="Вывод 2 2 4 3 2 5" xfId="28507"/>
    <cellStyle name="Вывод 2 2 4 3 3" xfId="5121"/>
    <cellStyle name="Вывод 2 2 4 3 3 2" xfId="10304"/>
    <cellStyle name="Вывод 2 2 4 3 3 2 2" xfId="21230"/>
    <cellStyle name="Вывод 2 2 4 3 3 2 3" xfId="36591"/>
    <cellStyle name="Вывод 2 2 4 3 3 3" xfId="26191"/>
    <cellStyle name="Вывод 2 2 4 3 3 3 2" xfId="41552"/>
    <cellStyle name="Вывод 2 2 4 3 3 4" xfId="15667"/>
    <cellStyle name="Вывод 2 2 4 3 3 5" xfId="31142"/>
    <cellStyle name="Вывод 2 2 4 3 4" xfId="6568"/>
    <cellStyle name="Вывод 2 2 4 3 4 2" xfId="16293"/>
    <cellStyle name="Вывод 2 2 4 3 4 3" xfId="31760"/>
    <cellStyle name="Вывод 2 2 4 3 5" xfId="22456"/>
    <cellStyle name="Вывод 2 2 4 3 5 2" xfId="37817"/>
    <cellStyle name="Вывод 2 2 4 3 6" xfId="11896"/>
    <cellStyle name="Вывод 2 2 4 3 7" xfId="27407"/>
    <cellStyle name="Вывод 2 2 4 4" xfId="999"/>
    <cellStyle name="Вывод 2 2 4 4 2" xfId="6258"/>
    <cellStyle name="Вывод 2 2 4 4 2 2" xfId="16607"/>
    <cellStyle name="Вывод 2 2 4 4 2 3" xfId="32074"/>
    <cellStyle name="Вывод 2 2 4 4 3" xfId="22146"/>
    <cellStyle name="Вывод 2 2 4 4 3 2" xfId="37507"/>
    <cellStyle name="Вывод 2 2 4 4 4" xfId="11582"/>
    <cellStyle name="Вывод 2 2 4 4 5" xfId="27097"/>
    <cellStyle name="Вывод 2 2 4 5" xfId="3014"/>
    <cellStyle name="Вывод 2 2 4 5 2" xfId="8209"/>
    <cellStyle name="Вывод 2 2 4 5 2 2" xfId="19135"/>
    <cellStyle name="Вывод 2 2 4 5 2 3" xfId="34496"/>
    <cellStyle name="Вывод 2 2 4 5 3" xfId="24097"/>
    <cellStyle name="Вывод 2 2 4 5 3 2" xfId="39458"/>
    <cellStyle name="Вывод 2 2 4 5 4" xfId="13572"/>
    <cellStyle name="Вывод 2 2 4 5 5" xfId="29048"/>
    <cellStyle name="Вывод 2 2 4 6" xfId="3195"/>
    <cellStyle name="Вывод 2 2 4 6 2" xfId="8390"/>
    <cellStyle name="Вывод 2 2 4 6 2 2" xfId="19316"/>
    <cellStyle name="Вывод 2 2 4 6 2 3" xfId="34677"/>
    <cellStyle name="Вывод 2 2 4 6 3" xfId="24278"/>
    <cellStyle name="Вывод 2 2 4 6 3 2" xfId="39639"/>
    <cellStyle name="Вывод 2 2 4 6 4" xfId="13753"/>
    <cellStyle name="Вывод 2 2 4 6 5" xfId="29229"/>
    <cellStyle name="Вывод 2 2 4 6 6" xfId="45350"/>
    <cellStyle name="Вывод 2 2 4 7" xfId="3699"/>
    <cellStyle name="Вывод 2 2 4 7 2" xfId="8886"/>
    <cellStyle name="Вывод 2 2 4 7 2 2" xfId="19813"/>
    <cellStyle name="Вывод 2 2 4 7 2 3" xfId="35174"/>
    <cellStyle name="Вывод 2 2 4 7 3" xfId="24774"/>
    <cellStyle name="Вывод 2 2 4 7 3 2" xfId="40135"/>
    <cellStyle name="Вывод 2 2 4 7 4" xfId="14250"/>
    <cellStyle name="Вывод 2 2 4 7 5" xfId="29725"/>
    <cellStyle name="Вывод 2 2 4 8" xfId="4847"/>
    <cellStyle name="Вывод 2 2 4 8 2" xfId="10034"/>
    <cellStyle name="Вывод 2 2 4 8 2 2" xfId="20961"/>
    <cellStyle name="Вывод 2 2 4 8 2 3" xfId="36322"/>
    <cellStyle name="Вывод 2 2 4 8 3" xfId="25922"/>
    <cellStyle name="Вывод 2 2 4 8 3 2" xfId="41283"/>
    <cellStyle name="Вывод 2 2 4 8 4" xfId="15398"/>
    <cellStyle name="Вывод 2 2 4 8 5" xfId="30873"/>
    <cellStyle name="Вывод 2 2 4 9" xfId="5708"/>
    <cellStyle name="Вывод 2 2 4 9 2" xfId="17183"/>
    <cellStyle name="Вывод 2 2 4 9 3" xfId="32650"/>
    <cellStyle name="Вывод 2 2 5" xfId="318"/>
    <cellStyle name="Вывод 2 2 5 10" xfId="18758"/>
    <cellStyle name="Вывод 2 2 5 10 2" xfId="34119"/>
    <cellStyle name="Вывод 2 2 5 11" xfId="11004"/>
    <cellStyle name="Вывод 2 2 5 12" xfId="10886"/>
    <cellStyle name="Вывод 2 2 5 2" xfId="872"/>
    <cellStyle name="Вывод 2 2 5 2 10" xfId="11456"/>
    <cellStyle name="Вывод 2 2 5 2 11" xfId="26973"/>
    <cellStyle name="Вывод 2 2 5 2 2" xfId="1171"/>
    <cellStyle name="Вывод 2 2 5 2 2 2" xfId="2061"/>
    <cellStyle name="Вывод 2 2 5 2 2 2 2" xfId="7297"/>
    <cellStyle name="Вывод 2 2 5 2 2 2 2 2" xfId="18199"/>
    <cellStyle name="Вывод 2 2 5 2 2 2 2 3" xfId="33560"/>
    <cellStyle name="Вывод 2 2 5 2 2 2 3" xfId="23185"/>
    <cellStyle name="Вывод 2 2 5 2 2 2 3 2" xfId="38546"/>
    <cellStyle name="Вывод 2 2 5 2 2 2 4" xfId="12636"/>
    <cellStyle name="Вывод 2 2 5 2 2 2 5" xfId="28136"/>
    <cellStyle name="Вывод 2 2 5 2 2 3" xfId="5122"/>
    <cellStyle name="Вывод 2 2 5 2 2 3 2" xfId="10305"/>
    <cellStyle name="Вывод 2 2 5 2 2 3 2 2" xfId="21231"/>
    <cellStyle name="Вывод 2 2 5 2 2 3 2 3" xfId="36592"/>
    <cellStyle name="Вывод 2 2 5 2 2 3 3" xfId="26192"/>
    <cellStyle name="Вывод 2 2 5 2 2 3 3 2" xfId="41553"/>
    <cellStyle name="Вывод 2 2 5 2 2 3 4" xfId="15668"/>
    <cellStyle name="Вывод 2 2 5 2 2 3 5" xfId="31143"/>
    <cellStyle name="Вывод 2 2 5 2 2 4" xfId="6425"/>
    <cellStyle name="Вывод 2 2 5 2 2 4 2" xfId="16437"/>
    <cellStyle name="Вывод 2 2 5 2 2 4 3" xfId="31904"/>
    <cellStyle name="Вывод 2 2 5 2 2 5" xfId="22313"/>
    <cellStyle name="Вывод 2 2 5 2 2 5 2" xfId="37674"/>
    <cellStyle name="Вывод 2 2 5 2 2 6" xfId="11752"/>
    <cellStyle name="Вывод 2 2 5 2 2 7" xfId="27264"/>
    <cellStyle name="Вывод 2 2 5 2 3" xfId="2278"/>
    <cellStyle name="Вывод 2 2 5 2 3 2" xfId="7514"/>
    <cellStyle name="Вывод 2 2 5 2 3 2 2" xfId="18416"/>
    <cellStyle name="Вывод 2 2 5 2 3 2 3" xfId="33777"/>
    <cellStyle name="Вывод 2 2 5 2 3 3" xfId="23402"/>
    <cellStyle name="Вывод 2 2 5 2 3 3 2" xfId="38763"/>
    <cellStyle name="Вывод 2 2 5 2 3 4" xfId="12853"/>
    <cellStyle name="Вывод 2 2 5 2 3 5" xfId="28353"/>
    <cellStyle name="Вывод 2 2 5 2 4" xfId="2851"/>
    <cellStyle name="Вывод 2 2 5 2 4 2" xfId="8061"/>
    <cellStyle name="Вывод 2 2 5 2 4 2 2" xfId="18981"/>
    <cellStyle name="Вывод 2 2 5 2 4 2 3" xfId="34342"/>
    <cellStyle name="Вывод 2 2 5 2 4 3" xfId="23949"/>
    <cellStyle name="Вывод 2 2 5 2 4 3 2" xfId="39310"/>
    <cellStyle name="Вывод 2 2 5 2 4 4" xfId="13418"/>
    <cellStyle name="Вывод 2 2 5 2 4 5" xfId="28900"/>
    <cellStyle name="Вывод 2 2 5 2 5" xfId="3761"/>
    <cellStyle name="Вывод 2 2 5 2 5 2" xfId="8948"/>
    <cellStyle name="Вывод 2 2 5 2 5 2 2" xfId="19875"/>
    <cellStyle name="Вывод 2 2 5 2 5 2 3" xfId="35236"/>
    <cellStyle name="Вывод 2 2 5 2 5 3" xfId="24836"/>
    <cellStyle name="Вывод 2 2 5 2 5 3 2" xfId="40197"/>
    <cellStyle name="Вывод 2 2 5 2 5 4" xfId="14312"/>
    <cellStyle name="Вывод 2 2 5 2 5 5" xfId="29787"/>
    <cellStyle name="Вывод 2 2 5 2 6" xfId="4326"/>
    <cellStyle name="Вывод 2 2 5 2 6 2" xfId="9513"/>
    <cellStyle name="Вывод 2 2 5 2 6 2 2" xfId="20440"/>
    <cellStyle name="Вывод 2 2 5 2 6 2 3" xfId="35801"/>
    <cellStyle name="Вывод 2 2 5 2 6 3" xfId="25401"/>
    <cellStyle name="Вывод 2 2 5 2 6 3 2" xfId="40762"/>
    <cellStyle name="Вывод 2 2 5 2 6 4" xfId="14877"/>
    <cellStyle name="Вывод 2 2 5 2 6 5" xfId="30352"/>
    <cellStyle name="Вывод 2 2 5 2 7" xfId="4503"/>
    <cellStyle name="Вывод 2 2 5 2 7 2" xfId="9690"/>
    <cellStyle name="Вывод 2 2 5 2 7 2 2" xfId="20617"/>
    <cellStyle name="Вывод 2 2 5 2 7 2 3" xfId="35978"/>
    <cellStyle name="Вывод 2 2 5 2 7 3" xfId="25578"/>
    <cellStyle name="Вывод 2 2 5 2 7 3 2" xfId="40939"/>
    <cellStyle name="Вывод 2 2 5 2 7 4" xfId="15054"/>
    <cellStyle name="Вывод 2 2 5 2 7 5" xfId="30529"/>
    <cellStyle name="Вывод 2 2 5 2 8" xfId="6134"/>
    <cellStyle name="Вывод 2 2 5 2 8 2" xfId="16733"/>
    <cellStyle name="Вывод 2 2 5 2 8 3" xfId="32200"/>
    <cellStyle name="Вывод 2 2 5 2 9" xfId="22022"/>
    <cellStyle name="Вывод 2 2 5 2 9 2" xfId="37383"/>
    <cellStyle name="Вывод 2 2 5 3" xfId="1277"/>
    <cellStyle name="Вывод 2 2 5 3 2" xfId="2434"/>
    <cellStyle name="Вывод 2 2 5 3 2 2" xfId="7670"/>
    <cellStyle name="Вывод 2 2 5 3 2 2 2" xfId="18572"/>
    <cellStyle name="Вывод 2 2 5 3 2 2 3" xfId="33933"/>
    <cellStyle name="Вывод 2 2 5 3 2 3" xfId="23558"/>
    <cellStyle name="Вывод 2 2 5 3 2 3 2" xfId="38919"/>
    <cellStyle name="Вывод 2 2 5 3 2 4" xfId="13009"/>
    <cellStyle name="Вывод 2 2 5 3 2 5" xfId="28509"/>
    <cellStyle name="Вывод 2 2 5 3 3" xfId="5123"/>
    <cellStyle name="Вывод 2 2 5 3 3 2" xfId="10306"/>
    <cellStyle name="Вывод 2 2 5 3 3 2 2" xfId="21232"/>
    <cellStyle name="Вывод 2 2 5 3 3 2 3" xfId="36593"/>
    <cellStyle name="Вывод 2 2 5 3 3 3" xfId="26193"/>
    <cellStyle name="Вывод 2 2 5 3 3 3 2" xfId="41554"/>
    <cellStyle name="Вывод 2 2 5 3 3 4" xfId="15669"/>
    <cellStyle name="Вывод 2 2 5 3 3 5" xfId="31144"/>
    <cellStyle name="Вывод 2 2 5 3 4" xfId="6530"/>
    <cellStyle name="Вывод 2 2 5 3 4 2" xfId="16331"/>
    <cellStyle name="Вывод 2 2 5 3 4 3" xfId="31798"/>
    <cellStyle name="Вывод 2 2 5 3 5" xfId="22418"/>
    <cellStyle name="Вывод 2 2 5 3 5 2" xfId="37779"/>
    <cellStyle name="Вывод 2 2 5 3 6" xfId="11858"/>
    <cellStyle name="Вывод 2 2 5 3 7" xfId="27369"/>
    <cellStyle name="Вывод 2 2 5 4" xfId="1532"/>
    <cellStyle name="Вывод 2 2 5 4 2" xfId="6779"/>
    <cellStyle name="Вывод 2 2 5 4 2 2" xfId="17674"/>
    <cellStyle name="Вывод 2 2 5 4 2 3" xfId="33035"/>
    <cellStyle name="Вывод 2 2 5 4 3" xfId="22667"/>
    <cellStyle name="Вывод 2 2 5 4 3 2" xfId="38028"/>
    <cellStyle name="Вывод 2 2 5 4 4" xfId="12110"/>
    <cellStyle name="Вывод 2 2 5 4 5" xfId="27618"/>
    <cellStyle name="Вывод 2 2 5 5" xfId="3013"/>
    <cellStyle name="Вывод 2 2 5 5 2" xfId="8208"/>
    <cellStyle name="Вывод 2 2 5 5 2 2" xfId="19134"/>
    <cellStyle name="Вывод 2 2 5 5 2 3" xfId="34495"/>
    <cellStyle name="Вывод 2 2 5 5 3" xfId="24096"/>
    <cellStyle name="Вывод 2 2 5 5 3 2" xfId="39457"/>
    <cellStyle name="Вывод 2 2 5 5 4" xfId="13571"/>
    <cellStyle name="Вывод 2 2 5 5 5" xfId="29047"/>
    <cellStyle name="Вывод 2 2 5 6" xfId="3517"/>
    <cellStyle name="Вывод 2 2 5 6 2" xfId="8704"/>
    <cellStyle name="Вывод 2 2 5 6 2 2" xfId="19631"/>
    <cellStyle name="Вывод 2 2 5 6 2 3" xfId="34992"/>
    <cellStyle name="Вывод 2 2 5 6 3" xfId="24592"/>
    <cellStyle name="Вывод 2 2 5 6 3 2" xfId="39953"/>
    <cellStyle name="Вывод 2 2 5 6 4" xfId="14068"/>
    <cellStyle name="Вывод 2 2 5 6 5" xfId="29543"/>
    <cellStyle name="Вывод 2 2 5 7" xfId="3914"/>
    <cellStyle name="Вывод 2 2 5 7 2" xfId="9101"/>
    <cellStyle name="Вывод 2 2 5 7 2 2" xfId="20028"/>
    <cellStyle name="Вывод 2 2 5 7 2 3" xfId="35389"/>
    <cellStyle name="Вывод 2 2 5 7 3" xfId="24989"/>
    <cellStyle name="Вывод 2 2 5 7 3 2" xfId="40350"/>
    <cellStyle name="Вывод 2 2 5 7 4" xfId="14465"/>
    <cellStyle name="Вывод 2 2 5 7 5" xfId="29940"/>
    <cellStyle name="Вывод 2 2 5 8" xfId="4774"/>
    <cellStyle name="Вывод 2 2 5 8 2" xfId="9961"/>
    <cellStyle name="Вывод 2 2 5 8 2 2" xfId="20888"/>
    <cellStyle name="Вывод 2 2 5 8 2 3" xfId="36249"/>
    <cellStyle name="Вывод 2 2 5 8 3" xfId="25849"/>
    <cellStyle name="Вывод 2 2 5 8 3 2" xfId="41210"/>
    <cellStyle name="Вывод 2 2 5 8 4" xfId="15325"/>
    <cellStyle name="Вывод 2 2 5 8 5" xfId="30800"/>
    <cellStyle name="Вывод 2 2 5 9" xfId="5709"/>
    <cellStyle name="Вывод 2 2 5 9 2" xfId="17182"/>
    <cellStyle name="Вывод 2 2 5 9 3" xfId="32649"/>
    <cellStyle name="Вывод 2 2 6" xfId="319"/>
    <cellStyle name="Вывод 2 2 6 10" xfId="17300"/>
    <cellStyle name="Вывод 2 2 6 10 2" xfId="32767"/>
    <cellStyle name="Вывод 2 2 6 11" xfId="11005"/>
    <cellStyle name="Вывод 2 2 6 12" xfId="12191"/>
    <cellStyle name="Вывод 2 2 6 2" xfId="942"/>
    <cellStyle name="Вывод 2 2 6 2 10" xfId="11526"/>
    <cellStyle name="Вывод 2 2 6 2 11" xfId="27043"/>
    <cellStyle name="Вывод 2 2 6 2 2" xfId="1348"/>
    <cellStyle name="Вывод 2 2 6 2 2 2" xfId="2054"/>
    <cellStyle name="Вывод 2 2 6 2 2 2 2" xfId="7290"/>
    <cellStyle name="Вывод 2 2 6 2 2 2 2 2" xfId="18192"/>
    <cellStyle name="Вывод 2 2 6 2 2 2 2 3" xfId="33553"/>
    <cellStyle name="Вывод 2 2 6 2 2 2 3" xfId="23178"/>
    <cellStyle name="Вывод 2 2 6 2 2 2 3 2" xfId="38539"/>
    <cellStyle name="Вывод 2 2 6 2 2 2 4" xfId="12629"/>
    <cellStyle name="Вывод 2 2 6 2 2 2 5" xfId="28129"/>
    <cellStyle name="Вывод 2 2 6 2 2 3" xfId="5124"/>
    <cellStyle name="Вывод 2 2 6 2 2 3 2" xfId="10307"/>
    <cellStyle name="Вывод 2 2 6 2 2 3 2 2" xfId="21233"/>
    <cellStyle name="Вывод 2 2 6 2 2 3 2 3" xfId="36594"/>
    <cellStyle name="Вывод 2 2 6 2 2 3 3" xfId="26194"/>
    <cellStyle name="Вывод 2 2 6 2 2 3 3 2" xfId="41555"/>
    <cellStyle name="Вывод 2 2 6 2 2 3 4" xfId="15670"/>
    <cellStyle name="Вывод 2 2 6 2 2 3 5" xfId="31145"/>
    <cellStyle name="Вывод 2 2 6 2 2 4" xfId="6600"/>
    <cellStyle name="Вывод 2 2 6 2 2 4 2" xfId="16260"/>
    <cellStyle name="Вывод 2 2 6 2 2 4 3" xfId="31727"/>
    <cellStyle name="Вывод 2 2 6 2 2 5" xfId="22488"/>
    <cellStyle name="Вывод 2 2 6 2 2 5 2" xfId="37849"/>
    <cellStyle name="Вывод 2 2 6 2 2 6" xfId="11929"/>
    <cellStyle name="Вывод 2 2 6 2 2 7" xfId="27439"/>
    <cellStyle name="Вывод 2 2 6 2 3" xfId="2348"/>
    <cellStyle name="Вывод 2 2 6 2 3 2" xfId="7584"/>
    <cellStyle name="Вывод 2 2 6 2 3 2 2" xfId="18486"/>
    <cellStyle name="Вывод 2 2 6 2 3 2 3" xfId="33847"/>
    <cellStyle name="Вывод 2 2 6 2 3 3" xfId="23472"/>
    <cellStyle name="Вывод 2 2 6 2 3 3 2" xfId="38833"/>
    <cellStyle name="Вывод 2 2 6 2 3 4" xfId="12923"/>
    <cellStyle name="Вывод 2 2 6 2 3 5" xfId="28423"/>
    <cellStyle name="Вывод 2 2 6 2 4" xfId="3491"/>
    <cellStyle name="Вывод 2 2 6 2 4 2" xfId="8678"/>
    <cellStyle name="Вывод 2 2 6 2 4 2 2" xfId="19605"/>
    <cellStyle name="Вывод 2 2 6 2 4 2 3" xfId="34966"/>
    <cellStyle name="Вывод 2 2 6 2 4 3" xfId="24566"/>
    <cellStyle name="Вывод 2 2 6 2 4 3 2" xfId="39927"/>
    <cellStyle name="Вывод 2 2 6 2 4 4" xfId="14042"/>
    <cellStyle name="Вывод 2 2 6 2 4 5" xfId="29517"/>
    <cellStyle name="Вывод 2 2 6 2 5" xfId="3694"/>
    <cellStyle name="Вывод 2 2 6 2 5 2" xfId="8881"/>
    <cellStyle name="Вывод 2 2 6 2 5 2 2" xfId="19808"/>
    <cellStyle name="Вывод 2 2 6 2 5 2 3" xfId="35169"/>
    <cellStyle name="Вывод 2 2 6 2 5 3" xfId="24769"/>
    <cellStyle name="Вывод 2 2 6 2 5 3 2" xfId="40130"/>
    <cellStyle name="Вывод 2 2 6 2 5 4" xfId="14245"/>
    <cellStyle name="Вывод 2 2 6 2 5 5" xfId="29720"/>
    <cellStyle name="Вывод 2 2 6 2 6" xfId="4396"/>
    <cellStyle name="Вывод 2 2 6 2 6 2" xfId="9583"/>
    <cellStyle name="Вывод 2 2 6 2 6 2 2" xfId="20510"/>
    <cellStyle name="Вывод 2 2 6 2 6 2 3" xfId="35871"/>
    <cellStyle name="Вывод 2 2 6 2 6 3" xfId="25471"/>
    <cellStyle name="Вывод 2 2 6 2 6 3 2" xfId="40832"/>
    <cellStyle name="Вывод 2 2 6 2 6 4" xfId="14947"/>
    <cellStyle name="Вывод 2 2 6 2 6 5" xfId="30422"/>
    <cellStyle name="Вывод 2 2 6 2 7" xfId="4439"/>
    <cellStyle name="Вывод 2 2 6 2 7 2" xfId="9626"/>
    <cellStyle name="Вывод 2 2 6 2 7 2 2" xfId="20553"/>
    <cellStyle name="Вывод 2 2 6 2 7 2 3" xfId="35914"/>
    <cellStyle name="Вывод 2 2 6 2 7 3" xfId="25514"/>
    <cellStyle name="Вывод 2 2 6 2 7 3 2" xfId="40875"/>
    <cellStyle name="Вывод 2 2 6 2 7 4" xfId="14990"/>
    <cellStyle name="Вывод 2 2 6 2 7 5" xfId="30465"/>
    <cellStyle name="Вывод 2 2 6 2 8" xfId="6204"/>
    <cellStyle name="Вывод 2 2 6 2 8 2" xfId="16663"/>
    <cellStyle name="Вывод 2 2 6 2 8 3" xfId="32130"/>
    <cellStyle name="Вывод 2 2 6 2 9" xfId="22092"/>
    <cellStyle name="Вывод 2 2 6 2 9 2" xfId="37453"/>
    <cellStyle name="Вывод 2 2 6 3" xfId="1653"/>
    <cellStyle name="Вывод 2 2 6 3 2" xfId="2435"/>
    <cellStyle name="Вывод 2 2 6 3 2 2" xfId="7671"/>
    <cellStyle name="Вывод 2 2 6 3 2 2 2" xfId="18573"/>
    <cellStyle name="Вывод 2 2 6 3 2 2 3" xfId="33934"/>
    <cellStyle name="Вывод 2 2 6 3 2 3" xfId="23559"/>
    <cellStyle name="Вывод 2 2 6 3 2 3 2" xfId="38920"/>
    <cellStyle name="Вывод 2 2 6 3 2 4" xfId="13010"/>
    <cellStyle name="Вывод 2 2 6 3 2 5" xfId="28510"/>
    <cellStyle name="Вывод 2 2 6 3 3" xfId="5125"/>
    <cellStyle name="Вывод 2 2 6 3 3 2" xfId="10308"/>
    <cellStyle name="Вывод 2 2 6 3 3 2 2" xfId="21234"/>
    <cellStyle name="Вывод 2 2 6 3 3 2 3" xfId="36595"/>
    <cellStyle name="Вывод 2 2 6 3 3 3" xfId="26195"/>
    <cellStyle name="Вывод 2 2 6 3 3 3 2" xfId="41556"/>
    <cellStyle name="Вывод 2 2 6 3 3 4" xfId="15671"/>
    <cellStyle name="Вывод 2 2 6 3 3 5" xfId="31146"/>
    <cellStyle name="Вывод 2 2 6 3 4" xfId="6899"/>
    <cellStyle name="Вывод 2 2 6 3 4 2" xfId="17795"/>
    <cellStyle name="Вывод 2 2 6 3 4 3" xfId="33156"/>
    <cellStyle name="Вывод 2 2 6 3 5" xfId="22787"/>
    <cellStyle name="Вывод 2 2 6 3 5 2" xfId="38148"/>
    <cellStyle name="Вывод 2 2 6 3 6" xfId="12231"/>
    <cellStyle name="Вывод 2 2 6 3 7" xfId="27738"/>
    <cellStyle name="Вывод 2 2 6 4" xfId="1169"/>
    <cellStyle name="Вывод 2 2 6 4 2" xfId="6423"/>
    <cellStyle name="Вывод 2 2 6 4 2 2" xfId="16439"/>
    <cellStyle name="Вывод 2 2 6 4 2 3" xfId="31906"/>
    <cellStyle name="Вывод 2 2 6 4 3" xfId="22311"/>
    <cellStyle name="Вывод 2 2 6 4 3 2" xfId="37672"/>
    <cellStyle name="Вывод 2 2 6 4 4" xfId="11750"/>
    <cellStyle name="Вывод 2 2 6 4 5" xfId="27262"/>
    <cellStyle name="Вывод 2 2 6 5" xfId="3010"/>
    <cellStyle name="Вывод 2 2 6 5 2" xfId="8205"/>
    <cellStyle name="Вывод 2 2 6 5 2 2" xfId="19131"/>
    <cellStyle name="Вывод 2 2 6 5 2 3" xfId="34492"/>
    <cellStyle name="Вывод 2 2 6 5 3" xfId="24093"/>
    <cellStyle name="Вывод 2 2 6 5 3 2" xfId="39454"/>
    <cellStyle name="Вывод 2 2 6 5 4" xfId="13568"/>
    <cellStyle name="Вывод 2 2 6 5 5" xfId="29044"/>
    <cellStyle name="Вывод 2 2 6 6" xfId="3948"/>
    <cellStyle name="Вывод 2 2 6 6 2" xfId="9135"/>
    <cellStyle name="Вывод 2 2 6 6 2 2" xfId="20062"/>
    <cellStyle name="Вывод 2 2 6 6 2 3" xfId="35423"/>
    <cellStyle name="Вывод 2 2 6 6 3" xfId="25023"/>
    <cellStyle name="Вывод 2 2 6 6 3 2" xfId="40384"/>
    <cellStyle name="Вывод 2 2 6 6 4" xfId="14499"/>
    <cellStyle name="Вывод 2 2 6 6 5" xfId="29974"/>
    <cellStyle name="Вывод 2 2 6 7" xfId="3341"/>
    <cellStyle name="Вывод 2 2 6 7 2" xfId="8535"/>
    <cellStyle name="Вывод 2 2 6 7 2 2" xfId="19462"/>
    <cellStyle name="Вывод 2 2 6 7 2 3" xfId="34823"/>
    <cellStyle name="Вывод 2 2 6 7 3" xfId="24423"/>
    <cellStyle name="Вывод 2 2 6 7 3 2" xfId="39784"/>
    <cellStyle name="Вывод 2 2 6 7 4" xfId="13899"/>
    <cellStyle name="Вывод 2 2 6 7 5" xfId="29374"/>
    <cellStyle name="Вывод 2 2 6 8" xfId="4848"/>
    <cellStyle name="Вывод 2 2 6 8 2" xfId="10035"/>
    <cellStyle name="Вывод 2 2 6 8 2 2" xfId="20962"/>
    <cellStyle name="Вывод 2 2 6 8 2 3" xfId="36323"/>
    <cellStyle name="Вывод 2 2 6 8 3" xfId="25923"/>
    <cellStyle name="Вывод 2 2 6 8 3 2" xfId="41284"/>
    <cellStyle name="Вывод 2 2 6 8 4" xfId="15399"/>
    <cellStyle name="Вывод 2 2 6 8 5" xfId="30874"/>
    <cellStyle name="Вывод 2 2 6 9" xfId="5710"/>
    <cellStyle name="Вывод 2 2 6 9 2" xfId="17181"/>
    <cellStyle name="Вывод 2 2 6 9 3" xfId="32648"/>
    <cellStyle name="Вывод 2 2 7" xfId="320"/>
    <cellStyle name="Вывод 2 2 7 10" xfId="17301"/>
    <cellStyle name="Вывод 2 2 7 10 2" xfId="32768"/>
    <cellStyle name="Вывод 2 2 7 11" xfId="11006"/>
    <cellStyle name="Вывод 2 2 7 12" xfId="13195"/>
    <cellStyle name="Вывод 2 2 7 2" xfId="941"/>
    <cellStyle name="Вывод 2 2 7 2 10" xfId="11525"/>
    <cellStyle name="Вывод 2 2 7 2 11" xfId="27042"/>
    <cellStyle name="Вывод 2 2 7 2 2" xfId="1044"/>
    <cellStyle name="Вывод 2 2 7 2 2 2" xfId="2436"/>
    <cellStyle name="Вывод 2 2 7 2 2 2 2" xfId="7672"/>
    <cellStyle name="Вывод 2 2 7 2 2 2 2 2" xfId="18574"/>
    <cellStyle name="Вывод 2 2 7 2 2 2 2 3" xfId="33935"/>
    <cellStyle name="Вывод 2 2 7 2 2 2 3" xfId="23560"/>
    <cellStyle name="Вывод 2 2 7 2 2 2 3 2" xfId="38921"/>
    <cellStyle name="Вывод 2 2 7 2 2 2 4" xfId="13011"/>
    <cellStyle name="Вывод 2 2 7 2 2 2 5" xfId="28511"/>
    <cellStyle name="Вывод 2 2 7 2 2 3" xfId="5126"/>
    <cellStyle name="Вывод 2 2 7 2 2 3 2" xfId="10309"/>
    <cellStyle name="Вывод 2 2 7 2 2 3 2 2" xfId="21235"/>
    <cellStyle name="Вывод 2 2 7 2 2 3 2 3" xfId="36596"/>
    <cellStyle name="Вывод 2 2 7 2 2 3 3" xfId="26196"/>
    <cellStyle name="Вывод 2 2 7 2 2 3 3 2" xfId="41557"/>
    <cellStyle name="Вывод 2 2 7 2 2 3 4" xfId="15672"/>
    <cellStyle name="Вывод 2 2 7 2 2 3 5" xfId="31147"/>
    <cellStyle name="Вывод 2 2 7 2 2 4" xfId="6302"/>
    <cellStyle name="Вывод 2 2 7 2 2 4 2" xfId="16562"/>
    <cellStyle name="Вывод 2 2 7 2 2 4 3" xfId="32029"/>
    <cellStyle name="Вывод 2 2 7 2 2 5" xfId="22190"/>
    <cellStyle name="Вывод 2 2 7 2 2 5 2" xfId="37551"/>
    <cellStyle name="Вывод 2 2 7 2 2 6" xfId="11627"/>
    <cellStyle name="Вывод 2 2 7 2 2 7" xfId="27141"/>
    <cellStyle name="Вывод 2 2 7 2 3" xfId="2347"/>
    <cellStyle name="Вывод 2 2 7 2 3 2" xfId="7583"/>
    <cellStyle name="Вывод 2 2 7 2 3 2 2" xfId="18485"/>
    <cellStyle name="Вывод 2 2 7 2 3 2 3" xfId="33846"/>
    <cellStyle name="Вывод 2 2 7 2 3 3" xfId="23471"/>
    <cellStyle name="Вывод 2 2 7 2 3 3 2" xfId="38832"/>
    <cellStyle name="Вывод 2 2 7 2 3 4" xfId="12922"/>
    <cellStyle name="Вывод 2 2 7 2 3 5" xfId="28422"/>
    <cellStyle name="Вывод 2 2 7 2 4" xfId="3490"/>
    <cellStyle name="Вывод 2 2 7 2 4 2" xfId="8677"/>
    <cellStyle name="Вывод 2 2 7 2 4 2 2" xfId="19604"/>
    <cellStyle name="Вывод 2 2 7 2 4 2 3" xfId="34965"/>
    <cellStyle name="Вывод 2 2 7 2 4 3" xfId="24565"/>
    <cellStyle name="Вывод 2 2 7 2 4 3 2" xfId="39926"/>
    <cellStyle name="Вывод 2 2 7 2 4 4" xfId="14041"/>
    <cellStyle name="Вывод 2 2 7 2 4 5" xfId="29516"/>
    <cellStyle name="Вывод 2 2 7 2 5" xfId="3730"/>
    <cellStyle name="Вывод 2 2 7 2 5 2" xfId="8917"/>
    <cellStyle name="Вывод 2 2 7 2 5 2 2" xfId="19844"/>
    <cellStyle name="Вывод 2 2 7 2 5 2 3" xfId="35205"/>
    <cellStyle name="Вывод 2 2 7 2 5 3" xfId="24805"/>
    <cellStyle name="Вывод 2 2 7 2 5 3 2" xfId="40166"/>
    <cellStyle name="Вывод 2 2 7 2 5 4" xfId="14281"/>
    <cellStyle name="Вывод 2 2 7 2 5 5" xfId="29756"/>
    <cellStyle name="Вывод 2 2 7 2 6" xfId="4395"/>
    <cellStyle name="Вывод 2 2 7 2 6 2" xfId="9582"/>
    <cellStyle name="Вывод 2 2 7 2 6 2 2" xfId="20509"/>
    <cellStyle name="Вывод 2 2 7 2 6 2 3" xfId="35870"/>
    <cellStyle name="Вывод 2 2 7 2 6 3" xfId="25470"/>
    <cellStyle name="Вывод 2 2 7 2 6 3 2" xfId="40831"/>
    <cellStyle name="Вывод 2 2 7 2 6 4" xfId="14946"/>
    <cellStyle name="Вывод 2 2 7 2 6 5" xfId="30421"/>
    <cellStyle name="Вывод 2 2 7 2 7" xfId="4440"/>
    <cellStyle name="Вывод 2 2 7 2 7 2" xfId="9627"/>
    <cellStyle name="Вывод 2 2 7 2 7 2 2" xfId="20554"/>
    <cellStyle name="Вывод 2 2 7 2 7 2 3" xfId="35915"/>
    <cellStyle name="Вывод 2 2 7 2 7 3" xfId="25515"/>
    <cellStyle name="Вывод 2 2 7 2 7 3 2" xfId="40876"/>
    <cellStyle name="Вывод 2 2 7 2 7 4" xfId="14991"/>
    <cellStyle name="Вывод 2 2 7 2 7 5" xfId="30466"/>
    <cellStyle name="Вывод 2 2 7 2 8" xfId="6203"/>
    <cellStyle name="Вывод 2 2 7 2 8 2" xfId="16664"/>
    <cellStyle name="Вывод 2 2 7 2 8 3" xfId="32131"/>
    <cellStyle name="Вывод 2 2 7 2 9" xfId="22091"/>
    <cellStyle name="Вывод 2 2 7 2 9 2" xfId="37452"/>
    <cellStyle name="Вывод 2 2 7 3" xfId="1239"/>
    <cellStyle name="Вывод 2 2 7 3 2" xfId="2437"/>
    <cellStyle name="Вывод 2 2 7 3 2 2" xfId="7673"/>
    <cellStyle name="Вывод 2 2 7 3 2 2 2" xfId="18575"/>
    <cellStyle name="Вывод 2 2 7 3 2 2 3" xfId="33936"/>
    <cellStyle name="Вывод 2 2 7 3 2 3" xfId="23561"/>
    <cellStyle name="Вывод 2 2 7 3 2 3 2" xfId="38922"/>
    <cellStyle name="Вывод 2 2 7 3 2 4" xfId="13012"/>
    <cellStyle name="Вывод 2 2 7 3 2 5" xfId="28512"/>
    <cellStyle name="Вывод 2 2 7 3 3" xfId="5127"/>
    <cellStyle name="Вывод 2 2 7 3 3 2" xfId="10310"/>
    <cellStyle name="Вывод 2 2 7 3 3 2 2" xfId="21236"/>
    <cellStyle name="Вывод 2 2 7 3 3 2 3" xfId="36597"/>
    <cellStyle name="Вывод 2 2 7 3 3 3" xfId="26197"/>
    <cellStyle name="Вывод 2 2 7 3 3 3 2" xfId="41558"/>
    <cellStyle name="Вывод 2 2 7 3 3 4" xfId="15673"/>
    <cellStyle name="Вывод 2 2 7 3 3 5" xfId="31148"/>
    <cellStyle name="Вывод 2 2 7 3 4" xfId="6492"/>
    <cellStyle name="Вывод 2 2 7 3 4 2" xfId="16369"/>
    <cellStyle name="Вывод 2 2 7 3 4 3" xfId="31836"/>
    <cellStyle name="Вывод 2 2 7 3 5" xfId="22380"/>
    <cellStyle name="Вывод 2 2 7 3 5 2" xfId="37741"/>
    <cellStyle name="Вывод 2 2 7 3 6" xfId="11820"/>
    <cellStyle name="Вывод 2 2 7 3 7" xfId="27331"/>
    <cellStyle name="Вывод 2 2 7 4" xfId="1250"/>
    <cellStyle name="Вывод 2 2 7 4 2" xfId="6503"/>
    <cellStyle name="Вывод 2 2 7 4 2 2" xfId="16358"/>
    <cellStyle name="Вывод 2 2 7 4 2 3" xfId="31825"/>
    <cellStyle name="Вывод 2 2 7 4 3" xfId="22391"/>
    <cellStyle name="Вывод 2 2 7 4 3 2" xfId="37752"/>
    <cellStyle name="Вывод 2 2 7 4 4" xfId="11831"/>
    <cellStyle name="Вывод 2 2 7 4 5" xfId="27342"/>
    <cellStyle name="Вывод 2 2 7 5" xfId="3009"/>
    <cellStyle name="Вывод 2 2 7 5 2" xfId="8204"/>
    <cellStyle name="Вывод 2 2 7 5 2 2" xfId="19130"/>
    <cellStyle name="Вывод 2 2 7 5 2 3" xfId="34491"/>
    <cellStyle name="Вывод 2 2 7 5 3" xfId="24092"/>
    <cellStyle name="Вывод 2 2 7 5 3 2" xfId="39453"/>
    <cellStyle name="Вывод 2 2 7 5 4" xfId="13567"/>
    <cellStyle name="Вывод 2 2 7 5 5" xfId="29043"/>
    <cellStyle name="Вывод 2 2 7 6" xfId="3518"/>
    <cellStyle name="Вывод 2 2 7 6 2" xfId="8705"/>
    <cellStyle name="Вывод 2 2 7 6 2 2" xfId="19632"/>
    <cellStyle name="Вывод 2 2 7 6 2 3" xfId="34993"/>
    <cellStyle name="Вывод 2 2 7 6 3" xfId="24593"/>
    <cellStyle name="Вывод 2 2 7 6 3 2" xfId="39954"/>
    <cellStyle name="Вывод 2 2 7 6 4" xfId="14069"/>
    <cellStyle name="Вывод 2 2 7 6 5" xfId="29544"/>
    <cellStyle name="Вывод 2 2 7 7" xfId="3900"/>
    <cellStyle name="Вывод 2 2 7 7 2" xfId="9087"/>
    <cellStyle name="Вывод 2 2 7 7 2 2" xfId="20014"/>
    <cellStyle name="Вывод 2 2 7 7 2 3" xfId="35375"/>
    <cellStyle name="Вывод 2 2 7 7 3" xfId="24975"/>
    <cellStyle name="Вывод 2 2 7 7 3 2" xfId="40336"/>
    <cellStyle name="Вывод 2 2 7 7 4" xfId="14451"/>
    <cellStyle name="Вывод 2 2 7 7 5" xfId="29926"/>
    <cellStyle name="Вывод 2 2 7 8" xfId="4773"/>
    <cellStyle name="Вывод 2 2 7 8 2" xfId="9960"/>
    <cellStyle name="Вывод 2 2 7 8 2 2" xfId="20887"/>
    <cellStyle name="Вывод 2 2 7 8 2 3" xfId="36248"/>
    <cellStyle name="Вывод 2 2 7 8 3" xfId="25848"/>
    <cellStyle name="Вывод 2 2 7 8 3 2" xfId="41209"/>
    <cellStyle name="Вывод 2 2 7 8 4" xfId="15324"/>
    <cellStyle name="Вывод 2 2 7 8 5" xfId="30799"/>
    <cellStyle name="Вывод 2 2 7 9" xfId="5711"/>
    <cellStyle name="Вывод 2 2 7 9 2" xfId="17180"/>
    <cellStyle name="Вывод 2 2 7 9 3" xfId="32647"/>
    <cellStyle name="Вывод 2 2 8" xfId="321"/>
    <cellStyle name="Вывод 2 2 8 10" xfId="16237"/>
    <cellStyle name="Вывод 2 2 8 10 2" xfId="31704"/>
    <cellStyle name="Вывод 2 2 8 11" xfId="11007"/>
    <cellStyle name="Вывод 2 2 8 12" xfId="10885"/>
    <cellStyle name="Вывод 2 2 8 2" xfId="871"/>
    <cellStyle name="Вывод 2 2 8 2 10" xfId="11455"/>
    <cellStyle name="Вывод 2 2 8 2 11" xfId="26972"/>
    <cellStyle name="Вывод 2 2 8 2 2" xfId="1325"/>
    <cellStyle name="Вывод 2 2 8 2 2 2" xfId="2439"/>
    <cellStyle name="Вывод 2 2 8 2 2 2 2" xfId="7675"/>
    <cellStyle name="Вывод 2 2 8 2 2 2 2 2" xfId="18577"/>
    <cellStyle name="Вывод 2 2 8 2 2 2 2 3" xfId="33938"/>
    <cellStyle name="Вывод 2 2 8 2 2 2 3" xfId="23563"/>
    <cellStyle name="Вывод 2 2 8 2 2 2 3 2" xfId="38924"/>
    <cellStyle name="Вывод 2 2 8 2 2 2 4" xfId="13014"/>
    <cellStyle name="Вывод 2 2 8 2 2 2 5" xfId="28514"/>
    <cellStyle name="Вывод 2 2 8 2 2 3" xfId="5128"/>
    <cellStyle name="Вывод 2 2 8 2 2 3 2" xfId="10311"/>
    <cellStyle name="Вывод 2 2 8 2 2 3 2 2" xfId="21237"/>
    <cellStyle name="Вывод 2 2 8 2 2 3 2 3" xfId="36598"/>
    <cellStyle name="Вывод 2 2 8 2 2 3 3" xfId="26198"/>
    <cellStyle name="Вывод 2 2 8 2 2 3 3 2" xfId="41559"/>
    <cellStyle name="Вывод 2 2 8 2 2 3 4" xfId="15674"/>
    <cellStyle name="Вывод 2 2 8 2 2 3 5" xfId="31149"/>
    <cellStyle name="Вывод 2 2 8 2 2 4" xfId="6578"/>
    <cellStyle name="Вывод 2 2 8 2 2 4 2" xfId="16283"/>
    <cellStyle name="Вывод 2 2 8 2 2 4 3" xfId="31750"/>
    <cellStyle name="Вывод 2 2 8 2 2 5" xfId="22466"/>
    <cellStyle name="Вывод 2 2 8 2 2 5 2" xfId="37827"/>
    <cellStyle name="Вывод 2 2 8 2 2 6" xfId="11906"/>
    <cellStyle name="Вывод 2 2 8 2 2 7" xfId="27417"/>
    <cellStyle name="Вывод 2 2 8 2 3" xfId="2277"/>
    <cellStyle name="Вывод 2 2 8 2 3 2" xfId="7513"/>
    <cellStyle name="Вывод 2 2 8 2 3 2 2" xfId="18415"/>
    <cellStyle name="Вывод 2 2 8 2 3 2 3" xfId="33776"/>
    <cellStyle name="Вывод 2 2 8 2 3 3" xfId="23401"/>
    <cellStyle name="Вывод 2 2 8 2 3 3 2" xfId="38762"/>
    <cellStyle name="Вывод 2 2 8 2 3 4" xfId="12852"/>
    <cellStyle name="Вывод 2 2 8 2 3 5" xfId="28352"/>
    <cellStyle name="Вывод 2 2 8 2 4" xfId="1288"/>
    <cellStyle name="Вывод 2 2 8 2 4 2" xfId="6541"/>
    <cellStyle name="Вывод 2 2 8 2 4 2 2" xfId="16320"/>
    <cellStyle name="Вывод 2 2 8 2 4 2 3" xfId="31787"/>
    <cellStyle name="Вывод 2 2 8 2 4 3" xfId="22429"/>
    <cellStyle name="Вывод 2 2 8 2 4 3 2" xfId="37790"/>
    <cellStyle name="Вывод 2 2 8 2 4 4" xfId="11869"/>
    <cellStyle name="Вывод 2 2 8 2 4 5" xfId="27380"/>
    <cellStyle name="Вывод 2 2 8 2 5" xfId="3662"/>
    <cellStyle name="Вывод 2 2 8 2 5 2" xfId="8849"/>
    <cellStyle name="Вывод 2 2 8 2 5 2 2" xfId="19776"/>
    <cellStyle name="Вывод 2 2 8 2 5 2 3" xfId="35137"/>
    <cellStyle name="Вывод 2 2 8 2 5 3" xfId="24737"/>
    <cellStyle name="Вывод 2 2 8 2 5 3 2" xfId="40098"/>
    <cellStyle name="Вывод 2 2 8 2 5 4" xfId="14213"/>
    <cellStyle name="Вывод 2 2 8 2 5 5" xfId="29688"/>
    <cellStyle name="Вывод 2 2 8 2 6" xfId="4325"/>
    <cellStyle name="Вывод 2 2 8 2 6 2" xfId="9512"/>
    <cellStyle name="Вывод 2 2 8 2 6 2 2" xfId="20439"/>
    <cellStyle name="Вывод 2 2 8 2 6 2 3" xfId="35800"/>
    <cellStyle name="Вывод 2 2 8 2 6 3" xfId="25400"/>
    <cellStyle name="Вывод 2 2 8 2 6 3 2" xfId="40761"/>
    <cellStyle name="Вывод 2 2 8 2 6 4" xfId="14876"/>
    <cellStyle name="Вывод 2 2 8 2 6 5" xfId="30351"/>
    <cellStyle name="Вывод 2 2 8 2 7" xfId="4504"/>
    <cellStyle name="Вывод 2 2 8 2 7 2" xfId="9691"/>
    <cellStyle name="Вывод 2 2 8 2 7 2 2" xfId="20618"/>
    <cellStyle name="Вывод 2 2 8 2 7 2 3" xfId="35979"/>
    <cellStyle name="Вывод 2 2 8 2 7 3" xfId="25579"/>
    <cellStyle name="Вывод 2 2 8 2 7 3 2" xfId="40940"/>
    <cellStyle name="Вывод 2 2 8 2 7 4" xfId="15055"/>
    <cellStyle name="Вывод 2 2 8 2 7 5" xfId="30530"/>
    <cellStyle name="Вывод 2 2 8 2 8" xfId="6133"/>
    <cellStyle name="Вывод 2 2 8 2 8 2" xfId="16734"/>
    <cellStyle name="Вывод 2 2 8 2 8 3" xfId="32201"/>
    <cellStyle name="Вывод 2 2 8 2 9" xfId="22021"/>
    <cellStyle name="Вывод 2 2 8 2 9 2" xfId="37382"/>
    <cellStyle name="Вывод 2 2 8 3" xfId="1082"/>
    <cellStyle name="Вывод 2 2 8 3 2" xfId="2440"/>
    <cellStyle name="Вывод 2 2 8 3 2 2" xfId="7676"/>
    <cellStyle name="Вывод 2 2 8 3 2 2 2" xfId="18578"/>
    <cellStyle name="Вывод 2 2 8 3 2 2 3" xfId="33939"/>
    <cellStyle name="Вывод 2 2 8 3 2 3" xfId="23564"/>
    <cellStyle name="Вывод 2 2 8 3 2 3 2" xfId="38925"/>
    <cellStyle name="Вывод 2 2 8 3 2 4" xfId="13015"/>
    <cellStyle name="Вывод 2 2 8 3 2 5" xfId="28515"/>
    <cellStyle name="Вывод 2 2 8 3 3" xfId="5129"/>
    <cellStyle name="Вывод 2 2 8 3 3 2" xfId="10312"/>
    <cellStyle name="Вывод 2 2 8 3 3 2 2" xfId="21238"/>
    <cellStyle name="Вывод 2 2 8 3 3 2 3" xfId="36599"/>
    <cellStyle name="Вывод 2 2 8 3 3 3" xfId="26199"/>
    <cellStyle name="Вывод 2 2 8 3 3 3 2" xfId="41560"/>
    <cellStyle name="Вывод 2 2 8 3 3 4" xfId="15675"/>
    <cellStyle name="Вывод 2 2 8 3 3 5" xfId="31150"/>
    <cellStyle name="Вывод 2 2 8 3 4" xfId="6338"/>
    <cellStyle name="Вывод 2 2 8 3 4 2" xfId="16525"/>
    <cellStyle name="Вывод 2 2 8 3 4 3" xfId="31992"/>
    <cellStyle name="Вывод 2 2 8 3 5" xfId="22226"/>
    <cellStyle name="Вывод 2 2 8 3 5 2" xfId="37587"/>
    <cellStyle name="Вывод 2 2 8 3 6" xfId="11664"/>
    <cellStyle name="Вывод 2 2 8 3 7" xfId="27177"/>
    <cellStyle name="Вывод 2 2 8 4" xfId="1633"/>
    <cellStyle name="Вывод 2 2 8 4 2" xfId="6879"/>
    <cellStyle name="Вывод 2 2 8 4 2 2" xfId="17775"/>
    <cellStyle name="Вывод 2 2 8 4 2 3" xfId="33136"/>
    <cellStyle name="Вывод 2 2 8 4 3" xfId="22767"/>
    <cellStyle name="Вывод 2 2 8 4 3 2" xfId="38128"/>
    <cellStyle name="Вывод 2 2 8 4 4" xfId="12211"/>
    <cellStyle name="Вывод 2 2 8 4 5" xfId="27718"/>
    <cellStyle name="Вывод 2 2 8 5" xfId="3006"/>
    <cellStyle name="Вывод 2 2 8 5 2" xfId="8201"/>
    <cellStyle name="Вывод 2 2 8 5 2 2" xfId="19127"/>
    <cellStyle name="Вывод 2 2 8 5 2 3" xfId="34488"/>
    <cellStyle name="Вывод 2 2 8 5 3" xfId="24089"/>
    <cellStyle name="Вывод 2 2 8 5 3 2" xfId="39450"/>
    <cellStyle name="Вывод 2 2 8 5 4" xfId="13564"/>
    <cellStyle name="Вывод 2 2 8 5 5" xfId="29040"/>
    <cellStyle name="Вывод 2 2 8 6" xfId="3194"/>
    <cellStyle name="Вывод 2 2 8 6 2" xfId="8389"/>
    <cellStyle name="Вывод 2 2 8 6 2 2" xfId="19315"/>
    <cellStyle name="Вывод 2 2 8 6 2 3" xfId="34676"/>
    <cellStyle name="Вывод 2 2 8 6 3" xfId="24277"/>
    <cellStyle name="Вывод 2 2 8 6 3 2" xfId="39638"/>
    <cellStyle name="Вывод 2 2 8 6 4" xfId="13752"/>
    <cellStyle name="Вывод 2 2 8 6 5" xfId="29228"/>
    <cellStyle name="Вывод 2 2 8 7" xfId="3700"/>
    <cellStyle name="Вывод 2 2 8 7 2" xfId="8887"/>
    <cellStyle name="Вывод 2 2 8 7 2 2" xfId="19814"/>
    <cellStyle name="Вывод 2 2 8 7 2 3" xfId="35175"/>
    <cellStyle name="Вывод 2 2 8 7 3" xfId="24775"/>
    <cellStyle name="Вывод 2 2 8 7 3 2" xfId="40136"/>
    <cellStyle name="Вывод 2 2 8 7 4" xfId="14251"/>
    <cellStyle name="Вывод 2 2 8 7 5" xfId="29726"/>
    <cellStyle name="Вывод 2 2 8 8" xfId="4849"/>
    <cellStyle name="Вывод 2 2 8 8 2" xfId="10036"/>
    <cellStyle name="Вывод 2 2 8 8 2 2" xfId="20963"/>
    <cellStyle name="Вывод 2 2 8 8 2 3" xfId="36324"/>
    <cellStyle name="Вывод 2 2 8 8 3" xfId="25924"/>
    <cellStyle name="Вывод 2 2 8 8 3 2" xfId="41285"/>
    <cellStyle name="Вывод 2 2 8 8 4" xfId="15400"/>
    <cellStyle name="Вывод 2 2 8 8 5" xfId="30875"/>
    <cellStyle name="Вывод 2 2 8 9" xfId="5712"/>
    <cellStyle name="Вывод 2 2 8 9 2" xfId="17179"/>
    <cellStyle name="Вывод 2 2 8 9 3" xfId="32646"/>
    <cellStyle name="Вывод 2 2 9" xfId="322"/>
    <cellStyle name="Вывод 2 2 9 10" xfId="18966"/>
    <cellStyle name="Вывод 2 2 9 10 2" xfId="34327"/>
    <cellStyle name="Вывод 2 2 9 11" xfId="11008"/>
    <cellStyle name="Вывод 2 2 9 12" xfId="10884"/>
    <cellStyle name="Вывод 2 2 9 2" xfId="870"/>
    <cellStyle name="Вывод 2 2 9 2 10" xfId="11454"/>
    <cellStyle name="Вывод 2 2 9 2 11" xfId="26971"/>
    <cellStyle name="Вывод 2 2 9 2 2" xfId="1785"/>
    <cellStyle name="Вывод 2 2 9 2 2 2" xfId="2627"/>
    <cellStyle name="Вывод 2 2 9 2 2 2 2" xfId="7858"/>
    <cellStyle name="Вывод 2 2 9 2 2 2 2 2" xfId="18762"/>
    <cellStyle name="Вывод 2 2 9 2 2 2 2 3" xfId="34123"/>
    <cellStyle name="Вывод 2 2 9 2 2 2 3" xfId="23746"/>
    <cellStyle name="Вывод 2 2 9 2 2 2 3 2" xfId="39107"/>
    <cellStyle name="Вывод 2 2 9 2 2 2 4" xfId="13199"/>
    <cellStyle name="Вывод 2 2 9 2 2 2 5" xfId="28697"/>
    <cellStyle name="Вывод 2 2 9 2 2 3" xfId="5130"/>
    <cellStyle name="Вывод 2 2 9 2 2 3 2" xfId="10313"/>
    <cellStyle name="Вывод 2 2 9 2 2 3 2 2" xfId="21239"/>
    <cellStyle name="Вывод 2 2 9 2 2 3 2 3" xfId="36600"/>
    <cellStyle name="Вывод 2 2 9 2 2 3 3" xfId="26200"/>
    <cellStyle name="Вывод 2 2 9 2 2 3 3 2" xfId="41561"/>
    <cellStyle name="Вывод 2 2 9 2 2 3 4" xfId="15676"/>
    <cellStyle name="Вывод 2 2 9 2 2 3 5" xfId="31151"/>
    <cellStyle name="Вывод 2 2 9 2 2 4" xfId="7024"/>
    <cellStyle name="Вывод 2 2 9 2 2 4 2" xfId="17926"/>
    <cellStyle name="Вывод 2 2 9 2 2 4 3" xfId="33287"/>
    <cellStyle name="Вывод 2 2 9 2 2 5" xfId="22912"/>
    <cellStyle name="Вывод 2 2 9 2 2 5 2" xfId="38273"/>
    <cellStyle name="Вывод 2 2 9 2 2 6" xfId="12363"/>
    <cellStyle name="Вывод 2 2 9 2 2 7" xfId="27863"/>
    <cellStyle name="Вывод 2 2 9 2 3" xfId="2276"/>
    <cellStyle name="Вывод 2 2 9 2 3 2" xfId="7512"/>
    <cellStyle name="Вывод 2 2 9 2 3 2 2" xfId="18414"/>
    <cellStyle name="Вывод 2 2 9 2 3 2 3" xfId="33775"/>
    <cellStyle name="Вывод 2 2 9 2 3 3" xfId="23400"/>
    <cellStyle name="Вывод 2 2 9 2 3 3 2" xfId="38761"/>
    <cellStyle name="Вывод 2 2 9 2 3 4" xfId="12851"/>
    <cellStyle name="Вывод 2 2 9 2 3 5" xfId="28351"/>
    <cellStyle name="Вывод 2 2 9 2 4" xfId="2820"/>
    <cellStyle name="Вывод 2 2 9 2 4 2" xfId="8038"/>
    <cellStyle name="Вывод 2 2 9 2 4 2 2" xfId="18950"/>
    <cellStyle name="Вывод 2 2 9 2 4 2 3" xfId="34311"/>
    <cellStyle name="Вывод 2 2 9 2 4 3" xfId="23926"/>
    <cellStyle name="Вывод 2 2 9 2 4 3 2" xfId="39287"/>
    <cellStyle name="Вывод 2 2 9 2 4 4" xfId="13387"/>
    <cellStyle name="Вывод 2 2 9 2 4 5" xfId="28877"/>
    <cellStyle name="Вывод 2 2 9 2 5" xfId="3762"/>
    <cellStyle name="Вывод 2 2 9 2 5 2" xfId="8949"/>
    <cellStyle name="Вывод 2 2 9 2 5 2 2" xfId="19876"/>
    <cellStyle name="Вывод 2 2 9 2 5 2 3" xfId="35237"/>
    <cellStyle name="Вывод 2 2 9 2 5 3" xfId="24837"/>
    <cellStyle name="Вывод 2 2 9 2 5 3 2" xfId="40198"/>
    <cellStyle name="Вывод 2 2 9 2 5 4" xfId="14313"/>
    <cellStyle name="Вывод 2 2 9 2 5 5" xfId="29788"/>
    <cellStyle name="Вывод 2 2 9 2 6" xfId="4324"/>
    <cellStyle name="Вывод 2 2 9 2 6 2" xfId="9511"/>
    <cellStyle name="Вывод 2 2 9 2 6 2 2" xfId="20438"/>
    <cellStyle name="Вывод 2 2 9 2 6 2 3" xfId="35799"/>
    <cellStyle name="Вывод 2 2 9 2 6 3" xfId="25399"/>
    <cellStyle name="Вывод 2 2 9 2 6 3 2" xfId="40760"/>
    <cellStyle name="Вывод 2 2 9 2 6 4" xfId="14875"/>
    <cellStyle name="Вывод 2 2 9 2 6 5" xfId="30350"/>
    <cellStyle name="Вывод 2 2 9 2 7" xfId="4505"/>
    <cellStyle name="Вывод 2 2 9 2 7 2" xfId="9692"/>
    <cellStyle name="Вывод 2 2 9 2 7 2 2" xfId="20619"/>
    <cellStyle name="Вывод 2 2 9 2 7 2 3" xfId="35980"/>
    <cellStyle name="Вывод 2 2 9 2 7 3" xfId="25580"/>
    <cellStyle name="Вывод 2 2 9 2 7 3 2" xfId="40941"/>
    <cellStyle name="Вывод 2 2 9 2 7 4" xfId="15056"/>
    <cellStyle name="Вывод 2 2 9 2 7 5" xfId="30531"/>
    <cellStyle name="Вывод 2 2 9 2 8" xfId="6132"/>
    <cellStyle name="Вывод 2 2 9 2 8 2" xfId="16735"/>
    <cellStyle name="Вывод 2 2 9 2 8 3" xfId="32202"/>
    <cellStyle name="Вывод 2 2 9 2 9" xfId="22020"/>
    <cellStyle name="Вывод 2 2 9 2 9 2" xfId="37381"/>
    <cellStyle name="Вывод 2 2 9 3" xfId="1423"/>
    <cellStyle name="Вывод 2 2 9 3 2" xfId="1569"/>
    <cellStyle name="Вывод 2 2 9 3 2 2" xfId="6816"/>
    <cellStyle name="Вывод 2 2 9 3 2 2 2" xfId="17711"/>
    <cellStyle name="Вывод 2 2 9 3 2 2 3" xfId="33072"/>
    <cellStyle name="Вывод 2 2 9 3 2 3" xfId="22704"/>
    <cellStyle name="Вывод 2 2 9 3 2 3 2" xfId="38065"/>
    <cellStyle name="Вывод 2 2 9 3 2 4" xfId="12147"/>
    <cellStyle name="Вывод 2 2 9 3 2 5" xfId="27655"/>
    <cellStyle name="Вывод 2 2 9 3 3" xfId="5131"/>
    <cellStyle name="Вывод 2 2 9 3 3 2" xfId="10314"/>
    <cellStyle name="Вывод 2 2 9 3 3 2 2" xfId="21240"/>
    <cellStyle name="Вывод 2 2 9 3 3 2 3" xfId="36601"/>
    <cellStyle name="Вывод 2 2 9 3 3 3" xfId="26201"/>
    <cellStyle name="Вывод 2 2 9 3 3 3 2" xfId="41562"/>
    <cellStyle name="Вывод 2 2 9 3 3 4" xfId="15677"/>
    <cellStyle name="Вывод 2 2 9 3 3 5" xfId="31152"/>
    <cellStyle name="Вывод 2 2 9 3 4" xfId="6671"/>
    <cellStyle name="Вывод 2 2 9 3 4 2" xfId="16187"/>
    <cellStyle name="Вывод 2 2 9 3 4 3" xfId="31654"/>
    <cellStyle name="Вывод 2 2 9 3 5" xfId="22559"/>
    <cellStyle name="Вывод 2 2 9 3 5 2" xfId="37920"/>
    <cellStyle name="Вывод 2 2 9 3 6" xfId="12002"/>
    <cellStyle name="Вывод 2 2 9 3 7" xfId="27510"/>
    <cellStyle name="Вывод 2 2 9 4" xfId="1616"/>
    <cellStyle name="Вывод 2 2 9 4 2" xfId="6862"/>
    <cellStyle name="Вывод 2 2 9 4 2 2" xfId="17758"/>
    <cellStyle name="Вывод 2 2 9 4 2 3" xfId="33119"/>
    <cellStyle name="Вывод 2 2 9 4 3" xfId="22750"/>
    <cellStyle name="Вывод 2 2 9 4 3 2" xfId="38111"/>
    <cellStyle name="Вывод 2 2 9 4 4" xfId="12194"/>
    <cellStyle name="Вывод 2 2 9 4 5" xfId="27701"/>
    <cellStyle name="Вывод 2 2 9 5" xfId="3005"/>
    <cellStyle name="Вывод 2 2 9 5 2" xfId="8200"/>
    <cellStyle name="Вывод 2 2 9 5 2 2" xfId="19126"/>
    <cellStyle name="Вывод 2 2 9 5 2 3" xfId="34487"/>
    <cellStyle name="Вывод 2 2 9 5 3" xfId="24088"/>
    <cellStyle name="Вывод 2 2 9 5 3 2" xfId="39449"/>
    <cellStyle name="Вывод 2 2 9 5 4" xfId="13563"/>
    <cellStyle name="Вывод 2 2 9 5 5" xfId="29039"/>
    <cellStyle name="Вывод 2 2 9 6" xfId="3519"/>
    <cellStyle name="Вывод 2 2 9 6 2" xfId="8706"/>
    <cellStyle name="Вывод 2 2 9 6 2 2" xfId="19633"/>
    <cellStyle name="Вывод 2 2 9 6 2 3" xfId="34994"/>
    <cellStyle name="Вывод 2 2 9 6 3" xfId="24594"/>
    <cellStyle name="Вывод 2 2 9 6 3 2" xfId="39955"/>
    <cellStyle name="Вывод 2 2 9 6 4" xfId="14070"/>
    <cellStyle name="Вывод 2 2 9 6 5" xfId="29545"/>
    <cellStyle name="Вывод 2 2 9 7" xfId="3269"/>
    <cellStyle name="Вывод 2 2 9 7 2" xfId="8463"/>
    <cellStyle name="Вывод 2 2 9 7 2 2" xfId="19390"/>
    <cellStyle name="Вывод 2 2 9 7 2 3" xfId="34751"/>
    <cellStyle name="Вывод 2 2 9 7 3" xfId="24351"/>
    <cellStyle name="Вывод 2 2 9 7 3 2" xfId="39712"/>
    <cellStyle name="Вывод 2 2 9 7 4" xfId="13827"/>
    <cellStyle name="Вывод 2 2 9 7 5" xfId="29302"/>
    <cellStyle name="Вывод 2 2 9 8" xfId="4772"/>
    <cellStyle name="Вывод 2 2 9 8 2" xfId="9959"/>
    <cellStyle name="Вывод 2 2 9 8 2 2" xfId="20886"/>
    <cellStyle name="Вывод 2 2 9 8 2 3" xfId="36247"/>
    <cellStyle name="Вывод 2 2 9 8 3" xfId="25847"/>
    <cellStyle name="Вывод 2 2 9 8 3 2" xfId="41208"/>
    <cellStyle name="Вывод 2 2 9 8 4" xfId="15323"/>
    <cellStyle name="Вывод 2 2 9 8 5" xfId="30798"/>
    <cellStyle name="Вывод 2 2 9 9" xfId="5713"/>
    <cellStyle name="Вывод 2 2 9 9 2" xfId="17178"/>
    <cellStyle name="Вывод 2 2 9 9 3" xfId="32645"/>
    <cellStyle name="Вывод 2 20" xfId="323"/>
    <cellStyle name="Вывод 2 20 10" xfId="17302"/>
    <cellStyle name="Вывод 2 20 10 2" xfId="32769"/>
    <cellStyle name="Вывод 2 20 11" xfId="11009"/>
    <cellStyle name="Вывод 2 20 12" xfId="11952"/>
    <cellStyle name="Вывод 2 20 2" xfId="869"/>
    <cellStyle name="Вывод 2 20 2 10" xfId="11453"/>
    <cellStyle name="Вывод 2 20 2 11" xfId="26970"/>
    <cellStyle name="Вывод 2 20 2 2" xfId="1463"/>
    <cellStyle name="Вывод 2 20 2 2 2" xfId="2614"/>
    <cellStyle name="Вывод 2 20 2 2 2 2" xfId="7846"/>
    <cellStyle name="Вывод 2 20 2 2 2 2 2" xfId="18749"/>
    <cellStyle name="Вывод 2 20 2 2 2 2 3" xfId="34110"/>
    <cellStyle name="Вывод 2 20 2 2 2 3" xfId="23734"/>
    <cellStyle name="Вывод 2 20 2 2 2 3 2" xfId="39095"/>
    <cellStyle name="Вывод 2 20 2 2 2 4" xfId="13186"/>
    <cellStyle name="Вывод 2 20 2 2 2 5" xfId="28685"/>
    <cellStyle name="Вывод 2 20 2 2 3" xfId="5132"/>
    <cellStyle name="Вывод 2 20 2 2 3 2" xfId="10315"/>
    <cellStyle name="Вывод 2 20 2 2 3 2 2" xfId="21241"/>
    <cellStyle name="Вывод 2 20 2 2 3 2 3" xfId="36602"/>
    <cellStyle name="Вывод 2 20 2 2 3 3" xfId="26202"/>
    <cellStyle name="Вывод 2 20 2 2 3 3 2" xfId="41563"/>
    <cellStyle name="Вывод 2 20 2 2 3 4" xfId="15678"/>
    <cellStyle name="Вывод 2 20 2 2 3 5" xfId="31153"/>
    <cellStyle name="Вывод 2 20 2 2 4" xfId="6710"/>
    <cellStyle name="Вывод 2 20 2 2 4 2" xfId="16148"/>
    <cellStyle name="Вывод 2 20 2 2 4 3" xfId="31615"/>
    <cellStyle name="Вывод 2 20 2 2 5" xfId="22598"/>
    <cellStyle name="Вывод 2 20 2 2 5 2" xfId="37959"/>
    <cellStyle name="Вывод 2 20 2 2 6" xfId="12041"/>
    <cellStyle name="Вывод 2 20 2 2 7" xfId="27549"/>
    <cellStyle name="Вывод 2 20 2 3" xfId="2275"/>
    <cellStyle name="Вывод 2 20 2 3 2" xfId="7511"/>
    <cellStyle name="Вывод 2 20 2 3 2 2" xfId="18413"/>
    <cellStyle name="Вывод 2 20 2 3 2 3" xfId="33774"/>
    <cellStyle name="Вывод 2 20 2 3 3" xfId="23399"/>
    <cellStyle name="Вывод 2 20 2 3 3 2" xfId="38760"/>
    <cellStyle name="Вывод 2 20 2 3 4" xfId="12850"/>
    <cellStyle name="Вывод 2 20 2 3 5" xfId="28350"/>
    <cellStyle name="Вывод 2 20 2 4" xfId="968"/>
    <cellStyle name="Вывод 2 20 2 4 2" xfId="6228"/>
    <cellStyle name="Вывод 2 20 2 4 2 2" xfId="16638"/>
    <cellStyle name="Вывод 2 20 2 4 2 3" xfId="32105"/>
    <cellStyle name="Вывод 2 20 2 4 3" xfId="22116"/>
    <cellStyle name="Вывод 2 20 2 4 3 2" xfId="37477"/>
    <cellStyle name="Вывод 2 20 2 4 4" xfId="11551"/>
    <cellStyle name="Вывод 2 20 2 4 5" xfId="27067"/>
    <cellStyle name="Вывод 2 20 2 5" xfId="3661"/>
    <cellStyle name="Вывод 2 20 2 5 2" xfId="8848"/>
    <cellStyle name="Вывод 2 20 2 5 2 2" xfId="19775"/>
    <cellStyle name="Вывод 2 20 2 5 2 3" xfId="35136"/>
    <cellStyle name="Вывод 2 20 2 5 3" xfId="24736"/>
    <cellStyle name="Вывод 2 20 2 5 3 2" xfId="40097"/>
    <cellStyle name="Вывод 2 20 2 5 4" xfId="14212"/>
    <cellStyle name="Вывод 2 20 2 5 5" xfId="29687"/>
    <cellStyle name="Вывод 2 20 2 6" xfId="4323"/>
    <cellStyle name="Вывод 2 20 2 6 2" xfId="9510"/>
    <cellStyle name="Вывод 2 20 2 6 2 2" xfId="20437"/>
    <cellStyle name="Вывод 2 20 2 6 2 3" xfId="35798"/>
    <cellStyle name="Вывод 2 20 2 6 3" xfId="25398"/>
    <cellStyle name="Вывод 2 20 2 6 3 2" xfId="40759"/>
    <cellStyle name="Вывод 2 20 2 6 4" xfId="14874"/>
    <cellStyle name="Вывод 2 20 2 6 5" xfId="30349"/>
    <cellStyle name="Вывод 2 20 2 7" xfId="4506"/>
    <cellStyle name="Вывод 2 20 2 7 2" xfId="9693"/>
    <cellStyle name="Вывод 2 20 2 7 2 2" xfId="20620"/>
    <cellStyle name="Вывод 2 20 2 7 2 3" xfId="35981"/>
    <cellStyle name="Вывод 2 20 2 7 3" xfId="25581"/>
    <cellStyle name="Вывод 2 20 2 7 3 2" xfId="40942"/>
    <cellStyle name="Вывод 2 20 2 7 4" xfId="15057"/>
    <cellStyle name="Вывод 2 20 2 7 5" xfId="30532"/>
    <cellStyle name="Вывод 2 20 2 8" xfId="6131"/>
    <cellStyle name="Вывод 2 20 2 8 2" xfId="16736"/>
    <cellStyle name="Вывод 2 20 2 8 3" xfId="32203"/>
    <cellStyle name="Вывод 2 20 2 9" xfId="22019"/>
    <cellStyle name="Вывод 2 20 2 9 2" xfId="37380"/>
    <cellStyle name="Вывод 2 20 3" xfId="1103"/>
    <cellStyle name="Вывод 2 20 3 2" xfId="2442"/>
    <cellStyle name="Вывод 2 20 3 2 2" xfId="7678"/>
    <cellStyle name="Вывод 2 20 3 2 2 2" xfId="18580"/>
    <cellStyle name="Вывод 2 20 3 2 2 3" xfId="33941"/>
    <cellStyle name="Вывод 2 20 3 2 3" xfId="23566"/>
    <cellStyle name="Вывод 2 20 3 2 3 2" xfId="38927"/>
    <cellStyle name="Вывод 2 20 3 2 4" xfId="13017"/>
    <cellStyle name="Вывод 2 20 3 2 5" xfId="28517"/>
    <cellStyle name="Вывод 2 20 3 3" xfId="5133"/>
    <cellStyle name="Вывод 2 20 3 3 2" xfId="10316"/>
    <cellStyle name="Вывод 2 20 3 3 2 2" xfId="21242"/>
    <cellStyle name="Вывод 2 20 3 3 2 3" xfId="36603"/>
    <cellStyle name="Вывод 2 20 3 3 3" xfId="26203"/>
    <cellStyle name="Вывод 2 20 3 3 3 2" xfId="41564"/>
    <cellStyle name="Вывод 2 20 3 3 4" xfId="15679"/>
    <cellStyle name="Вывод 2 20 3 3 5" xfId="31154"/>
    <cellStyle name="Вывод 2 20 3 4" xfId="6359"/>
    <cellStyle name="Вывод 2 20 3 4 2" xfId="16504"/>
    <cellStyle name="Вывод 2 20 3 4 3" xfId="31971"/>
    <cellStyle name="Вывод 2 20 3 5" xfId="22247"/>
    <cellStyle name="Вывод 2 20 3 5 2" xfId="37608"/>
    <cellStyle name="Вывод 2 20 3 6" xfId="11685"/>
    <cellStyle name="Вывод 2 20 3 7" xfId="27198"/>
    <cellStyle name="Вывод 2 20 4" xfId="1646"/>
    <cellStyle name="Вывод 2 20 4 2" xfId="6892"/>
    <cellStyle name="Вывод 2 20 4 2 2" xfId="17788"/>
    <cellStyle name="Вывод 2 20 4 2 3" xfId="33149"/>
    <cellStyle name="Вывод 2 20 4 3" xfId="22780"/>
    <cellStyle name="Вывод 2 20 4 3 2" xfId="38141"/>
    <cellStyle name="Вывод 2 20 4 4" xfId="12224"/>
    <cellStyle name="Вывод 2 20 4 5" xfId="27731"/>
    <cellStyle name="Вывод 2 20 5" xfId="3004"/>
    <cellStyle name="Вывод 2 20 5 2" xfId="8199"/>
    <cellStyle name="Вывод 2 20 5 2 2" xfId="19125"/>
    <cellStyle name="Вывод 2 20 5 2 3" xfId="34486"/>
    <cellStyle name="Вывод 2 20 5 3" xfId="24087"/>
    <cellStyle name="Вывод 2 20 5 3 2" xfId="39448"/>
    <cellStyle name="Вывод 2 20 5 4" xfId="13562"/>
    <cellStyle name="Вывод 2 20 5 5" xfId="29038"/>
    <cellStyle name="Вывод 2 20 6" xfId="3949"/>
    <cellStyle name="Вывод 2 20 6 2" xfId="9136"/>
    <cellStyle name="Вывод 2 20 6 2 2" xfId="20063"/>
    <cellStyle name="Вывод 2 20 6 2 3" xfId="35424"/>
    <cellStyle name="Вывод 2 20 6 3" xfId="25024"/>
    <cellStyle name="Вывод 2 20 6 3 2" xfId="40385"/>
    <cellStyle name="Вывод 2 20 6 4" xfId="14500"/>
    <cellStyle name="Вывод 2 20 6 5" xfId="29975"/>
    <cellStyle name="Вывод 2 20 7" xfId="3887"/>
    <cellStyle name="Вывод 2 20 7 2" xfId="9074"/>
    <cellStyle name="Вывод 2 20 7 2 2" xfId="20001"/>
    <cellStyle name="Вывод 2 20 7 2 3" xfId="35362"/>
    <cellStyle name="Вывод 2 20 7 3" xfId="24962"/>
    <cellStyle name="Вывод 2 20 7 3 2" xfId="40323"/>
    <cellStyle name="Вывод 2 20 7 4" xfId="14438"/>
    <cellStyle name="Вывод 2 20 7 5" xfId="29913"/>
    <cellStyle name="Вывод 2 20 8" xfId="4850"/>
    <cellStyle name="Вывод 2 20 8 2" xfId="10037"/>
    <cellStyle name="Вывод 2 20 8 2 2" xfId="20964"/>
    <cellStyle name="Вывод 2 20 8 2 3" xfId="36325"/>
    <cellStyle name="Вывод 2 20 8 3" xfId="25925"/>
    <cellStyle name="Вывод 2 20 8 3 2" xfId="41286"/>
    <cellStyle name="Вывод 2 20 8 4" xfId="15401"/>
    <cellStyle name="Вывод 2 20 8 5" xfId="30876"/>
    <cellStyle name="Вывод 2 20 9" xfId="5714"/>
    <cellStyle name="Вывод 2 20 9 2" xfId="17177"/>
    <cellStyle name="Вывод 2 20 9 3" xfId="32644"/>
    <cellStyle name="Вывод 2 21" xfId="324"/>
    <cellStyle name="Вывод 2 21 10" xfId="17303"/>
    <cellStyle name="Вывод 2 21 10 2" xfId="32770"/>
    <cellStyle name="Вывод 2 21 11" xfId="11010"/>
    <cellStyle name="Вывод 2 21 12" xfId="13403"/>
    <cellStyle name="Вывод 2 21 2" xfId="868"/>
    <cellStyle name="Вывод 2 21 2 10" xfId="11452"/>
    <cellStyle name="Вывод 2 21 2 11" xfId="26969"/>
    <cellStyle name="Вывод 2 21 2 2" xfId="1346"/>
    <cellStyle name="Вывод 2 21 2 2 2" xfId="2444"/>
    <cellStyle name="Вывод 2 21 2 2 2 2" xfId="7680"/>
    <cellStyle name="Вывод 2 21 2 2 2 2 2" xfId="18582"/>
    <cellStyle name="Вывод 2 21 2 2 2 2 3" xfId="33943"/>
    <cellStyle name="Вывод 2 21 2 2 2 3" xfId="23568"/>
    <cellStyle name="Вывод 2 21 2 2 2 3 2" xfId="38929"/>
    <cellStyle name="Вывод 2 21 2 2 2 4" xfId="13019"/>
    <cellStyle name="Вывод 2 21 2 2 2 5" xfId="28519"/>
    <cellStyle name="Вывод 2 21 2 2 3" xfId="5134"/>
    <cellStyle name="Вывод 2 21 2 2 3 2" xfId="10317"/>
    <cellStyle name="Вывод 2 21 2 2 3 2 2" xfId="21243"/>
    <cellStyle name="Вывод 2 21 2 2 3 2 3" xfId="36604"/>
    <cellStyle name="Вывод 2 21 2 2 3 3" xfId="26204"/>
    <cellStyle name="Вывод 2 21 2 2 3 3 2" xfId="41565"/>
    <cellStyle name="Вывод 2 21 2 2 3 4" xfId="15680"/>
    <cellStyle name="Вывод 2 21 2 2 3 5" xfId="31155"/>
    <cellStyle name="Вывод 2 21 2 2 4" xfId="6599"/>
    <cellStyle name="Вывод 2 21 2 2 4 2" xfId="16262"/>
    <cellStyle name="Вывод 2 21 2 2 4 3" xfId="31729"/>
    <cellStyle name="Вывод 2 21 2 2 5" xfId="22487"/>
    <cellStyle name="Вывод 2 21 2 2 5 2" xfId="37848"/>
    <cellStyle name="Вывод 2 21 2 2 6" xfId="11927"/>
    <cellStyle name="Вывод 2 21 2 2 7" xfId="27438"/>
    <cellStyle name="Вывод 2 21 2 3" xfId="2274"/>
    <cellStyle name="Вывод 2 21 2 3 2" xfId="7510"/>
    <cellStyle name="Вывод 2 21 2 3 2 2" xfId="18412"/>
    <cellStyle name="Вывод 2 21 2 3 2 3" xfId="33773"/>
    <cellStyle name="Вывод 2 21 2 3 3" xfId="23398"/>
    <cellStyle name="Вывод 2 21 2 3 3 2" xfId="38759"/>
    <cellStyle name="Вывод 2 21 2 3 4" xfId="12849"/>
    <cellStyle name="Вывод 2 21 2 3 5" xfId="28349"/>
    <cellStyle name="Вывод 2 21 2 4" xfId="2819"/>
    <cellStyle name="Вывод 2 21 2 4 2" xfId="8037"/>
    <cellStyle name="Вывод 2 21 2 4 2 2" xfId="18949"/>
    <cellStyle name="Вывод 2 21 2 4 2 3" xfId="34310"/>
    <cellStyle name="Вывод 2 21 2 4 3" xfId="23925"/>
    <cellStyle name="Вывод 2 21 2 4 3 2" xfId="39286"/>
    <cellStyle name="Вывод 2 21 2 4 4" xfId="13386"/>
    <cellStyle name="Вывод 2 21 2 4 5" xfId="28876"/>
    <cellStyle name="Вывод 2 21 2 5" xfId="3763"/>
    <cellStyle name="Вывод 2 21 2 5 2" xfId="8950"/>
    <cellStyle name="Вывод 2 21 2 5 2 2" xfId="19877"/>
    <cellStyle name="Вывод 2 21 2 5 2 3" xfId="35238"/>
    <cellStyle name="Вывод 2 21 2 5 3" xfId="24838"/>
    <cellStyle name="Вывод 2 21 2 5 3 2" xfId="40199"/>
    <cellStyle name="Вывод 2 21 2 5 4" xfId="14314"/>
    <cellStyle name="Вывод 2 21 2 5 5" xfId="29789"/>
    <cellStyle name="Вывод 2 21 2 6" xfId="4322"/>
    <cellStyle name="Вывод 2 21 2 6 2" xfId="9509"/>
    <cellStyle name="Вывод 2 21 2 6 2 2" xfId="20436"/>
    <cellStyle name="Вывод 2 21 2 6 2 3" xfId="35797"/>
    <cellStyle name="Вывод 2 21 2 6 3" xfId="25397"/>
    <cellStyle name="Вывод 2 21 2 6 3 2" xfId="40758"/>
    <cellStyle name="Вывод 2 21 2 6 4" xfId="14873"/>
    <cellStyle name="Вывод 2 21 2 6 5" xfId="30348"/>
    <cellStyle name="Вывод 2 21 2 7" xfId="4507"/>
    <cellStyle name="Вывод 2 21 2 7 2" xfId="9694"/>
    <cellStyle name="Вывод 2 21 2 7 2 2" xfId="20621"/>
    <cellStyle name="Вывод 2 21 2 7 2 3" xfId="35982"/>
    <cellStyle name="Вывод 2 21 2 7 3" xfId="25582"/>
    <cellStyle name="Вывод 2 21 2 7 3 2" xfId="40943"/>
    <cellStyle name="Вывод 2 21 2 7 4" xfId="15058"/>
    <cellStyle name="Вывод 2 21 2 7 5" xfId="30533"/>
    <cellStyle name="Вывод 2 21 2 8" xfId="6130"/>
    <cellStyle name="Вывод 2 21 2 8 2" xfId="16737"/>
    <cellStyle name="Вывод 2 21 2 8 3" xfId="32204"/>
    <cellStyle name="Вывод 2 21 2 9" xfId="22018"/>
    <cellStyle name="Вывод 2 21 2 9 2" xfId="37379"/>
    <cellStyle name="Вывод 2 21 3" xfId="1100"/>
    <cellStyle name="Вывод 2 21 3 2" xfId="2445"/>
    <cellStyle name="Вывод 2 21 3 2 2" xfId="7681"/>
    <cellStyle name="Вывод 2 21 3 2 2 2" xfId="18583"/>
    <cellStyle name="Вывод 2 21 3 2 2 3" xfId="33944"/>
    <cellStyle name="Вывод 2 21 3 2 3" xfId="23569"/>
    <cellStyle name="Вывод 2 21 3 2 3 2" xfId="38930"/>
    <cellStyle name="Вывод 2 21 3 2 4" xfId="13020"/>
    <cellStyle name="Вывод 2 21 3 2 5" xfId="28520"/>
    <cellStyle name="Вывод 2 21 3 3" xfId="5135"/>
    <cellStyle name="Вывод 2 21 3 3 2" xfId="10318"/>
    <cellStyle name="Вывод 2 21 3 3 2 2" xfId="21244"/>
    <cellStyle name="Вывод 2 21 3 3 2 3" xfId="36605"/>
    <cellStyle name="Вывод 2 21 3 3 3" xfId="26205"/>
    <cellStyle name="Вывод 2 21 3 3 3 2" xfId="41566"/>
    <cellStyle name="Вывод 2 21 3 3 4" xfId="15681"/>
    <cellStyle name="Вывод 2 21 3 3 5" xfId="31156"/>
    <cellStyle name="Вывод 2 21 3 4" xfId="6356"/>
    <cellStyle name="Вывод 2 21 3 4 2" xfId="16507"/>
    <cellStyle name="Вывод 2 21 3 4 3" xfId="31974"/>
    <cellStyle name="Вывод 2 21 3 5" xfId="22244"/>
    <cellStyle name="Вывод 2 21 3 5 2" xfId="37605"/>
    <cellStyle name="Вывод 2 21 3 6" xfId="11682"/>
    <cellStyle name="Вывод 2 21 3 7" xfId="27195"/>
    <cellStyle name="Вывод 2 21 4" xfId="1026"/>
    <cellStyle name="Вывод 2 21 4 2" xfId="6284"/>
    <cellStyle name="Вывод 2 21 4 2 2" xfId="16580"/>
    <cellStyle name="Вывод 2 21 4 2 3" xfId="32047"/>
    <cellStyle name="Вывод 2 21 4 3" xfId="22172"/>
    <cellStyle name="Вывод 2 21 4 3 2" xfId="37533"/>
    <cellStyle name="Вывод 2 21 4 4" xfId="11609"/>
    <cellStyle name="Вывод 2 21 4 5" xfId="27123"/>
    <cellStyle name="Вывод 2 21 5" xfId="3003"/>
    <cellStyle name="Вывод 2 21 5 2" xfId="8198"/>
    <cellStyle name="Вывод 2 21 5 2 2" xfId="19124"/>
    <cellStyle name="Вывод 2 21 5 2 3" xfId="34485"/>
    <cellStyle name="Вывод 2 21 5 3" xfId="24086"/>
    <cellStyle name="Вывод 2 21 5 3 2" xfId="39447"/>
    <cellStyle name="Вывод 2 21 5 4" xfId="13561"/>
    <cellStyle name="Вывод 2 21 5 5" xfId="29037"/>
    <cellStyle name="Вывод 2 21 6" xfId="3520"/>
    <cellStyle name="Вывод 2 21 6 2" xfId="8707"/>
    <cellStyle name="Вывод 2 21 6 2 2" xfId="19634"/>
    <cellStyle name="Вывод 2 21 6 2 3" xfId="34995"/>
    <cellStyle name="Вывод 2 21 6 3" xfId="24595"/>
    <cellStyle name="Вывод 2 21 6 3 2" xfId="39956"/>
    <cellStyle name="Вывод 2 21 6 4" xfId="14071"/>
    <cellStyle name="Вывод 2 21 6 5" xfId="29546"/>
    <cellStyle name="Вывод 2 21 7" xfId="3913"/>
    <cellStyle name="Вывод 2 21 7 2" xfId="9100"/>
    <cellStyle name="Вывод 2 21 7 2 2" xfId="20027"/>
    <cellStyle name="Вывод 2 21 7 2 3" xfId="35388"/>
    <cellStyle name="Вывод 2 21 7 3" xfId="24988"/>
    <cellStyle name="Вывод 2 21 7 3 2" xfId="40349"/>
    <cellStyle name="Вывод 2 21 7 4" xfId="14464"/>
    <cellStyle name="Вывод 2 21 7 5" xfId="29939"/>
    <cellStyle name="Вывод 2 21 8" xfId="4771"/>
    <cellStyle name="Вывод 2 21 8 2" xfId="9958"/>
    <cellStyle name="Вывод 2 21 8 2 2" xfId="20885"/>
    <cellStyle name="Вывод 2 21 8 2 3" xfId="36246"/>
    <cellStyle name="Вывод 2 21 8 3" xfId="25846"/>
    <cellStyle name="Вывод 2 21 8 3 2" xfId="41207"/>
    <cellStyle name="Вывод 2 21 8 4" xfId="15322"/>
    <cellStyle name="Вывод 2 21 8 5" xfId="30797"/>
    <cellStyle name="Вывод 2 21 9" xfId="5715"/>
    <cellStyle name="Вывод 2 21 9 2" xfId="17176"/>
    <cellStyle name="Вывод 2 21 9 3" xfId="32643"/>
    <cellStyle name="Вывод 2 22" xfId="325"/>
    <cellStyle name="Вывод 2 22 10" xfId="17304"/>
    <cellStyle name="Вывод 2 22 10 2" xfId="32771"/>
    <cellStyle name="Вывод 2 22 11" xfId="11011"/>
    <cellStyle name="Вывод 2 22 12" xfId="10883"/>
    <cellStyle name="Вывод 2 22 2" xfId="867"/>
    <cellStyle name="Вывод 2 22 2 10" xfId="11451"/>
    <cellStyle name="Вывод 2 22 2 11" xfId="26968"/>
    <cellStyle name="Вывод 2 22 2 2" xfId="1366"/>
    <cellStyle name="Вывод 2 22 2 2 2" xfId="1339"/>
    <cellStyle name="Вывод 2 22 2 2 2 2" xfId="6592"/>
    <cellStyle name="Вывод 2 22 2 2 2 2 2" xfId="16269"/>
    <cellStyle name="Вывод 2 22 2 2 2 2 3" xfId="31736"/>
    <cellStyle name="Вывод 2 22 2 2 2 3" xfId="22480"/>
    <cellStyle name="Вывод 2 22 2 2 2 3 2" xfId="37841"/>
    <cellStyle name="Вывод 2 22 2 2 2 4" xfId="11920"/>
    <cellStyle name="Вывод 2 22 2 2 2 5" xfId="27431"/>
    <cellStyle name="Вывод 2 22 2 2 3" xfId="5136"/>
    <cellStyle name="Вывод 2 22 2 2 3 2" xfId="10319"/>
    <cellStyle name="Вывод 2 22 2 2 3 2 2" xfId="21245"/>
    <cellStyle name="Вывод 2 22 2 2 3 2 3" xfId="36606"/>
    <cellStyle name="Вывод 2 22 2 2 3 3" xfId="26206"/>
    <cellStyle name="Вывод 2 22 2 2 3 3 2" xfId="41567"/>
    <cellStyle name="Вывод 2 22 2 2 3 4" xfId="15682"/>
    <cellStyle name="Вывод 2 22 2 2 3 5" xfId="31157"/>
    <cellStyle name="Вывод 2 22 2 2 4" xfId="6617"/>
    <cellStyle name="Вывод 2 22 2 2 4 2" xfId="16243"/>
    <cellStyle name="Вывод 2 22 2 2 4 3" xfId="31710"/>
    <cellStyle name="Вывод 2 22 2 2 5" xfId="22505"/>
    <cellStyle name="Вывод 2 22 2 2 5 2" xfId="37866"/>
    <cellStyle name="Вывод 2 22 2 2 6" xfId="11946"/>
    <cellStyle name="Вывод 2 22 2 2 7" xfId="27456"/>
    <cellStyle name="Вывод 2 22 2 3" xfId="2273"/>
    <cellStyle name="Вывод 2 22 2 3 2" xfId="7509"/>
    <cellStyle name="Вывод 2 22 2 3 2 2" xfId="18411"/>
    <cellStyle name="Вывод 2 22 2 3 2 3" xfId="33772"/>
    <cellStyle name="Вывод 2 22 2 3 3" xfId="23397"/>
    <cellStyle name="Вывод 2 22 2 3 3 2" xfId="38758"/>
    <cellStyle name="Вывод 2 22 2 3 4" xfId="12848"/>
    <cellStyle name="Вывод 2 22 2 3 5" xfId="28348"/>
    <cellStyle name="Вывод 2 22 2 4" xfId="1723"/>
    <cellStyle name="Вывод 2 22 2 4 2" xfId="6963"/>
    <cellStyle name="Вывод 2 22 2 4 2 2" xfId="17864"/>
    <cellStyle name="Вывод 2 22 2 4 2 3" xfId="33225"/>
    <cellStyle name="Вывод 2 22 2 4 3" xfId="22851"/>
    <cellStyle name="Вывод 2 22 2 4 3 2" xfId="38212"/>
    <cellStyle name="Вывод 2 22 2 4 4" xfId="12301"/>
    <cellStyle name="Вывод 2 22 2 4 5" xfId="27802"/>
    <cellStyle name="Вывод 2 22 2 5" xfId="3660"/>
    <cellStyle name="Вывод 2 22 2 5 2" xfId="8847"/>
    <cellStyle name="Вывод 2 22 2 5 2 2" xfId="19774"/>
    <cellStyle name="Вывод 2 22 2 5 2 3" xfId="35135"/>
    <cellStyle name="Вывод 2 22 2 5 3" xfId="24735"/>
    <cellStyle name="Вывод 2 22 2 5 3 2" xfId="40096"/>
    <cellStyle name="Вывод 2 22 2 5 4" xfId="14211"/>
    <cellStyle name="Вывод 2 22 2 5 5" xfId="29686"/>
    <cellStyle name="Вывод 2 22 2 6" xfId="4321"/>
    <cellStyle name="Вывод 2 22 2 6 2" xfId="9508"/>
    <cellStyle name="Вывод 2 22 2 6 2 2" xfId="20435"/>
    <cellStyle name="Вывод 2 22 2 6 2 3" xfId="35796"/>
    <cellStyle name="Вывод 2 22 2 6 3" xfId="25396"/>
    <cellStyle name="Вывод 2 22 2 6 3 2" xfId="40757"/>
    <cellStyle name="Вывод 2 22 2 6 4" xfId="14872"/>
    <cellStyle name="Вывод 2 22 2 6 5" xfId="30347"/>
    <cellStyle name="Вывод 2 22 2 7" xfId="4508"/>
    <cellStyle name="Вывод 2 22 2 7 2" xfId="9695"/>
    <cellStyle name="Вывод 2 22 2 7 2 2" xfId="20622"/>
    <cellStyle name="Вывод 2 22 2 7 2 3" xfId="35983"/>
    <cellStyle name="Вывод 2 22 2 7 3" xfId="25583"/>
    <cellStyle name="Вывод 2 22 2 7 3 2" xfId="40944"/>
    <cellStyle name="Вывод 2 22 2 7 4" xfId="15059"/>
    <cellStyle name="Вывод 2 22 2 7 5" xfId="30534"/>
    <cellStyle name="Вывод 2 22 2 8" xfId="6129"/>
    <cellStyle name="Вывод 2 22 2 8 2" xfId="16738"/>
    <cellStyle name="Вывод 2 22 2 8 3" xfId="32205"/>
    <cellStyle name="Вывод 2 22 2 9" xfId="22017"/>
    <cellStyle name="Вывод 2 22 2 9 2" xfId="37378"/>
    <cellStyle name="Вывод 2 22 3" xfId="1185"/>
    <cellStyle name="Вывод 2 22 3 2" xfId="2447"/>
    <cellStyle name="Вывод 2 22 3 2 2" xfId="7683"/>
    <cellStyle name="Вывод 2 22 3 2 2 2" xfId="18585"/>
    <cellStyle name="Вывод 2 22 3 2 2 3" xfId="33946"/>
    <cellStyle name="Вывод 2 22 3 2 3" xfId="23571"/>
    <cellStyle name="Вывод 2 22 3 2 3 2" xfId="38932"/>
    <cellStyle name="Вывод 2 22 3 2 4" xfId="13022"/>
    <cellStyle name="Вывод 2 22 3 2 5" xfId="28522"/>
    <cellStyle name="Вывод 2 22 3 3" xfId="5137"/>
    <cellStyle name="Вывод 2 22 3 3 2" xfId="10320"/>
    <cellStyle name="Вывод 2 22 3 3 2 2" xfId="21246"/>
    <cellStyle name="Вывод 2 22 3 3 2 3" xfId="36607"/>
    <cellStyle name="Вывод 2 22 3 3 3" xfId="26207"/>
    <cellStyle name="Вывод 2 22 3 3 3 2" xfId="41568"/>
    <cellStyle name="Вывод 2 22 3 3 4" xfId="15683"/>
    <cellStyle name="Вывод 2 22 3 3 5" xfId="31158"/>
    <cellStyle name="Вывод 2 22 3 4" xfId="6439"/>
    <cellStyle name="Вывод 2 22 3 4 2" xfId="16423"/>
    <cellStyle name="Вывод 2 22 3 4 3" xfId="31890"/>
    <cellStyle name="Вывод 2 22 3 5" xfId="22327"/>
    <cellStyle name="Вывод 2 22 3 5 2" xfId="37688"/>
    <cellStyle name="Вывод 2 22 3 6" xfId="11766"/>
    <cellStyle name="Вывод 2 22 3 7" xfId="27278"/>
    <cellStyle name="Вывод 2 22 4" xfId="74"/>
    <cellStyle name="Вывод 2 22 4 2" xfId="5600"/>
    <cellStyle name="Вывод 2 22 4 2 2" xfId="17397"/>
    <cellStyle name="Вывод 2 22 4 2 3" xfId="32864"/>
    <cellStyle name="Вывод 2 22 4 3" xfId="17430"/>
    <cellStyle name="Вывод 2 22 4 3 2" xfId="32897"/>
    <cellStyle name="Вывод 2 22 4 4" xfId="10788"/>
    <cellStyle name="Вывод 2 22 4 5" xfId="10755"/>
    <cellStyle name="Вывод 2 22 5" xfId="3001"/>
    <cellStyle name="Вывод 2 22 5 2" xfId="8197"/>
    <cellStyle name="Вывод 2 22 5 2 2" xfId="19122"/>
    <cellStyle name="Вывод 2 22 5 2 3" xfId="34483"/>
    <cellStyle name="Вывод 2 22 5 3" xfId="24085"/>
    <cellStyle name="Вывод 2 22 5 3 2" xfId="39446"/>
    <cellStyle name="Вывод 2 22 5 4" xfId="13559"/>
    <cellStyle name="Вывод 2 22 5 5" xfId="29036"/>
    <cellStyle name="Вывод 2 22 6" xfId="3191"/>
    <cellStyle name="Вывод 2 22 6 2" xfId="8386"/>
    <cellStyle name="Вывод 2 22 6 2 2" xfId="19312"/>
    <cellStyle name="Вывод 2 22 6 2 3" xfId="34673"/>
    <cellStyle name="Вывод 2 22 6 3" xfId="24274"/>
    <cellStyle name="Вывод 2 22 6 3 2" xfId="39635"/>
    <cellStyle name="Вывод 2 22 6 4" xfId="13749"/>
    <cellStyle name="Вывод 2 22 6 5" xfId="29225"/>
    <cellStyle name="Вывод 2 22 7" xfId="3338"/>
    <cellStyle name="Вывод 2 22 7 2" xfId="8532"/>
    <cellStyle name="Вывод 2 22 7 2 2" xfId="19459"/>
    <cellStyle name="Вывод 2 22 7 2 3" xfId="34820"/>
    <cellStyle name="Вывод 2 22 7 3" xfId="24420"/>
    <cellStyle name="Вывод 2 22 7 3 2" xfId="39781"/>
    <cellStyle name="Вывод 2 22 7 4" xfId="13896"/>
    <cellStyle name="Вывод 2 22 7 5" xfId="29371"/>
    <cellStyle name="Вывод 2 22 8" xfId="4851"/>
    <cellStyle name="Вывод 2 22 8 2" xfId="10038"/>
    <cellStyle name="Вывод 2 22 8 2 2" xfId="20965"/>
    <cellStyle name="Вывод 2 22 8 2 3" xfId="36326"/>
    <cellStyle name="Вывод 2 22 8 3" xfId="25926"/>
    <cellStyle name="Вывод 2 22 8 3 2" xfId="41287"/>
    <cellStyle name="Вывод 2 22 8 4" xfId="15402"/>
    <cellStyle name="Вывод 2 22 8 5" xfId="30877"/>
    <cellStyle name="Вывод 2 22 9" xfId="5716"/>
    <cellStyle name="Вывод 2 22 9 2" xfId="17175"/>
    <cellStyle name="Вывод 2 22 9 3" xfId="32642"/>
    <cellStyle name="Вывод 2 23" xfId="326"/>
    <cellStyle name="Вывод 2 23 10" xfId="17305"/>
    <cellStyle name="Вывод 2 23 10 2" xfId="32772"/>
    <cellStyle name="Вывод 2 23 11" xfId="11012"/>
    <cellStyle name="Вывод 2 23 12" xfId="10882"/>
    <cellStyle name="Вывод 2 23 2" xfId="866"/>
    <cellStyle name="Вывод 2 23 2 10" xfId="11450"/>
    <cellStyle name="Вывод 2 23 2 11" xfId="26967"/>
    <cellStyle name="Вывод 2 23 2 2" xfId="1660"/>
    <cellStyle name="Вывод 2 23 2 2 2" xfId="1787"/>
    <cellStyle name="Вывод 2 23 2 2 2 2" xfId="7026"/>
    <cellStyle name="Вывод 2 23 2 2 2 2 2" xfId="17928"/>
    <cellStyle name="Вывод 2 23 2 2 2 2 3" xfId="33289"/>
    <cellStyle name="Вывод 2 23 2 2 2 3" xfId="22914"/>
    <cellStyle name="Вывод 2 23 2 2 2 3 2" xfId="38275"/>
    <cellStyle name="Вывод 2 23 2 2 2 4" xfId="12365"/>
    <cellStyle name="Вывод 2 23 2 2 2 5" xfId="27865"/>
    <cellStyle name="Вывод 2 23 2 2 3" xfId="5138"/>
    <cellStyle name="Вывод 2 23 2 2 3 2" xfId="10321"/>
    <cellStyle name="Вывод 2 23 2 2 3 2 2" xfId="21247"/>
    <cellStyle name="Вывод 2 23 2 2 3 2 3" xfId="36608"/>
    <cellStyle name="Вывод 2 23 2 2 3 3" xfId="26208"/>
    <cellStyle name="Вывод 2 23 2 2 3 3 2" xfId="41569"/>
    <cellStyle name="Вывод 2 23 2 2 3 4" xfId="15684"/>
    <cellStyle name="Вывод 2 23 2 2 3 5" xfId="31159"/>
    <cellStyle name="Вывод 2 23 2 2 4" xfId="6906"/>
    <cellStyle name="Вывод 2 23 2 2 4 2" xfId="17802"/>
    <cellStyle name="Вывод 2 23 2 2 4 3" xfId="33163"/>
    <cellStyle name="Вывод 2 23 2 2 5" xfId="22794"/>
    <cellStyle name="Вывод 2 23 2 2 5 2" xfId="38155"/>
    <cellStyle name="Вывод 2 23 2 2 6" xfId="12238"/>
    <cellStyle name="Вывод 2 23 2 2 7" xfId="27745"/>
    <cellStyle name="Вывод 2 23 2 3" xfId="2272"/>
    <cellStyle name="Вывод 2 23 2 3 2" xfId="7508"/>
    <cellStyle name="Вывод 2 23 2 3 2 2" xfId="18410"/>
    <cellStyle name="Вывод 2 23 2 3 2 3" xfId="33771"/>
    <cellStyle name="Вывод 2 23 2 3 3" xfId="23396"/>
    <cellStyle name="Вывод 2 23 2 3 3 2" xfId="38757"/>
    <cellStyle name="Вывод 2 23 2 3 4" xfId="12847"/>
    <cellStyle name="Вывод 2 23 2 3 5" xfId="28347"/>
    <cellStyle name="Вывод 2 23 2 4" xfId="2818"/>
    <cellStyle name="Вывод 2 23 2 4 2" xfId="8036"/>
    <cellStyle name="Вывод 2 23 2 4 2 2" xfId="18948"/>
    <cellStyle name="Вывод 2 23 2 4 2 3" xfId="34309"/>
    <cellStyle name="Вывод 2 23 2 4 3" xfId="23924"/>
    <cellStyle name="Вывод 2 23 2 4 3 2" xfId="39285"/>
    <cellStyle name="Вывод 2 23 2 4 4" xfId="13385"/>
    <cellStyle name="Вывод 2 23 2 4 5" xfId="28875"/>
    <cellStyle name="Вывод 2 23 2 5" xfId="3764"/>
    <cellStyle name="Вывод 2 23 2 5 2" xfId="8951"/>
    <cellStyle name="Вывод 2 23 2 5 2 2" xfId="19878"/>
    <cellStyle name="Вывод 2 23 2 5 2 3" xfId="35239"/>
    <cellStyle name="Вывод 2 23 2 5 3" xfId="24839"/>
    <cellStyle name="Вывод 2 23 2 5 3 2" xfId="40200"/>
    <cellStyle name="Вывод 2 23 2 5 4" xfId="14315"/>
    <cellStyle name="Вывод 2 23 2 5 5" xfId="29790"/>
    <cellStyle name="Вывод 2 23 2 6" xfId="4320"/>
    <cellStyle name="Вывод 2 23 2 6 2" xfId="9507"/>
    <cellStyle name="Вывод 2 23 2 6 2 2" xfId="20434"/>
    <cellStyle name="Вывод 2 23 2 6 2 3" xfId="35795"/>
    <cellStyle name="Вывод 2 23 2 6 3" xfId="25395"/>
    <cellStyle name="Вывод 2 23 2 6 3 2" xfId="40756"/>
    <cellStyle name="Вывод 2 23 2 6 4" xfId="14871"/>
    <cellStyle name="Вывод 2 23 2 6 5" xfId="30346"/>
    <cellStyle name="Вывод 2 23 2 7" xfId="4509"/>
    <cellStyle name="Вывод 2 23 2 7 2" xfId="9696"/>
    <cellStyle name="Вывод 2 23 2 7 2 2" xfId="20623"/>
    <cellStyle name="Вывод 2 23 2 7 2 3" xfId="35984"/>
    <cellStyle name="Вывод 2 23 2 7 3" xfId="25584"/>
    <cellStyle name="Вывод 2 23 2 7 3 2" xfId="40945"/>
    <cellStyle name="Вывод 2 23 2 7 4" xfId="15060"/>
    <cellStyle name="Вывод 2 23 2 7 5" xfId="30535"/>
    <cellStyle name="Вывод 2 23 2 8" xfId="6128"/>
    <cellStyle name="Вывод 2 23 2 8 2" xfId="16739"/>
    <cellStyle name="Вывод 2 23 2 8 3" xfId="32206"/>
    <cellStyle name="Вывод 2 23 2 9" xfId="22016"/>
    <cellStyle name="Вывод 2 23 2 9 2" xfId="37377"/>
    <cellStyle name="Вывод 2 23 3" xfId="1453"/>
    <cellStyle name="Вывод 2 23 3 2" xfId="2449"/>
    <cellStyle name="Вывод 2 23 3 2 2" xfId="7685"/>
    <cellStyle name="Вывод 2 23 3 2 2 2" xfId="18587"/>
    <cellStyle name="Вывод 2 23 3 2 2 3" xfId="33948"/>
    <cellStyle name="Вывод 2 23 3 2 3" xfId="23573"/>
    <cellStyle name="Вывод 2 23 3 2 3 2" xfId="38934"/>
    <cellStyle name="Вывод 2 23 3 2 4" xfId="13024"/>
    <cellStyle name="Вывод 2 23 3 2 5" xfId="28524"/>
    <cellStyle name="Вывод 2 23 3 3" xfId="5139"/>
    <cellStyle name="Вывод 2 23 3 3 2" xfId="10322"/>
    <cellStyle name="Вывод 2 23 3 3 2 2" xfId="21248"/>
    <cellStyle name="Вывод 2 23 3 3 2 3" xfId="36609"/>
    <cellStyle name="Вывод 2 23 3 3 3" xfId="26209"/>
    <cellStyle name="Вывод 2 23 3 3 3 2" xfId="41570"/>
    <cellStyle name="Вывод 2 23 3 3 4" xfId="15685"/>
    <cellStyle name="Вывод 2 23 3 3 5" xfId="31160"/>
    <cellStyle name="Вывод 2 23 3 4" xfId="6700"/>
    <cellStyle name="Вывод 2 23 3 4 2" xfId="16158"/>
    <cellStyle name="Вывод 2 23 3 4 3" xfId="31625"/>
    <cellStyle name="Вывод 2 23 3 5" xfId="22588"/>
    <cellStyle name="Вывод 2 23 3 5 2" xfId="37949"/>
    <cellStyle name="Вывод 2 23 3 6" xfId="12031"/>
    <cellStyle name="Вывод 2 23 3 7" xfId="27539"/>
    <cellStyle name="Вывод 2 23 4" xfId="1587"/>
    <cellStyle name="Вывод 2 23 4 2" xfId="6834"/>
    <cellStyle name="Вывод 2 23 4 2 2" xfId="17729"/>
    <cellStyle name="Вывод 2 23 4 2 3" xfId="33090"/>
    <cellStyle name="Вывод 2 23 4 3" xfId="22722"/>
    <cellStyle name="Вывод 2 23 4 3 2" xfId="38083"/>
    <cellStyle name="Вывод 2 23 4 4" xfId="12165"/>
    <cellStyle name="Вывод 2 23 4 5" xfId="27673"/>
    <cellStyle name="Вывод 2 23 5" xfId="2998"/>
    <cellStyle name="Вывод 2 23 5 2" xfId="8196"/>
    <cellStyle name="Вывод 2 23 5 2 2" xfId="19119"/>
    <cellStyle name="Вывод 2 23 5 2 3" xfId="34480"/>
    <cellStyle name="Вывод 2 23 5 3" xfId="24084"/>
    <cellStyle name="Вывод 2 23 5 3 2" xfId="39445"/>
    <cellStyle name="Вывод 2 23 5 4" xfId="13556"/>
    <cellStyle name="Вывод 2 23 5 5" xfId="29035"/>
    <cellStyle name="Вывод 2 23 6" xfId="3521"/>
    <cellStyle name="Вывод 2 23 6 2" xfId="8708"/>
    <cellStyle name="Вывод 2 23 6 2 2" xfId="19635"/>
    <cellStyle name="Вывод 2 23 6 2 3" xfId="34996"/>
    <cellStyle name="Вывод 2 23 6 3" xfId="24596"/>
    <cellStyle name="Вывод 2 23 6 3 2" xfId="39957"/>
    <cellStyle name="Вывод 2 23 6 4" xfId="14072"/>
    <cellStyle name="Вывод 2 23 6 5" xfId="29547"/>
    <cellStyle name="Вывод 2 23 7" xfId="3272"/>
    <cellStyle name="Вывод 2 23 7 2" xfId="8466"/>
    <cellStyle name="Вывод 2 23 7 2 2" xfId="19393"/>
    <cellStyle name="Вывод 2 23 7 2 3" xfId="34754"/>
    <cellStyle name="Вывод 2 23 7 3" xfId="24354"/>
    <cellStyle name="Вывод 2 23 7 3 2" xfId="39715"/>
    <cellStyle name="Вывод 2 23 7 4" xfId="13830"/>
    <cellStyle name="Вывод 2 23 7 5" xfId="29305"/>
    <cellStyle name="Вывод 2 23 8" xfId="4770"/>
    <cellStyle name="Вывод 2 23 8 2" xfId="9957"/>
    <cellStyle name="Вывод 2 23 8 2 2" xfId="20884"/>
    <cellStyle name="Вывод 2 23 8 2 3" xfId="36245"/>
    <cellStyle name="Вывод 2 23 8 3" xfId="25845"/>
    <cellStyle name="Вывод 2 23 8 3 2" xfId="41206"/>
    <cellStyle name="Вывод 2 23 8 4" xfId="15321"/>
    <cellStyle name="Вывод 2 23 8 5" xfId="30796"/>
    <cellStyle name="Вывод 2 23 9" xfId="5717"/>
    <cellStyle name="Вывод 2 23 9 2" xfId="17174"/>
    <cellStyle name="Вывод 2 23 9 3" xfId="32641"/>
    <cellStyle name="Вывод 2 24" xfId="896"/>
    <cellStyle name="Вывод 2 24 10" xfId="11480"/>
    <cellStyle name="Вывод 2 24 11" xfId="26997"/>
    <cellStyle name="Вывод 2 24 2" xfId="995"/>
    <cellStyle name="Вывод 2 24 2 2" xfId="2052"/>
    <cellStyle name="Вывод 2 24 2 2 2" xfId="7288"/>
    <cellStyle name="Вывод 2 24 2 2 2 2" xfId="18190"/>
    <cellStyle name="Вывод 2 24 2 2 2 3" xfId="33551"/>
    <cellStyle name="Вывод 2 24 2 2 3" xfId="23176"/>
    <cellStyle name="Вывод 2 24 2 2 3 2" xfId="38537"/>
    <cellStyle name="Вывод 2 24 2 2 4" xfId="12627"/>
    <cellStyle name="Вывод 2 24 2 2 5" xfId="28127"/>
    <cellStyle name="Вывод 2 24 2 3" xfId="5140"/>
    <cellStyle name="Вывод 2 24 2 3 2" xfId="10323"/>
    <cellStyle name="Вывод 2 24 2 3 2 2" xfId="21249"/>
    <cellStyle name="Вывод 2 24 2 3 2 3" xfId="36610"/>
    <cellStyle name="Вывод 2 24 2 3 3" xfId="26210"/>
    <cellStyle name="Вывод 2 24 2 3 3 2" xfId="41571"/>
    <cellStyle name="Вывод 2 24 2 3 4" xfId="15686"/>
    <cellStyle name="Вывод 2 24 2 3 5" xfId="31161"/>
    <cellStyle name="Вывод 2 24 2 4" xfId="6254"/>
    <cellStyle name="Вывод 2 24 2 4 2" xfId="16611"/>
    <cellStyle name="Вывод 2 24 2 4 3" xfId="32078"/>
    <cellStyle name="Вывод 2 24 2 5" xfId="22142"/>
    <cellStyle name="Вывод 2 24 2 5 2" xfId="37503"/>
    <cellStyle name="Вывод 2 24 2 6" xfId="11578"/>
    <cellStyle name="Вывод 2 24 2 7" xfId="27093"/>
    <cellStyle name="Вывод 2 24 3" xfId="2302"/>
    <cellStyle name="Вывод 2 24 3 2" xfId="7538"/>
    <cellStyle name="Вывод 2 24 3 2 2" xfId="18440"/>
    <cellStyle name="Вывод 2 24 3 2 3" xfId="33801"/>
    <cellStyle name="Вывод 2 24 3 3" xfId="23426"/>
    <cellStyle name="Вывод 2 24 3 3 2" xfId="38787"/>
    <cellStyle name="Вывод 2 24 3 4" xfId="12877"/>
    <cellStyle name="Вывод 2 24 3 5" xfId="28377"/>
    <cellStyle name="Вывод 2 24 4" xfId="2897"/>
    <cellStyle name="Вывод 2 24 4 2" xfId="8104"/>
    <cellStyle name="Вывод 2 24 4 2 2" xfId="19024"/>
    <cellStyle name="Вывод 2 24 4 2 3" xfId="34385"/>
    <cellStyle name="Вывод 2 24 4 3" xfId="23992"/>
    <cellStyle name="Вывод 2 24 4 3 2" xfId="39353"/>
    <cellStyle name="Вывод 2 24 4 4" xfId="13461"/>
    <cellStyle name="Вывод 2 24 4 5" xfId="28943"/>
    <cellStyle name="Вывод 2 24 5" xfId="3672"/>
    <cellStyle name="Вывод 2 24 5 2" xfId="8859"/>
    <cellStyle name="Вывод 2 24 5 2 2" xfId="19786"/>
    <cellStyle name="Вывод 2 24 5 2 3" xfId="35147"/>
    <cellStyle name="Вывод 2 24 5 3" xfId="24747"/>
    <cellStyle name="Вывод 2 24 5 3 2" xfId="40108"/>
    <cellStyle name="Вывод 2 24 5 4" xfId="14223"/>
    <cellStyle name="Вывод 2 24 5 5" xfId="29698"/>
    <cellStyle name="Вывод 2 24 6" xfId="4350"/>
    <cellStyle name="Вывод 2 24 6 2" xfId="9537"/>
    <cellStyle name="Вывод 2 24 6 2 2" xfId="20464"/>
    <cellStyle name="Вывод 2 24 6 2 3" xfId="35825"/>
    <cellStyle name="Вывод 2 24 6 3" xfId="25425"/>
    <cellStyle name="Вывод 2 24 6 3 2" xfId="40786"/>
    <cellStyle name="Вывод 2 24 6 4" xfId="14901"/>
    <cellStyle name="Вывод 2 24 6 5" xfId="30376"/>
    <cellStyle name="Вывод 2 24 7" xfId="4485"/>
    <cellStyle name="Вывод 2 24 7 2" xfId="9672"/>
    <cellStyle name="Вывод 2 24 7 2 2" xfId="20599"/>
    <cellStyle name="Вывод 2 24 7 2 3" xfId="35960"/>
    <cellStyle name="Вывод 2 24 7 3" xfId="25560"/>
    <cellStyle name="Вывод 2 24 7 3 2" xfId="40921"/>
    <cellStyle name="Вывод 2 24 7 4" xfId="15036"/>
    <cellStyle name="Вывод 2 24 7 5" xfId="30511"/>
    <cellStyle name="Вывод 2 24 8" xfId="6158"/>
    <cellStyle name="Вывод 2 24 8 2" xfId="16709"/>
    <cellStyle name="Вывод 2 24 8 3" xfId="32176"/>
    <cellStyle name="Вывод 2 24 9" xfId="22046"/>
    <cellStyle name="Вывод 2 24 9 2" xfId="37407"/>
    <cellStyle name="Вывод 2 25" xfId="1766"/>
    <cellStyle name="Вывод 2 25 2" xfId="1789"/>
    <cellStyle name="Вывод 2 25 2 2" xfId="7028"/>
    <cellStyle name="Вывод 2 25 2 2 2" xfId="17930"/>
    <cellStyle name="Вывод 2 25 2 2 3" xfId="33291"/>
    <cellStyle name="Вывод 2 25 2 3" xfId="22916"/>
    <cellStyle name="Вывод 2 25 2 3 2" xfId="38277"/>
    <cellStyle name="Вывод 2 25 2 4" xfId="12367"/>
    <cellStyle name="Вывод 2 25 2 5" xfId="27867"/>
    <cellStyle name="Вывод 2 25 3" xfId="5141"/>
    <cellStyle name="Вывод 2 25 3 2" xfId="10324"/>
    <cellStyle name="Вывод 2 25 3 2 2" xfId="21250"/>
    <cellStyle name="Вывод 2 25 3 2 3" xfId="36611"/>
    <cellStyle name="Вывод 2 25 3 3" xfId="26211"/>
    <cellStyle name="Вывод 2 25 3 3 2" xfId="41572"/>
    <cellStyle name="Вывод 2 25 3 4" xfId="15687"/>
    <cellStyle name="Вывод 2 25 3 5" xfId="31162"/>
    <cellStyle name="Вывод 2 25 4" xfId="7005"/>
    <cellStyle name="Вывод 2 25 4 2" xfId="17907"/>
    <cellStyle name="Вывод 2 25 4 3" xfId="33268"/>
    <cellStyle name="Вывод 2 25 5" xfId="22893"/>
    <cellStyle name="Вывод 2 25 5 2" xfId="38254"/>
    <cellStyle name="Вывод 2 25 6" xfId="12344"/>
    <cellStyle name="Вывод 2 25 7" xfId="27844"/>
    <cellStyle name="Вывод 2 26" xfId="1527"/>
    <cellStyle name="Вывод 2 26 2" xfId="5142"/>
    <cellStyle name="Вывод 2 26 2 2" xfId="10325"/>
    <cellStyle name="Вывод 2 26 2 2 2" xfId="21251"/>
    <cellStyle name="Вывод 2 26 2 2 3" xfId="36612"/>
    <cellStyle name="Вывод 2 26 2 3" xfId="26212"/>
    <cellStyle name="Вывод 2 26 2 3 2" xfId="41573"/>
    <cellStyle name="Вывод 2 26 2 4" xfId="15688"/>
    <cellStyle name="Вывод 2 26 2 5" xfId="31163"/>
    <cellStyle name="Вывод 2 26 3" xfId="6774"/>
    <cellStyle name="Вывод 2 26 3 2" xfId="17669"/>
    <cellStyle name="Вывод 2 26 3 3" xfId="33030"/>
    <cellStyle name="Вывод 2 26 4" xfId="22662"/>
    <cellStyle name="Вывод 2 26 4 2" xfId="38023"/>
    <cellStyle name="Вывод 2 26 5" xfId="12105"/>
    <cellStyle name="Вывод 2 26 6" xfId="27613"/>
    <cellStyle name="Вывод 2 27" xfId="2400"/>
    <cellStyle name="Вывод 2 27 2" xfId="7636"/>
    <cellStyle name="Вывод 2 27 2 2" xfId="18538"/>
    <cellStyle name="Вывод 2 27 2 3" xfId="33899"/>
    <cellStyle name="Вывод 2 27 3" xfId="23524"/>
    <cellStyle name="Вывод 2 27 3 2" xfId="38885"/>
    <cellStyle name="Вывод 2 27 4" xfId="12975"/>
    <cellStyle name="Вывод 2 27 5" xfId="28475"/>
    <cellStyle name="Вывод 2 27 6" xfId="44022"/>
    <cellStyle name="Вывод 2 28" xfId="3069"/>
    <cellStyle name="Вывод 2 28 2" xfId="8264"/>
    <cellStyle name="Вывод 2 28 2 2" xfId="19190"/>
    <cellStyle name="Вывод 2 28 2 3" xfId="34551"/>
    <cellStyle name="Вывод 2 28 3" xfId="24152"/>
    <cellStyle name="Вывод 2 28 3 2" xfId="39513"/>
    <cellStyle name="Вывод 2 28 4" xfId="13627"/>
    <cellStyle name="Вывод 2 28 5" xfId="29103"/>
    <cellStyle name="Вывод 2 29" xfId="3504"/>
    <cellStyle name="Вывод 2 29 2" xfId="8691"/>
    <cellStyle name="Вывод 2 29 2 2" xfId="19618"/>
    <cellStyle name="Вывод 2 29 2 3" xfId="34979"/>
    <cellStyle name="Вывод 2 29 3" xfId="24579"/>
    <cellStyle name="Вывод 2 29 3 2" xfId="39940"/>
    <cellStyle name="Вывод 2 29 4" xfId="14055"/>
    <cellStyle name="Вывод 2 29 5" xfId="29530"/>
    <cellStyle name="Вывод 2 3" xfId="327"/>
    <cellStyle name="Вывод 2 3 10" xfId="17306"/>
    <cellStyle name="Вывод 2 3 10 2" xfId="32773"/>
    <cellStyle name="Вывод 2 3 11" xfId="11013"/>
    <cellStyle name="Вывод 2 3 12" xfId="10881"/>
    <cellStyle name="Вывод 2 3 2" xfId="865"/>
    <cellStyle name="Вывод 2 3 2 10" xfId="11449"/>
    <cellStyle name="Вывод 2 3 2 11" xfId="26966"/>
    <cellStyle name="Вывод 2 3 2 2" xfId="1612"/>
    <cellStyle name="Вывод 2 3 2 2 2" xfId="1791"/>
    <cellStyle name="Вывод 2 3 2 2 2 2" xfId="7030"/>
    <cellStyle name="Вывод 2 3 2 2 2 2 2" xfId="17932"/>
    <cellStyle name="Вывод 2 3 2 2 2 2 3" xfId="33293"/>
    <cellStyle name="Вывод 2 3 2 2 2 3" xfId="22918"/>
    <cellStyle name="Вывод 2 3 2 2 2 3 2" xfId="38279"/>
    <cellStyle name="Вывод 2 3 2 2 2 4" xfId="12369"/>
    <cellStyle name="Вывод 2 3 2 2 2 5" xfId="27869"/>
    <cellStyle name="Вывод 2 3 2 2 3" xfId="5143"/>
    <cellStyle name="Вывод 2 3 2 2 3 2" xfId="10326"/>
    <cellStyle name="Вывод 2 3 2 2 3 2 2" xfId="21252"/>
    <cellStyle name="Вывод 2 3 2 2 3 2 3" xfId="36613"/>
    <cellStyle name="Вывод 2 3 2 2 3 3" xfId="26213"/>
    <cellStyle name="Вывод 2 3 2 2 3 3 2" xfId="41574"/>
    <cellStyle name="Вывод 2 3 2 2 3 4" xfId="15689"/>
    <cellStyle name="Вывод 2 3 2 2 3 5" xfId="31164"/>
    <cellStyle name="Вывод 2 3 2 2 4" xfId="6859"/>
    <cellStyle name="Вывод 2 3 2 2 4 2" xfId="17754"/>
    <cellStyle name="Вывод 2 3 2 2 4 3" xfId="33115"/>
    <cellStyle name="Вывод 2 3 2 2 5" xfId="22747"/>
    <cellStyle name="Вывод 2 3 2 2 5 2" xfId="38108"/>
    <cellStyle name="Вывод 2 3 2 2 6" xfId="12190"/>
    <cellStyle name="Вывод 2 3 2 2 7" xfId="27698"/>
    <cellStyle name="Вывод 2 3 2 3" xfId="2271"/>
    <cellStyle name="Вывод 2 3 2 3 2" xfId="7507"/>
    <cellStyle name="Вывод 2 3 2 3 2 2" xfId="18409"/>
    <cellStyle name="Вывод 2 3 2 3 2 3" xfId="33770"/>
    <cellStyle name="Вывод 2 3 2 3 3" xfId="23395"/>
    <cellStyle name="Вывод 2 3 2 3 3 2" xfId="38756"/>
    <cellStyle name="Вывод 2 3 2 3 4" xfId="12846"/>
    <cellStyle name="Вывод 2 3 2 3 5" xfId="28346"/>
    <cellStyle name="Вывод 2 3 2 4" xfId="2592"/>
    <cellStyle name="Вывод 2 3 2 4 2" xfId="7825"/>
    <cellStyle name="Вывод 2 3 2 4 2 2" xfId="18727"/>
    <cellStyle name="Вывод 2 3 2 4 2 3" xfId="34088"/>
    <cellStyle name="Вывод 2 3 2 4 3" xfId="23713"/>
    <cellStyle name="Вывод 2 3 2 4 3 2" xfId="39074"/>
    <cellStyle name="Вывод 2 3 2 4 4" xfId="13164"/>
    <cellStyle name="Вывод 2 3 2 4 5" xfId="28664"/>
    <cellStyle name="Вывод 2 3 2 5" xfId="3659"/>
    <cellStyle name="Вывод 2 3 2 5 2" xfId="8846"/>
    <cellStyle name="Вывод 2 3 2 5 2 2" xfId="19773"/>
    <cellStyle name="Вывод 2 3 2 5 2 3" xfId="35134"/>
    <cellStyle name="Вывод 2 3 2 5 3" xfId="24734"/>
    <cellStyle name="Вывод 2 3 2 5 3 2" xfId="40095"/>
    <cellStyle name="Вывод 2 3 2 5 4" xfId="14210"/>
    <cellStyle name="Вывод 2 3 2 5 5" xfId="29685"/>
    <cellStyle name="Вывод 2 3 2 6" xfId="4319"/>
    <cellStyle name="Вывод 2 3 2 6 2" xfId="9506"/>
    <cellStyle name="Вывод 2 3 2 6 2 2" xfId="20433"/>
    <cellStyle name="Вывод 2 3 2 6 2 3" xfId="35794"/>
    <cellStyle name="Вывод 2 3 2 6 3" xfId="25394"/>
    <cellStyle name="Вывод 2 3 2 6 3 2" xfId="40755"/>
    <cellStyle name="Вывод 2 3 2 6 4" xfId="14870"/>
    <cellStyle name="Вывод 2 3 2 6 5" xfId="30345"/>
    <cellStyle name="Вывод 2 3 2 6 6" xfId="46211"/>
    <cellStyle name="Вывод 2 3 2 7" xfId="4510"/>
    <cellStyle name="Вывод 2 3 2 7 2" xfId="9697"/>
    <cellStyle name="Вывод 2 3 2 7 2 2" xfId="20624"/>
    <cellStyle name="Вывод 2 3 2 7 2 3" xfId="35985"/>
    <cellStyle name="Вывод 2 3 2 7 3" xfId="25585"/>
    <cellStyle name="Вывод 2 3 2 7 3 2" xfId="40946"/>
    <cellStyle name="Вывод 2 3 2 7 4" xfId="15061"/>
    <cellStyle name="Вывод 2 3 2 7 5" xfId="30536"/>
    <cellStyle name="Вывод 2 3 2 8" xfId="6127"/>
    <cellStyle name="Вывод 2 3 2 8 2" xfId="16740"/>
    <cellStyle name="Вывод 2 3 2 8 3" xfId="32207"/>
    <cellStyle name="Вывод 2 3 2 9" xfId="22015"/>
    <cellStyle name="Вывод 2 3 2 9 2" xfId="37376"/>
    <cellStyle name="Вывод 2 3 3" xfId="1412"/>
    <cellStyle name="Вывод 2 3 3 2" xfId="2450"/>
    <cellStyle name="Вывод 2 3 3 2 2" xfId="7686"/>
    <cellStyle name="Вывод 2 3 3 2 2 2" xfId="18588"/>
    <cellStyle name="Вывод 2 3 3 2 2 3" xfId="33949"/>
    <cellStyle name="Вывод 2 3 3 2 3" xfId="23574"/>
    <cellStyle name="Вывод 2 3 3 2 3 2" xfId="38935"/>
    <cellStyle name="Вывод 2 3 3 2 4" xfId="13025"/>
    <cellStyle name="Вывод 2 3 3 2 5" xfId="28525"/>
    <cellStyle name="Вывод 2 3 3 3" xfId="5144"/>
    <cellStyle name="Вывод 2 3 3 3 2" xfId="10327"/>
    <cellStyle name="Вывод 2 3 3 3 2 2" xfId="21253"/>
    <cellStyle name="Вывод 2 3 3 3 2 3" xfId="36614"/>
    <cellStyle name="Вывод 2 3 3 3 3" xfId="26214"/>
    <cellStyle name="Вывод 2 3 3 3 3 2" xfId="41575"/>
    <cellStyle name="Вывод 2 3 3 3 4" xfId="15690"/>
    <cellStyle name="Вывод 2 3 3 3 5" xfId="31165"/>
    <cellStyle name="Вывод 2 3 3 4" xfId="6660"/>
    <cellStyle name="Вывод 2 3 3 4 2" xfId="16198"/>
    <cellStyle name="Вывод 2 3 3 4 3" xfId="31665"/>
    <cellStyle name="Вывод 2 3 3 5" xfId="22548"/>
    <cellStyle name="Вывод 2 3 3 5 2" xfId="37909"/>
    <cellStyle name="Вывод 2 3 3 6" xfId="11991"/>
    <cellStyle name="Вывод 2 3 3 7" xfId="27499"/>
    <cellStyle name="Вывод 2 3 4" xfId="1528"/>
    <cellStyle name="Вывод 2 3 4 2" xfId="6775"/>
    <cellStyle name="Вывод 2 3 4 2 2" xfId="17670"/>
    <cellStyle name="Вывод 2 3 4 2 3" xfId="33031"/>
    <cellStyle name="Вывод 2 3 4 3" xfId="22663"/>
    <cellStyle name="Вывод 2 3 4 3 2" xfId="38024"/>
    <cellStyle name="Вывод 2 3 4 4" xfId="12106"/>
    <cellStyle name="Вывод 2 3 4 5" xfId="27614"/>
    <cellStyle name="Вывод 2 3 5" xfId="2995"/>
    <cellStyle name="Вывод 2 3 5 2" xfId="8195"/>
    <cellStyle name="Вывод 2 3 5 2 2" xfId="19116"/>
    <cellStyle name="Вывод 2 3 5 2 3" xfId="34477"/>
    <cellStyle name="Вывод 2 3 5 3" xfId="24083"/>
    <cellStyle name="Вывод 2 3 5 3 2" xfId="39444"/>
    <cellStyle name="Вывод 2 3 5 4" xfId="13553"/>
    <cellStyle name="Вывод 2 3 5 5" xfId="29034"/>
    <cellStyle name="Вывод 2 3 6" xfId="3950"/>
    <cellStyle name="Вывод 2 3 6 2" xfId="9137"/>
    <cellStyle name="Вывод 2 3 6 2 2" xfId="20064"/>
    <cellStyle name="Вывод 2 3 6 2 3" xfId="35425"/>
    <cellStyle name="Вывод 2 3 6 3" xfId="25025"/>
    <cellStyle name="Вывод 2 3 6 3 2" xfId="40386"/>
    <cellStyle name="Вывод 2 3 6 4" xfId="14501"/>
    <cellStyle name="Вывод 2 3 6 5" xfId="29976"/>
    <cellStyle name="Вывод 2 3 6 6" xfId="44364"/>
    <cellStyle name="Вывод 2 3 7" xfId="3888"/>
    <cellStyle name="Вывод 2 3 7 2" xfId="9075"/>
    <cellStyle name="Вывод 2 3 7 2 2" xfId="20002"/>
    <cellStyle name="Вывод 2 3 7 2 3" xfId="35363"/>
    <cellStyle name="Вывод 2 3 7 3" xfId="24963"/>
    <cellStyle name="Вывод 2 3 7 3 2" xfId="40324"/>
    <cellStyle name="Вывод 2 3 7 4" xfId="14439"/>
    <cellStyle name="Вывод 2 3 7 5" xfId="29914"/>
    <cellStyle name="Вывод 2 3 8" xfId="4852"/>
    <cellStyle name="Вывод 2 3 8 2" xfId="10039"/>
    <cellStyle name="Вывод 2 3 8 2 2" xfId="20966"/>
    <cellStyle name="Вывод 2 3 8 2 3" xfId="36327"/>
    <cellStyle name="Вывод 2 3 8 3" xfId="25927"/>
    <cellStyle name="Вывод 2 3 8 3 2" xfId="41288"/>
    <cellStyle name="Вывод 2 3 8 4" xfId="15403"/>
    <cellStyle name="Вывод 2 3 8 5" xfId="30878"/>
    <cellStyle name="Вывод 2 3 8 6" xfId="46210"/>
    <cellStyle name="Вывод 2 3 9" xfId="5718"/>
    <cellStyle name="Вывод 2 3 9 2" xfId="17173"/>
    <cellStyle name="Вывод 2 3 9 3" xfId="32640"/>
    <cellStyle name="Вывод 2 30" xfId="3880"/>
    <cellStyle name="Вывод 2 30 2" xfId="9067"/>
    <cellStyle name="Вывод 2 30 2 2" xfId="19994"/>
    <cellStyle name="Вывод 2 30 2 3" xfId="35355"/>
    <cellStyle name="Вывод 2 30 3" xfId="24955"/>
    <cellStyle name="Вывод 2 30 3 2" xfId="40316"/>
    <cellStyle name="Вывод 2 30 4" xfId="14431"/>
    <cellStyle name="Вывод 2 30 5" xfId="29906"/>
    <cellStyle name="Вывод 2 31" xfId="4787"/>
    <cellStyle name="Вывод 2 31 2" xfId="9974"/>
    <cellStyle name="Вывод 2 31 2 2" xfId="20901"/>
    <cellStyle name="Вывод 2 31 2 3" xfId="36262"/>
    <cellStyle name="Вывод 2 31 3" xfId="25862"/>
    <cellStyle name="Вывод 2 31 3 2" xfId="41223"/>
    <cellStyle name="Вывод 2 31 4" xfId="15338"/>
    <cellStyle name="Вывод 2 31 5" xfId="30813"/>
    <cellStyle name="Вывод 2 32" xfId="5681"/>
    <cellStyle name="Вывод 2 32 2" xfId="17210"/>
    <cellStyle name="Вывод 2 32 3" xfId="32677"/>
    <cellStyle name="Вывод 2 33" xfId="17283"/>
    <cellStyle name="Вывод 2 33 2" xfId="32750"/>
    <cellStyle name="Вывод 2 34" xfId="10976"/>
    <cellStyle name="Вывод 2 35" xfId="10904"/>
    <cellStyle name="Вывод 2 4" xfId="328"/>
    <cellStyle name="Вывод 2 4 10" xfId="17307"/>
    <cellStyle name="Вывод 2 4 10 2" xfId="32774"/>
    <cellStyle name="Вывод 2 4 11" xfId="11014"/>
    <cellStyle name="Вывод 2 4 12" xfId="10880"/>
    <cellStyle name="Вывод 2 4 2" xfId="864"/>
    <cellStyle name="Вывод 2 4 2 10" xfId="11448"/>
    <cellStyle name="Вывод 2 4 2 11" xfId="26965"/>
    <cellStyle name="Вывод 2 4 2 2" xfId="1041"/>
    <cellStyle name="Вывод 2 4 2 2 2" xfId="2029"/>
    <cellStyle name="Вывод 2 4 2 2 2 2" xfId="7265"/>
    <cellStyle name="Вывод 2 4 2 2 2 2 2" xfId="18167"/>
    <cellStyle name="Вывод 2 4 2 2 2 2 3" xfId="33528"/>
    <cellStyle name="Вывод 2 4 2 2 2 3" xfId="23153"/>
    <cellStyle name="Вывод 2 4 2 2 2 3 2" xfId="38514"/>
    <cellStyle name="Вывод 2 4 2 2 2 4" xfId="12604"/>
    <cellStyle name="Вывод 2 4 2 2 2 5" xfId="28104"/>
    <cellStyle name="Вывод 2 4 2 2 3" xfId="5145"/>
    <cellStyle name="Вывод 2 4 2 2 3 2" xfId="10328"/>
    <cellStyle name="Вывод 2 4 2 2 3 2 2" xfId="21254"/>
    <cellStyle name="Вывод 2 4 2 2 3 2 3" xfId="36615"/>
    <cellStyle name="Вывод 2 4 2 2 3 3" xfId="26215"/>
    <cellStyle name="Вывод 2 4 2 2 3 3 2" xfId="41576"/>
    <cellStyle name="Вывод 2 4 2 2 3 4" xfId="15691"/>
    <cellStyle name="Вывод 2 4 2 2 3 5" xfId="31166"/>
    <cellStyle name="Вывод 2 4 2 2 4" xfId="6299"/>
    <cellStyle name="Вывод 2 4 2 2 4 2" xfId="16565"/>
    <cellStyle name="Вывод 2 4 2 2 4 3" xfId="32032"/>
    <cellStyle name="Вывод 2 4 2 2 5" xfId="22187"/>
    <cellStyle name="Вывод 2 4 2 2 5 2" xfId="37548"/>
    <cellStyle name="Вывод 2 4 2 2 6" xfId="11624"/>
    <cellStyle name="Вывод 2 4 2 2 7" xfId="27138"/>
    <cellStyle name="Вывод 2 4 2 3" xfId="2270"/>
    <cellStyle name="Вывод 2 4 2 3 2" xfId="7506"/>
    <cellStyle name="Вывод 2 4 2 3 2 2" xfId="18408"/>
    <cellStyle name="Вывод 2 4 2 3 2 3" xfId="33769"/>
    <cellStyle name="Вывод 2 4 2 3 3" xfId="23394"/>
    <cellStyle name="Вывод 2 4 2 3 3 2" xfId="38755"/>
    <cellStyle name="Вывод 2 4 2 3 4" xfId="12845"/>
    <cellStyle name="Вывод 2 4 2 3 5" xfId="28345"/>
    <cellStyle name="Вывод 2 4 2 4" xfId="1160"/>
    <cellStyle name="Вывод 2 4 2 4 2" xfId="6414"/>
    <cellStyle name="Вывод 2 4 2 4 2 2" xfId="16448"/>
    <cellStyle name="Вывод 2 4 2 4 2 3" xfId="31915"/>
    <cellStyle name="Вывод 2 4 2 4 3" xfId="22302"/>
    <cellStyle name="Вывод 2 4 2 4 3 2" xfId="37663"/>
    <cellStyle name="Вывод 2 4 2 4 4" xfId="11741"/>
    <cellStyle name="Вывод 2 4 2 4 5" xfId="27253"/>
    <cellStyle name="Вывод 2 4 2 5" xfId="3765"/>
    <cellStyle name="Вывод 2 4 2 5 2" xfId="8952"/>
    <cellStyle name="Вывод 2 4 2 5 2 2" xfId="19879"/>
    <cellStyle name="Вывод 2 4 2 5 2 3" xfId="35240"/>
    <cellStyle name="Вывод 2 4 2 5 3" xfId="24840"/>
    <cellStyle name="Вывод 2 4 2 5 3 2" xfId="40201"/>
    <cellStyle name="Вывод 2 4 2 5 4" xfId="14316"/>
    <cellStyle name="Вывод 2 4 2 5 5" xfId="29791"/>
    <cellStyle name="Вывод 2 4 2 6" xfId="4318"/>
    <cellStyle name="Вывод 2 4 2 6 2" xfId="9505"/>
    <cellStyle name="Вывод 2 4 2 6 2 2" xfId="20432"/>
    <cellStyle name="Вывод 2 4 2 6 2 3" xfId="35793"/>
    <cellStyle name="Вывод 2 4 2 6 3" xfId="25393"/>
    <cellStyle name="Вывод 2 4 2 6 3 2" xfId="40754"/>
    <cellStyle name="Вывод 2 4 2 6 4" xfId="14869"/>
    <cellStyle name="Вывод 2 4 2 6 5" xfId="30344"/>
    <cellStyle name="Вывод 2 4 2 7" xfId="4511"/>
    <cellStyle name="Вывод 2 4 2 7 2" xfId="9698"/>
    <cellStyle name="Вывод 2 4 2 7 2 2" xfId="20625"/>
    <cellStyle name="Вывод 2 4 2 7 2 3" xfId="35986"/>
    <cellStyle name="Вывод 2 4 2 7 3" xfId="25586"/>
    <cellStyle name="Вывод 2 4 2 7 3 2" xfId="40947"/>
    <cellStyle name="Вывод 2 4 2 7 4" xfId="15062"/>
    <cellStyle name="Вывод 2 4 2 7 5" xfId="30537"/>
    <cellStyle name="Вывод 2 4 2 8" xfId="6126"/>
    <cellStyle name="Вывод 2 4 2 8 2" xfId="16741"/>
    <cellStyle name="Вывод 2 4 2 8 3" xfId="32208"/>
    <cellStyle name="Вывод 2 4 2 9" xfId="22014"/>
    <cellStyle name="Вывод 2 4 2 9 2" xfId="37375"/>
    <cellStyle name="Вывод 2 4 3" xfId="1506"/>
    <cellStyle name="Вывод 2 4 3 2" xfId="1350"/>
    <cellStyle name="Вывод 2 4 3 2 2" xfId="6602"/>
    <cellStyle name="Вывод 2 4 3 2 2 2" xfId="16258"/>
    <cellStyle name="Вывод 2 4 3 2 2 3" xfId="31725"/>
    <cellStyle name="Вывод 2 4 3 2 3" xfId="22490"/>
    <cellStyle name="Вывод 2 4 3 2 3 2" xfId="37851"/>
    <cellStyle name="Вывод 2 4 3 2 4" xfId="11931"/>
    <cellStyle name="Вывод 2 4 3 2 5" xfId="27441"/>
    <cellStyle name="Вывод 2 4 3 3" xfId="5146"/>
    <cellStyle name="Вывод 2 4 3 3 2" xfId="10329"/>
    <cellStyle name="Вывод 2 4 3 3 2 2" xfId="21255"/>
    <cellStyle name="Вывод 2 4 3 3 2 3" xfId="36616"/>
    <cellStyle name="Вывод 2 4 3 3 3" xfId="26216"/>
    <cellStyle name="Вывод 2 4 3 3 3 2" xfId="41577"/>
    <cellStyle name="Вывод 2 4 3 3 4" xfId="15692"/>
    <cellStyle name="Вывод 2 4 3 3 5" xfId="31167"/>
    <cellStyle name="Вывод 2 4 3 4" xfId="6753"/>
    <cellStyle name="Вывод 2 4 3 4 2" xfId="17648"/>
    <cellStyle name="Вывод 2 4 3 4 3" xfId="33009"/>
    <cellStyle name="Вывод 2 4 3 5" xfId="22641"/>
    <cellStyle name="Вывод 2 4 3 5 2" xfId="38002"/>
    <cellStyle name="Вывод 2 4 3 6" xfId="12084"/>
    <cellStyle name="Вывод 2 4 3 7" xfId="27592"/>
    <cellStyle name="Вывод 2 4 4" xfId="1284"/>
    <cellStyle name="Вывод 2 4 4 2" xfId="6537"/>
    <cellStyle name="Вывод 2 4 4 2 2" xfId="16324"/>
    <cellStyle name="Вывод 2 4 4 2 3" xfId="31791"/>
    <cellStyle name="Вывод 2 4 4 3" xfId="22425"/>
    <cellStyle name="Вывод 2 4 4 3 2" xfId="37786"/>
    <cellStyle name="Вывод 2 4 4 4" xfId="11865"/>
    <cellStyle name="Вывод 2 4 4 5" xfId="27376"/>
    <cellStyle name="Вывод 2 4 5" xfId="2993"/>
    <cellStyle name="Вывод 2 4 5 2" xfId="8194"/>
    <cellStyle name="Вывод 2 4 5 2 2" xfId="19114"/>
    <cellStyle name="Вывод 2 4 5 2 3" xfId="34475"/>
    <cellStyle name="Вывод 2 4 5 3" xfId="24082"/>
    <cellStyle name="Вывод 2 4 5 3 2" xfId="39443"/>
    <cellStyle name="Вывод 2 4 5 4" xfId="13551"/>
    <cellStyle name="Вывод 2 4 5 5" xfId="29033"/>
    <cellStyle name="Вывод 2 4 6" xfId="3861"/>
    <cellStyle name="Вывод 2 4 6 2" xfId="9048"/>
    <cellStyle name="Вывод 2 4 6 2 2" xfId="19975"/>
    <cellStyle name="Вывод 2 4 6 2 3" xfId="35336"/>
    <cellStyle name="Вывод 2 4 6 3" xfId="24936"/>
    <cellStyle name="Вывод 2 4 6 3 2" xfId="40297"/>
    <cellStyle name="Вывод 2 4 6 4" xfId="14412"/>
    <cellStyle name="Вывод 2 4 6 5" xfId="29887"/>
    <cellStyle name="Вывод 2 4 7" xfId="3273"/>
    <cellStyle name="Вывод 2 4 7 2" xfId="8467"/>
    <cellStyle name="Вывод 2 4 7 2 2" xfId="19394"/>
    <cellStyle name="Вывод 2 4 7 2 3" xfId="34755"/>
    <cellStyle name="Вывод 2 4 7 3" xfId="24355"/>
    <cellStyle name="Вывод 2 4 7 3 2" xfId="39716"/>
    <cellStyle name="Вывод 2 4 7 4" xfId="13831"/>
    <cellStyle name="Вывод 2 4 7 5" xfId="29306"/>
    <cellStyle name="Вывод 2 4 8" xfId="4769"/>
    <cellStyle name="Вывод 2 4 8 2" xfId="9956"/>
    <cellStyle name="Вывод 2 4 8 2 2" xfId="20883"/>
    <cellStyle name="Вывод 2 4 8 2 3" xfId="36244"/>
    <cellStyle name="Вывод 2 4 8 3" xfId="25844"/>
    <cellStyle name="Вывод 2 4 8 3 2" xfId="41205"/>
    <cellStyle name="Вывод 2 4 8 4" xfId="15320"/>
    <cellStyle name="Вывод 2 4 8 5" xfId="30795"/>
    <cellStyle name="Вывод 2 4 9" xfId="5719"/>
    <cellStyle name="Вывод 2 4 9 2" xfId="17172"/>
    <cellStyle name="Вывод 2 4 9 3" xfId="32639"/>
    <cellStyle name="Вывод 2 5" xfId="329"/>
    <cellStyle name="Вывод 2 5 10" xfId="17840"/>
    <cellStyle name="Вывод 2 5 10 2" xfId="33201"/>
    <cellStyle name="Вывод 2 5 11" xfId="11015"/>
    <cellStyle name="Вывод 2 5 12" xfId="10879"/>
    <cellStyle name="Вывод 2 5 2" xfId="863"/>
    <cellStyle name="Вывод 2 5 2 10" xfId="11447"/>
    <cellStyle name="Вывод 2 5 2 11" xfId="26964"/>
    <cellStyle name="Вывод 2 5 2 2" xfId="1053"/>
    <cellStyle name="Вывод 2 5 2 2 2" xfId="1406"/>
    <cellStyle name="Вывод 2 5 2 2 2 2" xfId="6655"/>
    <cellStyle name="Вывод 2 5 2 2 2 2 2" xfId="16204"/>
    <cellStyle name="Вывод 2 5 2 2 2 2 3" xfId="31671"/>
    <cellStyle name="Вывод 2 5 2 2 2 3" xfId="22543"/>
    <cellStyle name="Вывод 2 5 2 2 2 3 2" xfId="37904"/>
    <cellStyle name="Вывод 2 5 2 2 2 4" xfId="11985"/>
    <cellStyle name="Вывод 2 5 2 2 2 5" xfId="27494"/>
    <cellStyle name="Вывод 2 5 2 2 3" xfId="5147"/>
    <cellStyle name="Вывод 2 5 2 2 3 2" xfId="10330"/>
    <cellStyle name="Вывод 2 5 2 2 3 2 2" xfId="21256"/>
    <cellStyle name="Вывод 2 5 2 2 3 2 3" xfId="36617"/>
    <cellStyle name="Вывод 2 5 2 2 3 3" xfId="26217"/>
    <cellStyle name="Вывод 2 5 2 2 3 3 2" xfId="41578"/>
    <cellStyle name="Вывод 2 5 2 2 3 4" xfId="15693"/>
    <cellStyle name="Вывод 2 5 2 2 3 5" xfId="31168"/>
    <cellStyle name="Вывод 2 5 2 2 4" xfId="6310"/>
    <cellStyle name="Вывод 2 5 2 2 4 2" xfId="16554"/>
    <cellStyle name="Вывод 2 5 2 2 4 3" xfId="32021"/>
    <cellStyle name="Вывод 2 5 2 2 5" xfId="22198"/>
    <cellStyle name="Вывод 2 5 2 2 5 2" xfId="37559"/>
    <cellStyle name="Вывод 2 5 2 2 6" xfId="11635"/>
    <cellStyle name="Вывод 2 5 2 2 7" xfId="27149"/>
    <cellStyle name="Вывод 2 5 2 3" xfId="2269"/>
    <cellStyle name="Вывод 2 5 2 3 2" xfId="7505"/>
    <cellStyle name="Вывод 2 5 2 3 2 2" xfId="18407"/>
    <cellStyle name="Вывод 2 5 2 3 2 3" xfId="33768"/>
    <cellStyle name="Вывод 2 5 2 3 3" xfId="23393"/>
    <cellStyle name="Вывод 2 5 2 3 3 2" xfId="38754"/>
    <cellStyle name="Вывод 2 5 2 3 4" xfId="12844"/>
    <cellStyle name="Вывод 2 5 2 3 5" xfId="28344"/>
    <cellStyle name="Вывод 2 5 2 4" xfId="2817"/>
    <cellStyle name="Вывод 2 5 2 4 2" xfId="8035"/>
    <cellStyle name="Вывод 2 5 2 4 2 2" xfId="18947"/>
    <cellStyle name="Вывод 2 5 2 4 2 3" xfId="34308"/>
    <cellStyle name="Вывод 2 5 2 4 3" xfId="23923"/>
    <cellStyle name="Вывод 2 5 2 4 3 2" xfId="39284"/>
    <cellStyle name="Вывод 2 5 2 4 4" xfId="13384"/>
    <cellStyle name="Вывод 2 5 2 4 5" xfId="28874"/>
    <cellStyle name="Вывод 2 5 2 5" xfId="3658"/>
    <cellStyle name="Вывод 2 5 2 5 2" xfId="8845"/>
    <cellStyle name="Вывод 2 5 2 5 2 2" xfId="19772"/>
    <cellStyle name="Вывод 2 5 2 5 2 3" xfId="35133"/>
    <cellStyle name="Вывод 2 5 2 5 3" xfId="24733"/>
    <cellStyle name="Вывод 2 5 2 5 3 2" xfId="40094"/>
    <cellStyle name="Вывод 2 5 2 5 4" xfId="14209"/>
    <cellStyle name="Вывод 2 5 2 5 5" xfId="29684"/>
    <cellStyle name="Вывод 2 5 2 6" xfId="4317"/>
    <cellStyle name="Вывод 2 5 2 6 2" xfId="9504"/>
    <cellStyle name="Вывод 2 5 2 6 2 2" xfId="20431"/>
    <cellStyle name="Вывод 2 5 2 6 2 3" xfId="35792"/>
    <cellStyle name="Вывод 2 5 2 6 3" xfId="25392"/>
    <cellStyle name="Вывод 2 5 2 6 3 2" xfId="40753"/>
    <cellStyle name="Вывод 2 5 2 6 4" xfId="14868"/>
    <cellStyle name="Вывод 2 5 2 6 5" xfId="30343"/>
    <cellStyle name="Вывод 2 5 2 7" xfId="4512"/>
    <cellStyle name="Вывод 2 5 2 7 2" xfId="9699"/>
    <cellStyle name="Вывод 2 5 2 7 2 2" xfId="20626"/>
    <cellStyle name="Вывод 2 5 2 7 2 3" xfId="35987"/>
    <cellStyle name="Вывод 2 5 2 7 3" xfId="25587"/>
    <cellStyle name="Вывод 2 5 2 7 3 2" xfId="40948"/>
    <cellStyle name="Вывод 2 5 2 7 4" xfId="15063"/>
    <cellStyle name="Вывод 2 5 2 7 5" xfId="30538"/>
    <cellStyle name="Вывод 2 5 2 8" xfId="6125"/>
    <cellStyle name="Вывод 2 5 2 8 2" xfId="16742"/>
    <cellStyle name="Вывод 2 5 2 8 3" xfId="32209"/>
    <cellStyle name="Вывод 2 5 2 9" xfId="22013"/>
    <cellStyle name="Вывод 2 5 2 9 2" xfId="37374"/>
    <cellStyle name="Вывод 2 5 3" xfId="1496"/>
    <cellStyle name="Вывод 2 5 3 2" xfId="1794"/>
    <cellStyle name="Вывод 2 5 3 2 2" xfId="7033"/>
    <cellStyle name="Вывод 2 5 3 2 2 2" xfId="17935"/>
    <cellStyle name="Вывод 2 5 3 2 2 3" xfId="33296"/>
    <cellStyle name="Вывод 2 5 3 2 3" xfId="22921"/>
    <cellStyle name="Вывод 2 5 3 2 3 2" xfId="38282"/>
    <cellStyle name="Вывод 2 5 3 2 4" xfId="12372"/>
    <cellStyle name="Вывод 2 5 3 2 5" xfId="27872"/>
    <cellStyle name="Вывод 2 5 3 3" xfId="5148"/>
    <cellStyle name="Вывод 2 5 3 3 2" xfId="10331"/>
    <cellStyle name="Вывод 2 5 3 3 2 2" xfId="21257"/>
    <cellStyle name="Вывод 2 5 3 3 2 3" xfId="36618"/>
    <cellStyle name="Вывод 2 5 3 3 3" xfId="26218"/>
    <cellStyle name="Вывод 2 5 3 3 3 2" xfId="41579"/>
    <cellStyle name="Вывод 2 5 3 3 4" xfId="15694"/>
    <cellStyle name="Вывод 2 5 3 3 5" xfId="31169"/>
    <cellStyle name="Вывод 2 5 3 4" xfId="6743"/>
    <cellStyle name="Вывод 2 5 3 4 2" xfId="16115"/>
    <cellStyle name="Вывод 2 5 3 4 3" xfId="31582"/>
    <cellStyle name="Вывод 2 5 3 5" xfId="22631"/>
    <cellStyle name="Вывод 2 5 3 5 2" xfId="37992"/>
    <cellStyle name="Вывод 2 5 3 6" xfId="12074"/>
    <cellStyle name="Вывод 2 5 3 7" xfId="27582"/>
    <cellStyle name="Вывод 2 5 4" xfId="1280"/>
    <cellStyle name="Вывод 2 5 4 2" xfId="6533"/>
    <cellStyle name="Вывод 2 5 4 2 2" xfId="16328"/>
    <cellStyle name="Вывод 2 5 4 2 3" xfId="31795"/>
    <cellStyle name="Вывод 2 5 4 3" xfId="22421"/>
    <cellStyle name="Вывод 2 5 4 3 2" xfId="37782"/>
    <cellStyle name="Вывод 2 5 4 4" xfId="11861"/>
    <cellStyle name="Вывод 2 5 4 5" xfId="27372"/>
    <cellStyle name="Вывод 2 5 5" xfId="2992"/>
    <cellStyle name="Вывод 2 5 5 2" xfId="8193"/>
    <cellStyle name="Вывод 2 5 5 2 2" xfId="19113"/>
    <cellStyle name="Вывод 2 5 5 2 3" xfId="34474"/>
    <cellStyle name="Вывод 2 5 5 3" xfId="24081"/>
    <cellStyle name="Вывод 2 5 5 3 2" xfId="39442"/>
    <cellStyle name="Вывод 2 5 5 4" xfId="13550"/>
    <cellStyle name="Вывод 2 5 5 5" xfId="29032"/>
    <cellStyle name="Вывод 2 5 6" xfId="3702"/>
    <cellStyle name="Вывод 2 5 6 2" xfId="8889"/>
    <cellStyle name="Вывод 2 5 6 2 2" xfId="19816"/>
    <cellStyle name="Вывод 2 5 6 2 3" xfId="35177"/>
    <cellStyle name="Вывод 2 5 6 3" xfId="24777"/>
    <cellStyle name="Вывод 2 5 6 3 2" xfId="40138"/>
    <cellStyle name="Вывод 2 5 6 4" xfId="14253"/>
    <cellStyle name="Вывод 2 5 6 5" xfId="29728"/>
    <cellStyle name="Вывод 2 5 7" xfId="3337"/>
    <cellStyle name="Вывод 2 5 7 2" xfId="8531"/>
    <cellStyle name="Вывод 2 5 7 2 2" xfId="19458"/>
    <cellStyle name="Вывод 2 5 7 2 3" xfId="34819"/>
    <cellStyle name="Вывод 2 5 7 3" xfId="24419"/>
    <cellStyle name="Вывод 2 5 7 3 2" xfId="39780"/>
    <cellStyle name="Вывод 2 5 7 4" xfId="13895"/>
    <cellStyle name="Вывод 2 5 7 5" xfId="29370"/>
    <cellStyle name="Вывод 2 5 8" xfId="4429"/>
    <cellStyle name="Вывод 2 5 8 2" xfId="9616"/>
    <cellStyle name="Вывод 2 5 8 2 2" xfId="20543"/>
    <cellStyle name="Вывод 2 5 8 2 3" xfId="35904"/>
    <cellStyle name="Вывод 2 5 8 3" xfId="25504"/>
    <cellStyle name="Вывод 2 5 8 3 2" xfId="40865"/>
    <cellStyle name="Вывод 2 5 8 4" xfId="14980"/>
    <cellStyle name="Вывод 2 5 8 5" xfId="30455"/>
    <cellStyle name="Вывод 2 5 9" xfId="5720"/>
    <cellStyle name="Вывод 2 5 9 2" xfId="17171"/>
    <cellStyle name="Вывод 2 5 9 3" xfId="32638"/>
    <cellStyle name="Вывод 2 6" xfId="330"/>
    <cellStyle name="Вывод 2 6 10" xfId="18934"/>
    <cellStyle name="Вывод 2 6 10 2" xfId="34295"/>
    <cellStyle name="Вывод 2 6 11" xfId="11016"/>
    <cellStyle name="Вывод 2 6 12" xfId="10878"/>
    <cellStyle name="Вывод 2 6 2" xfId="862"/>
    <cellStyle name="Вывод 2 6 2 10" xfId="11446"/>
    <cellStyle name="Вывод 2 6 2 11" xfId="26963"/>
    <cellStyle name="Вывод 2 6 2 2" xfId="1153"/>
    <cellStyle name="Вывод 2 6 2 2 2" xfId="2453"/>
    <cellStyle name="Вывод 2 6 2 2 2 2" xfId="7689"/>
    <cellStyle name="Вывод 2 6 2 2 2 2 2" xfId="18591"/>
    <cellStyle name="Вывод 2 6 2 2 2 2 3" xfId="33952"/>
    <cellStyle name="Вывод 2 6 2 2 2 3" xfId="23577"/>
    <cellStyle name="Вывод 2 6 2 2 2 3 2" xfId="38938"/>
    <cellStyle name="Вывод 2 6 2 2 2 4" xfId="13028"/>
    <cellStyle name="Вывод 2 6 2 2 2 5" xfId="28528"/>
    <cellStyle name="Вывод 2 6 2 2 3" xfId="5149"/>
    <cellStyle name="Вывод 2 6 2 2 3 2" xfId="10332"/>
    <cellStyle name="Вывод 2 6 2 2 3 2 2" xfId="21258"/>
    <cellStyle name="Вывод 2 6 2 2 3 2 3" xfId="36619"/>
    <cellStyle name="Вывод 2 6 2 2 3 3" xfId="26219"/>
    <cellStyle name="Вывод 2 6 2 2 3 3 2" xfId="41580"/>
    <cellStyle name="Вывод 2 6 2 2 3 4" xfId="15695"/>
    <cellStyle name="Вывод 2 6 2 2 3 5" xfId="31170"/>
    <cellStyle name="Вывод 2 6 2 2 4" xfId="6407"/>
    <cellStyle name="Вывод 2 6 2 2 4 2" xfId="16455"/>
    <cellStyle name="Вывод 2 6 2 2 4 3" xfId="31922"/>
    <cellStyle name="Вывод 2 6 2 2 5" xfId="22295"/>
    <cellStyle name="Вывод 2 6 2 2 5 2" xfId="37656"/>
    <cellStyle name="Вывод 2 6 2 2 6" xfId="11734"/>
    <cellStyle name="Вывод 2 6 2 2 7" xfId="27246"/>
    <cellStyle name="Вывод 2 6 2 3" xfId="2268"/>
    <cellStyle name="Вывод 2 6 2 3 2" xfId="7504"/>
    <cellStyle name="Вывод 2 6 2 3 2 2" xfId="18406"/>
    <cellStyle name="Вывод 2 6 2 3 2 3" xfId="33767"/>
    <cellStyle name="Вывод 2 6 2 3 3" xfId="23392"/>
    <cellStyle name="Вывод 2 6 2 3 3 2" xfId="38753"/>
    <cellStyle name="Вывод 2 6 2 3 4" xfId="12843"/>
    <cellStyle name="Вывод 2 6 2 3 5" xfId="28343"/>
    <cellStyle name="Вывод 2 6 2 4" xfId="1329"/>
    <cellStyle name="Вывод 2 6 2 4 2" xfId="6582"/>
    <cellStyle name="Вывод 2 6 2 4 2 2" xfId="16279"/>
    <cellStyle name="Вывод 2 6 2 4 2 3" xfId="31746"/>
    <cellStyle name="Вывод 2 6 2 4 3" xfId="22470"/>
    <cellStyle name="Вывод 2 6 2 4 3 2" xfId="37831"/>
    <cellStyle name="Вывод 2 6 2 4 4" xfId="11910"/>
    <cellStyle name="Вывод 2 6 2 4 5" xfId="27421"/>
    <cellStyle name="Вывод 2 6 2 5" xfId="3766"/>
    <cellStyle name="Вывод 2 6 2 5 2" xfId="8953"/>
    <cellStyle name="Вывод 2 6 2 5 2 2" xfId="19880"/>
    <cellStyle name="Вывод 2 6 2 5 2 3" xfId="35241"/>
    <cellStyle name="Вывод 2 6 2 5 3" xfId="24841"/>
    <cellStyle name="Вывод 2 6 2 5 3 2" xfId="40202"/>
    <cellStyle name="Вывод 2 6 2 5 4" xfId="14317"/>
    <cellStyle name="Вывод 2 6 2 5 5" xfId="29792"/>
    <cellStyle name="Вывод 2 6 2 6" xfId="4316"/>
    <cellStyle name="Вывод 2 6 2 6 2" xfId="9503"/>
    <cellStyle name="Вывод 2 6 2 6 2 2" xfId="20430"/>
    <cellStyle name="Вывод 2 6 2 6 2 3" xfId="35791"/>
    <cellStyle name="Вывод 2 6 2 6 3" xfId="25391"/>
    <cellStyle name="Вывод 2 6 2 6 3 2" xfId="40752"/>
    <cellStyle name="Вывод 2 6 2 6 4" xfId="14867"/>
    <cellStyle name="Вывод 2 6 2 6 5" xfId="30342"/>
    <cellStyle name="Вывод 2 6 2 7" xfId="4513"/>
    <cellStyle name="Вывод 2 6 2 7 2" xfId="9700"/>
    <cellStyle name="Вывод 2 6 2 7 2 2" xfId="20627"/>
    <cellStyle name="Вывод 2 6 2 7 2 3" xfId="35988"/>
    <cellStyle name="Вывод 2 6 2 7 3" xfId="25588"/>
    <cellStyle name="Вывод 2 6 2 7 3 2" xfId="40949"/>
    <cellStyle name="Вывод 2 6 2 7 4" xfId="15064"/>
    <cellStyle name="Вывод 2 6 2 7 5" xfId="30539"/>
    <cellStyle name="Вывод 2 6 2 8" xfId="6124"/>
    <cellStyle name="Вывод 2 6 2 8 2" xfId="16743"/>
    <cellStyle name="Вывод 2 6 2 8 3" xfId="32210"/>
    <cellStyle name="Вывод 2 6 2 9" xfId="22012"/>
    <cellStyle name="Вывод 2 6 2 9 2" xfId="37373"/>
    <cellStyle name="Вывод 2 6 3" xfId="79"/>
    <cellStyle name="Вывод 2 6 3 2" xfId="1796"/>
    <cellStyle name="Вывод 2 6 3 2 2" xfId="7035"/>
    <cellStyle name="Вывод 2 6 3 2 2 2" xfId="17937"/>
    <cellStyle name="Вывод 2 6 3 2 2 3" xfId="33298"/>
    <cellStyle name="Вывод 2 6 3 2 3" xfId="22923"/>
    <cellStyle name="Вывод 2 6 3 2 3 2" xfId="38284"/>
    <cellStyle name="Вывод 2 6 3 2 4" xfId="12374"/>
    <cellStyle name="Вывод 2 6 3 2 5" xfId="27874"/>
    <cellStyle name="Вывод 2 6 3 3" xfId="5150"/>
    <cellStyle name="Вывод 2 6 3 3 2" xfId="10333"/>
    <cellStyle name="Вывод 2 6 3 3 2 2" xfId="21259"/>
    <cellStyle name="Вывод 2 6 3 3 2 3" xfId="36620"/>
    <cellStyle name="Вывод 2 6 3 3 3" xfId="26220"/>
    <cellStyle name="Вывод 2 6 3 3 3 2" xfId="41581"/>
    <cellStyle name="Вывод 2 6 3 3 4" xfId="15696"/>
    <cellStyle name="Вывод 2 6 3 3 5" xfId="31171"/>
    <cellStyle name="Вывод 2 6 3 4" xfId="5605"/>
    <cellStyle name="Вывод 2 6 3 4 2" xfId="17392"/>
    <cellStyle name="Вывод 2 6 3 4 3" xfId="32859"/>
    <cellStyle name="Вывод 2 6 3 5" xfId="17061"/>
    <cellStyle name="Вывод 2 6 3 5 2" xfId="32528"/>
    <cellStyle name="Вывод 2 6 3 6" xfId="10793"/>
    <cellStyle name="Вывод 2 6 3 7" xfId="11125"/>
    <cellStyle name="Вывод 2 6 4" xfId="1098"/>
    <cellStyle name="Вывод 2 6 4 2" xfId="6354"/>
    <cellStyle name="Вывод 2 6 4 2 2" xfId="16509"/>
    <cellStyle name="Вывод 2 6 4 2 3" xfId="31976"/>
    <cellStyle name="Вывод 2 6 4 3" xfId="22242"/>
    <cellStyle name="Вывод 2 6 4 3 2" xfId="37603"/>
    <cellStyle name="Вывод 2 6 4 4" xfId="11680"/>
    <cellStyle name="Вывод 2 6 4 5" xfId="27193"/>
    <cellStyle name="Вывод 2 6 5" xfId="2991"/>
    <cellStyle name="Вывод 2 6 5 2" xfId="8192"/>
    <cellStyle name="Вывод 2 6 5 2 2" xfId="19112"/>
    <cellStyle name="Вывод 2 6 5 2 3" xfId="34473"/>
    <cellStyle name="Вывод 2 6 5 3" xfId="24080"/>
    <cellStyle name="Вывод 2 6 5 3 2" xfId="39441"/>
    <cellStyle name="Вывод 2 6 5 4" xfId="13549"/>
    <cellStyle name="Вывод 2 6 5 5" xfId="29031"/>
    <cellStyle name="Вывод 2 6 6" xfId="3703"/>
    <cellStyle name="Вывод 2 6 6 2" xfId="8890"/>
    <cellStyle name="Вывод 2 6 6 2 2" xfId="19817"/>
    <cellStyle name="Вывод 2 6 6 2 3" xfId="35178"/>
    <cellStyle name="Вывод 2 6 6 3" xfId="24778"/>
    <cellStyle name="Вывод 2 6 6 3 2" xfId="40139"/>
    <cellStyle name="Вывод 2 6 6 4" xfId="14254"/>
    <cellStyle name="Вывод 2 6 6 5" xfId="29729"/>
    <cellStyle name="Вывод 2 6 7" xfId="3911"/>
    <cellStyle name="Вывод 2 6 7 2" xfId="9098"/>
    <cellStyle name="Вывод 2 6 7 2 2" xfId="20025"/>
    <cellStyle name="Вывод 2 6 7 2 3" xfId="35386"/>
    <cellStyle name="Вывод 2 6 7 3" xfId="24986"/>
    <cellStyle name="Вывод 2 6 7 3 2" xfId="40347"/>
    <cellStyle name="Вывод 2 6 7 4" xfId="14462"/>
    <cellStyle name="Вывод 2 6 7 5" xfId="29937"/>
    <cellStyle name="Вывод 2 6 8" xfId="4428"/>
    <cellStyle name="Вывод 2 6 8 2" xfId="9615"/>
    <cellStyle name="Вывод 2 6 8 2 2" xfId="20542"/>
    <cellStyle name="Вывод 2 6 8 2 3" xfId="35903"/>
    <cellStyle name="Вывод 2 6 8 3" xfId="25503"/>
    <cellStyle name="Вывод 2 6 8 3 2" xfId="40864"/>
    <cellStyle name="Вывод 2 6 8 4" xfId="14979"/>
    <cellStyle name="Вывод 2 6 8 5" xfId="30454"/>
    <cellStyle name="Вывод 2 6 9" xfId="5721"/>
    <cellStyle name="Вывод 2 6 9 2" xfId="17170"/>
    <cellStyle name="Вывод 2 6 9 3" xfId="32637"/>
    <cellStyle name="Вывод 2 7" xfId="331"/>
    <cellStyle name="Вывод 2 7 10" xfId="17308"/>
    <cellStyle name="Вывод 2 7 10 2" xfId="32775"/>
    <cellStyle name="Вывод 2 7 11" xfId="11017"/>
    <cellStyle name="Вывод 2 7 12" xfId="12276"/>
    <cellStyle name="Вывод 2 7 2" xfId="861"/>
    <cellStyle name="Вывод 2 7 2 10" xfId="11445"/>
    <cellStyle name="Вывод 2 7 2 11" xfId="26962"/>
    <cellStyle name="Вывод 2 7 2 2" xfId="1392"/>
    <cellStyle name="Вывод 2 7 2 2 2" xfId="2454"/>
    <cellStyle name="Вывод 2 7 2 2 2 2" xfId="7690"/>
    <cellStyle name="Вывод 2 7 2 2 2 2 2" xfId="18592"/>
    <cellStyle name="Вывод 2 7 2 2 2 2 3" xfId="33953"/>
    <cellStyle name="Вывод 2 7 2 2 2 3" xfId="23578"/>
    <cellStyle name="Вывод 2 7 2 2 2 3 2" xfId="38939"/>
    <cellStyle name="Вывод 2 7 2 2 2 4" xfId="13029"/>
    <cellStyle name="Вывод 2 7 2 2 2 5" xfId="28529"/>
    <cellStyle name="Вывод 2 7 2 2 3" xfId="5151"/>
    <cellStyle name="Вывод 2 7 2 2 3 2" xfId="10334"/>
    <cellStyle name="Вывод 2 7 2 2 3 2 2" xfId="21260"/>
    <cellStyle name="Вывод 2 7 2 2 3 2 3" xfId="36621"/>
    <cellStyle name="Вывод 2 7 2 2 3 3" xfId="26221"/>
    <cellStyle name="Вывод 2 7 2 2 3 3 2" xfId="41582"/>
    <cellStyle name="Вывод 2 7 2 2 3 4" xfId="15697"/>
    <cellStyle name="Вывод 2 7 2 2 3 5" xfId="31172"/>
    <cellStyle name="Вывод 2 7 2 2 4" xfId="6642"/>
    <cellStyle name="Вывод 2 7 2 2 4 2" xfId="16217"/>
    <cellStyle name="Вывод 2 7 2 2 4 3" xfId="31684"/>
    <cellStyle name="Вывод 2 7 2 2 5" xfId="22530"/>
    <cellStyle name="Вывод 2 7 2 2 5 2" xfId="37891"/>
    <cellStyle name="Вывод 2 7 2 2 6" xfId="11972"/>
    <cellStyle name="Вывод 2 7 2 2 7" xfId="27481"/>
    <cellStyle name="Вывод 2 7 2 3" xfId="2267"/>
    <cellStyle name="Вывод 2 7 2 3 2" xfId="7503"/>
    <cellStyle name="Вывод 2 7 2 3 2 2" xfId="18405"/>
    <cellStyle name="Вывод 2 7 2 3 2 3" xfId="33766"/>
    <cellStyle name="Вывод 2 7 2 3 3" xfId="23391"/>
    <cellStyle name="Вывод 2 7 2 3 3 2" xfId="38752"/>
    <cellStyle name="Вывод 2 7 2 3 4" xfId="12842"/>
    <cellStyle name="Вывод 2 7 2 3 5" xfId="28342"/>
    <cellStyle name="Вывод 2 7 2 4" xfId="2593"/>
    <cellStyle name="Вывод 2 7 2 4 2" xfId="7826"/>
    <cellStyle name="Вывод 2 7 2 4 2 2" xfId="18728"/>
    <cellStyle name="Вывод 2 7 2 4 2 3" xfId="34089"/>
    <cellStyle name="Вывод 2 7 2 4 3" xfId="23714"/>
    <cellStyle name="Вывод 2 7 2 4 3 2" xfId="39075"/>
    <cellStyle name="Вывод 2 7 2 4 4" xfId="13165"/>
    <cellStyle name="Вывод 2 7 2 4 5" xfId="28665"/>
    <cellStyle name="Вывод 2 7 2 5" xfId="3657"/>
    <cellStyle name="Вывод 2 7 2 5 2" xfId="8844"/>
    <cellStyle name="Вывод 2 7 2 5 2 2" xfId="19771"/>
    <cellStyle name="Вывод 2 7 2 5 2 3" xfId="35132"/>
    <cellStyle name="Вывод 2 7 2 5 3" xfId="24732"/>
    <cellStyle name="Вывод 2 7 2 5 3 2" xfId="40093"/>
    <cellStyle name="Вывод 2 7 2 5 4" xfId="14208"/>
    <cellStyle name="Вывод 2 7 2 5 5" xfId="29683"/>
    <cellStyle name="Вывод 2 7 2 6" xfId="4315"/>
    <cellStyle name="Вывод 2 7 2 6 2" xfId="9502"/>
    <cellStyle name="Вывод 2 7 2 6 2 2" xfId="20429"/>
    <cellStyle name="Вывод 2 7 2 6 2 3" xfId="35790"/>
    <cellStyle name="Вывод 2 7 2 6 3" xfId="25390"/>
    <cellStyle name="Вывод 2 7 2 6 3 2" xfId="40751"/>
    <cellStyle name="Вывод 2 7 2 6 4" xfId="14866"/>
    <cellStyle name="Вывод 2 7 2 6 5" xfId="30341"/>
    <cellStyle name="Вывод 2 7 2 7" xfId="4514"/>
    <cellStyle name="Вывод 2 7 2 7 2" xfId="9701"/>
    <cellStyle name="Вывод 2 7 2 7 2 2" xfId="20628"/>
    <cellStyle name="Вывод 2 7 2 7 2 3" xfId="35989"/>
    <cellStyle name="Вывод 2 7 2 7 3" xfId="25589"/>
    <cellStyle name="Вывод 2 7 2 7 3 2" xfId="40950"/>
    <cellStyle name="Вывод 2 7 2 7 4" xfId="15065"/>
    <cellStyle name="Вывод 2 7 2 7 5" xfId="30540"/>
    <cellStyle name="Вывод 2 7 2 8" xfId="6123"/>
    <cellStyle name="Вывод 2 7 2 8 2" xfId="16744"/>
    <cellStyle name="Вывод 2 7 2 8 3" xfId="32211"/>
    <cellStyle name="Вывод 2 7 2 9" xfId="22011"/>
    <cellStyle name="Вывод 2 7 2 9 2" xfId="37372"/>
    <cellStyle name="Вывод 2 7 3" xfId="66"/>
    <cellStyle name="Вывод 2 7 3 2" xfId="1798"/>
    <cellStyle name="Вывод 2 7 3 2 2" xfId="7037"/>
    <cellStyle name="Вывод 2 7 3 2 2 2" xfId="17939"/>
    <cellStyle name="Вывод 2 7 3 2 2 3" xfId="33300"/>
    <cellStyle name="Вывод 2 7 3 2 3" xfId="22925"/>
    <cellStyle name="Вывод 2 7 3 2 3 2" xfId="38286"/>
    <cellStyle name="Вывод 2 7 3 2 4" xfId="12376"/>
    <cellStyle name="Вывод 2 7 3 2 5" xfId="27876"/>
    <cellStyle name="Вывод 2 7 3 3" xfId="5152"/>
    <cellStyle name="Вывод 2 7 3 3 2" xfId="10335"/>
    <cellStyle name="Вывод 2 7 3 3 2 2" xfId="21261"/>
    <cellStyle name="Вывод 2 7 3 3 2 3" xfId="36622"/>
    <cellStyle name="Вывод 2 7 3 3 3" xfId="26222"/>
    <cellStyle name="Вывод 2 7 3 3 3 2" xfId="41583"/>
    <cellStyle name="Вывод 2 7 3 3 4" xfId="15698"/>
    <cellStyle name="Вывод 2 7 3 3 5" xfId="31173"/>
    <cellStyle name="Вывод 2 7 3 4" xfId="5593"/>
    <cellStyle name="Вывод 2 7 3 4 2" xfId="17405"/>
    <cellStyle name="Вывод 2 7 3 4 3" xfId="32872"/>
    <cellStyle name="Вывод 2 7 3 5" xfId="17058"/>
    <cellStyle name="Вывод 2 7 3 5 2" xfId="32525"/>
    <cellStyle name="Вывод 2 7 3 6" xfId="10780"/>
    <cellStyle name="Вывод 2 7 3 7" xfId="11128"/>
    <cellStyle name="Вывод 2 7 4" xfId="1046"/>
    <cellStyle name="Вывод 2 7 4 2" xfId="6304"/>
    <cellStyle name="Вывод 2 7 4 2 2" xfId="16560"/>
    <cellStyle name="Вывод 2 7 4 2 3" xfId="32027"/>
    <cellStyle name="Вывод 2 7 4 3" xfId="22192"/>
    <cellStyle name="Вывод 2 7 4 3 2" xfId="37553"/>
    <cellStyle name="Вывод 2 7 4 4" xfId="11629"/>
    <cellStyle name="Вывод 2 7 4 5" xfId="27143"/>
    <cellStyle name="Вывод 2 7 5" xfId="2990"/>
    <cellStyle name="Вывод 2 7 5 2" xfId="8191"/>
    <cellStyle name="Вывод 2 7 5 2 2" xfId="19111"/>
    <cellStyle name="Вывод 2 7 5 2 3" xfId="34472"/>
    <cellStyle name="Вывод 2 7 5 3" xfId="24079"/>
    <cellStyle name="Вывод 2 7 5 3 2" xfId="39440"/>
    <cellStyle name="Вывод 2 7 5 4" xfId="13548"/>
    <cellStyle name="Вывод 2 7 5 5" xfId="29030"/>
    <cellStyle name="Вывод 2 7 6" xfId="3860"/>
    <cellStyle name="Вывод 2 7 6 2" xfId="9047"/>
    <cellStyle name="Вывод 2 7 6 2 2" xfId="19974"/>
    <cellStyle name="Вывод 2 7 6 2 3" xfId="35335"/>
    <cellStyle name="Вывод 2 7 6 3" xfId="24935"/>
    <cellStyle name="Вывод 2 7 6 3 2" xfId="40296"/>
    <cellStyle name="Вывод 2 7 6 4" xfId="14411"/>
    <cellStyle name="Вывод 2 7 6 5" xfId="29886"/>
    <cellStyle name="Вывод 2 7 7" xfId="3708"/>
    <cellStyle name="Вывод 2 7 7 2" xfId="8895"/>
    <cellStyle name="Вывод 2 7 7 2 2" xfId="19822"/>
    <cellStyle name="Вывод 2 7 7 2 3" xfId="35183"/>
    <cellStyle name="Вывод 2 7 7 3" xfId="24783"/>
    <cellStyle name="Вывод 2 7 7 3 2" xfId="40144"/>
    <cellStyle name="Вывод 2 7 7 4" xfId="14259"/>
    <cellStyle name="Вывод 2 7 7 5" xfId="29734"/>
    <cellStyle name="Вывод 2 7 8" xfId="4767"/>
    <cellStyle name="Вывод 2 7 8 2" xfId="9954"/>
    <cellStyle name="Вывод 2 7 8 2 2" xfId="20881"/>
    <cellStyle name="Вывод 2 7 8 2 3" xfId="36242"/>
    <cellStyle name="Вывод 2 7 8 3" xfId="25842"/>
    <cellStyle name="Вывод 2 7 8 3 2" xfId="41203"/>
    <cellStyle name="Вывод 2 7 8 4" xfId="15318"/>
    <cellStyle name="Вывод 2 7 8 5" xfId="30793"/>
    <cellStyle name="Вывод 2 7 9" xfId="5722"/>
    <cellStyle name="Вывод 2 7 9 2" xfId="17169"/>
    <cellStyle name="Вывод 2 7 9 3" xfId="32636"/>
    <cellStyle name="Вывод 2 8" xfId="332"/>
    <cellStyle name="Вывод 2 8 10" xfId="17309"/>
    <cellStyle name="Вывод 2 8 10 2" xfId="32776"/>
    <cellStyle name="Вывод 2 8 11" xfId="11018"/>
    <cellStyle name="Вывод 2 8 12" xfId="13371"/>
    <cellStyle name="Вывод 2 8 2" xfId="860"/>
    <cellStyle name="Вывод 2 8 2 10" xfId="11444"/>
    <cellStyle name="Вывод 2 8 2 11" xfId="26961"/>
    <cellStyle name="Вывод 2 8 2 2" xfId="103"/>
    <cellStyle name="Вывод 2 8 2 2 2" xfId="2456"/>
    <cellStyle name="Вывод 2 8 2 2 2 2" xfId="7692"/>
    <cellStyle name="Вывод 2 8 2 2 2 2 2" xfId="18594"/>
    <cellStyle name="Вывод 2 8 2 2 2 2 3" xfId="33955"/>
    <cellStyle name="Вывод 2 8 2 2 2 3" xfId="23580"/>
    <cellStyle name="Вывод 2 8 2 2 2 3 2" xfId="38941"/>
    <cellStyle name="Вывод 2 8 2 2 2 4" xfId="13031"/>
    <cellStyle name="Вывод 2 8 2 2 2 5" xfId="28531"/>
    <cellStyle name="Вывод 2 8 2 2 3" xfId="5153"/>
    <cellStyle name="Вывод 2 8 2 2 3 2" xfId="10336"/>
    <cellStyle name="Вывод 2 8 2 2 3 2 2" xfId="21262"/>
    <cellStyle name="Вывод 2 8 2 2 3 2 3" xfId="36623"/>
    <cellStyle name="Вывод 2 8 2 2 3 3" xfId="26223"/>
    <cellStyle name="Вывод 2 8 2 2 3 3 2" xfId="41584"/>
    <cellStyle name="Вывод 2 8 2 2 3 4" xfId="15699"/>
    <cellStyle name="Вывод 2 8 2 2 3 5" xfId="31174"/>
    <cellStyle name="Вывод 2 8 2 2 4" xfId="5629"/>
    <cellStyle name="Вывод 2 8 2 2 4 2" xfId="17368"/>
    <cellStyle name="Вывод 2 8 2 2 4 3" xfId="32835"/>
    <cellStyle name="Вывод 2 8 2 2 5" xfId="21445"/>
    <cellStyle name="Вывод 2 8 2 2 5 2" xfId="36806"/>
    <cellStyle name="Вывод 2 8 2 2 6" xfId="10817"/>
    <cellStyle name="Вывод 2 8 2 2 7" xfId="15882"/>
    <cellStyle name="Вывод 2 8 2 3" xfId="2266"/>
    <cellStyle name="Вывод 2 8 2 3 2" xfId="7502"/>
    <cellStyle name="Вывод 2 8 2 3 2 2" xfId="18404"/>
    <cellStyle name="Вывод 2 8 2 3 2 3" xfId="33765"/>
    <cellStyle name="Вывод 2 8 2 3 3" xfId="23390"/>
    <cellStyle name="Вывод 2 8 2 3 3 2" xfId="38751"/>
    <cellStyle name="Вывод 2 8 2 3 4" xfId="12841"/>
    <cellStyle name="Вывод 2 8 2 3 5" xfId="28341"/>
    <cellStyle name="Вывод 2 8 2 4" xfId="2038"/>
    <cellStyle name="Вывод 2 8 2 4 2" xfId="7274"/>
    <cellStyle name="Вывод 2 8 2 4 2 2" xfId="18176"/>
    <cellStyle name="Вывод 2 8 2 4 2 3" xfId="33537"/>
    <cellStyle name="Вывод 2 8 2 4 3" xfId="23162"/>
    <cellStyle name="Вывод 2 8 2 4 3 2" xfId="38523"/>
    <cellStyle name="Вывод 2 8 2 4 4" xfId="12613"/>
    <cellStyle name="Вывод 2 8 2 4 5" xfId="28113"/>
    <cellStyle name="Вывод 2 8 2 5" xfId="3767"/>
    <cellStyle name="Вывод 2 8 2 5 2" xfId="8954"/>
    <cellStyle name="Вывод 2 8 2 5 2 2" xfId="19881"/>
    <cellStyle name="Вывод 2 8 2 5 2 3" xfId="35242"/>
    <cellStyle name="Вывод 2 8 2 5 3" xfId="24842"/>
    <cellStyle name="Вывод 2 8 2 5 3 2" xfId="40203"/>
    <cellStyle name="Вывод 2 8 2 5 4" xfId="14318"/>
    <cellStyle name="Вывод 2 8 2 5 5" xfId="29793"/>
    <cellStyle name="Вывод 2 8 2 6" xfId="4314"/>
    <cellStyle name="Вывод 2 8 2 6 2" xfId="9501"/>
    <cellStyle name="Вывод 2 8 2 6 2 2" xfId="20428"/>
    <cellStyle name="Вывод 2 8 2 6 2 3" xfId="35789"/>
    <cellStyle name="Вывод 2 8 2 6 3" xfId="25389"/>
    <cellStyle name="Вывод 2 8 2 6 3 2" xfId="40750"/>
    <cellStyle name="Вывод 2 8 2 6 4" xfId="14865"/>
    <cellStyle name="Вывод 2 8 2 6 5" xfId="30340"/>
    <cellStyle name="Вывод 2 8 2 7" xfId="4515"/>
    <cellStyle name="Вывод 2 8 2 7 2" xfId="9702"/>
    <cellStyle name="Вывод 2 8 2 7 2 2" xfId="20629"/>
    <cellStyle name="Вывод 2 8 2 7 2 3" xfId="35990"/>
    <cellStyle name="Вывод 2 8 2 7 3" xfId="25590"/>
    <cellStyle name="Вывод 2 8 2 7 3 2" xfId="40951"/>
    <cellStyle name="Вывод 2 8 2 7 4" xfId="15066"/>
    <cellStyle name="Вывод 2 8 2 7 5" xfId="30541"/>
    <cellStyle name="Вывод 2 8 2 8" xfId="6122"/>
    <cellStyle name="Вывод 2 8 2 8 2" xfId="16745"/>
    <cellStyle name="Вывод 2 8 2 8 3" xfId="32212"/>
    <cellStyle name="Вывод 2 8 2 9" xfId="22010"/>
    <cellStyle name="Вывод 2 8 2 9 2" xfId="37371"/>
    <cellStyle name="Вывод 2 8 3" xfId="1117"/>
    <cellStyle name="Вывод 2 8 3 2" xfId="1800"/>
    <cellStyle name="Вывод 2 8 3 2 2" xfId="7039"/>
    <cellStyle name="Вывод 2 8 3 2 2 2" xfId="17941"/>
    <cellStyle name="Вывод 2 8 3 2 2 3" xfId="33302"/>
    <cellStyle name="Вывод 2 8 3 2 3" xfId="22927"/>
    <cellStyle name="Вывод 2 8 3 2 3 2" xfId="38288"/>
    <cellStyle name="Вывод 2 8 3 2 4" xfId="12378"/>
    <cellStyle name="Вывод 2 8 3 2 5" xfId="27878"/>
    <cellStyle name="Вывод 2 8 3 3" xfId="5154"/>
    <cellStyle name="Вывод 2 8 3 3 2" xfId="10337"/>
    <cellStyle name="Вывод 2 8 3 3 2 2" xfId="21263"/>
    <cellStyle name="Вывод 2 8 3 3 2 3" xfId="36624"/>
    <cellStyle name="Вывод 2 8 3 3 3" xfId="26224"/>
    <cellStyle name="Вывод 2 8 3 3 3 2" xfId="41585"/>
    <cellStyle name="Вывод 2 8 3 3 4" xfId="15700"/>
    <cellStyle name="Вывод 2 8 3 3 5" xfId="31175"/>
    <cellStyle name="Вывод 2 8 3 4" xfId="6372"/>
    <cellStyle name="Вывод 2 8 3 4 2" xfId="16491"/>
    <cellStyle name="Вывод 2 8 3 4 3" xfId="31958"/>
    <cellStyle name="Вывод 2 8 3 5" xfId="22260"/>
    <cellStyle name="Вывод 2 8 3 5 2" xfId="37621"/>
    <cellStyle name="Вывод 2 8 3 6" xfId="11698"/>
    <cellStyle name="Вывод 2 8 3 7" xfId="27211"/>
    <cellStyle name="Вывод 2 8 4" xfId="1182"/>
    <cellStyle name="Вывод 2 8 4 2" xfId="6436"/>
    <cellStyle name="Вывод 2 8 4 2 2" xfId="16426"/>
    <cellStyle name="Вывод 2 8 4 2 3" xfId="31893"/>
    <cellStyle name="Вывод 2 8 4 3" xfId="22324"/>
    <cellStyle name="Вывод 2 8 4 3 2" xfId="37685"/>
    <cellStyle name="Вывод 2 8 4 4" xfId="11763"/>
    <cellStyle name="Вывод 2 8 4 5" xfId="27275"/>
    <cellStyle name="Вывод 2 8 5" xfId="2989"/>
    <cellStyle name="Вывод 2 8 5 2" xfId="8190"/>
    <cellStyle name="Вывод 2 8 5 2 2" xfId="19110"/>
    <cellStyle name="Вывод 2 8 5 2 3" xfId="34471"/>
    <cellStyle name="Вывод 2 8 5 3" xfId="24078"/>
    <cellStyle name="Вывод 2 8 5 3 2" xfId="39439"/>
    <cellStyle name="Вывод 2 8 5 4" xfId="13547"/>
    <cellStyle name="Вывод 2 8 5 5" xfId="29029"/>
    <cellStyle name="Вывод 2 8 6" xfId="3523"/>
    <cellStyle name="Вывод 2 8 6 2" xfId="8710"/>
    <cellStyle name="Вывод 2 8 6 2 2" xfId="19637"/>
    <cellStyle name="Вывод 2 8 6 2 3" xfId="34998"/>
    <cellStyle name="Вывод 2 8 6 3" xfId="24598"/>
    <cellStyle name="Вывод 2 8 6 3 2" xfId="39959"/>
    <cellStyle name="Вывод 2 8 6 4" xfId="14074"/>
    <cellStyle name="Вывод 2 8 6 5" xfId="29549"/>
    <cellStyle name="Вывод 2 8 7" xfId="3276"/>
    <cellStyle name="Вывод 2 8 7 2" xfId="8470"/>
    <cellStyle name="Вывод 2 8 7 2 2" xfId="19397"/>
    <cellStyle name="Вывод 2 8 7 2 3" xfId="34758"/>
    <cellStyle name="Вывод 2 8 7 3" xfId="24358"/>
    <cellStyle name="Вывод 2 8 7 3 2" xfId="39719"/>
    <cellStyle name="Вывод 2 8 7 4" xfId="13834"/>
    <cellStyle name="Вывод 2 8 7 5" xfId="29309"/>
    <cellStyle name="Вывод 2 8 8" xfId="4766"/>
    <cellStyle name="Вывод 2 8 8 2" xfId="9953"/>
    <cellStyle name="Вывод 2 8 8 2 2" xfId="20880"/>
    <cellStyle name="Вывод 2 8 8 2 3" xfId="36241"/>
    <cellStyle name="Вывод 2 8 8 3" xfId="25841"/>
    <cellStyle name="Вывод 2 8 8 3 2" xfId="41202"/>
    <cellStyle name="Вывод 2 8 8 4" xfId="15317"/>
    <cellStyle name="Вывод 2 8 8 5" xfId="30792"/>
    <cellStyle name="Вывод 2 8 9" xfId="5723"/>
    <cellStyle name="Вывод 2 8 9 2" xfId="17168"/>
    <cellStyle name="Вывод 2 8 9 3" xfId="32635"/>
    <cellStyle name="Вывод 2 9" xfId="333"/>
    <cellStyle name="Вывод 2 9 10" xfId="17310"/>
    <cellStyle name="Вывод 2 9 10 2" xfId="32777"/>
    <cellStyle name="Вывод 2 9 11" xfId="11019"/>
    <cellStyle name="Вывод 2 9 12" xfId="10877"/>
    <cellStyle name="Вывод 2 9 2" xfId="859"/>
    <cellStyle name="Вывод 2 9 2 10" xfId="11443"/>
    <cellStyle name="Вывод 2 9 2 11" xfId="26960"/>
    <cellStyle name="Вывод 2 9 2 2" xfId="993"/>
    <cellStyle name="Вывод 2 9 2 2 2" xfId="2458"/>
    <cellStyle name="Вывод 2 9 2 2 2 2" xfId="7694"/>
    <cellStyle name="Вывод 2 9 2 2 2 2 2" xfId="18596"/>
    <cellStyle name="Вывод 2 9 2 2 2 2 3" xfId="33957"/>
    <cellStyle name="Вывод 2 9 2 2 2 3" xfId="23582"/>
    <cellStyle name="Вывод 2 9 2 2 2 3 2" xfId="38943"/>
    <cellStyle name="Вывод 2 9 2 2 2 4" xfId="13033"/>
    <cellStyle name="Вывод 2 9 2 2 2 5" xfId="28533"/>
    <cellStyle name="Вывод 2 9 2 2 3" xfId="5155"/>
    <cellStyle name="Вывод 2 9 2 2 3 2" xfId="10338"/>
    <cellStyle name="Вывод 2 9 2 2 3 2 2" xfId="21264"/>
    <cellStyle name="Вывод 2 9 2 2 3 2 3" xfId="36625"/>
    <cellStyle name="Вывод 2 9 2 2 3 3" xfId="26225"/>
    <cellStyle name="Вывод 2 9 2 2 3 3 2" xfId="41586"/>
    <cellStyle name="Вывод 2 9 2 2 3 4" xfId="15701"/>
    <cellStyle name="Вывод 2 9 2 2 3 5" xfId="31176"/>
    <cellStyle name="Вывод 2 9 2 2 4" xfId="6252"/>
    <cellStyle name="Вывод 2 9 2 2 4 2" xfId="16613"/>
    <cellStyle name="Вывод 2 9 2 2 4 3" xfId="32080"/>
    <cellStyle name="Вывод 2 9 2 2 5" xfId="22140"/>
    <cellStyle name="Вывод 2 9 2 2 5 2" xfId="37501"/>
    <cellStyle name="Вывод 2 9 2 2 6" xfId="11576"/>
    <cellStyle name="Вывод 2 9 2 2 7" xfId="27091"/>
    <cellStyle name="Вывод 2 9 2 3" xfId="2265"/>
    <cellStyle name="Вывод 2 9 2 3 2" xfId="7501"/>
    <cellStyle name="Вывод 2 9 2 3 2 2" xfId="18403"/>
    <cellStyle name="Вывод 2 9 2 3 2 3" xfId="33764"/>
    <cellStyle name="Вывод 2 9 2 3 3" xfId="23389"/>
    <cellStyle name="Вывод 2 9 2 3 3 2" xfId="38750"/>
    <cellStyle name="Вывод 2 9 2 3 4" xfId="12840"/>
    <cellStyle name="Вывод 2 9 2 3 5" xfId="28340"/>
    <cellStyle name="Вывод 2 9 2 4" xfId="2594"/>
    <cellStyle name="Вывод 2 9 2 4 2" xfId="7827"/>
    <cellStyle name="Вывод 2 9 2 4 2 2" xfId="18729"/>
    <cellStyle name="Вывод 2 9 2 4 2 3" xfId="34090"/>
    <cellStyle name="Вывод 2 9 2 4 3" xfId="23715"/>
    <cellStyle name="Вывод 2 9 2 4 3 2" xfId="39076"/>
    <cellStyle name="Вывод 2 9 2 4 4" xfId="13166"/>
    <cellStyle name="Вывод 2 9 2 4 5" xfId="28666"/>
    <cellStyle name="Вывод 2 9 2 5" xfId="3656"/>
    <cellStyle name="Вывод 2 9 2 5 2" xfId="8843"/>
    <cellStyle name="Вывод 2 9 2 5 2 2" xfId="19770"/>
    <cellStyle name="Вывод 2 9 2 5 2 3" xfId="35131"/>
    <cellStyle name="Вывод 2 9 2 5 3" xfId="24731"/>
    <cellStyle name="Вывод 2 9 2 5 3 2" xfId="40092"/>
    <cellStyle name="Вывод 2 9 2 5 4" xfId="14207"/>
    <cellStyle name="Вывод 2 9 2 5 5" xfId="29682"/>
    <cellStyle name="Вывод 2 9 2 6" xfId="4313"/>
    <cellStyle name="Вывод 2 9 2 6 2" xfId="9500"/>
    <cellStyle name="Вывод 2 9 2 6 2 2" xfId="20427"/>
    <cellStyle name="Вывод 2 9 2 6 2 3" xfId="35788"/>
    <cellStyle name="Вывод 2 9 2 6 3" xfId="25388"/>
    <cellStyle name="Вывод 2 9 2 6 3 2" xfId="40749"/>
    <cellStyle name="Вывод 2 9 2 6 4" xfId="14864"/>
    <cellStyle name="Вывод 2 9 2 6 5" xfId="30339"/>
    <cellStyle name="Вывод 2 9 2 7" xfId="4516"/>
    <cellStyle name="Вывод 2 9 2 7 2" xfId="9703"/>
    <cellStyle name="Вывод 2 9 2 7 2 2" xfId="20630"/>
    <cellStyle name="Вывод 2 9 2 7 2 3" xfId="35991"/>
    <cellStyle name="Вывод 2 9 2 7 3" xfId="25591"/>
    <cellStyle name="Вывод 2 9 2 7 3 2" xfId="40952"/>
    <cellStyle name="Вывод 2 9 2 7 4" xfId="15067"/>
    <cellStyle name="Вывод 2 9 2 7 5" xfId="30542"/>
    <cellStyle name="Вывод 2 9 2 8" xfId="6121"/>
    <cellStyle name="Вывод 2 9 2 8 2" xfId="16746"/>
    <cellStyle name="Вывод 2 9 2 8 3" xfId="32213"/>
    <cellStyle name="Вывод 2 9 2 9" xfId="22009"/>
    <cellStyle name="Вывод 2 9 2 9 2" xfId="37370"/>
    <cellStyle name="Вывод 2 9 3" xfId="1237"/>
    <cellStyle name="Вывод 2 9 3 2" xfId="1857"/>
    <cellStyle name="Вывод 2 9 3 2 2" xfId="7096"/>
    <cellStyle name="Вывод 2 9 3 2 2 2" xfId="17998"/>
    <cellStyle name="Вывод 2 9 3 2 2 3" xfId="33359"/>
    <cellStyle name="Вывод 2 9 3 2 3" xfId="22984"/>
    <cellStyle name="Вывод 2 9 3 2 3 2" xfId="38345"/>
    <cellStyle name="Вывод 2 9 3 2 4" xfId="12435"/>
    <cellStyle name="Вывод 2 9 3 2 5" xfId="27935"/>
    <cellStyle name="Вывод 2 9 3 3" xfId="5156"/>
    <cellStyle name="Вывод 2 9 3 3 2" xfId="10339"/>
    <cellStyle name="Вывод 2 9 3 3 2 2" xfId="21265"/>
    <cellStyle name="Вывод 2 9 3 3 2 3" xfId="36626"/>
    <cellStyle name="Вывод 2 9 3 3 3" xfId="26226"/>
    <cellStyle name="Вывод 2 9 3 3 3 2" xfId="41587"/>
    <cellStyle name="Вывод 2 9 3 3 4" xfId="15702"/>
    <cellStyle name="Вывод 2 9 3 3 5" xfId="31177"/>
    <cellStyle name="Вывод 2 9 3 4" xfId="6490"/>
    <cellStyle name="Вывод 2 9 3 4 2" xfId="16371"/>
    <cellStyle name="Вывод 2 9 3 4 3" xfId="31838"/>
    <cellStyle name="Вывод 2 9 3 5" xfId="22378"/>
    <cellStyle name="Вывод 2 9 3 5 2" xfId="37739"/>
    <cellStyle name="Вывод 2 9 3 6" xfId="11818"/>
    <cellStyle name="Вывод 2 9 3 7" xfId="27329"/>
    <cellStyle name="Вывод 2 9 4" xfId="1208"/>
    <cellStyle name="Вывод 2 9 4 2" xfId="6461"/>
    <cellStyle name="Вывод 2 9 4 2 2" xfId="16400"/>
    <cellStyle name="Вывод 2 9 4 2 3" xfId="31867"/>
    <cellStyle name="Вывод 2 9 4 3" xfId="22349"/>
    <cellStyle name="Вывод 2 9 4 3 2" xfId="37710"/>
    <cellStyle name="Вывод 2 9 4 4" xfId="11789"/>
    <cellStyle name="Вывод 2 9 4 5" xfId="27300"/>
    <cellStyle name="Вывод 2 9 5" xfId="2988"/>
    <cellStyle name="Вывод 2 9 5 2" xfId="8189"/>
    <cellStyle name="Вывод 2 9 5 2 2" xfId="19109"/>
    <cellStyle name="Вывод 2 9 5 2 3" xfId="34470"/>
    <cellStyle name="Вывод 2 9 5 3" xfId="24077"/>
    <cellStyle name="Вывод 2 9 5 3 2" xfId="39438"/>
    <cellStyle name="Вывод 2 9 5 4" xfId="13546"/>
    <cellStyle name="Вывод 2 9 5 5" xfId="29028"/>
    <cellStyle name="Вывод 2 9 6" xfId="3859"/>
    <cellStyle name="Вывод 2 9 6 2" xfId="9046"/>
    <cellStyle name="Вывод 2 9 6 2 2" xfId="19973"/>
    <cellStyle name="Вывод 2 9 6 2 3" xfId="35334"/>
    <cellStyle name="Вывод 2 9 6 3" xfId="24934"/>
    <cellStyle name="Вывод 2 9 6 3 2" xfId="40295"/>
    <cellStyle name="Вывод 2 9 6 4" xfId="14410"/>
    <cellStyle name="Вывод 2 9 6 5" xfId="29885"/>
    <cellStyle name="Вывод 2 9 7" xfId="3334"/>
    <cellStyle name="Вывод 2 9 7 2" xfId="8528"/>
    <cellStyle name="Вывод 2 9 7 2 2" xfId="19455"/>
    <cellStyle name="Вывод 2 9 7 2 3" xfId="34816"/>
    <cellStyle name="Вывод 2 9 7 3" xfId="24416"/>
    <cellStyle name="Вывод 2 9 7 3 2" xfId="39777"/>
    <cellStyle name="Вывод 2 9 7 4" xfId="13892"/>
    <cellStyle name="Вывод 2 9 7 5" xfId="29367"/>
    <cellStyle name="Вывод 2 9 8" xfId="4765"/>
    <cellStyle name="Вывод 2 9 8 2" xfId="9952"/>
    <cellStyle name="Вывод 2 9 8 2 2" xfId="20879"/>
    <cellStyle name="Вывод 2 9 8 2 3" xfId="36240"/>
    <cellStyle name="Вывод 2 9 8 3" xfId="25840"/>
    <cellStyle name="Вывод 2 9 8 3 2" xfId="41201"/>
    <cellStyle name="Вывод 2 9 8 4" xfId="15316"/>
    <cellStyle name="Вывод 2 9 8 5" xfId="30791"/>
    <cellStyle name="Вывод 2 9 9" xfId="5724"/>
    <cellStyle name="Вывод 2 9 9 2" xfId="17167"/>
    <cellStyle name="Вывод 2 9 9 3" xfId="32634"/>
    <cellStyle name="Вывод 2_46EE.2011(v1.0)" xfId="42823"/>
    <cellStyle name="Вывод 3" xfId="42824"/>
    <cellStyle name="Вывод 3 2" xfId="42825"/>
    <cellStyle name="Вывод 3 2 2" xfId="44365"/>
    <cellStyle name="Вывод 3 2 2 2" xfId="46214"/>
    <cellStyle name="Вывод 3 2 3" xfId="44366"/>
    <cellStyle name="Вывод 3 2 4" xfId="46213"/>
    <cellStyle name="Вывод 3 3" xfId="44367"/>
    <cellStyle name="Вывод 3 3 2" xfId="46216"/>
    <cellStyle name="Вывод 3 3 3" xfId="46215"/>
    <cellStyle name="Вывод 3 4" xfId="44368"/>
    <cellStyle name="Вывод 3 4 2" xfId="46217"/>
    <cellStyle name="Вывод 3 5" xfId="46212"/>
    <cellStyle name="Вывод 3_46EE.2011(v1.0)" xfId="42826"/>
    <cellStyle name="Вывод 4" xfId="42827"/>
    <cellStyle name="Вывод 4 2" xfId="42828"/>
    <cellStyle name="Вывод 4 2 2" xfId="46218"/>
    <cellStyle name="Вывод 4 3" xfId="46219"/>
    <cellStyle name="Вывод 4 3 2" xfId="46220"/>
    <cellStyle name="Вывод 4 4" xfId="46221"/>
    <cellStyle name="Вывод 4_46EE.2011(v1.0)" xfId="42829"/>
    <cellStyle name="Вывод 5" xfId="42830"/>
    <cellStyle name="Вывод 5 2" xfId="42831"/>
    <cellStyle name="Вывод 5 2 2" xfId="46222"/>
    <cellStyle name="Вывод 5 3" xfId="46223"/>
    <cellStyle name="Вывод 5 3 2" xfId="46224"/>
    <cellStyle name="Вывод 5 4" xfId="46225"/>
    <cellStyle name="Вывод 5_46EE.2011(v1.0)" xfId="42832"/>
    <cellStyle name="Вывод 6" xfId="42833"/>
    <cellStyle name="Вывод 6 2" xfId="42834"/>
    <cellStyle name="Вывод 6 2 2" xfId="46228"/>
    <cellStyle name="Вывод 6 2 2 2" xfId="46229"/>
    <cellStyle name="Вывод 6 2 3" xfId="46230"/>
    <cellStyle name="Вывод 6 2 3 2" xfId="46231"/>
    <cellStyle name="Вывод 6 2 4" xfId="46232"/>
    <cellStyle name="Вывод 6 2 5" xfId="46227"/>
    <cellStyle name="Вывод 6 3" xfId="46226"/>
    <cellStyle name="Вывод 6_46EE.2011(v1.0)" xfId="42835"/>
    <cellStyle name="Вывод 7" xfId="42836"/>
    <cellStyle name="Вывод 7 2" xfId="42837"/>
    <cellStyle name="Вывод 7 2 2" xfId="46233"/>
    <cellStyle name="Вывод 7 3" xfId="46234"/>
    <cellStyle name="Вывод 7 3 2" xfId="46235"/>
    <cellStyle name="Вывод 7 4" xfId="46236"/>
    <cellStyle name="Вывод 7_46EE.2011(v1.0)" xfId="42838"/>
    <cellStyle name="Вывод 8" xfId="42839"/>
    <cellStyle name="Вывод 8 2" xfId="42840"/>
    <cellStyle name="Вывод 8_46EE.2011(v1.0)" xfId="42841"/>
    <cellStyle name="Вывод 9" xfId="42842"/>
    <cellStyle name="Вывод 9 2" xfId="42843"/>
    <cellStyle name="Вывод 9_46EE.2011(v1.0)" xfId="42844"/>
    <cellStyle name="Вычисление 2" xfId="334"/>
    <cellStyle name="Вычисление 2 10" xfId="335"/>
    <cellStyle name="Вычисление 2 10 10" xfId="16403"/>
    <cellStyle name="Вычисление 2 10 10 2" xfId="31870"/>
    <cellStyle name="Вычисление 2 10 11" xfId="11021"/>
    <cellStyle name="Вычисление 2 10 12" xfId="10875"/>
    <cellStyle name="Вычисление 2 10 2" xfId="857"/>
    <cellStyle name="Вычисление 2 10 2 10" xfId="11441"/>
    <cellStyle name="Вычисление 2 10 2 11" xfId="26958"/>
    <cellStyle name="Вычисление 2 10 2 2" xfId="1174"/>
    <cellStyle name="Вычисление 2 10 2 2 2" xfId="965"/>
    <cellStyle name="Вычисление 2 10 2 2 2 2" xfId="6225"/>
    <cellStyle name="Вычисление 2 10 2 2 2 2 2" xfId="16641"/>
    <cellStyle name="Вычисление 2 10 2 2 2 2 3" xfId="32108"/>
    <cellStyle name="Вычисление 2 10 2 2 2 3" xfId="22113"/>
    <cellStyle name="Вычисление 2 10 2 2 2 3 2" xfId="37474"/>
    <cellStyle name="Вычисление 2 10 2 2 2 4" xfId="11548"/>
    <cellStyle name="Вычисление 2 10 2 2 2 5" xfId="27064"/>
    <cellStyle name="Вычисление 2 10 2 2 3" xfId="5158"/>
    <cellStyle name="Вычисление 2 10 2 2 3 2" xfId="10341"/>
    <cellStyle name="Вычисление 2 10 2 2 3 2 2" xfId="21267"/>
    <cellStyle name="Вычисление 2 10 2 2 3 2 3" xfId="36628"/>
    <cellStyle name="Вычисление 2 10 2 2 3 3" xfId="26228"/>
    <cellStyle name="Вычисление 2 10 2 2 3 3 2" xfId="41589"/>
    <cellStyle name="Вычисление 2 10 2 2 3 4" xfId="15704"/>
    <cellStyle name="Вычисление 2 10 2 2 3 5" xfId="31179"/>
    <cellStyle name="Вычисление 2 10 2 2 4" xfId="6428"/>
    <cellStyle name="Вычисление 2 10 2 2 4 2" xfId="16434"/>
    <cellStyle name="Вычисление 2 10 2 2 4 3" xfId="31901"/>
    <cellStyle name="Вычисление 2 10 2 2 5" xfId="22316"/>
    <cellStyle name="Вычисление 2 10 2 2 5 2" xfId="37677"/>
    <cellStyle name="Вычисление 2 10 2 2 6" xfId="11755"/>
    <cellStyle name="Вычисление 2 10 2 2 7" xfId="27267"/>
    <cellStyle name="Вычисление 2 10 2 3" xfId="2263"/>
    <cellStyle name="Вычисление 2 10 2 3 2" xfId="7499"/>
    <cellStyle name="Вычисление 2 10 2 3 2 2" xfId="18401"/>
    <cellStyle name="Вычисление 2 10 2 3 2 3" xfId="33762"/>
    <cellStyle name="Вычисление 2 10 2 3 3" xfId="23387"/>
    <cellStyle name="Вычисление 2 10 2 3 3 2" xfId="38748"/>
    <cellStyle name="Вычисление 2 10 2 3 4" xfId="12838"/>
    <cellStyle name="Вычисление 2 10 2 3 5" xfId="28338"/>
    <cellStyle name="Вычисление 2 10 2 4" xfId="1433"/>
    <cellStyle name="Вычисление 2 10 2 4 2" xfId="6681"/>
    <cellStyle name="Вычисление 2 10 2 4 2 2" xfId="16177"/>
    <cellStyle name="Вычисление 2 10 2 4 2 3" xfId="31644"/>
    <cellStyle name="Вычисление 2 10 2 4 3" xfId="22569"/>
    <cellStyle name="Вычисление 2 10 2 4 3 2" xfId="37930"/>
    <cellStyle name="Вычисление 2 10 2 4 4" xfId="12012"/>
    <cellStyle name="Вычисление 2 10 2 4 5" xfId="27520"/>
    <cellStyle name="Вычисление 2 10 2 5" xfId="3655"/>
    <cellStyle name="Вычисление 2 10 2 5 2" xfId="8842"/>
    <cellStyle name="Вычисление 2 10 2 5 2 2" xfId="19769"/>
    <cellStyle name="Вычисление 2 10 2 5 2 3" xfId="35130"/>
    <cellStyle name="Вычисление 2 10 2 5 3" xfId="24730"/>
    <cellStyle name="Вычисление 2 10 2 5 3 2" xfId="40091"/>
    <cellStyle name="Вычисление 2 10 2 5 4" xfId="14206"/>
    <cellStyle name="Вычисление 2 10 2 5 5" xfId="29681"/>
    <cellStyle name="Вычисление 2 10 2 6" xfId="4311"/>
    <cellStyle name="Вычисление 2 10 2 6 2" xfId="9498"/>
    <cellStyle name="Вычисление 2 10 2 6 2 2" xfId="20425"/>
    <cellStyle name="Вычисление 2 10 2 6 2 3" xfId="35786"/>
    <cellStyle name="Вычисление 2 10 2 6 3" xfId="25386"/>
    <cellStyle name="Вычисление 2 10 2 6 3 2" xfId="40747"/>
    <cellStyle name="Вычисление 2 10 2 6 4" xfId="14862"/>
    <cellStyle name="Вычисление 2 10 2 6 5" xfId="30337"/>
    <cellStyle name="Вычисление 2 10 2 7" xfId="4518"/>
    <cellStyle name="Вычисление 2 10 2 7 2" xfId="9705"/>
    <cellStyle name="Вычисление 2 10 2 7 2 2" xfId="20632"/>
    <cellStyle name="Вычисление 2 10 2 7 2 3" xfId="35993"/>
    <cellStyle name="Вычисление 2 10 2 7 3" xfId="25593"/>
    <cellStyle name="Вычисление 2 10 2 7 3 2" xfId="40954"/>
    <cellStyle name="Вычисление 2 10 2 7 4" xfId="15069"/>
    <cellStyle name="Вычисление 2 10 2 7 5" xfId="30544"/>
    <cellStyle name="Вычисление 2 10 2 8" xfId="6119"/>
    <cellStyle name="Вычисление 2 10 2 8 2" xfId="16748"/>
    <cellStyle name="Вычисление 2 10 2 8 3" xfId="32215"/>
    <cellStyle name="Вычисление 2 10 2 9" xfId="22007"/>
    <cellStyle name="Вычисление 2 10 2 9 2" xfId="37368"/>
    <cellStyle name="Вычисление 2 10 3" xfId="1448"/>
    <cellStyle name="Вычисление 2 10 3 2" xfId="1804"/>
    <cellStyle name="Вычисление 2 10 3 2 2" xfId="7043"/>
    <cellStyle name="Вычисление 2 10 3 2 2 2" xfId="17945"/>
    <cellStyle name="Вычисление 2 10 3 2 2 3" xfId="33306"/>
    <cellStyle name="Вычисление 2 10 3 2 3" xfId="22931"/>
    <cellStyle name="Вычисление 2 10 3 2 3 2" xfId="38292"/>
    <cellStyle name="Вычисление 2 10 3 2 4" xfId="12382"/>
    <cellStyle name="Вычисление 2 10 3 2 5" xfId="27882"/>
    <cellStyle name="Вычисление 2 10 3 3" xfId="5159"/>
    <cellStyle name="Вычисление 2 10 3 3 2" xfId="10342"/>
    <cellStyle name="Вычисление 2 10 3 3 2 2" xfId="21268"/>
    <cellStyle name="Вычисление 2 10 3 3 2 3" xfId="36629"/>
    <cellStyle name="Вычисление 2 10 3 3 3" xfId="26229"/>
    <cellStyle name="Вычисление 2 10 3 3 3 2" xfId="41590"/>
    <cellStyle name="Вычисление 2 10 3 3 4" xfId="15705"/>
    <cellStyle name="Вычисление 2 10 3 3 5" xfId="31180"/>
    <cellStyle name="Вычисление 2 10 3 4" xfId="6695"/>
    <cellStyle name="Вычисление 2 10 3 4 2" xfId="16163"/>
    <cellStyle name="Вычисление 2 10 3 4 3" xfId="31630"/>
    <cellStyle name="Вычисление 2 10 3 5" xfId="22583"/>
    <cellStyle name="Вычисление 2 10 3 5 2" xfId="37944"/>
    <cellStyle name="Вычисление 2 10 3 6" xfId="12026"/>
    <cellStyle name="Вычисление 2 10 3 7" xfId="27534"/>
    <cellStyle name="Вычисление 2 10 4" xfId="1001"/>
    <cellStyle name="Вычисление 2 10 4 2" xfId="6260"/>
    <cellStyle name="Вычисление 2 10 4 2 2" xfId="16605"/>
    <cellStyle name="Вычисление 2 10 4 2 3" xfId="32072"/>
    <cellStyle name="Вычисление 2 10 4 3" xfId="22148"/>
    <cellStyle name="Вычисление 2 10 4 3 2" xfId="37509"/>
    <cellStyle name="Вычисление 2 10 4 4" xfId="11584"/>
    <cellStyle name="Вычисление 2 10 4 5" xfId="27099"/>
    <cellStyle name="Вычисление 2 10 5" xfId="2986"/>
    <cellStyle name="Вычисление 2 10 5 2" xfId="8187"/>
    <cellStyle name="Вычисление 2 10 5 2 2" xfId="19107"/>
    <cellStyle name="Вычисление 2 10 5 2 3" xfId="34468"/>
    <cellStyle name="Вычисление 2 10 5 3" xfId="24075"/>
    <cellStyle name="Вычисление 2 10 5 3 2" xfId="39436"/>
    <cellStyle name="Вычисление 2 10 5 4" xfId="13544"/>
    <cellStyle name="Вычисление 2 10 5 5" xfId="29026"/>
    <cellStyle name="Вычисление 2 10 6" xfId="3704"/>
    <cellStyle name="Вычисление 2 10 6 2" xfId="8891"/>
    <cellStyle name="Вычисление 2 10 6 2 2" xfId="19818"/>
    <cellStyle name="Вычисление 2 10 6 2 3" xfId="35179"/>
    <cellStyle name="Вычисление 2 10 6 3" xfId="24779"/>
    <cellStyle name="Вычисление 2 10 6 3 2" xfId="40140"/>
    <cellStyle name="Вычисление 2 10 6 4" xfId="14255"/>
    <cellStyle name="Вычисление 2 10 6 5" xfId="29730"/>
    <cellStyle name="Вычисление 2 10 7" xfId="3710"/>
    <cellStyle name="Вычисление 2 10 7 2" xfId="8897"/>
    <cellStyle name="Вычисление 2 10 7 2 2" xfId="19824"/>
    <cellStyle name="Вычисление 2 10 7 2 3" xfId="35185"/>
    <cellStyle name="Вычисление 2 10 7 3" xfId="24785"/>
    <cellStyle name="Вычисление 2 10 7 3 2" xfId="40146"/>
    <cellStyle name="Вычисление 2 10 7 4" xfId="14261"/>
    <cellStyle name="Вычисление 2 10 7 5" xfId="29736"/>
    <cellStyle name="Вычисление 2 10 8" xfId="4427"/>
    <cellStyle name="Вычисление 2 10 8 2" xfId="9614"/>
    <cellStyle name="Вычисление 2 10 8 2 2" xfId="20541"/>
    <cellStyle name="Вычисление 2 10 8 2 3" xfId="35902"/>
    <cellStyle name="Вычисление 2 10 8 3" xfId="25502"/>
    <cellStyle name="Вычисление 2 10 8 3 2" xfId="40863"/>
    <cellStyle name="Вычисление 2 10 8 4" xfId="14978"/>
    <cellStyle name="Вычисление 2 10 8 5" xfId="30453"/>
    <cellStyle name="Вычисление 2 10 9" xfId="5726"/>
    <cellStyle name="Вычисление 2 10 9 2" xfId="17165"/>
    <cellStyle name="Вычисление 2 10 9 3" xfId="32632"/>
    <cellStyle name="Вычисление 2 11" xfId="336"/>
    <cellStyle name="Вычисление 2 11 10" xfId="18963"/>
    <cellStyle name="Вычисление 2 11 10 2" xfId="34324"/>
    <cellStyle name="Вычисление 2 11 11" xfId="11022"/>
    <cellStyle name="Вычисление 2 11 12" xfId="10874"/>
    <cellStyle name="Вычисление 2 11 2" xfId="856"/>
    <cellStyle name="Вычисление 2 11 2 10" xfId="11440"/>
    <cellStyle name="Вычисление 2 11 2 11" xfId="26957"/>
    <cellStyle name="Вычисление 2 11 2 2" xfId="53"/>
    <cellStyle name="Вычисление 2 11 2 2 2" xfId="2050"/>
    <cellStyle name="Вычисление 2 11 2 2 2 2" xfId="7286"/>
    <cellStyle name="Вычисление 2 11 2 2 2 2 2" xfId="18188"/>
    <cellStyle name="Вычисление 2 11 2 2 2 2 3" xfId="33549"/>
    <cellStyle name="Вычисление 2 11 2 2 2 3" xfId="23174"/>
    <cellStyle name="Вычисление 2 11 2 2 2 3 2" xfId="38535"/>
    <cellStyle name="Вычисление 2 11 2 2 2 4" xfId="12625"/>
    <cellStyle name="Вычисление 2 11 2 2 2 5" xfId="28125"/>
    <cellStyle name="Вычисление 2 11 2 2 3" xfId="5160"/>
    <cellStyle name="Вычисление 2 11 2 2 3 2" xfId="10343"/>
    <cellStyle name="Вычисление 2 11 2 2 3 2 2" xfId="21269"/>
    <cellStyle name="Вычисление 2 11 2 2 3 2 3" xfId="36630"/>
    <cellStyle name="Вычисление 2 11 2 2 3 3" xfId="26230"/>
    <cellStyle name="Вычисление 2 11 2 2 3 3 2" xfId="41591"/>
    <cellStyle name="Вычисление 2 11 2 2 3 4" xfId="15706"/>
    <cellStyle name="Вычисление 2 11 2 2 3 5" xfId="31181"/>
    <cellStyle name="Вычисление 2 11 2 2 4" xfId="5580"/>
    <cellStyle name="Вычисление 2 11 2 2 4 2" xfId="17418"/>
    <cellStyle name="Вычисление 2 11 2 2 4 3" xfId="32885"/>
    <cellStyle name="Вычисление 2 11 2 2 5" xfId="16945"/>
    <cellStyle name="Вычисление 2 11 2 2 5 2" xfId="32412"/>
    <cellStyle name="Вычисление 2 11 2 2 6" xfId="10767"/>
    <cellStyle name="Вычисление 2 11 2 2 7" xfId="11244"/>
    <cellStyle name="Вычисление 2 11 2 3" xfId="2262"/>
    <cellStyle name="Вычисление 2 11 2 3 2" xfId="7498"/>
    <cellStyle name="Вычисление 2 11 2 3 2 2" xfId="18400"/>
    <cellStyle name="Вычисление 2 11 2 3 2 3" xfId="33761"/>
    <cellStyle name="Вычисление 2 11 2 3 3" xfId="23386"/>
    <cellStyle name="Вычисление 2 11 2 3 3 2" xfId="38747"/>
    <cellStyle name="Вычисление 2 11 2 3 4" xfId="12837"/>
    <cellStyle name="Вычисление 2 11 2 3 5" xfId="28337"/>
    <cellStyle name="Вычисление 2 11 2 4" xfId="2815"/>
    <cellStyle name="Вычисление 2 11 2 4 2" xfId="8033"/>
    <cellStyle name="Вычисление 2 11 2 4 2 2" xfId="18945"/>
    <cellStyle name="Вычисление 2 11 2 4 2 3" xfId="34306"/>
    <cellStyle name="Вычисление 2 11 2 4 3" xfId="23921"/>
    <cellStyle name="Вычисление 2 11 2 4 3 2" xfId="39282"/>
    <cellStyle name="Вычисление 2 11 2 4 4" xfId="13382"/>
    <cellStyle name="Вычисление 2 11 2 4 5" xfId="28872"/>
    <cellStyle name="Вычисление 2 11 2 5" xfId="3769"/>
    <cellStyle name="Вычисление 2 11 2 5 2" xfId="8956"/>
    <cellStyle name="Вычисление 2 11 2 5 2 2" xfId="19883"/>
    <cellStyle name="Вычисление 2 11 2 5 2 3" xfId="35244"/>
    <cellStyle name="Вычисление 2 11 2 5 3" xfId="24844"/>
    <cellStyle name="Вычисление 2 11 2 5 3 2" xfId="40205"/>
    <cellStyle name="Вычисление 2 11 2 5 4" xfId="14320"/>
    <cellStyle name="Вычисление 2 11 2 5 5" xfId="29795"/>
    <cellStyle name="Вычисление 2 11 2 6" xfId="4310"/>
    <cellStyle name="Вычисление 2 11 2 6 2" xfId="9497"/>
    <cellStyle name="Вычисление 2 11 2 6 2 2" xfId="20424"/>
    <cellStyle name="Вычисление 2 11 2 6 2 3" xfId="35785"/>
    <cellStyle name="Вычисление 2 11 2 6 3" xfId="25385"/>
    <cellStyle name="Вычисление 2 11 2 6 3 2" xfId="40746"/>
    <cellStyle name="Вычисление 2 11 2 6 4" xfId="14861"/>
    <cellStyle name="Вычисление 2 11 2 6 5" xfId="30336"/>
    <cellStyle name="Вычисление 2 11 2 7" xfId="4519"/>
    <cellStyle name="Вычисление 2 11 2 7 2" xfId="9706"/>
    <cellStyle name="Вычисление 2 11 2 7 2 2" xfId="20633"/>
    <cellStyle name="Вычисление 2 11 2 7 2 3" xfId="35994"/>
    <cellStyle name="Вычисление 2 11 2 7 3" xfId="25594"/>
    <cellStyle name="Вычисление 2 11 2 7 3 2" xfId="40955"/>
    <cellStyle name="Вычисление 2 11 2 7 4" xfId="15070"/>
    <cellStyle name="Вычисление 2 11 2 7 5" xfId="30545"/>
    <cellStyle name="Вычисление 2 11 2 8" xfId="6118"/>
    <cellStyle name="Вычисление 2 11 2 8 2" xfId="16749"/>
    <cellStyle name="Вычисление 2 11 2 8 3" xfId="32216"/>
    <cellStyle name="Вычисление 2 11 2 9" xfId="22006"/>
    <cellStyle name="Вычисление 2 11 2 9 2" xfId="37367"/>
    <cellStyle name="Вычисление 2 11 3" xfId="1040"/>
    <cellStyle name="Вычисление 2 11 3 2" xfId="1806"/>
    <cellStyle name="Вычисление 2 11 3 2 2" xfId="7045"/>
    <cellStyle name="Вычисление 2 11 3 2 2 2" xfId="17947"/>
    <cellStyle name="Вычисление 2 11 3 2 2 3" xfId="33308"/>
    <cellStyle name="Вычисление 2 11 3 2 3" xfId="22933"/>
    <cellStyle name="Вычисление 2 11 3 2 3 2" xfId="38294"/>
    <cellStyle name="Вычисление 2 11 3 2 4" xfId="12384"/>
    <cellStyle name="Вычисление 2 11 3 2 5" xfId="27884"/>
    <cellStyle name="Вычисление 2 11 3 3" xfId="5161"/>
    <cellStyle name="Вычисление 2 11 3 3 2" xfId="10344"/>
    <cellStyle name="Вычисление 2 11 3 3 2 2" xfId="21270"/>
    <cellStyle name="Вычисление 2 11 3 3 2 3" xfId="36631"/>
    <cellStyle name="Вычисление 2 11 3 3 3" xfId="26231"/>
    <cellStyle name="Вычисление 2 11 3 3 3 2" xfId="41592"/>
    <cellStyle name="Вычисление 2 11 3 3 4" xfId="15707"/>
    <cellStyle name="Вычисление 2 11 3 3 5" xfId="31182"/>
    <cellStyle name="Вычисление 2 11 3 4" xfId="6298"/>
    <cellStyle name="Вычисление 2 11 3 4 2" xfId="16566"/>
    <cellStyle name="Вычисление 2 11 3 4 3" xfId="32033"/>
    <cellStyle name="Вычисление 2 11 3 5" xfId="22186"/>
    <cellStyle name="Вычисление 2 11 3 5 2" xfId="37547"/>
    <cellStyle name="Вычисление 2 11 3 6" xfId="11623"/>
    <cellStyle name="Вычисление 2 11 3 7" xfId="27137"/>
    <cellStyle name="Вычисление 2 11 4" xfId="1086"/>
    <cellStyle name="Вычисление 2 11 4 2" xfId="6342"/>
    <cellStyle name="Вычисление 2 11 4 2 2" xfId="16521"/>
    <cellStyle name="Вычисление 2 11 4 2 3" xfId="31988"/>
    <cellStyle name="Вычисление 2 11 4 3" xfId="22230"/>
    <cellStyle name="Вычисление 2 11 4 3 2" xfId="37591"/>
    <cellStyle name="Вычисление 2 11 4 4" xfId="11668"/>
    <cellStyle name="Вычисление 2 11 4 5" xfId="27181"/>
    <cellStyle name="Вычисление 2 11 5" xfId="2985"/>
    <cellStyle name="Вычисление 2 11 5 2" xfId="8186"/>
    <cellStyle name="Вычисление 2 11 5 2 2" xfId="19106"/>
    <cellStyle name="Вычисление 2 11 5 2 3" xfId="34467"/>
    <cellStyle name="Вычисление 2 11 5 3" xfId="24074"/>
    <cellStyle name="Вычисление 2 11 5 3 2" xfId="39435"/>
    <cellStyle name="Вычисление 2 11 5 4" xfId="13543"/>
    <cellStyle name="Вычисление 2 11 5 5" xfId="29025"/>
    <cellStyle name="Вычисление 2 11 6" xfId="3705"/>
    <cellStyle name="Вычисление 2 11 6 2" xfId="8892"/>
    <cellStyle name="Вычисление 2 11 6 2 2" xfId="19819"/>
    <cellStyle name="Вычисление 2 11 6 2 3" xfId="35180"/>
    <cellStyle name="Вычисление 2 11 6 3" xfId="24780"/>
    <cellStyle name="Вычисление 2 11 6 3 2" xfId="40141"/>
    <cellStyle name="Вычисление 2 11 6 4" xfId="14256"/>
    <cellStyle name="Вычисление 2 11 6 5" xfId="29731"/>
    <cellStyle name="Вычисление 2 11 7" xfId="3277"/>
    <cellStyle name="Вычисление 2 11 7 2" xfId="8471"/>
    <cellStyle name="Вычисление 2 11 7 2 2" xfId="19398"/>
    <cellStyle name="Вычисление 2 11 7 2 3" xfId="34759"/>
    <cellStyle name="Вычисление 2 11 7 3" xfId="24359"/>
    <cellStyle name="Вычисление 2 11 7 3 2" xfId="39720"/>
    <cellStyle name="Вычисление 2 11 7 4" xfId="13835"/>
    <cellStyle name="Вычисление 2 11 7 5" xfId="29310"/>
    <cellStyle name="Вычисление 2 11 8" xfId="4426"/>
    <cellStyle name="Вычисление 2 11 8 2" xfId="9613"/>
    <cellStyle name="Вычисление 2 11 8 2 2" xfId="20540"/>
    <cellStyle name="Вычисление 2 11 8 2 3" xfId="35901"/>
    <cellStyle name="Вычисление 2 11 8 3" xfId="25501"/>
    <cellStyle name="Вычисление 2 11 8 3 2" xfId="40862"/>
    <cellStyle name="Вычисление 2 11 8 4" xfId="14977"/>
    <cellStyle name="Вычисление 2 11 8 5" xfId="30452"/>
    <cellStyle name="Вычисление 2 11 9" xfId="5727"/>
    <cellStyle name="Вычисление 2 11 9 2" xfId="17164"/>
    <cellStyle name="Вычисление 2 11 9 3" xfId="32631"/>
    <cellStyle name="Вычисление 2 12" xfId="337"/>
    <cellStyle name="Вычисление 2 12 10" xfId="17312"/>
    <cellStyle name="Вычисление 2 12 10 2" xfId="32779"/>
    <cellStyle name="Вычисление 2 12 11" xfId="11023"/>
    <cellStyle name="Вычисление 2 12 12" xfId="11786"/>
    <cellStyle name="Вычисление 2 12 2" xfId="855"/>
    <cellStyle name="Вычисление 2 12 2 10" xfId="11439"/>
    <cellStyle name="Вычисление 2 12 2 11" xfId="26956"/>
    <cellStyle name="Вычисление 2 12 2 2" xfId="1324"/>
    <cellStyle name="Вычисление 2 12 2 2 2" xfId="2461"/>
    <cellStyle name="Вычисление 2 12 2 2 2 2" xfId="7697"/>
    <cellStyle name="Вычисление 2 12 2 2 2 2 2" xfId="18599"/>
    <cellStyle name="Вычисление 2 12 2 2 2 2 3" xfId="33960"/>
    <cellStyle name="Вычисление 2 12 2 2 2 3" xfId="23585"/>
    <cellStyle name="Вычисление 2 12 2 2 2 3 2" xfId="38946"/>
    <cellStyle name="Вычисление 2 12 2 2 2 4" xfId="13036"/>
    <cellStyle name="Вычисление 2 12 2 2 2 5" xfId="28536"/>
    <cellStyle name="Вычисление 2 12 2 2 3" xfId="5162"/>
    <cellStyle name="Вычисление 2 12 2 2 3 2" xfId="10345"/>
    <cellStyle name="Вычисление 2 12 2 2 3 2 2" xfId="21271"/>
    <cellStyle name="Вычисление 2 12 2 2 3 2 3" xfId="36632"/>
    <cellStyle name="Вычисление 2 12 2 2 3 3" xfId="26232"/>
    <cellStyle name="Вычисление 2 12 2 2 3 3 2" xfId="41593"/>
    <cellStyle name="Вычисление 2 12 2 2 3 4" xfId="15708"/>
    <cellStyle name="Вычисление 2 12 2 2 3 5" xfId="31183"/>
    <cellStyle name="Вычисление 2 12 2 2 4" xfId="6577"/>
    <cellStyle name="Вычисление 2 12 2 2 4 2" xfId="16284"/>
    <cellStyle name="Вычисление 2 12 2 2 4 3" xfId="31751"/>
    <cellStyle name="Вычисление 2 12 2 2 5" xfId="22465"/>
    <cellStyle name="Вычисление 2 12 2 2 5 2" xfId="37826"/>
    <cellStyle name="Вычисление 2 12 2 2 6" xfId="11905"/>
    <cellStyle name="Вычисление 2 12 2 2 7" xfId="27416"/>
    <cellStyle name="Вычисление 2 12 2 3" xfId="2261"/>
    <cellStyle name="Вычисление 2 12 2 3 2" xfId="7497"/>
    <cellStyle name="Вычисление 2 12 2 3 2 2" xfId="18399"/>
    <cellStyle name="Вычисление 2 12 2 3 2 3" xfId="33760"/>
    <cellStyle name="Вычисление 2 12 2 3 3" xfId="23385"/>
    <cellStyle name="Вычисление 2 12 2 3 3 2" xfId="38746"/>
    <cellStyle name="Вычисление 2 12 2 3 4" xfId="12836"/>
    <cellStyle name="Вычисление 2 12 2 3 5" xfId="28336"/>
    <cellStyle name="Вычисление 2 12 2 4" xfId="1751"/>
    <cellStyle name="Вычисление 2 12 2 4 2" xfId="6990"/>
    <cellStyle name="Вычисление 2 12 2 4 2 2" xfId="17892"/>
    <cellStyle name="Вычисление 2 12 2 4 2 3" xfId="33253"/>
    <cellStyle name="Вычисление 2 12 2 4 3" xfId="22878"/>
    <cellStyle name="Вычисление 2 12 2 4 3 2" xfId="38239"/>
    <cellStyle name="Вычисление 2 12 2 4 4" xfId="12329"/>
    <cellStyle name="Вычисление 2 12 2 4 5" xfId="27829"/>
    <cellStyle name="Вычисление 2 12 2 5" xfId="3654"/>
    <cellStyle name="Вычисление 2 12 2 5 2" xfId="8841"/>
    <cellStyle name="Вычисление 2 12 2 5 2 2" xfId="19768"/>
    <cellStyle name="Вычисление 2 12 2 5 2 3" xfId="35129"/>
    <cellStyle name="Вычисление 2 12 2 5 3" xfId="24729"/>
    <cellStyle name="Вычисление 2 12 2 5 3 2" xfId="40090"/>
    <cellStyle name="Вычисление 2 12 2 5 4" xfId="14205"/>
    <cellStyle name="Вычисление 2 12 2 5 5" xfId="29680"/>
    <cellStyle name="Вычисление 2 12 2 6" xfId="4309"/>
    <cellStyle name="Вычисление 2 12 2 6 2" xfId="9496"/>
    <cellStyle name="Вычисление 2 12 2 6 2 2" xfId="20423"/>
    <cellStyle name="Вычисление 2 12 2 6 2 3" xfId="35784"/>
    <cellStyle name="Вычисление 2 12 2 6 3" xfId="25384"/>
    <cellStyle name="Вычисление 2 12 2 6 3 2" xfId="40745"/>
    <cellStyle name="Вычисление 2 12 2 6 4" xfId="14860"/>
    <cellStyle name="Вычисление 2 12 2 6 5" xfId="30335"/>
    <cellStyle name="Вычисление 2 12 2 7" xfId="4520"/>
    <cellStyle name="Вычисление 2 12 2 7 2" xfId="9707"/>
    <cellStyle name="Вычисление 2 12 2 7 2 2" xfId="20634"/>
    <cellStyle name="Вычисление 2 12 2 7 2 3" xfId="35995"/>
    <cellStyle name="Вычисление 2 12 2 7 3" xfId="25595"/>
    <cellStyle name="Вычисление 2 12 2 7 3 2" xfId="40956"/>
    <cellStyle name="Вычисление 2 12 2 7 4" xfId="15071"/>
    <cellStyle name="Вычисление 2 12 2 7 5" xfId="30546"/>
    <cellStyle name="Вычисление 2 12 2 8" xfId="6117"/>
    <cellStyle name="Вычисление 2 12 2 8 2" xfId="16750"/>
    <cellStyle name="Вычисление 2 12 2 8 3" xfId="32217"/>
    <cellStyle name="Вычисление 2 12 2 9" xfId="22005"/>
    <cellStyle name="Вычисление 2 12 2 9 2" xfId="37366"/>
    <cellStyle name="Вычисление 2 12 3" xfId="1598"/>
    <cellStyle name="Вычисление 2 12 3 2" xfId="1808"/>
    <cellStyle name="Вычисление 2 12 3 2 2" xfId="7047"/>
    <cellStyle name="Вычисление 2 12 3 2 2 2" xfId="17949"/>
    <cellStyle name="Вычисление 2 12 3 2 2 3" xfId="33310"/>
    <cellStyle name="Вычисление 2 12 3 2 3" xfId="22935"/>
    <cellStyle name="Вычисление 2 12 3 2 3 2" xfId="38296"/>
    <cellStyle name="Вычисление 2 12 3 2 4" xfId="12386"/>
    <cellStyle name="Вычисление 2 12 3 2 5" xfId="27886"/>
    <cellStyle name="Вычисление 2 12 3 3" xfId="5163"/>
    <cellStyle name="Вычисление 2 12 3 3 2" xfId="10346"/>
    <cellStyle name="Вычисление 2 12 3 3 2 2" xfId="21272"/>
    <cellStyle name="Вычисление 2 12 3 3 2 3" xfId="36633"/>
    <cellStyle name="Вычисление 2 12 3 3 3" xfId="26233"/>
    <cellStyle name="Вычисление 2 12 3 3 3 2" xfId="41594"/>
    <cellStyle name="Вычисление 2 12 3 3 4" xfId="15709"/>
    <cellStyle name="Вычисление 2 12 3 3 5" xfId="31184"/>
    <cellStyle name="Вычисление 2 12 3 4" xfId="6845"/>
    <cellStyle name="Вычисление 2 12 3 4 2" xfId="17740"/>
    <cellStyle name="Вычисление 2 12 3 4 3" xfId="33101"/>
    <cellStyle name="Вычисление 2 12 3 5" xfId="22733"/>
    <cellStyle name="Вычисление 2 12 3 5 2" xfId="38094"/>
    <cellStyle name="Вычисление 2 12 3 6" xfId="12176"/>
    <cellStyle name="Вычисление 2 12 3 7" xfId="27684"/>
    <cellStyle name="Вычисление 2 12 4" xfId="1089"/>
    <cellStyle name="Вычисление 2 12 4 2" xfId="6345"/>
    <cellStyle name="Вычисление 2 12 4 2 2" xfId="16518"/>
    <cellStyle name="Вычисление 2 12 4 2 3" xfId="31985"/>
    <cellStyle name="Вычисление 2 12 4 3" xfId="22233"/>
    <cellStyle name="Вычисление 2 12 4 3 2" xfId="37594"/>
    <cellStyle name="Вычисление 2 12 4 4" xfId="11671"/>
    <cellStyle name="Вычисление 2 12 4 5" xfId="27184"/>
    <cellStyle name="Вычисление 2 12 5" xfId="2984"/>
    <cellStyle name="Вычисление 2 12 5 2" xfId="8185"/>
    <cellStyle name="Вычисление 2 12 5 2 2" xfId="19105"/>
    <cellStyle name="Вычисление 2 12 5 2 3" xfId="34466"/>
    <cellStyle name="Вычисление 2 12 5 3" xfId="24073"/>
    <cellStyle name="Вычисление 2 12 5 3 2" xfId="39434"/>
    <cellStyle name="Вычисление 2 12 5 4" xfId="13542"/>
    <cellStyle name="Вычисление 2 12 5 5" xfId="29024"/>
    <cellStyle name="Вычисление 2 12 6" xfId="3706"/>
    <cellStyle name="Вычисление 2 12 6 2" xfId="8893"/>
    <cellStyle name="Вычисление 2 12 6 2 2" xfId="19820"/>
    <cellStyle name="Вычисление 2 12 6 2 3" xfId="35181"/>
    <cellStyle name="Вычисление 2 12 6 3" xfId="24781"/>
    <cellStyle name="Вычисление 2 12 6 3 2" xfId="40142"/>
    <cellStyle name="Вычисление 2 12 6 4" xfId="14257"/>
    <cellStyle name="Вычисление 2 12 6 5" xfId="29732"/>
    <cellStyle name="Вычисление 2 12 7" xfId="3333"/>
    <cellStyle name="Вычисление 2 12 7 2" xfId="8527"/>
    <cellStyle name="Вычисление 2 12 7 2 2" xfId="19454"/>
    <cellStyle name="Вычисление 2 12 7 2 3" xfId="34815"/>
    <cellStyle name="Вычисление 2 12 7 3" xfId="24415"/>
    <cellStyle name="Вычисление 2 12 7 3 2" xfId="39776"/>
    <cellStyle name="Вычисление 2 12 7 4" xfId="13891"/>
    <cellStyle name="Вычисление 2 12 7 5" xfId="29366"/>
    <cellStyle name="Вычисление 2 12 8" xfId="4425"/>
    <cellStyle name="Вычисление 2 12 8 2" xfId="9612"/>
    <cellStyle name="Вычисление 2 12 8 2 2" xfId="20539"/>
    <cellStyle name="Вычисление 2 12 8 2 3" xfId="35900"/>
    <cellStyle name="Вычисление 2 12 8 3" xfId="25500"/>
    <cellStyle name="Вычисление 2 12 8 3 2" xfId="40861"/>
    <cellStyle name="Вычисление 2 12 8 4" xfId="14976"/>
    <cellStyle name="Вычисление 2 12 8 5" xfId="30451"/>
    <cellStyle name="Вычисление 2 12 9" xfId="5728"/>
    <cellStyle name="Вычисление 2 12 9 2" xfId="17163"/>
    <cellStyle name="Вычисление 2 12 9 3" xfId="32630"/>
    <cellStyle name="Вычисление 2 13" xfId="338"/>
    <cellStyle name="Вычисление 2 13 10" xfId="17313"/>
    <cellStyle name="Вычисление 2 13 10 2" xfId="32780"/>
    <cellStyle name="Вычисление 2 13 11" xfId="11024"/>
    <cellStyle name="Вычисление 2 13 12" xfId="13400"/>
    <cellStyle name="Вычисление 2 13 2" xfId="854"/>
    <cellStyle name="Вычисление 2 13 2 10" xfId="11438"/>
    <cellStyle name="Вычисление 2 13 2 11" xfId="26955"/>
    <cellStyle name="Вычисление 2 13 2 2" xfId="61"/>
    <cellStyle name="Вычисление 2 13 2 2 2" xfId="1363"/>
    <cellStyle name="Вычисление 2 13 2 2 2 2" xfId="6614"/>
    <cellStyle name="Вычисление 2 13 2 2 2 2 2" xfId="16246"/>
    <cellStyle name="Вычисление 2 13 2 2 2 2 3" xfId="31713"/>
    <cellStyle name="Вычисление 2 13 2 2 2 3" xfId="22502"/>
    <cellStyle name="Вычисление 2 13 2 2 2 3 2" xfId="37863"/>
    <cellStyle name="Вычисление 2 13 2 2 2 4" xfId="11943"/>
    <cellStyle name="Вычисление 2 13 2 2 2 5" xfId="27453"/>
    <cellStyle name="Вычисление 2 13 2 2 3" xfId="5164"/>
    <cellStyle name="Вычисление 2 13 2 2 3 2" xfId="10347"/>
    <cellStyle name="Вычисление 2 13 2 2 3 2 2" xfId="21273"/>
    <cellStyle name="Вычисление 2 13 2 2 3 2 3" xfId="36634"/>
    <cellStyle name="Вычисление 2 13 2 2 3 3" xfId="26234"/>
    <cellStyle name="Вычисление 2 13 2 2 3 3 2" xfId="41595"/>
    <cellStyle name="Вычисление 2 13 2 2 3 4" xfId="15710"/>
    <cellStyle name="Вычисление 2 13 2 2 3 5" xfId="31185"/>
    <cellStyle name="Вычисление 2 13 2 2 4" xfId="5588"/>
    <cellStyle name="Вычисление 2 13 2 2 4 2" xfId="17410"/>
    <cellStyle name="Вычисление 2 13 2 2 4 3" xfId="32877"/>
    <cellStyle name="Вычисление 2 13 2 2 5" xfId="17425"/>
    <cellStyle name="Вычисление 2 13 2 2 5 2" xfId="32892"/>
    <cellStyle name="Вычисление 2 13 2 2 6" xfId="10775"/>
    <cellStyle name="Вычисление 2 13 2 2 7" xfId="10760"/>
    <cellStyle name="Вычисление 2 13 2 3" xfId="2260"/>
    <cellStyle name="Вычисление 2 13 2 3 2" xfId="7496"/>
    <cellStyle name="Вычисление 2 13 2 3 2 2" xfId="18398"/>
    <cellStyle name="Вычисление 2 13 2 3 2 3" xfId="33759"/>
    <cellStyle name="Вычисление 2 13 2 3 3" xfId="23384"/>
    <cellStyle name="Вычисление 2 13 2 3 3 2" xfId="38745"/>
    <cellStyle name="Вычисление 2 13 2 3 4" xfId="12835"/>
    <cellStyle name="Вычисление 2 13 2 3 5" xfId="28335"/>
    <cellStyle name="Вычисление 2 13 2 4" xfId="2814"/>
    <cellStyle name="Вычисление 2 13 2 4 2" xfId="8032"/>
    <cellStyle name="Вычисление 2 13 2 4 2 2" xfId="18944"/>
    <cellStyle name="Вычисление 2 13 2 4 2 3" xfId="34305"/>
    <cellStyle name="Вычисление 2 13 2 4 3" xfId="23920"/>
    <cellStyle name="Вычисление 2 13 2 4 3 2" xfId="39281"/>
    <cellStyle name="Вычисление 2 13 2 4 4" xfId="13381"/>
    <cellStyle name="Вычисление 2 13 2 4 5" xfId="28871"/>
    <cellStyle name="Вычисление 2 13 2 5" xfId="3770"/>
    <cellStyle name="Вычисление 2 13 2 5 2" xfId="8957"/>
    <cellStyle name="Вычисление 2 13 2 5 2 2" xfId="19884"/>
    <cellStyle name="Вычисление 2 13 2 5 2 3" xfId="35245"/>
    <cellStyle name="Вычисление 2 13 2 5 3" xfId="24845"/>
    <cellStyle name="Вычисление 2 13 2 5 3 2" xfId="40206"/>
    <cellStyle name="Вычисление 2 13 2 5 4" xfId="14321"/>
    <cellStyle name="Вычисление 2 13 2 5 5" xfId="29796"/>
    <cellStyle name="Вычисление 2 13 2 6" xfId="4308"/>
    <cellStyle name="Вычисление 2 13 2 6 2" xfId="9495"/>
    <cellStyle name="Вычисление 2 13 2 6 2 2" xfId="20422"/>
    <cellStyle name="Вычисление 2 13 2 6 2 3" xfId="35783"/>
    <cellStyle name="Вычисление 2 13 2 6 3" xfId="25383"/>
    <cellStyle name="Вычисление 2 13 2 6 3 2" xfId="40744"/>
    <cellStyle name="Вычисление 2 13 2 6 4" xfId="14859"/>
    <cellStyle name="Вычисление 2 13 2 6 5" xfId="30334"/>
    <cellStyle name="Вычисление 2 13 2 7" xfId="4521"/>
    <cellStyle name="Вычисление 2 13 2 7 2" xfId="9708"/>
    <cellStyle name="Вычисление 2 13 2 7 2 2" xfId="20635"/>
    <cellStyle name="Вычисление 2 13 2 7 2 3" xfId="35996"/>
    <cellStyle name="Вычисление 2 13 2 7 3" xfId="25596"/>
    <cellStyle name="Вычисление 2 13 2 7 3 2" xfId="40957"/>
    <cellStyle name="Вычисление 2 13 2 7 4" xfId="15072"/>
    <cellStyle name="Вычисление 2 13 2 7 5" xfId="30547"/>
    <cellStyle name="Вычисление 2 13 2 8" xfId="6116"/>
    <cellStyle name="Вычисление 2 13 2 8 2" xfId="16751"/>
    <cellStyle name="Вычисление 2 13 2 8 3" xfId="32218"/>
    <cellStyle name="Вычисление 2 13 2 9" xfId="22004"/>
    <cellStyle name="Вычисление 2 13 2 9 2" xfId="37365"/>
    <cellStyle name="Вычисление 2 13 3" xfId="1634"/>
    <cellStyle name="Вычисление 2 13 3 2" xfId="1854"/>
    <cellStyle name="Вычисление 2 13 3 2 2" xfId="7093"/>
    <cellStyle name="Вычисление 2 13 3 2 2 2" xfId="17995"/>
    <cellStyle name="Вычисление 2 13 3 2 2 3" xfId="33356"/>
    <cellStyle name="Вычисление 2 13 3 2 3" xfId="22981"/>
    <cellStyle name="Вычисление 2 13 3 2 3 2" xfId="38342"/>
    <cellStyle name="Вычисление 2 13 3 2 4" xfId="12432"/>
    <cellStyle name="Вычисление 2 13 3 2 5" xfId="27932"/>
    <cellStyle name="Вычисление 2 13 3 3" xfId="5165"/>
    <cellStyle name="Вычисление 2 13 3 3 2" xfId="10348"/>
    <cellStyle name="Вычисление 2 13 3 3 2 2" xfId="21274"/>
    <cellStyle name="Вычисление 2 13 3 3 2 3" xfId="36635"/>
    <cellStyle name="Вычисление 2 13 3 3 3" xfId="26235"/>
    <cellStyle name="Вычисление 2 13 3 3 3 2" xfId="41596"/>
    <cellStyle name="Вычисление 2 13 3 3 4" xfId="15711"/>
    <cellStyle name="Вычисление 2 13 3 3 5" xfId="31186"/>
    <cellStyle name="Вычисление 2 13 3 4" xfId="6880"/>
    <cellStyle name="Вычисление 2 13 3 4 2" xfId="17776"/>
    <cellStyle name="Вычисление 2 13 3 4 3" xfId="33137"/>
    <cellStyle name="Вычисление 2 13 3 5" xfId="22768"/>
    <cellStyle name="Вычисление 2 13 3 5 2" xfId="38129"/>
    <cellStyle name="Вычисление 2 13 3 6" xfId="12212"/>
    <cellStyle name="Вычисление 2 13 3 7" xfId="27719"/>
    <cellStyle name="Вычисление 2 13 4" xfId="67"/>
    <cellStyle name="Вычисление 2 13 4 2" xfId="5594"/>
    <cellStyle name="Вычисление 2 13 4 2 2" xfId="17404"/>
    <cellStyle name="Вычисление 2 13 4 2 3" xfId="32871"/>
    <cellStyle name="Вычисление 2 13 4 3" xfId="19118"/>
    <cellStyle name="Вычисление 2 13 4 3 2" xfId="34479"/>
    <cellStyle name="Вычисление 2 13 4 4" xfId="10781"/>
    <cellStyle name="Вычисление 2 13 4 5" xfId="13555"/>
    <cellStyle name="Вычисление 2 13 5" xfId="2983"/>
    <cellStyle name="Вычисление 2 13 5 2" xfId="8184"/>
    <cellStyle name="Вычисление 2 13 5 2 2" xfId="19104"/>
    <cellStyle name="Вычисление 2 13 5 2 3" xfId="34465"/>
    <cellStyle name="Вычисление 2 13 5 3" xfId="24072"/>
    <cellStyle name="Вычисление 2 13 5 3 2" xfId="39433"/>
    <cellStyle name="Вычисление 2 13 5 4" xfId="13541"/>
    <cellStyle name="Вычисление 2 13 5 5" xfId="29023"/>
    <cellStyle name="Вычисление 2 13 6" xfId="3707"/>
    <cellStyle name="Вычисление 2 13 6 2" xfId="8894"/>
    <cellStyle name="Вычисление 2 13 6 2 2" xfId="19821"/>
    <cellStyle name="Вычисление 2 13 6 2 3" xfId="35182"/>
    <cellStyle name="Вычисление 2 13 6 3" xfId="24782"/>
    <cellStyle name="Вычисление 2 13 6 3 2" xfId="40143"/>
    <cellStyle name="Вычисление 2 13 6 4" xfId="14258"/>
    <cellStyle name="Вычисление 2 13 6 5" xfId="29733"/>
    <cellStyle name="Вычисление 2 13 7" xfId="3909"/>
    <cellStyle name="Вычисление 2 13 7 2" xfId="9096"/>
    <cellStyle name="Вычисление 2 13 7 2 2" xfId="20023"/>
    <cellStyle name="Вычисление 2 13 7 2 3" xfId="35384"/>
    <cellStyle name="Вычисление 2 13 7 3" xfId="24984"/>
    <cellStyle name="Вычисление 2 13 7 3 2" xfId="40345"/>
    <cellStyle name="Вычисление 2 13 7 4" xfId="14460"/>
    <cellStyle name="Вычисление 2 13 7 5" xfId="29935"/>
    <cellStyle name="Вычисление 2 13 8" xfId="4424"/>
    <cellStyle name="Вычисление 2 13 8 2" xfId="9611"/>
    <cellStyle name="Вычисление 2 13 8 2 2" xfId="20538"/>
    <cellStyle name="Вычисление 2 13 8 2 3" xfId="35899"/>
    <cellStyle name="Вычисление 2 13 8 3" xfId="25499"/>
    <cellStyle name="Вычисление 2 13 8 3 2" xfId="40860"/>
    <cellStyle name="Вычисление 2 13 8 4" xfId="14975"/>
    <cellStyle name="Вычисление 2 13 8 5" xfId="30450"/>
    <cellStyle name="Вычисление 2 13 9" xfId="5729"/>
    <cellStyle name="Вычисление 2 13 9 2" xfId="17162"/>
    <cellStyle name="Вычисление 2 13 9 3" xfId="32629"/>
    <cellStyle name="Вычисление 2 14" xfId="339"/>
    <cellStyle name="Вычисление 2 14 10" xfId="17314"/>
    <cellStyle name="Вычисление 2 14 10 2" xfId="32781"/>
    <cellStyle name="Вычисление 2 14 11" xfId="11025"/>
    <cellStyle name="Вычисление 2 14 12" xfId="10873"/>
    <cellStyle name="Вычисление 2 14 2" xfId="853"/>
    <cellStyle name="Вычисление 2 14 2 10" xfId="11437"/>
    <cellStyle name="Вычисление 2 14 2 11" xfId="26954"/>
    <cellStyle name="Вычисление 2 14 2 2" xfId="1269"/>
    <cellStyle name="Вычисление 2 14 2 2 2" xfId="94"/>
    <cellStyle name="Вычисление 2 14 2 2 2 2" xfId="5620"/>
    <cellStyle name="Вычисление 2 14 2 2 2 2 2" xfId="17377"/>
    <cellStyle name="Вычисление 2 14 2 2 2 2 3" xfId="32844"/>
    <cellStyle name="Вычисление 2 14 2 2 2 3" xfId="17070"/>
    <cellStyle name="Вычисление 2 14 2 2 2 3 2" xfId="32537"/>
    <cellStyle name="Вычисление 2 14 2 2 2 4" xfId="10808"/>
    <cellStyle name="Вычисление 2 14 2 2 2 5" xfId="11116"/>
    <cellStyle name="Вычисление 2 14 2 2 3" xfId="5166"/>
    <cellStyle name="Вычисление 2 14 2 2 3 2" xfId="10349"/>
    <cellStyle name="Вычисление 2 14 2 2 3 2 2" xfId="21275"/>
    <cellStyle name="Вычисление 2 14 2 2 3 2 3" xfId="36636"/>
    <cellStyle name="Вычисление 2 14 2 2 3 3" xfId="26236"/>
    <cellStyle name="Вычисление 2 14 2 2 3 3 2" xfId="41597"/>
    <cellStyle name="Вычисление 2 14 2 2 3 4" xfId="15712"/>
    <cellStyle name="Вычисление 2 14 2 2 3 5" xfId="31187"/>
    <cellStyle name="Вычисление 2 14 2 2 4" xfId="6522"/>
    <cellStyle name="Вычисление 2 14 2 2 4 2" xfId="16339"/>
    <cellStyle name="Вычисление 2 14 2 2 4 3" xfId="31806"/>
    <cellStyle name="Вычисление 2 14 2 2 5" xfId="22410"/>
    <cellStyle name="Вычисление 2 14 2 2 5 2" xfId="37771"/>
    <cellStyle name="Вычисление 2 14 2 2 6" xfId="11850"/>
    <cellStyle name="Вычисление 2 14 2 2 7" xfId="27361"/>
    <cellStyle name="Вычисление 2 14 2 3" xfId="2259"/>
    <cellStyle name="Вычисление 2 14 2 3 2" xfId="7495"/>
    <cellStyle name="Вычисление 2 14 2 3 2 2" xfId="18397"/>
    <cellStyle name="Вычисление 2 14 2 3 2 3" xfId="33758"/>
    <cellStyle name="Вычисление 2 14 2 3 3" xfId="23383"/>
    <cellStyle name="Вычисление 2 14 2 3 3 2" xfId="38744"/>
    <cellStyle name="Вычисление 2 14 2 3 4" xfId="12834"/>
    <cellStyle name="Вычисление 2 14 2 3 5" xfId="28334"/>
    <cellStyle name="Вычисление 2 14 2 4" xfId="2586"/>
    <cellStyle name="Вычисление 2 14 2 4 2" xfId="7819"/>
    <cellStyle name="Вычисление 2 14 2 4 2 2" xfId="18721"/>
    <cellStyle name="Вычисление 2 14 2 4 2 3" xfId="34082"/>
    <cellStyle name="Вычисление 2 14 2 4 3" xfId="23707"/>
    <cellStyle name="Вычисление 2 14 2 4 3 2" xfId="39068"/>
    <cellStyle name="Вычисление 2 14 2 4 4" xfId="13158"/>
    <cellStyle name="Вычисление 2 14 2 4 5" xfId="28658"/>
    <cellStyle name="Вычисление 2 14 2 5" xfId="3653"/>
    <cellStyle name="Вычисление 2 14 2 5 2" xfId="8840"/>
    <cellStyle name="Вычисление 2 14 2 5 2 2" xfId="19767"/>
    <cellStyle name="Вычисление 2 14 2 5 2 3" xfId="35128"/>
    <cellStyle name="Вычисление 2 14 2 5 3" xfId="24728"/>
    <cellStyle name="Вычисление 2 14 2 5 3 2" xfId="40089"/>
    <cellStyle name="Вычисление 2 14 2 5 4" xfId="14204"/>
    <cellStyle name="Вычисление 2 14 2 5 5" xfId="29679"/>
    <cellStyle name="Вычисление 2 14 2 6" xfId="4307"/>
    <cellStyle name="Вычисление 2 14 2 6 2" xfId="9494"/>
    <cellStyle name="Вычисление 2 14 2 6 2 2" xfId="20421"/>
    <cellStyle name="Вычисление 2 14 2 6 2 3" xfId="35782"/>
    <cellStyle name="Вычисление 2 14 2 6 3" xfId="25382"/>
    <cellStyle name="Вычисление 2 14 2 6 3 2" xfId="40743"/>
    <cellStyle name="Вычисление 2 14 2 6 4" xfId="14858"/>
    <cellStyle name="Вычисление 2 14 2 6 5" xfId="30333"/>
    <cellStyle name="Вычисление 2 14 2 7" xfId="4522"/>
    <cellStyle name="Вычисление 2 14 2 7 2" xfId="9709"/>
    <cellStyle name="Вычисление 2 14 2 7 2 2" xfId="20636"/>
    <cellStyle name="Вычисление 2 14 2 7 2 3" xfId="35997"/>
    <cellStyle name="Вычисление 2 14 2 7 3" xfId="25597"/>
    <cellStyle name="Вычисление 2 14 2 7 3 2" xfId="40958"/>
    <cellStyle name="Вычисление 2 14 2 7 4" xfId="15073"/>
    <cellStyle name="Вычисление 2 14 2 7 5" xfId="30548"/>
    <cellStyle name="Вычисление 2 14 2 8" xfId="6115"/>
    <cellStyle name="Вычисление 2 14 2 8 2" xfId="16752"/>
    <cellStyle name="Вычисление 2 14 2 8 3" xfId="32219"/>
    <cellStyle name="Вычисление 2 14 2 9" xfId="22003"/>
    <cellStyle name="Вычисление 2 14 2 9 2" xfId="37364"/>
    <cellStyle name="Вычисление 2 14 3" xfId="1070"/>
    <cellStyle name="Вычисление 2 14 3 2" xfId="1856"/>
    <cellStyle name="Вычисление 2 14 3 2 2" xfId="7095"/>
    <cellStyle name="Вычисление 2 14 3 2 2 2" xfId="17997"/>
    <cellStyle name="Вычисление 2 14 3 2 2 3" xfId="33358"/>
    <cellStyle name="Вычисление 2 14 3 2 3" xfId="22983"/>
    <cellStyle name="Вычисление 2 14 3 2 3 2" xfId="38344"/>
    <cellStyle name="Вычисление 2 14 3 2 4" xfId="12434"/>
    <cellStyle name="Вычисление 2 14 3 2 5" xfId="27934"/>
    <cellStyle name="Вычисление 2 14 3 3" xfId="5167"/>
    <cellStyle name="Вычисление 2 14 3 3 2" xfId="10350"/>
    <cellStyle name="Вычисление 2 14 3 3 2 2" xfId="21276"/>
    <cellStyle name="Вычисление 2 14 3 3 2 3" xfId="36637"/>
    <cellStyle name="Вычисление 2 14 3 3 3" xfId="26237"/>
    <cellStyle name="Вычисление 2 14 3 3 3 2" xfId="41598"/>
    <cellStyle name="Вычисление 2 14 3 3 4" xfId="15713"/>
    <cellStyle name="Вычисление 2 14 3 3 5" xfId="31188"/>
    <cellStyle name="Вычисление 2 14 3 4" xfId="6327"/>
    <cellStyle name="Вычисление 2 14 3 4 2" xfId="16537"/>
    <cellStyle name="Вычисление 2 14 3 4 3" xfId="32004"/>
    <cellStyle name="Вычисление 2 14 3 5" xfId="22215"/>
    <cellStyle name="Вычисление 2 14 3 5 2" xfId="37576"/>
    <cellStyle name="Вычисление 2 14 3 6" xfId="11652"/>
    <cellStyle name="Вычисление 2 14 3 7" xfId="27166"/>
    <cellStyle name="Вычисление 2 14 4" xfId="1720"/>
    <cellStyle name="Вычисление 2 14 4 2" xfId="6960"/>
    <cellStyle name="Вычисление 2 14 4 2 2" xfId="17861"/>
    <cellStyle name="Вычисление 2 14 4 2 3" xfId="33222"/>
    <cellStyle name="Вычисление 2 14 4 3" xfId="22848"/>
    <cellStyle name="Вычисление 2 14 4 3 2" xfId="38209"/>
    <cellStyle name="Вычисление 2 14 4 4" xfId="12298"/>
    <cellStyle name="Вычисление 2 14 4 5" xfId="27799"/>
    <cellStyle name="Вычисление 2 14 5" xfId="2982"/>
    <cellStyle name="Вычисление 2 14 5 2" xfId="8183"/>
    <cellStyle name="Вычисление 2 14 5 2 2" xfId="19103"/>
    <cellStyle name="Вычисление 2 14 5 2 3" xfId="34464"/>
    <cellStyle name="Вычисление 2 14 5 3" xfId="24071"/>
    <cellStyle name="Вычисление 2 14 5 3 2" xfId="39432"/>
    <cellStyle name="Вычисление 2 14 5 4" xfId="13540"/>
    <cellStyle name="Вычисление 2 14 5 5" xfId="29022"/>
    <cellStyle name="Вычисление 2 14 6" xfId="2033"/>
    <cellStyle name="Вычисление 2 14 6 2" xfId="7269"/>
    <cellStyle name="Вычисление 2 14 6 2 2" xfId="18171"/>
    <cellStyle name="Вычисление 2 14 6 2 3" xfId="33532"/>
    <cellStyle name="Вычисление 2 14 6 3" xfId="23157"/>
    <cellStyle name="Вычисление 2 14 6 3 2" xfId="38518"/>
    <cellStyle name="Вычисление 2 14 6 4" xfId="12608"/>
    <cellStyle name="Вычисление 2 14 6 5" xfId="28108"/>
    <cellStyle name="Вычисление 2 14 7" xfId="3264"/>
    <cellStyle name="Вычисление 2 14 7 2" xfId="8458"/>
    <cellStyle name="Вычисление 2 14 7 2 2" xfId="19385"/>
    <cellStyle name="Вычисление 2 14 7 2 3" xfId="34746"/>
    <cellStyle name="Вычисление 2 14 7 3" xfId="24346"/>
    <cellStyle name="Вычисление 2 14 7 3 2" xfId="39707"/>
    <cellStyle name="Вычисление 2 14 7 4" xfId="13822"/>
    <cellStyle name="Вычисление 2 14 7 5" xfId="29297"/>
    <cellStyle name="Вычисление 2 14 8" xfId="4423"/>
    <cellStyle name="Вычисление 2 14 8 2" xfId="9610"/>
    <cellStyle name="Вычисление 2 14 8 2 2" xfId="20537"/>
    <cellStyle name="Вычисление 2 14 8 2 3" xfId="35898"/>
    <cellStyle name="Вычисление 2 14 8 3" xfId="25498"/>
    <cellStyle name="Вычисление 2 14 8 3 2" xfId="40859"/>
    <cellStyle name="Вычисление 2 14 8 4" xfId="14974"/>
    <cellStyle name="Вычисление 2 14 8 5" xfId="30449"/>
    <cellStyle name="Вычисление 2 14 9" xfId="5730"/>
    <cellStyle name="Вычисление 2 14 9 2" xfId="17161"/>
    <cellStyle name="Вычисление 2 14 9 3" xfId="32628"/>
    <cellStyle name="Вычисление 2 15" xfId="340"/>
    <cellStyle name="Вычисление 2 15 10" xfId="17315"/>
    <cellStyle name="Вычисление 2 15 10 2" xfId="32782"/>
    <cellStyle name="Вычисление 2 15 11" xfId="11026"/>
    <cellStyle name="Вычисление 2 15 12" xfId="10872"/>
    <cellStyle name="Вычисление 2 15 2" xfId="852"/>
    <cellStyle name="Вычисление 2 15 2 10" xfId="11436"/>
    <cellStyle name="Вычисление 2 15 2 11" xfId="26953"/>
    <cellStyle name="Вычисление 2 15 2 2" xfId="986"/>
    <cellStyle name="Вычисление 2 15 2 2 2" xfId="2464"/>
    <cellStyle name="Вычисление 2 15 2 2 2 2" xfId="7700"/>
    <cellStyle name="Вычисление 2 15 2 2 2 2 2" xfId="18602"/>
    <cellStyle name="Вычисление 2 15 2 2 2 2 3" xfId="33963"/>
    <cellStyle name="Вычисление 2 15 2 2 2 3" xfId="23588"/>
    <cellStyle name="Вычисление 2 15 2 2 2 3 2" xfId="38949"/>
    <cellStyle name="Вычисление 2 15 2 2 2 4" xfId="13039"/>
    <cellStyle name="Вычисление 2 15 2 2 2 5" xfId="28539"/>
    <cellStyle name="Вычисление 2 15 2 2 3" xfId="5168"/>
    <cellStyle name="Вычисление 2 15 2 2 3 2" xfId="10351"/>
    <cellStyle name="Вычисление 2 15 2 2 3 2 2" xfId="21277"/>
    <cellStyle name="Вычисление 2 15 2 2 3 2 3" xfId="36638"/>
    <cellStyle name="Вычисление 2 15 2 2 3 3" xfId="26238"/>
    <cellStyle name="Вычисление 2 15 2 2 3 3 2" xfId="41599"/>
    <cellStyle name="Вычисление 2 15 2 2 3 4" xfId="15714"/>
    <cellStyle name="Вычисление 2 15 2 2 3 5" xfId="31189"/>
    <cellStyle name="Вычисление 2 15 2 2 4" xfId="6245"/>
    <cellStyle name="Вычисление 2 15 2 2 4 2" xfId="16620"/>
    <cellStyle name="Вычисление 2 15 2 2 4 3" xfId="32087"/>
    <cellStyle name="Вычисление 2 15 2 2 5" xfId="22133"/>
    <cellStyle name="Вычисление 2 15 2 2 5 2" xfId="37494"/>
    <cellStyle name="Вычисление 2 15 2 2 6" xfId="11569"/>
    <cellStyle name="Вычисление 2 15 2 2 7" xfId="27084"/>
    <cellStyle name="Вычисление 2 15 2 3" xfId="2258"/>
    <cellStyle name="Вычисление 2 15 2 3 2" xfId="7494"/>
    <cellStyle name="Вычисление 2 15 2 3 2 2" xfId="18396"/>
    <cellStyle name="Вычисление 2 15 2 3 2 3" xfId="33757"/>
    <cellStyle name="Вычисление 2 15 2 3 3" xfId="23382"/>
    <cellStyle name="Вычисление 2 15 2 3 3 2" xfId="38743"/>
    <cellStyle name="Вычисление 2 15 2 3 4" xfId="12833"/>
    <cellStyle name="Вычисление 2 15 2 3 5" xfId="28333"/>
    <cellStyle name="Вычисление 2 15 2 4" xfId="60"/>
    <cellStyle name="Вычисление 2 15 2 4 2" xfId="5587"/>
    <cellStyle name="Вычисление 2 15 2 4 2 2" xfId="17411"/>
    <cellStyle name="Вычисление 2 15 2 4 2 3" xfId="32878"/>
    <cellStyle name="Вычисление 2 15 2 4 3" xfId="16992"/>
    <cellStyle name="Вычисление 2 15 2 4 3 2" xfId="32459"/>
    <cellStyle name="Вычисление 2 15 2 4 4" xfId="10774"/>
    <cellStyle name="Вычисление 2 15 2 4 5" xfId="11196"/>
    <cellStyle name="Вычисление 2 15 2 5" xfId="3652"/>
    <cellStyle name="Вычисление 2 15 2 5 2" xfId="8839"/>
    <cellStyle name="Вычисление 2 15 2 5 2 2" xfId="19766"/>
    <cellStyle name="Вычисление 2 15 2 5 2 3" xfId="35127"/>
    <cellStyle name="Вычисление 2 15 2 5 3" xfId="24727"/>
    <cellStyle name="Вычисление 2 15 2 5 3 2" xfId="40088"/>
    <cellStyle name="Вычисление 2 15 2 5 4" xfId="14203"/>
    <cellStyle name="Вычисление 2 15 2 5 5" xfId="29678"/>
    <cellStyle name="Вычисление 2 15 2 6" xfId="4306"/>
    <cellStyle name="Вычисление 2 15 2 6 2" xfId="9493"/>
    <cellStyle name="Вычисление 2 15 2 6 2 2" xfId="20420"/>
    <cellStyle name="Вычисление 2 15 2 6 2 3" xfId="35781"/>
    <cellStyle name="Вычисление 2 15 2 6 3" xfId="25381"/>
    <cellStyle name="Вычисление 2 15 2 6 3 2" xfId="40742"/>
    <cellStyle name="Вычисление 2 15 2 6 4" xfId="14857"/>
    <cellStyle name="Вычисление 2 15 2 6 5" xfId="30332"/>
    <cellStyle name="Вычисление 2 15 2 7" xfId="4523"/>
    <cellStyle name="Вычисление 2 15 2 7 2" xfId="9710"/>
    <cellStyle name="Вычисление 2 15 2 7 2 2" xfId="20637"/>
    <cellStyle name="Вычисление 2 15 2 7 2 3" xfId="35998"/>
    <cellStyle name="Вычисление 2 15 2 7 3" xfId="25598"/>
    <cellStyle name="Вычисление 2 15 2 7 3 2" xfId="40959"/>
    <cellStyle name="Вычисление 2 15 2 7 4" xfId="15074"/>
    <cellStyle name="Вычисление 2 15 2 7 5" xfId="30549"/>
    <cellStyle name="Вычисление 2 15 2 8" xfId="6114"/>
    <cellStyle name="Вычисление 2 15 2 8 2" xfId="16753"/>
    <cellStyle name="Вычисление 2 15 2 8 3" xfId="32220"/>
    <cellStyle name="Вычисление 2 15 2 9" xfId="22002"/>
    <cellStyle name="Вычисление 2 15 2 9 2" xfId="37363"/>
    <cellStyle name="Вычисление 2 15 3" xfId="1538"/>
    <cellStyle name="Вычисление 2 15 3 2" xfId="2823"/>
    <cellStyle name="Вычисление 2 15 3 2 2" xfId="8041"/>
    <cellStyle name="Вычисление 2 15 3 2 2 2" xfId="18953"/>
    <cellStyle name="Вычисление 2 15 3 2 2 3" xfId="34314"/>
    <cellStyle name="Вычисление 2 15 3 2 3" xfId="23929"/>
    <cellStyle name="Вычисление 2 15 3 2 3 2" xfId="39290"/>
    <cellStyle name="Вычисление 2 15 3 2 4" xfId="13390"/>
    <cellStyle name="Вычисление 2 15 3 2 5" xfId="28880"/>
    <cellStyle name="Вычисление 2 15 3 3" xfId="5169"/>
    <cellStyle name="Вычисление 2 15 3 3 2" xfId="10352"/>
    <cellStyle name="Вычисление 2 15 3 3 2 2" xfId="21278"/>
    <cellStyle name="Вычисление 2 15 3 3 2 3" xfId="36639"/>
    <cellStyle name="Вычисление 2 15 3 3 3" xfId="26239"/>
    <cellStyle name="Вычисление 2 15 3 3 3 2" xfId="41600"/>
    <cellStyle name="Вычисление 2 15 3 3 4" xfId="15715"/>
    <cellStyle name="Вычисление 2 15 3 3 5" xfId="31190"/>
    <cellStyle name="Вычисление 2 15 3 4" xfId="6785"/>
    <cellStyle name="Вычисление 2 15 3 4 2" xfId="17680"/>
    <cellStyle name="Вычисление 2 15 3 4 3" xfId="33041"/>
    <cellStyle name="Вычисление 2 15 3 5" xfId="22673"/>
    <cellStyle name="Вычисление 2 15 3 5 2" xfId="38034"/>
    <cellStyle name="Вычисление 2 15 3 6" xfId="12116"/>
    <cellStyle name="Вычисление 2 15 3 7" xfId="27624"/>
    <cellStyle name="Вычисление 2 15 4" xfId="1042"/>
    <cellStyle name="Вычисление 2 15 4 2" xfId="6300"/>
    <cellStyle name="Вычисление 2 15 4 2 2" xfId="16564"/>
    <cellStyle name="Вычисление 2 15 4 2 3" xfId="32031"/>
    <cellStyle name="Вычисление 2 15 4 3" xfId="22188"/>
    <cellStyle name="Вычисление 2 15 4 3 2" xfId="37549"/>
    <cellStyle name="Вычисление 2 15 4 4" xfId="11625"/>
    <cellStyle name="Вычисление 2 15 4 5" xfId="27139"/>
    <cellStyle name="Вычисление 2 15 5" xfId="2981"/>
    <cellStyle name="Вычисление 2 15 5 2" xfId="8182"/>
    <cellStyle name="Вычисление 2 15 5 2 2" xfId="19102"/>
    <cellStyle name="Вычисление 2 15 5 2 3" xfId="34463"/>
    <cellStyle name="Вычисление 2 15 5 3" xfId="24070"/>
    <cellStyle name="Вычисление 2 15 5 3 2" xfId="39431"/>
    <cellStyle name="Вычисление 2 15 5 4" xfId="13539"/>
    <cellStyle name="Вычисление 2 15 5 5" xfId="29021"/>
    <cellStyle name="Вычисление 2 15 6" xfId="3858"/>
    <cellStyle name="Вычисление 2 15 6 2" xfId="9045"/>
    <cellStyle name="Вычисление 2 15 6 2 2" xfId="19972"/>
    <cellStyle name="Вычисление 2 15 6 2 3" xfId="35333"/>
    <cellStyle name="Вычисление 2 15 6 3" xfId="24933"/>
    <cellStyle name="Вычисление 2 15 6 3 2" xfId="40294"/>
    <cellStyle name="Вычисление 2 15 6 4" xfId="14409"/>
    <cellStyle name="Вычисление 2 15 6 5" xfId="29884"/>
    <cellStyle name="Вычисление 2 15 7" xfId="3723"/>
    <cellStyle name="Вычисление 2 15 7 2" xfId="8910"/>
    <cellStyle name="Вычисление 2 15 7 2 2" xfId="19837"/>
    <cellStyle name="Вычисление 2 15 7 2 3" xfId="35198"/>
    <cellStyle name="Вычисление 2 15 7 3" xfId="24798"/>
    <cellStyle name="Вычисление 2 15 7 3 2" xfId="40159"/>
    <cellStyle name="Вычисление 2 15 7 4" xfId="14274"/>
    <cellStyle name="Вычисление 2 15 7 5" xfId="29749"/>
    <cellStyle name="Вычисление 2 15 8" xfId="4763"/>
    <cellStyle name="Вычисление 2 15 8 2" xfId="9950"/>
    <cellStyle name="Вычисление 2 15 8 2 2" xfId="20877"/>
    <cellStyle name="Вычисление 2 15 8 2 3" xfId="36238"/>
    <cellStyle name="Вычисление 2 15 8 3" xfId="25838"/>
    <cellStyle name="Вычисление 2 15 8 3 2" xfId="41199"/>
    <cellStyle name="Вычисление 2 15 8 4" xfId="15314"/>
    <cellStyle name="Вычисление 2 15 8 5" xfId="30789"/>
    <cellStyle name="Вычисление 2 15 9" xfId="5731"/>
    <cellStyle name="Вычисление 2 15 9 2" xfId="17160"/>
    <cellStyle name="Вычисление 2 15 9 3" xfId="32627"/>
    <cellStyle name="Вычисление 2 16" xfId="341"/>
    <cellStyle name="Вычисление 2 16 10" xfId="18980"/>
    <cellStyle name="Вычисление 2 16 10 2" xfId="34341"/>
    <cellStyle name="Вычисление 2 16 11" xfId="11027"/>
    <cellStyle name="Вычисление 2 16 12" xfId="10871"/>
    <cellStyle name="Вычисление 2 16 2" xfId="851"/>
    <cellStyle name="Вычисление 2 16 2 10" xfId="11435"/>
    <cellStyle name="Вычисление 2 16 2 11" xfId="26952"/>
    <cellStyle name="Вычисление 2 16 2 2" xfId="1051"/>
    <cellStyle name="Вычисление 2 16 2 2 2" xfId="2466"/>
    <cellStyle name="Вычисление 2 16 2 2 2 2" xfId="7702"/>
    <cellStyle name="Вычисление 2 16 2 2 2 2 2" xfId="18604"/>
    <cellStyle name="Вычисление 2 16 2 2 2 2 3" xfId="33965"/>
    <cellStyle name="Вычисление 2 16 2 2 2 3" xfId="23590"/>
    <cellStyle name="Вычисление 2 16 2 2 2 3 2" xfId="38951"/>
    <cellStyle name="Вычисление 2 16 2 2 2 4" xfId="13041"/>
    <cellStyle name="Вычисление 2 16 2 2 2 5" xfId="28541"/>
    <cellStyle name="Вычисление 2 16 2 2 3" xfId="5170"/>
    <cellStyle name="Вычисление 2 16 2 2 3 2" xfId="10353"/>
    <cellStyle name="Вычисление 2 16 2 2 3 2 2" xfId="21279"/>
    <cellStyle name="Вычисление 2 16 2 2 3 2 3" xfId="36640"/>
    <cellStyle name="Вычисление 2 16 2 2 3 3" xfId="26240"/>
    <cellStyle name="Вычисление 2 16 2 2 3 3 2" xfId="41601"/>
    <cellStyle name="Вычисление 2 16 2 2 3 4" xfId="15716"/>
    <cellStyle name="Вычисление 2 16 2 2 3 5" xfId="31191"/>
    <cellStyle name="Вычисление 2 16 2 2 4" xfId="6308"/>
    <cellStyle name="Вычисление 2 16 2 2 4 2" xfId="16556"/>
    <cellStyle name="Вычисление 2 16 2 2 4 3" xfId="32023"/>
    <cellStyle name="Вычисление 2 16 2 2 5" xfId="22196"/>
    <cellStyle name="Вычисление 2 16 2 2 5 2" xfId="37557"/>
    <cellStyle name="Вычисление 2 16 2 2 6" xfId="11633"/>
    <cellStyle name="Вычисление 2 16 2 2 7" xfId="27147"/>
    <cellStyle name="Вычисление 2 16 2 3" xfId="2257"/>
    <cellStyle name="Вычисление 2 16 2 3 2" xfId="7493"/>
    <cellStyle name="Вычисление 2 16 2 3 2 2" xfId="18395"/>
    <cellStyle name="Вычисление 2 16 2 3 2 3" xfId="33756"/>
    <cellStyle name="Вычисление 2 16 2 3 3" xfId="23381"/>
    <cellStyle name="Вычисление 2 16 2 3 3 2" xfId="38742"/>
    <cellStyle name="Вычисление 2 16 2 3 4" xfId="12832"/>
    <cellStyle name="Вычисление 2 16 2 3 5" xfId="28332"/>
    <cellStyle name="Вычисление 2 16 2 4" xfId="1132"/>
    <cellStyle name="Вычисление 2 16 2 4 2" xfId="6387"/>
    <cellStyle name="Вычисление 2 16 2 4 2 2" xfId="16476"/>
    <cellStyle name="Вычисление 2 16 2 4 2 3" xfId="31943"/>
    <cellStyle name="Вычисление 2 16 2 4 3" xfId="22275"/>
    <cellStyle name="Вычисление 2 16 2 4 3 2" xfId="37636"/>
    <cellStyle name="Вычисление 2 16 2 4 4" xfId="11713"/>
    <cellStyle name="Вычисление 2 16 2 4 5" xfId="27226"/>
    <cellStyle name="Вычисление 2 16 2 5" xfId="3651"/>
    <cellStyle name="Вычисление 2 16 2 5 2" xfId="8838"/>
    <cellStyle name="Вычисление 2 16 2 5 2 2" xfId="19765"/>
    <cellStyle name="Вычисление 2 16 2 5 2 3" xfId="35126"/>
    <cellStyle name="Вычисление 2 16 2 5 3" xfId="24726"/>
    <cellStyle name="Вычисление 2 16 2 5 3 2" xfId="40087"/>
    <cellStyle name="Вычисление 2 16 2 5 4" xfId="14202"/>
    <cellStyle name="Вычисление 2 16 2 5 5" xfId="29677"/>
    <cellStyle name="Вычисление 2 16 2 6" xfId="4305"/>
    <cellStyle name="Вычисление 2 16 2 6 2" xfId="9492"/>
    <cellStyle name="Вычисление 2 16 2 6 2 2" xfId="20419"/>
    <cellStyle name="Вычисление 2 16 2 6 2 3" xfId="35780"/>
    <cellStyle name="Вычисление 2 16 2 6 3" xfId="25380"/>
    <cellStyle name="Вычисление 2 16 2 6 3 2" xfId="40741"/>
    <cellStyle name="Вычисление 2 16 2 6 4" xfId="14856"/>
    <cellStyle name="Вычисление 2 16 2 6 5" xfId="30331"/>
    <cellStyle name="Вычисление 2 16 2 7" xfId="4524"/>
    <cellStyle name="Вычисление 2 16 2 7 2" xfId="9711"/>
    <cellStyle name="Вычисление 2 16 2 7 2 2" xfId="20638"/>
    <cellStyle name="Вычисление 2 16 2 7 2 3" xfId="35999"/>
    <cellStyle name="Вычисление 2 16 2 7 3" xfId="25599"/>
    <cellStyle name="Вычисление 2 16 2 7 3 2" xfId="40960"/>
    <cellStyle name="Вычисление 2 16 2 7 4" xfId="15075"/>
    <cellStyle name="Вычисление 2 16 2 7 5" xfId="30550"/>
    <cellStyle name="Вычисление 2 16 2 8" xfId="6113"/>
    <cellStyle name="Вычисление 2 16 2 8 2" xfId="16754"/>
    <cellStyle name="Вычисление 2 16 2 8 3" xfId="32221"/>
    <cellStyle name="Вычисление 2 16 2 9" xfId="22001"/>
    <cellStyle name="Вычисление 2 16 2 9 2" xfId="37362"/>
    <cellStyle name="Вычисление 2 16 3" xfId="1773"/>
    <cellStyle name="Вычисление 2 16 3 2" xfId="2467"/>
    <cellStyle name="Вычисление 2 16 3 2 2" xfId="7703"/>
    <cellStyle name="Вычисление 2 16 3 2 2 2" xfId="18605"/>
    <cellStyle name="Вычисление 2 16 3 2 2 3" xfId="33966"/>
    <cellStyle name="Вычисление 2 16 3 2 3" xfId="23591"/>
    <cellStyle name="Вычисление 2 16 3 2 3 2" xfId="38952"/>
    <cellStyle name="Вычисление 2 16 3 2 4" xfId="13042"/>
    <cellStyle name="Вычисление 2 16 3 2 5" xfId="28542"/>
    <cellStyle name="Вычисление 2 16 3 3" xfId="5171"/>
    <cellStyle name="Вычисление 2 16 3 3 2" xfId="10354"/>
    <cellStyle name="Вычисление 2 16 3 3 2 2" xfId="21280"/>
    <cellStyle name="Вычисление 2 16 3 3 2 3" xfId="36641"/>
    <cellStyle name="Вычисление 2 16 3 3 3" xfId="26241"/>
    <cellStyle name="Вычисление 2 16 3 3 3 2" xfId="41602"/>
    <cellStyle name="Вычисление 2 16 3 3 4" xfId="15717"/>
    <cellStyle name="Вычисление 2 16 3 3 5" xfId="31192"/>
    <cellStyle name="Вычисление 2 16 3 4" xfId="7012"/>
    <cellStyle name="Вычисление 2 16 3 4 2" xfId="17914"/>
    <cellStyle name="Вычисление 2 16 3 4 3" xfId="33275"/>
    <cellStyle name="Вычисление 2 16 3 5" xfId="22900"/>
    <cellStyle name="Вычисление 2 16 3 5 2" xfId="38261"/>
    <cellStyle name="Вычисление 2 16 3 6" xfId="12351"/>
    <cellStyle name="Вычисление 2 16 3 7" xfId="27851"/>
    <cellStyle name="Вычисление 2 16 4" xfId="1317"/>
    <cellStyle name="Вычисление 2 16 4 2" xfId="6570"/>
    <cellStyle name="Вычисление 2 16 4 2 2" xfId="16291"/>
    <cellStyle name="Вычисление 2 16 4 2 3" xfId="31758"/>
    <cellStyle name="Вычисление 2 16 4 3" xfId="22458"/>
    <cellStyle name="Вычисление 2 16 4 3 2" xfId="37819"/>
    <cellStyle name="Вычисление 2 16 4 4" xfId="11898"/>
    <cellStyle name="Вычисление 2 16 4 5" xfId="27409"/>
    <cellStyle name="Вычисление 2 16 5" xfId="2980"/>
    <cellStyle name="Вычисление 2 16 5 2" xfId="8181"/>
    <cellStyle name="Вычисление 2 16 5 2 2" xfId="19101"/>
    <cellStyle name="Вычисление 2 16 5 2 3" xfId="34462"/>
    <cellStyle name="Вычисление 2 16 5 3" xfId="24069"/>
    <cellStyle name="Вычисление 2 16 5 3 2" xfId="39430"/>
    <cellStyle name="Вычисление 2 16 5 4" xfId="13538"/>
    <cellStyle name="Вычисление 2 16 5 5" xfId="29020"/>
    <cellStyle name="Вычисление 2 16 6" xfId="3525"/>
    <cellStyle name="Вычисление 2 16 6 2" xfId="8712"/>
    <cellStyle name="Вычисление 2 16 6 2 2" xfId="19639"/>
    <cellStyle name="Вычисление 2 16 6 2 3" xfId="35000"/>
    <cellStyle name="Вычисление 2 16 6 3" xfId="24600"/>
    <cellStyle name="Вычисление 2 16 6 3 2" xfId="39961"/>
    <cellStyle name="Вычисление 2 16 6 4" xfId="14076"/>
    <cellStyle name="Вычисление 2 16 6 5" xfId="29551"/>
    <cellStyle name="Вычисление 2 16 7" xfId="3280"/>
    <cellStyle name="Вычисление 2 16 7 2" xfId="8474"/>
    <cellStyle name="Вычисление 2 16 7 2 2" xfId="19401"/>
    <cellStyle name="Вычисление 2 16 7 2 3" xfId="34762"/>
    <cellStyle name="Вычисление 2 16 7 3" xfId="24362"/>
    <cellStyle name="Вычисление 2 16 7 3 2" xfId="39723"/>
    <cellStyle name="Вычисление 2 16 7 4" xfId="13838"/>
    <cellStyle name="Вычисление 2 16 7 5" xfId="29313"/>
    <cellStyle name="Вычисление 2 16 8" xfId="4762"/>
    <cellStyle name="Вычисление 2 16 8 2" xfId="9949"/>
    <cellStyle name="Вычисление 2 16 8 2 2" xfId="20876"/>
    <cellStyle name="Вычисление 2 16 8 2 3" xfId="36237"/>
    <cellStyle name="Вычисление 2 16 8 3" xfId="25837"/>
    <cellStyle name="Вычисление 2 16 8 3 2" xfId="41198"/>
    <cellStyle name="Вычисление 2 16 8 4" xfId="15313"/>
    <cellStyle name="Вычисление 2 16 8 5" xfId="30788"/>
    <cellStyle name="Вычисление 2 16 9" xfId="5732"/>
    <cellStyle name="Вычисление 2 16 9 2" xfId="17159"/>
    <cellStyle name="Вычисление 2 16 9 3" xfId="32626"/>
    <cellStyle name="Вычисление 2 17" xfId="342"/>
    <cellStyle name="Вычисление 2 17 10" xfId="17884"/>
    <cellStyle name="Вычисление 2 17 10 2" xfId="33245"/>
    <cellStyle name="Вычисление 2 17 11" xfId="11028"/>
    <cellStyle name="Вычисление 2 17 12" xfId="10870"/>
    <cellStyle name="Вычисление 2 17 2" xfId="850"/>
    <cellStyle name="Вычисление 2 17 2 10" xfId="11434"/>
    <cellStyle name="Вычисление 2 17 2 11" xfId="26951"/>
    <cellStyle name="Вычисление 2 17 2 2" xfId="1754"/>
    <cellStyle name="Вычисление 2 17 2 2 2" xfId="1008"/>
    <cellStyle name="Вычисление 2 17 2 2 2 2" xfId="6267"/>
    <cellStyle name="Вычисление 2 17 2 2 2 2 2" xfId="16598"/>
    <cellStyle name="Вычисление 2 17 2 2 2 2 3" xfId="32065"/>
    <cellStyle name="Вычисление 2 17 2 2 2 3" xfId="22155"/>
    <cellStyle name="Вычисление 2 17 2 2 2 3 2" xfId="37516"/>
    <cellStyle name="Вычисление 2 17 2 2 2 4" xfId="11591"/>
    <cellStyle name="Вычисление 2 17 2 2 2 5" xfId="27106"/>
    <cellStyle name="Вычисление 2 17 2 2 3" xfId="5172"/>
    <cellStyle name="Вычисление 2 17 2 2 3 2" xfId="10355"/>
    <cellStyle name="Вычисление 2 17 2 2 3 2 2" xfId="21281"/>
    <cellStyle name="Вычисление 2 17 2 2 3 2 3" xfId="36642"/>
    <cellStyle name="Вычисление 2 17 2 2 3 3" xfId="26242"/>
    <cellStyle name="Вычисление 2 17 2 2 3 3 2" xfId="41603"/>
    <cellStyle name="Вычисление 2 17 2 2 3 4" xfId="15718"/>
    <cellStyle name="Вычисление 2 17 2 2 3 5" xfId="31193"/>
    <cellStyle name="Вычисление 2 17 2 2 4" xfId="6993"/>
    <cellStyle name="Вычисление 2 17 2 2 4 2" xfId="17895"/>
    <cellStyle name="Вычисление 2 17 2 2 4 3" xfId="33256"/>
    <cellStyle name="Вычисление 2 17 2 2 5" xfId="22881"/>
    <cellStyle name="Вычисление 2 17 2 2 5 2" xfId="38242"/>
    <cellStyle name="Вычисление 2 17 2 2 6" xfId="12332"/>
    <cellStyle name="Вычисление 2 17 2 2 7" xfId="27832"/>
    <cellStyle name="Вычисление 2 17 2 3" xfId="2256"/>
    <cellStyle name="Вычисление 2 17 2 3 2" xfId="7492"/>
    <cellStyle name="Вычисление 2 17 2 3 2 2" xfId="18394"/>
    <cellStyle name="Вычисление 2 17 2 3 2 3" xfId="33755"/>
    <cellStyle name="Вычисление 2 17 2 3 3" xfId="23380"/>
    <cellStyle name="Вычисление 2 17 2 3 3 2" xfId="38741"/>
    <cellStyle name="Вычисление 2 17 2 3 4" xfId="12831"/>
    <cellStyle name="Вычисление 2 17 2 3 5" xfId="28331"/>
    <cellStyle name="Вычисление 2 17 2 4" xfId="1432"/>
    <cellStyle name="Вычисление 2 17 2 4 2" xfId="6680"/>
    <cellStyle name="Вычисление 2 17 2 4 2 2" xfId="16178"/>
    <cellStyle name="Вычисление 2 17 2 4 2 3" xfId="31645"/>
    <cellStyle name="Вычисление 2 17 2 4 3" xfId="22568"/>
    <cellStyle name="Вычисление 2 17 2 4 3 2" xfId="37929"/>
    <cellStyle name="Вычисление 2 17 2 4 4" xfId="12011"/>
    <cellStyle name="Вычисление 2 17 2 4 5" xfId="27519"/>
    <cellStyle name="Вычисление 2 17 2 5" xfId="3772"/>
    <cellStyle name="Вычисление 2 17 2 5 2" xfId="8959"/>
    <cellStyle name="Вычисление 2 17 2 5 2 2" xfId="19886"/>
    <cellStyle name="Вычисление 2 17 2 5 2 3" xfId="35247"/>
    <cellStyle name="Вычисление 2 17 2 5 3" xfId="24847"/>
    <cellStyle name="Вычисление 2 17 2 5 3 2" xfId="40208"/>
    <cellStyle name="Вычисление 2 17 2 5 4" xfId="14323"/>
    <cellStyle name="Вычисление 2 17 2 5 5" xfId="29798"/>
    <cellStyle name="Вычисление 2 17 2 6" xfId="4304"/>
    <cellStyle name="Вычисление 2 17 2 6 2" xfId="9491"/>
    <cellStyle name="Вычисление 2 17 2 6 2 2" xfId="20418"/>
    <cellStyle name="Вычисление 2 17 2 6 2 3" xfId="35779"/>
    <cellStyle name="Вычисление 2 17 2 6 3" xfId="25379"/>
    <cellStyle name="Вычисление 2 17 2 6 3 2" xfId="40740"/>
    <cellStyle name="Вычисление 2 17 2 6 4" xfId="14855"/>
    <cellStyle name="Вычисление 2 17 2 6 5" xfId="30330"/>
    <cellStyle name="Вычисление 2 17 2 7" xfId="4525"/>
    <cellStyle name="Вычисление 2 17 2 7 2" xfId="9712"/>
    <cellStyle name="Вычисление 2 17 2 7 2 2" xfId="20639"/>
    <cellStyle name="Вычисление 2 17 2 7 2 3" xfId="36000"/>
    <cellStyle name="Вычисление 2 17 2 7 3" xfId="25600"/>
    <cellStyle name="Вычисление 2 17 2 7 3 2" xfId="40961"/>
    <cellStyle name="Вычисление 2 17 2 7 4" xfId="15076"/>
    <cellStyle name="Вычисление 2 17 2 7 5" xfId="30551"/>
    <cellStyle name="Вычисление 2 17 2 8" xfId="6112"/>
    <cellStyle name="Вычисление 2 17 2 8 2" xfId="16755"/>
    <cellStyle name="Вычисление 2 17 2 8 3" xfId="32222"/>
    <cellStyle name="Вычисление 2 17 2 9" xfId="22000"/>
    <cellStyle name="Вычисление 2 17 2 9 2" xfId="37361"/>
    <cellStyle name="Вычисление 2 17 3" xfId="1437"/>
    <cellStyle name="Вычисление 2 17 3 2" xfId="2469"/>
    <cellStyle name="Вычисление 2 17 3 2 2" xfId="7705"/>
    <cellStyle name="Вычисление 2 17 3 2 2 2" xfId="18607"/>
    <cellStyle name="Вычисление 2 17 3 2 2 3" xfId="33968"/>
    <cellStyle name="Вычисление 2 17 3 2 3" xfId="23593"/>
    <cellStyle name="Вычисление 2 17 3 2 3 2" xfId="38954"/>
    <cellStyle name="Вычисление 2 17 3 2 4" xfId="13044"/>
    <cellStyle name="Вычисление 2 17 3 2 5" xfId="28544"/>
    <cellStyle name="Вычисление 2 17 3 3" xfId="5173"/>
    <cellStyle name="Вычисление 2 17 3 3 2" xfId="10356"/>
    <cellStyle name="Вычисление 2 17 3 3 2 2" xfId="21282"/>
    <cellStyle name="Вычисление 2 17 3 3 2 3" xfId="36643"/>
    <cellStyle name="Вычисление 2 17 3 3 3" xfId="26243"/>
    <cellStyle name="Вычисление 2 17 3 3 3 2" xfId="41604"/>
    <cellStyle name="Вычисление 2 17 3 3 4" xfId="15719"/>
    <cellStyle name="Вычисление 2 17 3 3 5" xfId="31194"/>
    <cellStyle name="Вычисление 2 17 3 4" xfId="6685"/>
    <cellStyle name="Вычисление 2 17 3 4 2" xfId="16173"/>
    <cellStyle name="Вычисление 2 17 3 4 3" xfId="31640"/>
    <cellStyle name="Вычисление 2 17 3 5" xfId="22573"/>
    <cellStyle name="Вычисление 2 17 3 5 2" xfId="37934"/>
    <cellStyle name="Вычисление 2 17 3 6" xfId="12016"/>
    <cellStyle name="Вычисление 2 17 3 7" xfId="27524"/>
    <cellStyle name="Вычисление 2 17 4" xfId="1121"/>
    <cellStyle name="Вычисление 2 17 4 2" xfId="6376"/>
    <cellStyle name="Вычисление 2 17 4 2 2" xfId="16487"/>
    <cellStyle name="Вычисление 2 17 4 2 3" xfId="31954"/>
    <cellStyle name="Вычисление 2 17 4 3" xfId="22264"/>
    <cellStyle name="Вычисление 2 17 4 3 2" xfId="37625"/>
    <cellStyle name="Вычисление 2 17 4 4" xfId="11702"/>
    <cellStyle name="Вычисление 2 17 4 5" xfId="27215"/>
    <cellStyle name="Вычисление 2 17 5" xfId="2979"/>
    <cellStyle name="Вычисление 2 17 5 2" xfId="8180"/>
    <cellStyle name="Вычисление 2 17 5 2 2" xfId="19100"/>
    <cellStyle name="Вычисление 2 17 5 2 3" xfId="34461"/>
    <cellStyle name="Вычисление 2 17 5 3" xfId="24068"/>
    <cellStyle name="Вычисление 2 17 5 3 2" xfId="39429"/>
    <cellStyle name="Вычисление 2 17 5 4" xfId="13537"/>
    <cellStyle name="Вычисление 2 17 5 5" xfId="29019"/>
    <cellStyle name="Вычисление 2 17 6" xfId="3857"/>
    <cellStyle name="Вычисление 2 17 6 2" xfId="9044"/>
    <cellStyle name="Вычисление 2 17 6 2 2" xfId="19971"/>
    <cellStyle name="Вычисление 2 17 6 2 3" xfId="35332"/>
    <cellStyle name="Вычисление 2 17 6 3" xfId="24932"/>
    <cellStyle name="Вычисление 2 17 6 3 2" xfId="40293"/>
    <cellStyle name="Вычисление 2 17 6 4" xfId="14408"/>
    <cellStyle name="Вычисление 2 17 6 5" xfId="29883"/>
    <cellStyle name="Вычисление 2 17 7" xfId="3330"/>
    <cellStyle name="Вычисление 2 17 7 2" xfId="8524"/>
    <cellStyle name="Вычисление 2 17 7 2 2" xfId="19451"/>
    <cellStyle name="Вычисление 2 17 7 2 3" xfId="34812"/>
    <cellStyle name="Вычисление 2 17 7 3" xfId="24412"/>
    <cellStyle name="Вычисление 2 17 7 3 2" xfId="39773"/>
    <cellStyle name="Вычисление 2 17 7 4" xfId="13888"/>
    <cellStyle name="Вычисление 2 17 7 5" xfId="29363"/>
    <cellStyle name="Вычисление 2 17 8" xfId="4761"/>
    <cellStyle name="Вычисление 2 17 8 2" xfId="9948"/>
    <cellStyle name="Вычисление 2 17 8 2 2" xfId="20875"/>
    <cellStyle name="Вычисление 2 17 8 2 3" xfId="36236"/>
    <cellStyle name="Вычисление 2 17 8 3" xfId="25836"/>
    <cellStyle name="Вычисление 2 17 8 3 2" xfId="41197"/>
    <cellStyle name="Вычисление 2 17 8 4" xfId="15312"/>
    <cellStyle name="Вычисление 2 17 8 5" xfId="30787"/>
    <cellStyle name="Вычисление 2 17 9" xfId="5733"/>
    <cellStyle name="Вычисление 2 17 9 2" xfId="17158"/>
    <cellStyle name="Вычисление 2 17 9 3" xfId="32625"/>
    <cellStyle name="Вычисление 2 18" xfId="343"/>
    <cellStyle name="Вычисление 2 18 10" xfId="17316"/>
    <cellStyle name="Вычисление 2 18 10 2" xfId="32783"/>
    <cellStyle name="Вычисление 2 18 11" xfId="11029"/>
    <cellStyle name="Вычисление 2 18 12" xfId="13417"/>
    <cellStyle name="Вычисление 2 18 2" xfId="849"/>
    <cellStyle name="Вычисление 2 18 2 10" xfId="11433"/>
    <cellStyle name="Вычисление 2 18 2 11" xfId="26950"/>
    <cellStyle name="Вычисление 2 18 2 2" xfId="1629"/>
    <cellStyle name="Вычисление 2 18 2 2 2" xfId="1860"/>
    <cellStyle name="Вычисление 2 18 2 2 2 2" xfId="7099"/>
    <cellStyle name="Вычисление 2 18 2 2 2 2 2" xfId="18001"/>
    <cellStyle name="Вычисление 2 18 2 2 2 2 3" xfId="33362"/>
    <cellStyle name="Вычисление 2 18 2 2 2 3" xfId="22987"/>
    <cellStyle name="Вычисление 2 18 2 2 2 3 2" xfId="38348"/>
    <cellStyle name="Вычисление 2 18 2 2 2 4" xfId="12438"/>
    <cellStyle name="Вычисление 2 18 2 2 2 5" xfId="27938"/>
    <cellStyle name="Вычисление 2 18 2 2 3" xfId="5174"/>
    <cellStyle name="Вычисление 2 18 2 2 3 2" xfId="10357"/>
    <cellStyle name="Вычисление 2 18 2 2 3 2 2" xfId="21283"/>
    <cellStyle name="Вычисление 2 18 2 2 3 2 3" xfId="36644"/>
    <cellStyle name="Вычисление 2 18 2 2 3 3" xfId="26244"/>
    <cellStyle name="Вычисление 2 18 2 2 3 3 2" xfId="41605"/>
    <cellStyle name="Вычисление 2 18 2 2 3 4" xfId="15720"/>
    <cellStyle name="Вычисление 2 18 2 2 3 5" xfId="31195"/>
    <cellStyle name="Вычисление 2 18 2 2 4" xfId="6875"/>
    <cellStyle name="Вычисление 2 18 2 2 4 2" xfId="17771"/>
    <cellStyle name="Вычисление 2 18 2 2 4 3" xfId="33132"/>
    <cellStyle name="Вычисление 2 18 2 2 5" xfId="22763"/>
    <cellStyle name="Вычисление 2 18 2 2 5 2" xfId="38124"/>
    <cellStyle name="Вычисление 2 18 2 2 6" xfId="12207"/>
    <cellStyle name="Вычисление 2 18 2 2 7" xfId="27714"/>
    <cellStyle name="Вычисление 2 18 2 3" xfId="2255"/>
    <cellStyle name="Вычисление 2 18 2 3 2" xfId="7491"/>
    <cellStyle name="Вычисление 2 18 2 3 2 2" xfId="18393"/>
    <cellStyle name="Вычисление 2 18 2 3 2 3" xfId="33754"/>
    <cellStyle name="Вычисление 2 18 2 3 3" xfId="23379"/>
    <cellStyle name="Вычисление 2 18 2 3 3 2" xfId="38740"/>
    <cellStyle name="Вычисление 2 18 2 3 4" xfId="12830"/>
    <cellStyle name="Вычисление 2 18 2 3 5" xfId="28330"/>
    <cellStyle name="Вычисление 2 18 2 4" xfId="2812"/>
    <cellStyle name="Вычисление 2 18 2 4 2" xfId="8030"/>
    <cellStyle name="Вычисление 2 18 2 4 2 2" xfId="18942"/>
    <cellStyle name="Вычисление 2 18 2 4 2 3" xfId="34303"/>
    <cellStyle name="Вычисление 2 18 2 4 3" xfId="23918"/>
    <cellStyle name="Вычисление 2 18 2 4 3 2" xfId="39279"/>
    <cellStyle name="Вычисление 2 18 2 4 4" xfId="13379"/>
    <cellStyle name="Вычисление 2 18 2 4 5" xfId="28869"/>
    <cellStyle name="Вычисление 2 18 2 5" xfId="3650"/>
    <cellStyle name="Вычисление 2 18 2 5 2" xfId="8837"/>
    <cellStyle name="Вычисление 2 18 2 5 2 2" xfId="19764"/>
    <cellStyle name="Вычисление 2 18 2 5 2 3" xfId="35125"/>
    <cellStyle name="Вычисление 2 18 2 5 3" xfId="24725"/>
    <cellStyle name="Вычисление 2 18 2 5 3 2" xfId="40086"/>
    <cellStyle name="Вычисление 2 18 2 5 4" xfId="14201"/>
    <cellStyle name="Вычисление 2 18 2 5 5" xfId="29676"/>
    <cellStyle name="Вычисление 2 18 2 6" xfId="4303"/>
    <cellStyle name="Вычисление 2 18 2 6 2" xfId="9490"/>
    <cellStyle name="Вычисление 2 18 2 6 2 2" xfId="20417"/>
    <cellStyle name="Вычисление 2 18 2 6 2 3" xfId="35778"/>
    <cellStyle name="Вычисление 2 18 2 6 3" xfId="25378"/>
    <cellStyle name="Вычисление 2 18 2 6 3 2" xfId="40739"/>
    <cellStyle name="Вычисление 2 18 2 6 4" xfId="14854"/>
    <cellStyle name="Вычисление 2 18 2 6 5" xfId="30329"/>
    <cellStyle name="Вычисление 2 18 2 7" xfId="4526"/>
    <cellStyle name="Вычисление 2 18 2 7 2" xfId="9713"/>
    <cellStyle name="Вычисление 2 18 2 7 2 2" xfId="20640"/>
    <cellStyle name="Вычисление 2 18 2 7 2 3" xfId="36001"/>
    <cellStyle name="Вычисление 2 18 2 7 3" xfId="25601"/>
    <cellStyle name="Вычисление 2 18 2 7 3 2" xfId="40962"/>
    <cellStyle name="Вычисление 2 18 2 7 4" xfId="15077"/>
    <cellStyle name="Вычисление 2 18 2 7 5" xfId="30552"/>
    <cellStyle name="Вычисление 2 18 2 8" xfId="6111"/>
    <cellStyle name="Вычисление 2 18 2 8 2" xfId="16756"/>
    <cellStyle name="Вычисление 2 18 2 8 3" xfId="32223"/>
    <cellStyle name="Вычисление 2 18 2 9" xfId="21999"/>
    <cellStyle name="Вычисление 2 18 2 9 2" xfId="37360"/>
    <cellStyle name="Вычисление 2 18 3" xfId="1509"/>
    <cellStyle name="Вычисление 2 18 3 2" xfId="2471"/>
    <cellStyle name="Вычисление 2 18 3 2 2" xfId="7707"/>
    <cellStyle name="Вычисление 2 18 3 2 2 2" xfId="18609"/>
    <cellStyle name="Вычисление 2 18 3 2 2 3" xfId="33970"/>
    <cellStyle name="Вычисление 2 18 3 2 3" xfId="23595"/>
    <cellStyle name="Вычисление 2 18 3 2 3 2" xfId="38956"/>
    <cellStyle name="Вычисление 2 18 3 2 4" xfId="13046"/>
    <cellStyle name="Вычисление 2 18 3 2 5" xfId="28546"/>
    <cellStyle name="Вычисление 2 18 3 3" xfId="5175"/>
    <cellStyle name="Вычисление 2 18 3 3 2" xfId="10358"/>
    <cellStyle name="Вычисление 2 18 3 3 2 2" xfId="21284"/>
    <cellStyle name="Вычисление 2 18 3 3 2 3" xfId="36645"/>
    <cellStyle name="Вычисление 2 18 3 3 3" xfId="26245"/>
    <cellStyle name="Вычисление 2 18 3 3 3 2" xfId="41606"/>
    <cellStyle name="Вычисление 2 18 3 3 4" xfId="15721"/>
    <cellStyle name="Вычисление 2 18 3 3 5" xfId="31196"/>
    <cellStyle name="Вычисление 2 18 3 4" xfId="6756"/>
    <cellStyle name="Вычисление 2 18 3 4 2" xfId="17651"/>
    <cellStyle name="Вычисление 2 18 3 4 3" xfId="33012"/>
    <cellStyle name="Вычисление 2 18 3 5" xfId="22644"/>
    <cellStyle name="Вычисление 2 18 3 5 2" xfId="38005"/>
    <cellStyle name="Вычисление 2 18 3 6" xfId="12087"/>
    <cellStyle name="Вычисление 2 18 3 7" xfId="27595"/>
    <cellStyle name="Вычисление 2 18 4" xfId="1430"/>
    <cellStyle name="Вычисление 2 18 4 2" xfId="6678"/>
    <cellStyle name="Вычисление 2 18 4 2 2" xfId="16180"/>
    <cellStyle name="Вычисление 2 18 4 2 3" xfId="31647"/>
    <cellStyle name="Вычисление 2 18 4 3" xfId="22566"/>
    <cellStyle name="Вычисление 2 18 4 3 2" xfId="37927"/>
    <cellStyle name="Вычисление 2 18 4 4" xfId="12009"/>
    <cellStyle name="Вычисление 2 18 4 5" xfId="27517"/>
    <cellStyle name="Вычисление 2 18 5" xfId="2978"/>
    <cellStyle name="Вычисление 2 18 5 2" xfId="8179"/>
    <cellStyle name="Вычисление 2 18 5 2 2" xfId="19099"/>
    <cellStyle name="Вычисление 2 18 5 2 3" xfId="34460"/>
    <cellStyle name="Вычисление 2 18 5 3" xfId="24067"/>
    <cellStyle name="Вычисление 2 18 5 3 2" xfId="39428"/>
    <cellStyle name="Вычисление 2 18 5 4" xfId="13536"/>
    <cellStyle name="Вычисление 2 18 5 5" xfId="29018"/>
    <cellStyle name="Вычисление 2 18 6" xfId="3526"/>
    <cellStyle name="Вычисление 2 18 6 2" xfId="8713"/>
    <cellStyle name="Вычисление 2 18 6 2 2" xfId="19640"/>
    <cellStyle name="Вычисление 2 18 6 2 3" xfId="35001"/>
    <cellStyle name="Вычисление 2 18 6 3" xfId="24601"/>
    <cellStyle name="Вычисление 2 18 6 3 2" xfId="39962"/>
    <cellStyle name="Вычисление 2 18 6 4" xfId="14077"/>
    <cellStyle name="Вычисление 2 18 6 5" xfId="29552"/>
    <cellStyle name="Вычисление 2 18 7" xfId="3908"/>
    <cellStyle name="Вычисление 2 18 7 2" xfId="9095"/>
    <cellStyle name="Вычисление 2 18 7 2 2" xfId="20022"/>
    <cellStyle name="Вычисление 2 18 7 2 3" xfId="35383"/>
    <cellStyle name="Вычисление 2 18 7 3" xfId="24983"/>
    <cellStyle name="Вычисление 2 18 7 3 2" xfId="40344"/>
    <cellStyle name="Вычисление 2 18 7 4" xfId="14459"/>
    <cellStyle name="Вычисление 2 18 7 5" xfId="29934"/>
    <cellStyle name="Вычисление 2 18 8" xfId="4760"/>
    <cellStyle name="Вычисление 2 18 8 2" xfId="9947"/>
    <cellStyle name="Вычисление 2 18 8 2 2" xfId="20874"/>
    <cellStyle name="Вычисление 2 18 8 2 3" xfId="36235"/>
    <cellStyle name="Вычисление 2 18 8 3" xfId="25835"/>
    <cellStyle name="Вычисление 2 18 8 3 2" xfId="41196"/>
    <cellStyle name="Вычисление 2 18 8 4" xfId="15311"/>
    <cellStyle name="Вычисление 2 18 8 5" xfId="30786"/>
    <cellStyle name="Вычисление 2 18 9" xfId="5734"/>
    <cellStyle name="Вычисление 2 18 9 2" xfId="17157"/>
    <cellStyle name="Вычисление 2 18 9 3" xfId="32624"/>
    <cellStyle name="Вычисление 2 19" xfId="344"/>
    <cellStyle name="Вычисление 2 19 10" xfId="17317"/>
    <cellStyle name="Вычисление 2 19 10 2" xfId="32784"/>
    <cellStyle name="Вычисление 2 19 11" xfId="11030"/>
    <cellStyle name="Вычисление 2 19 12" xfId="12321"/>
    <cellStyle name="Вычисление 2 19 2" xfId="848"/>
    <cellStyle name="Вычисление 2 19 2 10" xfId="11432"/>
    <cellStyle name="Вычисление 2 19 2 11" xfId="26949"/>
    <cellStyle name="Вычисление 2 19 2 2" xfId="1485"/>
    <cellStyle name="Вычисление 2 19 2 2 2" xfId="1861"/>
    <cellStyle name="Вычисление 2 19 2 2 2 2" xfId="7100"/>
    <cellStyle name="Вычисление 2 19 2 2 2 2 2" xfId="18002"/>
    <cellStyle name="Вычисление 2 19 2 2 2 2 3" xfId="33363"/>
    <cellStyle name="Вычисление 2 19 2 2 2 3" xfId="22988"/>
    <cellStyle name="Вычисление 2 19 2 2 2 3 2" xfId="38349"/>
    <cellStyle name="Вычисление 2 19 2 2 2 4" xfId="12439"/>
    <cellStyle name="Вычисление 2 19 2 2 2 5" xfId="27939"/>
    <cellStyle name="Вычисление 2 19 2 2 3" xfId="5176"/>
    <cellStyle name="Вычисление 2 19 2 2 3 2" xfId="10359"/>
    <cellStyle name="Вычисление 2 19 2 2 3 2 2" xfId="21285"/>
    <cellStyle name="Вычисление 2 19 2 2 3 2 3" xfId="36646"/>
    <cellStyle name="Вычисление 2 19 2 2 3 3" xfId="26246"/>
    <cellStyle name="Вычисление 2 19 2 2 3 3 2" xfId="41607"/>
    <cellStyle name="Вычисление 2 19 2 2 3 4" xfId="15722"/>
    <cellStyle name="Вычисление 2 19 2 2 3 5" xfId="31197"/>
    <cellStyle name="Вычисление 2 19 2 2 4" xfId="6732"/>
    <cellStyle name="Вычисление 2 19 2 2 4 2" xfId="16126"/>
    <cellStyle name="Вычисление 2 19 2 2 4 3" xfId="31593"/>
    <cellStyle name="Вычисление 2 19 2 2 5" xfId="22620"/>
    <cellStyle name="Вычисление 2 19 2 2 5 2" xfId="37981"/>
    <cellStyle name="Вычисление 2 19 2 2 6" xfId="12063"/>
    <cellStyle name="Вычисление 2 19 2 2 7" xfId="27571"/>
    <cellStyle name="Вычисление 2 19 2 3" xfId="2254"/>
    <cellStyle name="Вычисление 2 19 2 3 2" xfId="7490"/>
    <cellStyle name="Вычисление 2 19 2 3 2 2" xfId="18392"/>
    <cellStyle name="Вычисление 2 19 2 3 2 3" xfId="33753"/>
    <cellStyle name="Вычисление 2 19 2 3 3" xfId="23378"/>
    <cellStyle name="Вычисление 2 19 2 3 3 2" xfId="38739"/>
    <cellStyle name="Вычисление 2 19 2 3 4" xfId="12829"/>
    <cellStyle name="Вычисление 2 19 2 3 5" xfId="28329"/>
    <cellStyle name="Вычисление 2 19 2 4" xfId="1680"/>
    <cellStyle name="Вычисление 2 19 2 4 2" xfId="6924"/>
    <cellStyle name="Вычисление 2 19 2 4 2 2" xfId="17822"/>
    <cellStyle name="Вычисление 2 19 2 4 2 3" xfId="33183"/>
    <cellStyle name="Вычисление 2 19 2 4 3" xfId="22812"/>
    <cellStyle name="Вычисление 2 19 2 4 3 2" xfId="38173"/>
    <cellStyle name="Вычисление 2 19 2 4 4" xfId="12258"/>
    <cellStyle name="Вычисление 2 19 2 4 5" xfId="27763"/>
    <cellStyle name="Вычисление 2 19 2 5" xfId="3773"/>
    <cellStyle name="Вычисление 2 19 2 5 2" xfId="8960"/>
    <cellStyle name="Вычисление 2 19 2 5 2 2" xfId="19887"/>
    <cellStyle name="Вычисление 2 19 2 5 2 3" xfId="35248"/>
    <cellStyle name="Вычисление 2 19 2 5 3" xfId="24848"/>
    <cellStyle name="Вычисление 2 19 2 5 3 2" xfId="40209"/>
    <cellStyle name="Вычисление 2 19 2 5 4" xfId="14324"/>
    <cellStyle name="Вычисление 2 19 2 5 5" xfId="29799"/>
    <cellStyle name="Вычисление 2 19 2 6" xfId="4302"/>
    <cellStyle name="Вычисление 2 19 2 6 2" xfId="9489"/>
    <cellStyle name="Вычисление 2 19 2 6 2 2" xfId="20416"/>
    <cellStyle name="Вычисление 2 19 2 6 2 3" xfId="35777"/>
    <cellStyle name="Вычисление 2 19 2 6 3" xfId="25377"/>
    <cellStyle name="Вычисление 2 19 2 6 3 2" xfId="40738"/>
    <cellStyle name="Вычисление 2 19 2 6 4" xfId="14853"/>
    <cellStyle name="Вычисление 2 19 2 6 5" xfId="30328"/>
    <cellStyle name="Вычисление 2 19 2 7" xfId="4527"/>
    <cellStyle name="Вычисление 2 19 2 7 2" xfId="9714"/>
    <cellStyle name="Вычисление 2 19 2 7 2 2" xfId="20641"/>
    <cellStyle name="Вычисление 2 19 2 7 2 3" xfId="36002"/>
    <cellStyle name="Вычисление 2 19 2 7 3" xfId="25602"/>
    <cellStyle name="Вычисление 2 19 2 7 3 2" xfId="40963"/>
    <cellStyle name="Вычисление 2 19 2 7 4" xfId="15078"/>
    <cellStyle name="Вычисление 2 19 2 7 5" xfId="30553"/>
    <cellStyle name="Вычисление 2 19 2 8" xfId="6110"/>
    <cellStyle name="Вычисление 2 19 2 8 2" xfId="16757"/>
    <cellStyle name="Вычисление 2 19 2 8 3" xfId="32224"/>
    <cellStyle name="Вычисление 2 19 2 9" xfId="21998"/>
    <cellStyle name="Вычисление 2 19 2 9 2" xfId="37359"/>
    <cellStyle name="Вычисление 2 19 3" xfId="1560"/>
    <cellStyle name="Вычисление 2 19 3 2" xfId="80"/>
    <cellStyle name="Вычисление 2 19 3 2 2" xfId="5606"/>
    <cellStyle name="Вычисление 2 19 3 2 2 2" xfId="17391"/>
    <cellStyle name="Вычисление 2 19 3 2 2 3" xfId="32858"/>
    <cellStyle name="Вычисление 2 19 3 2 3" xfId="17062"/>
    <cellStyle name="Вычисление 2 19 3 2 3 2" xfId="32529"/>
    <cellStyle name="Вычисление 2 19 3 2 4" xfId="10794"/>
    <cellStyle name="Вычисление 2 19 3 2 5" xfId="11124"/>
    <cellStyle name="Вычисление 2 19 3 3" xfId="5177"/>
    <cellStyle name="Вычисление 2 19 3 3 2" xfId="10360"/>
    <cellStyle name="Вычисление 2 19 3 3 2 2" xfId="21286"/>
    <cellStyle name="Вычисление 2 19 3 3 2 3" xfId="36647"/>
    <cellStyle name="Вычисление 2 19 3 3 3" xfId="26247"/>
    <cellStyle name="Вычисление 2 19 3 3 3 2" xfId="41608"/>
    <cellStyle name="Вычисление 2 19 3 3 4" xfId="15723"/>
    <cellStyle name="Вычисление 2 19 3 3 5" xfId="31198"/>
    <cellStyle name="Вычисление 2 19 3 4" xfId="6807"/>
    <cellStyle name="Вычисление 2 19 3 4 2" xfId="17702"/>
    <cellStyle name="Вычисление 2 19 3 4 3" xfId="33063"/>
    <cellStyle name="Вычисление 2 19 3 5" xfId="22695"/>
    <cellStyle name="Вычисление 2 19 3 5 2" xfId="38056"/>
    <cellStyle name="Вычисление 2 19 3 6" xfId="12138"/>
    <cellStyle name="Вычисление 2 19 3 7" xfId="27646"/>
    <cellStyle name="Вычисление 2 19 4" xfId="1617"/>
    <cellStyle name="Вычисление 2 19 4 2" xfId="6863"/>
    <cellStyle name="Вычисление 2 19 4 2 2" xfId="17759"/>
    <cellStyle name="Вычисление 2 19 4 2 3" xfId="33120"/>
    <cellStyle name="Вычисление 2 19 4 3" xfId="22751"/>
    <cellStyle name="Вычисление 2 19 4 3 2" xfId="38112"/>
    <cellStyle name="Вычисление 2 19 4 4" xfId="12195"/>
    <cellStyle name="Вычисление 2 19 4 5" xfId="27702"/>
    <cellStyle name="Вычисление 2 19 5" xfId="2977"/>
    <cellStyle name="Вычисление 2 19 5 2" xfId="8178"/>
    <cellStyle name="Вычисление 2 19 5 2 2" xfId="19098"/>
    <cellStyle name="Вычисление 2 19 5 2 3" xfId="34459"/>
    <cellStyle name="Вычисление 2 19 5 3" xfId="24066"/>
    <cellStyle name="Вычисление 2 19 5 3 2" xfId="39427"/>
    <cellStyle name="Вычисление 2 19 5 4" xfId="13535"/>
    <cellStyle name="Вычисление 2 19 5 5" xfId="29017"/>
    <cellStyle name="Вычисление 2 19 6" xfId="3856"/>
    <cellStyle name="Вычисление 2 19 6 2" xfId="9043"/>
    <cellStyle name="Вычисление 2 19 6 2 2" xfId="19970"/>
    <cellStyle name="Вычисление 2 19 6 2 3" xfId="35331"/>
    <cellStyle name="Вычисление 2 19 6 3" xfId="24931"/>
    <cellStyle name="Вычисление 2 19 6 3 2" xfId="40292"/>
    <cellStyle name="Вычисление 2 19 6 4" xfId="14407"/>
    <cellStyle name="Вычисление 2 19 6 5" xfId="29882"/>
    <cellStyle name="Вычисление 2 19 7" xfId="3329"/>
    <cellStyle name="Вычисление 2 19 7 2" xfId="8523"/>
    <cellStyle name="Вычисление 2 19 7 2 2" xfId="19450"/>
    <cellStyle name="Вычисление 2 19 7 2 3" xfId="34811"/>
    <cellStyle name="Вычисление 2 19 7 3" xfId="24411"/>
    <cellStyle name="Вычисление 2 19 7 3 2" xfId="39772"/>
    <cellStyle name="Вычисление 2 19 7 4" xfId="13887"/>
    <cellStyle name="Вычисление 2 19 7 5" xfId="29362"/>
    <cellStyle name="Вычисление 2 19 8" xfId="4759"/>
    <cellStyle name="Вычисление 2 19 8 2" xfId="9946"/>
    <cellStyle name="Вычисление 2 19 8 2 2" xfId="20873"/>
    <cellStyle name="Вычисление 2 19 8 2 3" xfId="36234"/>
    <cellStyle name="Вычисление 2 19 8 3" xfId="25834"/>
    <cellStyle name="Вычисление 2 19 8 3 2" xfId="41195"/>
    <cellStyle name="Вычисление 2 19 8 4" xfId="15310"/>
    <cellStyle name="Вычисление 2 19 8 5" xfId="30785"/>
    <cellStyle name="Вычисление 2 19 9" xfId="5735"/>
    <cellStyle name="Вычисление 2 19 9 2" xfId="17156"/>
    <cellStyle name="Вычисление 2 19 9 3" xfId="32623"/>
    <cellStyle name="Вычисление 2 2" xfId="345"/>
    <cellStyle name="Вычисление 2 2 10" xfId="346"/>
    <cellStyle name="Вычисление 2 2 10 10" xfId="17319"/>
    <cellStyle name="Вычисление 2 2 10 10 2" xfId="32786"/>
    <cellStyle name="Вычисление 2 2 10 11" xfId="11032"/>
    <cellStyle name="Вычисление 2 2 10 12" xfId="10868"/>
    <cellStyle name="Вычисление 2 2 10 2" xfId="659"/>
    <cellStyle name="Вычисление 2 2 10 2 10" xfId="11247"/>
    <cellStyle name="Вычисление 2 2 10 2 11" xfId="26764"/>
    <cellStyle name="Вычисление 2 2 10 2 2" xfId="1128"/>
    <cellStyle name="Вычисление 2 2 10 2 2 2" xfId="2047"/>
    <cellStyle name="Вычисление 2 2 10 2 2 2 2" xfId="7283"/>
    <cellStyle name="Вычисление 2 2 10 2 2 2 2 2" xfId="18185"/>
    <cellStyle name="Вычисление 2 2 10 2 2 2 2 3" xfId="33546"/>
    <cellStyle name="Вычисление 2 2 10 2 2 2 3" xfId="23171"/>
    <cellStyle name="Вычисление 2 2 10 2 2 2 3 2" xfId="38532"/>
    <cellStyle name="Вычисление 2 2 10 2 2 2 4" xfId="12622"/>
    <cellStyle name="Вычисление 2 2 10 2 2 2 5" xfId="28122"/>
    <cellStyle name="Вычисление 2 2 10 2 2 3" xfId="5178"/>
    <cellStyle name="Вычисление 2 2 10 2 2 3 2" xfId="10361"/>
    <cellStyle name="Вычисление 2 2 10 2 2 3 2 2" xfId="21287"/>
    <cellStyle name="Вычисление 2 2 10 2 2 3 2 3" xfId="36648"/>
    <cellStyle name="Вычисление 2 2 10 2 2 3 3" xfId="26248"/>
    <cellStyle name="Вычисление 2 2 10 2 2 3 3 2" xfId="41609"/>
    <cellStyle name="Вычисление 2 2 10 2 2 3 4" xfId="15724"/>
    <cellStyle name="Вычисление 2 2 10 2 2 3 5" xfId="31199"/>
    <cellStyle name="Вычисление 2 2 10 2 2 4" xfId="6383"/>
    <cellStyle name="Вычисление 2 2 10 2 2 4 2" xfId="16480"/>
    <cellStyle name="Вычисление 2 2 10 2 2 4 3" xfId="31947"/>
    <cellStyle name="Вычисление 2 2 10 2 2 5" xfId="22271"/>
    <cellStyle name="Вычисление 2 2 10 2 2 5 2" xfId="37632"/>
    <cellStyle name="Вычисление 2 2 10 2 2 6" xfId="11709"/>
    <cellStyle name="Вычисление 2 2 10 2 2 7" xfId="27222"/>
    <cellStyle name="Вычисление 2 2 10 2 3" xfId="2065"/>
    <cellStyle name="Вычисление 2 2 10 2 3 2" xfId="7301"/>
    <cellStyle name="Вычисление 2 2 10 2 3 2 2" xfId="18203"/>
    <cellStyle name="Вычисление 2 2 10 2 3 2 3" xfId="33564"/>
    <cellStyle name="Вычисление 2 2 10 2 3 3" xfId="23189"/>
    <cellStyle name="Вычисление 2 2 10 2 3 3 2" xfId="38550"/>
    <cellStyle name="Вычисление 2 2 10 2 3 4" xfId="12640"/>
    <cellStyle name="Вычисление 2 2 10 2 3 5" xfId="28140"/>
    <cellStyle name="Вычисление 2 2 10 2 4" xfId="2416"/>
    <cellStyle name="Вычисление 2 2 10 2 4 2" xfId="7652"/>
    <cellStyle name="Вычисление 2 2 10 2 4 2 2" xfId="18554"/>
    <cellStyle name="Вычисление 2 2 10 2 4 2 3" xfId="33915"/>
    <cellStyle name="Вычисление 2 2 10 2 4 3" xfId="23540"/>
    <cellStyle name="Вычисление 2 2 10 2 4 3 2" xfId="38901"/>
    <cellStyle name="Вычисление 2 2 10 2 4 4" xfId="12991"/>
    <cellStyle name="Вычисление 2 2 10 2 4 5" xfId="28491"/>
    <cellStyle name="Вычисление 2 2 10 2 5" xfId="3438"/>
    <cellStyle name="Вычисление 2 2 10 2 5 2" xfId="8627"/>
    <cellStyle name="Вычисление 2 2 10 2 5 2 2" xfId="19554"/>
    <cellStyle name="Вычисление 2 2 10 2 5 2 3" xfId="34915"/>
    <cellStyle name="Вычисление 2 2 10 2 5 3" xfId="24515"/>
    <cellStyle name="Вычисление 2 2 10 2 5 3 2" xfId="39876"/>
    <cellStyle name="Вычисление 2 2 10 2 5 4" xfId="13991"/>
    <cellStyle name="Вычисление 2 2 10 2 5 5" xfId="29466"/>
    <cellStyle name="Вычисление 2 2 10 2 6" xfId="4117"/>
    <cellStyle name="Вычисление 2 2 10 2 6 2" xfId="9304"/>
    <cellStyle name="Вычисление 2 2 10 2 6 2 2" xfId="20231"/>
    <cellStyle name="Вычисление 2 2 10 2 6 2 3" xfId="35592"/>
    <cellStyle name="Вычисление 2 2 10 2 6 3" xfId="25192"/>
    <cellStyle name="Вычисление 2 2 10 2 6 3 2" xfId="40553"/>
    <cellStyle name="Вычисление 2 2 10 2 6 4" xfId="14668"/>
    <cellStyle name="Вычисление 2 2 10 2 6 5" xfId="30143"/>
    <cellStyle name="Вычисление 2 2 10 2 7" xfId="4917"/>
    <cellStyle name="Вычисление 2 2 10 2 7 2" xfId="10104"/>
    <cellStyle name="Вычисление 2 2 10 2 7 2 2" xfId="21031"/>
    <cellStyle name="Вычисление 2 2 10 2 7 2 3" xfId="36392"/>
    <cellStyle name="Вычисление 2 2 10 2 7 3" xfId="25992"/>
    <cellStyle name="Вычисление 2 2 10 2 7 3 2" xfId="41353"/>
    <cellStyle name="Вычисление 2 2 10 2 7 4" xfId="15468"/>
    <cellStyle name="Вычисление 2 2 10 2 7 5" xfId="30943"/>
    <cellStyle name="Вычисление 2 2 10 2 8" xfId="5925"/>
    <cellStyle name="Вычисление 2 2 10 2 8 2" xfId="16942"/>
    <cellStyle name="Вычисление 2 2 10 2 8 3" xfId="32409"/>
    <cellStyle name="Вычисление 2 2 10 2 9" xfId="21813"/>
    <cellStyle name="Вычисление 2 2 10 2 9 2" xfId="37174"/>
    <cellStyle name="Вычисление 2 2 10 3" xfId="1757"/>
    <cellStyle name="Вычисление 2 2 10 3 2" xfId="1864"/>
    <cellStyle name="Вычисление 2 2 10 3 2 2" xfId="7103"/>
    <cellStyle name="Вычисление 2 2 10 3 2 2 2" xfId="18005"/>
    <cellStyle name="Вычисление 2 2 10 3 2 2 3" xfId="33366"/>
    <cellStyle name="Вычисление 2 2 10 3 2 3" xfId="22991"/>
    <cellStyle name="Вычисление 2 2 10 3 2 3 2" xfId="38352"/>
    <cellStyle name="Вычисление 2 2 10 3 2 4" xfId="12442"/>
    <cellStyle name="Вычисление 2 2 10 3 2 5" xfId="27942"/>
    <cellStyle name="Вычисление 2 2 10 3 3" xfId="5179"/>
    <cellStyle name="Вычисление 2 2 10 3 3 2" xfId="10362"/>
    <cellStyle name="Вычисление 2 2 10 3 3 2 2" xfId="21288"/>
    <cellStyle name="Вычисление 2 2 10 3 3 2 3" xfId="36649"/>
    <cellStyle name="Вычисление 2 2 10 3 3 3" xfId="26249"/>
    <cellStyle name="Вычисление 2 2 10 3 3 3 2" xfId="41610"/>
    <cellStyle name="Вычисление 2 2 10 3 3 4" xfId="15725"/>
    <cellStyle name="Вычисление 2 2 10 3 3 5" xfId="31200"/>
    <cellStyle name="Вычисление 2 2 10 3 4" xfId="6996"/>
    <cellStyle name="Вычисление 2 2 10 3 4 2" xfId="17898"/>
    <cellStyle name="Вычисление 2 2 10 3 4 3" xfId="33259"/>
    <cellStyle name="Вычисление 2 2 10 3 5" xfId="22884"/>
    <cellStyle name="Вычисление 2 2 10 3 5 2" xfId="38245"/>
    <cellStyle name="Вычисление 2 2 10 3 6" xfId="12335"/>
    <cellStyle name="Вычисление 2 2 10 3 7" xfId="27835"/>
    <cellStyle name="Вычисление 2 2 10 4" xfId="1224"/>
    <cellStyle name="Вычисление 2 2 10 4 2" xfId="6477"/>
    <cellStyle name="Вычисление 2 2 10 4 2 2" xfId="16384"/>
    <cellStyle name="Вычисление 2 2 10 4 2 3" xfId="31851"/>
    <cellStyle name="Вычисление 2 2 10 4 3" xfId="22365"/>
    <cellStyle name="Вычисление 2 2 10 4 3 2" xfId="37726"/>
    <cellStyle name="Вычисление 2 2 10 4 4" xfId="11805"/>
    <cellStyle name="Вычисление 2 2 10 4 5" xfId="27316"/>
    <cellStyle name="Вычисление 2 2 10 5" xfId="2975"/>
    <cellStyle name="Вычисление 2 2 10 5 2" xfId="8176"/>
    <cellStyle name="Вычисление 2 2 10 5 2 2" xfId="19096"/>
    <cellStyle name="Вычисление 2 2 10 5 2 3" xfId="34457"/>
    <cellStyle name="Вычисление 2 2 10 5 3" xfId="24064"/>
    <cellStyle name="Вычисление 2 2 10 5 3 2" xfId="39425"/>
    <cellStyle name="Вычисление 2 2 10 5 4" xfId="13533"/>
    <cellStyle name="Вычисление 2 2 10 5 5" xfId="29015"/>
    <cellStyle name="Вычисление 2 2 10 6" xfId="3855"/>
    <cellStyle name="Вычисление 2 2 10 6 2" xfId="9042"/>
    <cellStyle name="Вычисление 2 2 10 6 2 2" xfId="19969"/>
    <cellStyle name="Вычисление 2 2 10 6 2 3" xfId="35330"/>
    <cellStyle name="Вычисление 2 2 10 6 3" xfId="24930"/>
    <cellStyle name="Вычисление 2 2 10 6 3 2" xfId="40291"/>
    <cellStyle name="Вычисление 2 2 10 6 4" xfId="14406"/>
    <cellStyle name="Вычисление 2 2 10 6 5" xfId="29881"/>
    <cellStyle name="Вычисление 2 2 10 7" xfId="3890"/>
    <cellStyle name="Вычисление 2 2 10 7 2" xfId="9077"/>
    <cellStyle name="Вычисление 2 2 10 7 2 2" xfId="20004"/>
    <cellStyle name="Вычисление 2 2 10 7 2 3" xfId="35365"/>
    <cellStyle name="Вычисление 2 2 10 7 3" xfId="24965"/>
    <cellStyle name="Вычисление 2 2 10 7 3 2" xfId="40326"/>
    <cellStyle name="Вычисление 2 2 10 7 4" xfId="14441"/>
    <cellStyle name="Вычисление 2 2 10 7 5" xfId="29916"/>
    <cellStyle name="Вычисление 2 2 10 8" xfId="4757"/>
    <cellStyle name="Вычисление 2 2 10 8 2" xfId="9944"/>
    <cellStyle name="Вычисление 2 2 10 8 2 2" xfId="20871"/>
    <cellStyle name="Вычисление 2 2 10 8 2 3" xfId="36232"/>
    <cellStyle name="Вычисление 2 2 10 8 3" xfId="25832"/>
    <cellStyle name="Вычисление 2 2 10 8 3 2" xfId="41193"/>
    <cellStyle name="Вычисление 2 2 10 8 4" xfId="15308"/>
    <cellStyle name="Вычисление 2 2 10 8 5" xfId="30783"/>
    <cellStyle name="Вычисление 2 2 10 9" xfId="5737"/>
    <cellStyle name="Вычисление 2 2 10 9 2" xfId="17154"/>
    <cellStyle name="Вычисление 2 2 10 9 3" xfId="32621"/>
    <cellStyle name="Вычисление 2 2 11" xfId="347"/>
    <cellStyle name="Вычисление 2 2 11 10" xfId="18938"/>
    <cellStyle name="Вычисление 2 2 11 10 2" xfId="34299"/>
    <cellStyle name="Вычисление 2 2 11 11" xfId="11033"/>
    <cellStyle name="Вычисление 2 2 11 12" xfId="10867"/>
    <cellStyle name="Вычисление 2 2 11 2" xfId="641"/>
    <cellStyle name="Вычисление 2 2 11 2 10" xfId="11246"/>
    <cellStyle name="Вычисление 2 2 11 2 11" xfId="26763"/>
    <cellStyle name="Вычисление 2 2 11 2 2" xfId="1139"/>
    <cellStyle name="Вычисление 2 2 11 2 2 2" xfId="2045"/>
    <cellStyle name="Вычисление 2 2 11 2 2 2 2" xfId="7281"/>
    <cellStyle name="Вычисление 2 2 11 2 2 2 2 2" xfId="18183"/>
    <cellStyle name="Вычисление 2 2 11 2 2 2 2 3" xfId="33544"/>
    <cellStyle name="Вычисление 2 2 11 2 2 2 3" xfId="23169"/>
    <cellStyle name="Вычисление 2 2 11 2 2 2 3 2" xfId="38530"/>
    <cellStyle name="Вычисление 2 2 11 2 2 2 4" xfId="12620"/>
    <cellStyle name="Вычисление 2 2 11 2 2 2 5" xfId="28120"/>
    <cellStyle name="Вычисление 2 2 11 2 2 3" xfId="5180"/>
    <cellStyle name="Вычисление 2 2 11 2 2 3 2" xfId="10363"/>
    <cellStyle name="Вычисление 2 2 11 2 2 3 2 2" xfId="21289"/>
    <cellStyle name="Вычисление 2 2 11 2 2 3 2 3" xfId="36650"/>
    <cellStyle name="Вычисление 2 2 11 2 2 3 3" xfId="26250"/>
    <cellStyle name="Вычисление 2 2 11 2 2 3 3 2" xfId="41611"/>
    <cellStyle name="Вычисление 2 2 11 2 2 3 4" xfId="15726"/>
    <cellStyle name="Вычисление 2 2 11 2 2 3 5" xfId="31201"/>
    <cellStyle name="Вычисление 2 2 11 2 2 4" xfId="6394"/>
    <cellStyle name="Вычисление 2 2 11 2 2 4 2" xfId="16469"/>
    <cellStyle name="Вычисление 2 2 11 2 2 4 3" xfId="31936"/>
    <cellStyle name="Вычисление 2 2 11 2 2 5" xfId="22282"/>
    <cellStyle name="Вычисление 2 2 11 2 2 5 2" xfId="37643"/>
    <cellStyle name="Вычисление 2 2 11 2 2 6" xfId="11720"/>
    <cellStyle name="Вычисление 2 2 11 2 2 7" xfId="27233"/>
    <cellStyle name="Вычисление 2 2 11 2 3" xfId="2051"/>
    <cellStyle name="Вычисление 2 2 11 2 3 2" xfId="7287"/>
    <cellStyle name="Вычисление 2 2 11 2 3 2 2" xfId="18189"/>
    <cellStyle name="Вычисление 2 2 11 2 3 2 3" xfId="33550"/>
    <cellStyle name="Вычисление 2 2 11 2 3 3" xfId="23175"/>
    <cellStyle name="Вычисление 2 2 11 2 3 3 2" xfId="38536"/>
    <cellStyle name="Вычисление 2 2 11 2 3 4" xfId="12626"/>
    <cellStyle name="Вычисление 2 2 11 2 3 5" xfId="28126"/>
    <cellStyle name="Вычисление 2 2 11 2 4" xfId="2427"/>
    <cellStyle name="Вычисление 2 2 11 2 4 2" xfId="7663"/>
    <cellStyle name="Вычисление 2 2 11 2 4 2 2" xfId="18565"/>
    <cellStyle name="Вычисление 2 2 11 2 4 2 3" xfId="33926"/>
    <cellStyle name="Вычисление 2 2 11 2 4 3" xfId="23551"/>
    <cellStyle name="Вычисление 2 2 11 2 4 3 2" xfId="38912"/>
    <cellStyle name="Вычисление 2 2 11 2 4 4" xfId="13002"/>
    <cellStyle name="Вычисление 2 2 11 2 4 5" xfId="28502"/>
    <cellStyle name="Вычисление 2 2 11 2 5" xfId="3440"/>
    <cellStyle name="Вычисление 2 2 11 2 5 2" xfId="8629"/>
    <cellStyle name="Вычисление 2 2 11 2 5 2 2" xfId="19556"/>
    <cellStyle name="Вычисление 2 2 11 2 5 2 3" xfId="34917"/>
    <cellStyle name="Вычисление 2 2 11 2 5 3" xfId="24517"/>
    <cellStyle name="Вычисление 2 2 11 2 5 3 2" xfId="39878"/>
    <cellStyle name="Вычисление 2 2 11 2 5 4" xfId="13993"/>
    <cellStyle name="Вычисление 2 2 11 2 5 5" xfId="29468"/>
    <cellStyle name="Вычисление 2 2 11 2 6" xfId="4116"/>
    <cellStyle name="Вычисление 2 2 11 2 6 2" xfId="9303"/>
    <cellStyle name="Вычисление 2 2 11 2 6 2 2" xfId="20230"/>
    <cellStyle name="Вычисление 2 2 11 2 6 2 3" xfId="35591"/>
    <cellStyle name="Вычисление 2 2 11 2 6 3" xfId="25191"/>
    <cellStyle name="Вычисление 2 2 11 2 6 3 2" xfId="40552"/>
    <cellStyle name="Вычисление 2 2 11 2 6 4" xfId="14667"/>
    <cellStyle name="Вычисление 2 2 11 2 6 5" xfId="30142"/>
    <cellStyle name="Вычисление 2 2 11 2 7" xfId="4905"/>
    <cellStyle name="Вычисление 2 2 11 2 7 2" xfId="10092"/>
    <cellStyle name="Вычисление 2 2 11 2 7 2 2" xfId="21019"/>
    <cellStyle name="Вычисление 2 2 11 2 7 2 3" xfId="36380"/>
    <cellStyle name="Вычисление 2 2 11 2 7 3" xfId="25980"/>
    <cellStyle name="Вычисление 2 2 11 2 7 3 2" xfId="41341"/>
    <cellStyle name="Вычисление 2 2 11 2 7 4" xfId="15456"/>
    <cellStyle name="Вычисление 2 2 11 2 7 5" xfId="30931"/>
    <cellStyle name="Вычисление 2 2 11 2 8" xfId="5924"/>
    <cellStyle name="Вычисление 2 2 11 2 8 2" xfId="16943"/>
    <cellStyle name="Вычисление 2 2 11 2 8 3" xfId="32410"/>
    <cellStyle name="Вычисление 2 2 11 2 9" xfId="21812"/>
    <cellStyle name="Вычисление 2 2 11 2 9 2" xfId="37173"/>
    <cellStyle name="Вычисление 2 2 11 3" xfId="1664"/>
    <cellStyle name="Вычисление 2 2 11 3 2" xfId="2473"/>
    <cellStyle name="Вычисление 2 2 11 3 2 2" xfId="7709"/>
    <cellStyle name="Вычисление 2 2 11 3 2 2 2" xfId="18611"/>
    <cellStyle name="Вычисление 2 2 11 3 2 2 3" xfId="33972"/>
    <cellStyle name="Вычисление 2 2 11 3 2 3" xfId="23597"/>
    <cellStyle name="Вычисление 2 2 11 3 2 3 2" xfId="38958"/>
    <cellStyle name="Вычисление 2 2 11 3 2 4" xfId="13048"/>
    <cellStyle name="Вычисление 2 2 11 3 2 5" xfId="28548"/>
    <cellStyle name="Вычисление 2 2 11 3 3" xfId="5181"/>
    <cellStyle name="Вычисление 2 2 11 3 3 2" xfId="10364"/>
    <cellStyle name="Вычисление 2 2 11 3 3 2 2" xfId="21290"/>
    <cellStyle name="Вычисление 2 2 11 3 3 2 3" xfId="36651"/>
    <cellStyle name="Вычисление 2 2 11 3 3 3" xfId="26251"/>
    <cellStyle name="Вычисление 2 2 11 3 3 3 2" xfId="41612"/>
    <cellStyle name="Вычисление 2 2 11 3 3 4" xfId="15727"/>
    <cellStyle name="Вычисление 2 2 11 3 3 5" xfId="31202"/>
    <cellStyle name="Вычисление 2 2 11 3 4" xfId="6910"/>
    <cellStyle name="Вычисление 2 2 11 3 4 2" xfId="17806"/>
    <cellStyle name="Вычисление 2 2 11 3 4 3" xfId="33167"/>
    <cellStyle name="Вычисление 2 2 11 3 5" xfId="22798"/>
    <cellStyle name="Вычисление 2 2 11 3 5 2" xfId="38159"/>
    <cellStyle name="Вычисление 2 2 11 3 6" xfId="12242"/>
    <cellStyle name="Вычисление 2 2 11 3 7" xfId="27749"/>
    <cellStyle name="Вычисление 2 2 11 4" xfId="1456"/>
    <cellStyle name="Вычисление 2 2 11 4 2" xfId="6703"/>
    <cellStyle name="Вычисление 2 2 11 4 2 2" xfId="16155"/>
    <cellStyle name="Вычисление 2 2 11 4 2 3" xfId="31622"/>
    <cellStyle name="Вычисление 2 2 11 4 3" xfId="22591"/>
    <cellStyle name="Вычисление 2 2 11 4 3 2" xfId="37952"/>
    <cellStyle name="Вычисление 2 2 11 4 4" xfId="12034"/>
    <cellStyle name="Вычисление 2 2 11 4 5" xfId="27542"/>
    <cellStyle name="Вычисление 2 2 11 5" xfId="2974"/>
    <cellStyle name="Вычисление 2 2 11 5 2" xfId="8175"/>
    <cellStyle name="Вычисление 2 2 11 5 2 2" xfId="19095"/>
    <cellStyle name="Вычисление 2 2 11 5 2 3" xfId="34456"/>
    <cellStyle name="Вычисление 2 2 11 5 3" xfId="24063"/>
    <cellStyle name="Вычисление 2 2 11 5 3 2" xfId="39424"/>
    <cellStyle name="Вычисление 2 2 11 5 4" xfId="13532"/>
    <cellStyle name="Вычисление 2 2 11 5 5" xfId="29014"/>
    <cellStyle name="Вычисление 2 2 11 6" xfId="3528"/>
    <cellStyle name="Вычисление 2 2 11 6 2" xfId="8715"/>
    <cellStyle name="Вычисление 2 2 11 6 2 2" xfId="19642"/>
    <cellStyle name="Вычисление 2 2 11 6 2 3" xfId="35003"/>
    <cellStyle name="Вычисление 2 2 11 6 3" xfId="24603"/>
    <cellStyle name="Вычисление 2 2 11 6 3 2" xfId="39964"/>
    <cellStyle name="Вычисление 2 2 11 6 4" xfId="14079"/>
    <cellStyle name="Вычисление 2 2 11 6 5" xfId="29554"/>
    <cellStyle name="Вычисление 2 2 11 7" xfId="3907"/>
    <cellStyle name="Вычисление 2 2 11 7 2" xfId="9094"/>
    <cellStyle name="Вычисление 2 2 11 7 2 2" xfId="20021"/>
    <cellStyle name="Вычисление 2 2 11 7 2 3" xfId="35382"/>
    <cellStyle name="Вычисление 2 2 11 7 3" xfId="24982"/>
    <cellStyle name="Вычисление 2 2 11 7 3 2" xfId="40343"/>
    <cellStyle name="Вычисление 2 2 11 7 4" xfId="14458"/>
    <cellStyle name="Вычисление 2 2 11 7 5" xfId="29933"/>
    <cellStyle name="Вычисление 2 2 11 8" xfId="4756"/>
    <cellStyle name="Вычисление 2 2 11 8 2" xfId="9943"/>
    <cellStyle name="Вычисление 2 2 11 8 2 2" xfId="20870"/>
    <cellStyle name="Вычисление 2 2 11 8 2 3" xfId="36231"/>
    <cellStyle name="Вычисление 2 2 11 8 3" xfId="25831"/>
    <cellStyle name="Вычисление 2 2 11 8 3 2" xfId="41192"/>
    <cellStyle name="Вычисление 2 2 11 8 4" xfId="15307"/>
    <cellStyle name="Вычисление 2 2 11 8 5" xfId="30782"/>
    <cellStyle name="Вычисление 2 2 11 9" xfId="5738"/>
    <cellStyle name="Вычисление 2 2 11 9 2" xfId="17153"/>
    <cellStyle name="Вычисление 2 2 11 9 3" xfId="32620"/>
    <cellStyle name="Вычисление 2 2 12" xfId="348"/>
    <cellStyle name="Вычисление 2 2 12 10" xfId="17857"/>
    <cellStyle name="Вычисление 2 2 12 10 2" xfId="33218"/>
    <cellStyle name="Вычисление 2 2 12 11" xfId="11034"/>
    <cellStyle name="Вычисление 2 2 12 12" xfId="10866"/>
    <cellStyle name="Вычисление 2 2 12 2" xfId="639"/>
    <cellStyle name="Вычисление 2 2 12 2 10" xfId="11245"/>
    <cellStyle name="Вычисление 2 2 12 2 11" xfId="26762"/>
    <cellStyle name="Вычисление 2 2 12 2 2" xfId="1127"/>
    <cellStyle name="Вычисление 2 2 12 2 2 2" xfId="1868"/>
    <cellStyle name="Вычисление 2 2 12 2 2 2 2" xfId="7107"/>
    <cellStyle name="Вычисление 2 2 12 2 2 2 2 2" xfId="18009"/>
    <cellStyle name="Вычисление 2 2 12 2 2 2 2 3" xfId="33370"/>
    <cellStyle name="Вычисление 2 2 12 2 2 2 3" xfId="22995"/>
    <cellStyle name="Вычисление 2 2 12 2 2 2 3 2" xfId="38356"/>
    <cellStyle name="Вычисление 2 2 12 2 2 2 4" xfId="12446"/>
    <cellStyle name="Вычисление 2 2 12 2 2 2 5" xfId="27946"/>
    <cellStyle name="Вычисление 2 2 12 2 2 3" xfId="5182"/>
    <cellStyle name="Вычисление 2 2 12 2 2 3 2" xfId="10365"/>
    <cellStyle name="Вычисление 2 2 12 2 2 3 2 2" xfId="21291"/>
    <cellStyle name="Вычисление 2 2 12 2 2 3 2 3" xfId="36652"/>
    <cellStyle name="Вычисление 2 2 12 2 2 3 3" xfId="26252"/>
    <cellStyle name="Вычисление 2 2 12 2 2 3 3 2" xfId="41613"/>
    <cellStyle name="Вычисление 2 2 12 2 2 3 4" xfId="15728"/>
    <cellStyle name="Вычисление 2 2 12 2 2 3 5" xfId="31203"/>
    <cellStyle name="Вычисление 2 2 12 2 2 4" xfId="6382"/>
    <cellStyle name="Вычисление 2 2 12 2 2 4 2" xfId="16481"/>
    <cellStyle name="Вычисление 2 2 12 2 2 4 3" xfId="31948"/>
    <cellStyle name="Вычисление 2 2 12 2 2 5" xfId="22270"/>
    <cellStyle name="Вычисление 2 2 12 2 2 5 2" xfId="37631"/>
    <cellStyle name="Вычисление 2 2 12 2 2 6" xfId="11708"/>
    <cellStyle name="Вычисление 2 2 12 2 2 7" xfId="27221"/>
    <cellStyle name="Вычисление 2 2 12 2 3" xfId="2049"/>
    <cellStyle name="Вычисление 2 2 12 2 3 2" xfId="7285"/>
    <cellStyle name="Вычисление 2 2 12 2 3 2 2" xfId="18187"/>
    <cellStyle name="Вычисление 2 2 12 2 3 2 3" xfId="33548"/>
    <cellStyle name="Вычисление 2 2 12 2 3 3" xfId="23173"/>
    <cellStyle name="Вычисление 2 2 12 2 3 3 2" xfId="38534"/>
    <cellStyle name="Вычисление 2 2 12 2 3 4" xfId="12624"/>
    <cellStyle name="Вычисление 2 2 12 2 3 5" xfId="28124"/>
    <cellStyle name="Вычисление 2 2 12 2 4" xfId="2429"/>
    <cellStyle name="Вычисление 2 2 12 2 4 2" xfId="7665"/>
    <cellStyle name="Вычисление 2 2 12 2 4 2 2" xfId="18567"/>
    <cellStyle name="Вычисление 2 2 12 2 4 2 3" xfId="33928"/>
    <cellStyle name="Вычисление 2 2 12 2 4 3" xfId="23553"/>
    <cellStyle name="Вычисление 2 2 12 2 4 3 2" xfId="38914"/>
    <cellStyle name="Вычисление 2 2 12 2 4 4" xfId="13004"/>
    <cellStyle name="Вычисление 2 2 12 2 4 5" xfId="28504"/>
    <cellStyle name="Вычисление 2 2 12 2 5" xfId="3441"/>
    <cellStyle name="Вычисление 2 2 12 2 5 2" xfId="8630"/>
    <cellStyle name="Вычисление 2 2 12 2 5 2 2" xfId="19557"/>
    <cellStyle name="Вычисление 2 2 12 2 5 2 3" xfId="34918"/>
    <cellStyle name="Вычисление 2 2 12 2 5 3" xfId="24518"/>
    <cellStyle name="Вычисление 2 2 12 2 5 3 2" xfId="39879"/>
    <cellStyle name="Вычисление 2 2 12 2 5 4" xfId="13994"/>
    <cellStyle name="Вычисление 2 2 12 2 5 5" xfId="29469"/>
    <cellStyle name="Вычисление 2 2 12 2 6" xfId="4115"/>
    <cellStyle name="Вычисление 2 2 12 2 6 2" xfId="9302"/>
    <cellStyle name="Вычисление 2 2 12 2 6 2 2" xfId="20229"/>
    <cellStyle name="Вычисление 2 2 12 2 6 2 3" xfId="35590"/>
    <cellStyle name="Вычисление 2 2 12 2 6 3" xfId="25190"/>
    <cellStyle name="Вычисление 2 2 12 2 6 3 2" xfId="40551"/>
    <cellStyle name="Вычисление 2 2 12 2 6 4" xfId="14666"/>
    <cellStyle name="Вычисление 2 2 12 2 6 5" xfId="30141"/>
    <cellStyle name="Вычисление 2 2 12 2 7" xfId="4904"/>
    <cellStyle name="Вычисление 2 2 12 2 7 2" xfId="10091"/>
    <cellStyle name="Вычисление 2 2 12 2 7 2 2" xfId="21018"/>
    <cellStyle name="Вычисление 2 2 12 2 7 2 3" xfId="36379"/>
    <cellStyle name="Вычисление 2 2 12 2 7 3" xfId="25979"/>
    <cellStyle name="Вычисление 2 2 12 2 7 3 2" xfId="41340"/>
    <cellStyle name="Вычисление 2 2 12 2 7 4" xfId="15455"/>
    <cellStyle name="Вычисление 2 2 12 2 7 5" xfId="30930"/>
    <cellStyle name="Вычисление 2 2 12 2 8" xfId="5923"/>
    <cellStyle name="Вычисление 2 2 12 2 8 2" xfId="16944"/>
    <cellStyle name="Вычисление 2 2 12 2 8 3" xfId="32411"/>
    <cellStyle name="Вычисление 2 2 12 2 9" xfId="21811"/>
    <cellStyle name="Вычисление 2 2 12 2 9 2" xfId="37172"/>
    <cellStyle name="Вычисление 2 2 12 3" xfId="1643"/>
    <cellStyle name="Вычисление 2 2 12 3 2" xfId="2475"/>
    <cellStyle name="Вычисление 2 2 12 3 2 2" xfId="7711"/>
    <cellStyle name="Вычисление 2 2 12 3 2 2 2" xfId="18613"/>
    <cellStyle name="Вычисление 2 2 12 3 2 2 3" xfId="33974"/>
    <cellStyle name="Вычисление 2 2 12 3 2 3" xfId="23599"/>
    <cellStyle name="Вычисление 2 2 12 3 2 3 2" xfId="38960"/>
    <cellStyle name="Вычисление 2 2 12 3 2 4" xfId="13050"/>
    <cellStyle name="Вычисление 2 2 12 3 2 5" xfId="28550"/>
    <cellStyle name="Вычисление 2 2 12 3 3" xfId="5183"/>
    <cellStyle name="Вычисление 2 2 12 3 3 2" xfId="10366"/>
    <cellStyle name="Вычисление 2 2 12 3 3 2 2" xfId="21292"/>
    <cellStyle name="Вычисление 2 2 12 3 3 2 3" xfId="36653"/>
    <cellStyle name="Вычисление 2 2 12 3 3 3" xfId="26253"/>
    <cellStyle name="Вычисление 2 2 12 3 3 3 2" xfId="41614"/>
    <cellStyle name="Вычисление 2 2 12 3 3 4" xfId="15729"/>
    <cellStyle name="Вычисление 2 2 12 3 3 5" xfId="31204"/>
    <cellStyle name="Вычисление 2 2 12 3 4" xfId="6889"/>
    <cellStyle name="Вычисление 2 2 12 3 4 2" xfId="17785"/>
    <cellStyle name="Вычисление 2 2 12 3 4 3" xfId="33146"/>
    <cellStyle name="Вычисление 2 2 12 3 5" xfId="22777"/>
    <cellStyle name="Вычисление 2 2 12 3 5 2" xfId="38138"/>
    <cellStyle name="Вычисление 2 2 12 3 6" xfId="12221"/>
    <cellStyle name="Вычисление 2 2 12 3 7" xfId="27728"/>
    <cellStyle name="Вычисление 2 2 12 4" xfId="1668"/>
    <cellStyle name="Вычисление 2 2 12 4 2" xfId="6914"/>
    <cellStyle name="Вычисление 2 2 12 4 2 2" xfId="17810"/>
    <cellStyle name="Вычисление 2 2 12 4 2 3" xfId="33171"/>
    <cellStyle name="Вычисление 2 2 12 4 3" xfId="22802"/>
    <cellStyle name="Вычисление 2 2 12 4 3 2" xfId="38163"/>
    <cellStyle name="Вычисление 2 2 12 4 4" xfId="12246"/>
    <cellStyle name="Вычисление 2 2 12 4 5" xfId="27753"/>
    <cellStyle name="Вычисление 2 2 12 5" xfId="2973"/>
    <cellStyle name="Вычисление 2 2 12 5 2" xfId="8174"/>
    <cellStyle name="Вычисление 2 2 12 5 2 2" xfId="19094"/>
    <cellStyle name="Вычисление 2 2 12 5 2 3" xfId="34455"/>
    <cellStyle name="Вычисление 2 2 12 5 3" xfId="24062"/>
    <cellStyle name="Вычисление 2 2 12 5 3 2" xfId="39423"/>
    <cellStyle name="Вычисление 2 2 12 5 4" xfId="13531"/>
    <cellStyle name="Вычисление 2 2 12 5 5" xfId="29013"/>
    <cellStyle name="Вычисление 2 2 12 6" xfId="3854"/>
    <cellStyle name="Вычисление 2 2 12 6 2" xfId="9041"/>
    <cellStyle name="Вычисление 2 2 12 6 2 2" xfId="19968"/>
    <cellStyle name="Вычисление 2 2 12 6 2 3" xfId="35329"/>
    <cellStyle name="Вычисление 2 2 12 6 3" xfId="24929"/>
    <cellStyle name="Вычисление 2 2 12 6 3 2" xfId="40290"/>
    <cellStyle name="Вычисление 2 2 12 6 4" xfId="14405"/>
    <cellStyle name="Вычисление 2 2 12 6 5" xfId="29880"/>
    <cellStyle name="Вычисление 2 2 12 7" xfId="3326"/>
    <cellStyle name="Вычисление 2 2 12 7 2" xfId="8520"/>
    <cellStyle name="Вычисление 2 2 12 7 2 2" xfId="19447"/>
    <cellStyle name="Вычисление 2 2 12 7 2 3" xfId="34808"/>
    <cellStyle name="Вычисление 2 2 12 7 3" xfId="24408"/>
    <cellStyle name="Вычисление 2 2 12 7 3 2" xfId="39769"/>
    <cellStyle name="Вычисление 2 2 12 7 4" xfId="13884"/>
    <cellStyle name="Вычисление 2 2 12 7 5" xfId="29359"/>
    <cellStyle name="Вычисление 2 2 12 8" xfId="4755"/>
    <cellStyle name="Вычисление 2 2 12 8 2" xfId="9942"/>
    <cellStyle name="Вычисление 2 2 12 8 2 2" xfId="20869"/>
    <cellStyle name="Вычисление 2 2 12 8 2 3" xfId="36230"/>
    <cellStyle name="Вычисление 2 2 12 8 3" xfId="25830"/>
    <cellStyle name="Вычисление 2 2 12 8 3 2" xfId="41191"/>
    <cellStyle name="Вычисление 2 2 12 8 4" xfId="15306"/>
    <cellStyle name="Вычисление 2 2 12 8 5" xfId="30781"/>
    <cellStyle name="Вычисление 2 2 12 9" xfId="5739"/>
    <cellStyle name="Вычисление 2 2 12 9 2" xfId="17152"/>
    <cellStyle name="Вычисление 2 2 12 9 3" xfId="32619"/>
    <cellStyle name="Вычисление 2 2 13" xfId="349"/>
    <cellStyle name="Вычисление 2 2 13 10" xfId="17320"/>
    <cellStyle name="Вычисление 2 2 13 10 2" xfId="32787"/>
    <cellStyle name="Вычисление 2 2 13 11" xfId="11035"/>
    <cellStyle name="Вычисление 2 2 13 12" xfId="13375"/>
    <cellStyle name="Вычисление 2 2 13 2" xfId="846"/>
    <cellStyle name="Вычисление 2 2 13 2 10" xfId="11430"/>
    <cellStyle name="Вычисление 2 2 13 2 11" xfId="26947"/>
    <cellStyle name="Вычисление 2 2 13 2 2" xfId="1360"/>
    <cellStyle name="Вычисление 2 2 13 2 2 2" xfId="1870"/>
    <cellStyle name="Вычисление 2 2 13 2 2 2 2" xfId="7109"/>
    <cellStyle name="Вычисление 2 2 13 2 2 2 2 2" xfId="18011"/>
    <cellStyle name="Вычисление 2 2 13 2 2 2 2 3" xfId="33372"/>
    <cellStyle name="Вычисление 2 2 13 2 2 2 3" xfId="22997"/>
    <cellStyle name="Вычисление 2 2 13 2 2 2 3 2" xfId="38358"/>
    <cellStyle name="Вычисление 2 2 13 2 2 2 4" xfId="12448"/>
    <cellStyle name="Вычисление 2 2 13 2 2 2 5" xfId="27948"/>
    <cellStyle name="Вычисление 2 2 13 2 2 3" xfId="5184"/>
    <cellStyle name="Вычисление 2 2 13 2 2 3 2" xfId="10367"/>
    <cellStyle name="Вычисление 2 2 13 2 2 3 2 2" xfId="21293"/>
    <cellStyle name="Вычисление 2 2 13 2 2 3 2 3" xfId="36654"/>
    <cellStyle name="Вычисление 2 2 13 2 2 3 3" xfId="26254"/>
    <cellStyle name="Вычисление 2 2 13 2 2 3 3 2" xfId="41615"/>
    <cellStyle name="Вычисление 2 2 13 2 2 3 4" xfId="15730"/>
    <cellStyle name="Вычисление 2 2 13 2 2 3 5" xfId="31205"/>
    <cellStyle name="Вычисление 2 2 13 2 2 4" xfId="6611"/>
    <cellStyle name="Вычисление 2 2 13 2 2 4 2" xfId="16249"/>
    <cellStyle name="Вычисление 2 2 13 2 2 4 3" xfId="31716"/>
    <cellStyle name="Вычисление 2 2 13 2 2 5" xfId="22499"/>
    <cellStyle name="Вычисление 2 2 13 2 2 5 2" xfId="37860"/>
    <cellStyle name="Вычисление 2 2 13 2 2 6" xfId="11940"/>
    <cellStyle name="Вычисление 2 2 13 2 2 7" xfId="27450"/>
    <cellStyle name="Вычисление 2 2 13 2 3" xfId="2252"/>
    <cellStyle name="Вычисление 2 2 13 2 3 2" xfId="7488"/>
    <cellStyle name="Вычисление 2 2 13 2 3 2 2" xfId="18390"/>
    <cellStyle name="Вычисление 2 2 13 2 3 2 3" xfId="33751"/>
    <cellStyle name="Вычисление 2 2 13 2 3 3" xfId="23376"/>
    <cellStyle name="Вычисление 2 2 13 2 3 3 2" xfId="38737"/>
    <cellStyle name="Вычисление 2 2 13 2 3 4" xfId="12827"/>
    <cellStyle name="Вычисление 2 2 13 2 3 5" xfId="28327"/>
    <cellStyle name="Вычисление 2 2 13 2 4" xfId="2032"/>
    <cellStyle name="Вычисление 2 2 13 2 4 2" xfId="7268"/>
    <cellStyle name="Вычисление 2 2 13 2 4 2 2" xfId="18170"/>
    <cellStyle name="Вычисление 2 2 13 2 4 2 3" xfId="33531"/>
    <cellStyle name="Вычисление 2 2 13 2 4 3" xfId="23156"/>
    <cellStyle name="Вычисление 2 2 13 2 4 3 2" xfId="38517"/>
    <cellStyle name="Вычисление 2 2 13 2 4 4" xfId="12607"/>
    <cellStyle name="Вычисление 2 2 13 2 4 5" xfId="28107"/>
    <cellStyle name="Вычисление 2 2 13 2 5" xfId="3774"/>
    <cellStyle name="Вычисление 2 2 13 2 5 2" xfId="8961"/>
    <cellStyle name="Вычисление 2 2 13 2 5 2 2" xfId="19888"/>
    <cellStyle name="Вычисление 2 2 13 2 5 2 3" xfId="35249"/>
    <cellStyle name="Вычисление 2 2 13 2 5 3" xfId="24849"/>
    <cellStyle name="Вычисление 2 2 13 2 5 3 2" xfId="40210"/>
    <cellStyle name="Вычисление 2 2 13 2 5 4" xfId="14325"/>
    <cellStyle name="Вычисление 2 2 13 2 5 5" xfId="29800"/>
    <cellStyle name="Вычисление 2 2 13 2 6" xfId="4300"/>
    <cellStyle name="Вычисление 2 2 13 2 6 2" xfId="9487"/>
    <cellStyle name="Вычисление 2 2 13 2 6 2 2" xfId="20414"/>
    <cellStyle name="Вычисление 2 2 13 2 6 2 3" xfId="35775"/>
    <cellStyle name="Вычисление 2 2 13 2 6 3" xfId="25375"/>
    <cellStyle name="Вычисление 2 2 13 2 6 3 2" xfId="40736"/>
    <cellStyle name="Вычисление 2 2 13 2 6 4" xfId="14851"/>
    <cellStyle name="Вычисление 2 2 13 2 6 5" xfId="30326"/>
    <cellStyle name="Вычисление 2 2 13 2 7" xfId="4529"/>
    <cellStyle name="Вычисление 2 2 13 2 7 2" xfId="9716"/>
    <cellStyle name="Вычисление 2 2 13 2 7 2 2" xfId="20643"/>
    <cellStyle name="Вычисление 2 2 13 2 7 2 3" xfId="36004"/>
    <cellStyle name="Вычисление 2 2 13 2 7 3" xfId="25604"/>
    <cellStyle name="Вычисление 2 2 13 2 7 3 2" xfId="40965"/>
    <cellStyle name="Вычисление 2 2 13 2 7 4" xfId="15080"/>
    <cellStyle name="Вычисление 2 2 13 2 7 5" xfId="30555"/>
    <cellStyle name="Вычисление 2 2 13 2 8" xfId="6108"/>
    <cellStyle name="Вычисление 2 2 13 2 8 2" xfId="16759"/>
    <cellStyle name="Вычисление 2 2 13 2 8 3" xfId="32226"/>
    <cellStyle name="Вычисление 2 2 13 2 9" xfId="21996"/>
    <cellStyle name="Вычисление 2 2 13 2 9 2" xfId="37357"/>
    <cellStyle name="Вычисление 2 2 13 3" xfId="1621"/>
    <cellStyle name="Вычисление 2 2 13 3 2" xfId="2044"/>
    <cellStyle name="Вычисление 2 2 13 3 2 2" xfId="7280"/>
    <cellStyle name="Вычисление 2 2 13 3 2 2 2" xfId="18182"/>
    <cellStyle name="Вычисление 2 2 13 3 2 2 3" xfId="33543"/>
    <cellStyle name="Вычисление 2 2 13 3 2 3" xfId="23168"/>
    <cellStyle name="Вычисление 2 2 13 3 2 3 2" xfId="38529"/>
    <cellStyle name="Вычисление 2 2 13 3 2 4" xfId="12619"/>
    <cellStyle name="Вычисление 2 2 13 3 2 5" xfId="28119"/>
    <cellStyle name="Вычисление 2 2 13 3 3" xfId="5185"/>
    <cellStyle name="Вычисление 2 2 13 3 3 2" xfId="10368"/>
    <cellStyle name="Вычисление 2 2 13 3 3 2 2" xfId="21294"/>
    <cellStyle name="Вычисление 2 2 13 3 3 2 3" xfId="36655"/>
    <cellStyle name="Вычисление 2 2 13 3 3 3" xfId="26255"/>
    <cellStyle name="Вычисление 2 2 13 3 3 3 2" xfId="41616"/>
    <cellStyle name="Вычисление 2 2 13 3 3 4" xfId="15731"/>
    <cellStyle name="Вычисление 2 2 13 3 3 5" xfId="31206"/>
    <cellStyle name="Вычисление 2 2 13 3 4" xfId="6867"/>
    <cellStyle name="Вычисление 2 2 13 3 4 2" xfId="17763"/>
    <cellStyle name="Вычисление 2 2 13 3 4 3" xfId="33124"/>
    <cellStyle name="Вычисление 2 2 13 3 5" xfId="22755"/>
    <cellStyle name="Вычисление 2 2 13 3 5 2" xfId="38116"/>
    <cellStyle name="Вычисление 2 2 13 3 6" xfId="12199"/>
    <cellStyle name="Вычисление 2 2 13 3 7" xfId="27706"/>
    <cellStyle name="Вычисление 2 2 13 4" xfId="1147"/>
    <cellStyle name="Вычисление 2 2 13 4 2" xfId="6401"/>
    <cellStyle name="Вычисление 2 2 13 4 2 2" xfId="16461"/>
    <cellStyle name="Вычисление 2 2 13 4 2 3" xfId="31928"/>
    <cellStyle name="Вычисление 2 2 13 4 3" xfId="22289"/>
    <cellStyle name="Вычисление 2 2 13 4 3 2" xfId="37650"/>
    <cellStyle name="Вычисление 2 2 13 4 4" xfId="11728"/>
    <cellStyle name="Вычисление 2 2 13 4 5" xfId="27240"/>
    <cellStyle name="Вычисление 2 2 13 5" xfId="2972"/>
    <cellStyle name="Вычисление 2 2 13 5 2" xfId="8173"/>
    <cellStyle name="Вычисление 2 2 13 5 2 2" xfId="19093"/>
    <cellStyle name="Вычисление 2 2 13 5 2 3" xfId="34454"/>
    <cellStyle name="Вычисление 2 2 13 5 3" xfId="24061"/>
    <cellStyle name="Вычисление 2 2 13 5 3 2" xfId="39422"/>
    <cellStyle name="Вычисление 2 2 13 5 4" xfId="13530"/>
    <cellStyle name="Вычисление 2 2 13 5 5" xfId="29012"/>
    <cellStyle name="Вычисление 2 2 13 6" xfId="3529"/>
    <cellStyle name="Вычисление 2 2 13 6 2" xfId="8716"/>
    <cellStyle name="Вычисление 2 2 13 6 2 2" xfId="19643"/>
    <cellStyle name="Вычисление 2 2 13 6 2 3" xfId="35004"/>
    <cellStyle name="Вычисление 2 2 13 6 3" xfId="24604"/>
    <cellStyle name="Вычисление 2 2 13 6 3 2" xfId="39965"/>
    <cellStyle name="Вычисление 2 2 13 6 4" xfId="14080"/>
    <cellStyle name="Вычисление 2 2 13 6 5" xfId="29555"/>
    <cellStyle name="Вычисление 2 2 13 7" xfId="3284"/>
    <cellStyle name="Вычисление 2 2 13 7 2" xfId="8478"/>
    <cellStyle name="Вычисление 2 2 13 7 2 2" xfId="19405"/>
    <cellStyle name="Вычисление 2 2 13 7 2 3" xfId="34766"/>
    <cellStyle name="Вычисление 2 2 13 7 3" xfId="24366"/>
    <cellStyle name="Вычисление 2 2 13 7 3 2" xfId="39727"/>
    <cellStyle name="Вычисление 2 2 13 7 4" xfId="13842"/>
    <cellStyle name="Вычисление 2 2 13 7 5" xfId="29317"/>
    <cellStyle name="Вычисление 2 2 13 8" xfId="4754"/>
    <cellStyle name="Вычисление 2 2 13 8 2" xfId="9941"/>
    <cellStyle name="Вычисление 2 2 13 8 2 2" xfId="20868"/>
    <cellStyle name="Вычисление 2 2 13 8 2 3" xfId="36229"/>
    <cellStyle name="Вычисление 2 2 13 8 3" xfId="25829"/>
    <cellStyle name="Вычисление 2 2 13 8 3 2" xfId="41190"/>
    <cellStyle name="Вычисление 2 2 13 8 4" xfId="15305"/>
    <cellStyle name="Вычисление 2 2 13 8 5" xfId="30780"/>
    <cellStyle name="Вычисление 2 2 13 9" xfId="5740"/>
    <cellStyle name="Вычисление 2 2 13 9 2" xfId="17151"/>
    <cellStyle name="Вычисление 2 2 13 9 3" xfId="32618"/>
    <cellStyle name="Вычисление 2 2 14" xfId="350"/>
    <cellStyle name="Вычисление 2 2 14 10" xfId="17321"/>
    <cellStyle name="Вычисление 2 2 14 10 2" xfId="32788"/>
    <cellStyle name="Вычисление 2 2 14 11" xfId="11036"/>
    <cellStyle name="Вычисление 2 2 14 12" xfId="12293"/>
    <cellStyle name="Вычисление 2 2 14 2" xfId="845"/>
    <cellStyle name="Вычисление 2 2 14 2 10" xfId="11429"/>
    <cellStyle name="Вычисление 2 2 14 2 11" xfId="26946"/>
    <cellStyle name="Вычисление 2 2 14 2 2" xfId="1391"/>
    <cellStyle name="Вычисление 2 2 14 2 2 2" xfId="1872"/>
    <cellStyle name="Вычисление 2 2 14 2 2 2 2" xfId="7111"/>
    <cellStyle name="Вычисление 2 2 14 2 2 2 2 2" xfId="18013"/>
    <cellStyle name="Вычисление 2 2 14 2 2 2 2 3" xfId="33374"/>
    <cellStyle name="Вычисление 2 2 14 2 2 2 3" xfId="22999"/>
    <cellStyle name="Вычисление 2 2 14 2 2 2 3 2" xfId="38360"/>
    <cellStyle name="Вычисление 2 2 14 2 2 2 4" xfId="12450"/>
    <cellStyle name="Вычисление 2 2 14 2 2 2 5" xfId="27950"/>
    <cellStyle name="Вычисление 2 2 14 2 2 3" xfId="5186"/>
    <cellStyle name="Вычисление 2 2 14 2 2 3 2" xfId="10369"/>
    <cellStyle name="Вычисление 2 2 14 2 2 3 2 2" xfId="21295"/>
    <cellStyle name="Вычисление 2 2 14 2 2 3 2 3" xfId="36656"/>
    <cellStyle name="Вычисление 2 2 14 2 2 3 3" xfId="26256"/>
    <cellStyle name="Вычисление 2 2 14 2 2 3 3 2" xfId="41617"/>
    <cellStyle name="Вычисление 2 2 14 2 2 3 4" xfId="15732"/>
    <cellStyle name="Вычисление 2 2 14 2 2 3 5" xfId="31207"/>
    <cellStyle name="Вычисление 2 2 14 2 2 4" xfId="6641"/>
    <cellStyle name="Вычисление 2 2 14 2 2 4 2" xfId="16218"/>
    <cellStyle name="Вычисление 2 2 14 2 2 4 3" xfId="31685"/>
    <cellStyle name="Вычисление 2 2 14 2 2 5" xfId="22529"/>
    <cellStyle name="Вычисление 2 2 14 2 2 5 2" xfId="37890"/>
    <cellStyle name="Вычисление 2 2 14 2 2 6" xfId="11971"/>
    <cellStyle name="Вычисление 2 2 14 2 2 7" xfId="27480"/>
    <cellStyle name="Вычисление 2 2 14 2 3" xfId="2251"/>
    <cellStyle name="Вычисление 2 2 14 2 3 2" xfId="7487"/>
    <cellStyle name="Вычисление 2 2 14 2 3 2 2" xfId="18389"/>
    <cellStyle name="Вычисление 2 2 14 2 3 2 3" xfId="33750"/>
    <cellStyle name="Вычисление 2 2 14 2 3 3" xfId="23375"/>
    <cellStyle name="Вычисление 2 2 14 2 3 3 2" xfId="38736"/>
    <cellStyle name="Вычисление 2 2 14 2 3 4" xfId="12826"/>
    <cellStyle name="Вычисление 2 2 14 2 3 5" xfId="28326"/>
    <cellStyle name="Вычисление 2 2 14 2 4" xfId="2595"/>
    <cellStyle name="Вычисление 2 2 14 2 4 2" xfId="7828"/>
    <cellStyle name="Вычисление 2 2 14 2 4 2 2" xfId="18730"/>
    <cellStyle name="Вычисление 2 2 14 2 4 2 3" xfId="34091"/>
    <cellStyle name="Вычисление 2 2 14 2 4 3" xfId="23716"/>
    <cellStyle name="Вычисление 2 2 14 2 4 3 2" xfId="39077"/>
    <cellStyle name="Вычисление 2 2 14 2 4 4" xfId="13167"/>
    <cellStyle name="Вычисление 2 2 14 2 4 5" xfId="28667"/>
    <cellStyle name="Вычисление 2 2 14 2 5" xfId="3648"/>
    <cellStyle name="Вычисление 2 2 14 2 5 2" xfId="8835"/>
    <cellStyle name="Вычисление 2 2 14 2 5 2 2" xfId="19762"/>
    <cellStyle name="Вычисление 2 2 14 2 5 2 3" xfId="35123"/>
    <cellStyle name="Вычисление 2 2 14 2 5 3" xfId="24723"/>
    <cellStyle name="Вычисление 2 2 14 2 5 3 2" xfId="40084"/>
    <cellStyle name="Вычисление 2 2 14 2 5 4" xfId="14199"/>
    <cellStyle name="Вычисление 2 2 14 2 5 5" xfId="29674"/>
    <cellStyle name="Вычисление 2 2 14 2 6" xfId="4299"/>
    <cellStyle name="Вычисление 2 2 14 2 6 2" xfId="9486"/>
    <cellStyle name="Вычисление 2 2 14 2 6 2 2" xfId="20413"/>
    <cellStyle name="Вычисление 2 2 14 2 6 2 3" xfId="35774"/>
    <cellStyle name="Вычисление 2 2 14 2 6 3" xfId="25374"/>
    <cellStyle name="Вычисление 2 2 14 2 6 3 2" xfId="40735"/>
    <cellStyle name="Вычисление 2 2 14 2 6 4" xfId="14850"/>
    <cellStyle name="Вычисление 2 2 14 2 6 5" xfId="30325"/>
    <cellStyle name="Вычисление 2 2 14 2 7" xfId="4530"/>
    <cellStyle name="Вычисление 2 2 14 2 7 2" xfId="9717"/>
    <cellStyle name="Вычисление 2 2 14 2 7 2 2" xfId="20644"/>
    <cellStyle name="Вычисление 2 2 14 2 7 2 3" xfId="36005"/>
    <cellStyle name="Вычисление 2 2 14 2 7 3" xfId="25605"/>
    <cellStyle name="Вычисление 2 2 14 2 7 3 2" xfId="40966"/>
    <cellStyle name="Вычисление 2 2 14 2 7 4" xfId="15081"/>
    <cellStyle name="Вычисление 2 2 14 2 7 5" xfId="30556"/>
    <cellStyle name="Вычисление 2 2 14 2 8" xfId="6107"/>
    <cellStyle name="Вычисление 2 2 14 2 8 2" xfId="16760"/>
    <cellStyle name="Вычисление 2 2 14 2 8 3" xfId="32227"/>
    <cellStyle name="Вычисление 2 2 14 2 9" xfId="21995"/>
    <cellStyle name="Вычисление 2 2 14 2 9 2" xfId="37356"/>
    <cellStyle name="Вычисление 2 2 14 3" xfId="1167"/>
    <cellStyle name="Вычисление 2 2 14 3 2" xfId="2477"/>
    <cellStyle name="Вычисление 2 2 14 3 2 2" xfId="7713"/>
    <cellStyle name="Вычисление 2 2 14 3 2 2 2" xfId="18615"/>
    <cellStyle name="Вычисление 2 2 14 3 2 2 3" xfId="33976"/>
    <cellStyle name="Вычисление 2 2 14 3 2 3" xfId="23601"/>
    <cellStyle name="Вычисление 2 2 14 3 2 3 2" xfId="38962"/>
    <cellStyle name="Вычисление 2 2 14 3 2 4" xfId="13052"/>
    <cellStyle name="Вычисление 2 2 14 3 2 5" xfId="28552"/>
    <cellStyle name="Вычисление 2 2 14 3 3" xfId="5187"/>
    <cellStyle name="Вычисление 2 2 14 3 3 2" xfId="10370"/>
    <cellStyle name="Вычисление 2 2 14 3 3 2 2" xfId="21296"/>
    <cellStyle name="Вычисление 2 2 14 3 3 2 3" xfId="36657"/>
    <cellStyle name="Вычисление 2 2 14 3 3 3" xfId="26257"/>
    <cellStyle name="Вычисление 2 2 14 3 3 3 2" xfId="41618"/>
    <cellStyle name="Вычисление 2 2 14 3 3 4" xfId="15733"/>
    <cellStyle name="Вычисление 2 2 14 3 3 5" xfId="31208"/>
    <cellStyle name="Вычисление 2 2 14 3 4" xfId="6421"/>
    <cellStyle name="Вычисление 2 2 14 3 4 2" xfId="16441"/>
    <cellStyle name="Вычисление 2 2 14 3 4 3" xfId="31908"/>
    <cellStyle name="Вычисление 2 2 14 3 5" xfId="22309"/>
    <cellStyle name="Вычисление 2 2 14 3 5 2" xfId="37670"/>
    <cellStyle name="Вычисление 2 2 14 3 6" xfId="11748"/>
    <cellStyle name="Вычисление 2 2 14 3 7" xfId="27260"/>
    <cellStyle name="Вычисление 2 2 14 4" xfId="1252"/>
    <cellStyle name="Вычисление 2 2 14 4 2" xfId="6505"/>
    <cellStyle name="Вычисление 2 2 14 4 2 2" xfId="16356"/>
    <cellStyle name="Вычисление 2 2 14 4 2 3" xfId="31823"/>
    <cellStyle name="Вычисление 2 2 14 4 3" xfId="22393"/>
    <cellStyle name="Вычисление 2 2 14 4 3 2" xfId="37754"/>
    <cellStyle name="Вычисление 2 2 14 4 4" xfId="11833"/>
    <cellStyle name="Вычисление 2 2 14 4 5" xfId="27344"/>
    <cellStyle name="Вычисление 2 2 14 5" xfId="2971"/>
    <cellStyle name="Вычисление 2 2 14 5 2" xfId="8172"/>
    <cellStyle name="Вычисление 2 2 14 5 2 2" xfId="19092"/>
    <cellStyle name="Вычисление 2 2 14 5 2 3" xfId="34453"/>
    <cellStyle name="Вычисление 2 2 14 5 3" xfId="24060"/>
    <cellStyle name="Вычисление 2 2 14 5 3 2" xfId="39421"/>
    <cellStyle name="Вычисление 2 2 14 5 4" xfId="13529"/>
    <cellStyle name="Вычисление 2 2 14 5 5" xfId="29011"/>
    <cellStyle name="Вычисление 2 2 14 6" xfId="2055"/>
    <cellStyle name="Вычисление 2 2 14 6 2" xfId="7291"/>
    <cellStyle name="Вычисление 2 2 14 6 2 2" xfId="18193"/>
    <cellStyle name="Вычисление 2 2 14 6 2 3" xfId="33554"/>
    <cellStyle name="Вычисление 2 2 14 6 3" xfId="23179"/>
    <cellStyle name="Вычисление 2 2 14 6 3 2" xfId="38540"/>
    <cellStyle name="Вычисление 2 2 14 6 4" xfId="12630"/>
    <cellStyle name="Вычисление 2 2 14 6 5" xfId="28130"/>
    <cellStyle name="Вычисление 2 2 14 7" xfId="3891"/>
    <cellStyle name="Вычисление 2 2 14 7 2" xfId="9078"/>
    <cellStyle name="Вычисление 2 2 14 7 2 2" xfId="20005"/>
    <cellStyle name="Вычисление 2 2 14 7 2 3" xfId="35366"/>
    <cellStyle name="Вычисление 2 2 14 7 3" xfId="24966"/>
    <cellStyle name="Вычисление 2 2 14 7 3 2" xfId="40327"/>
    <cellStyle name="Вычисление 2 2 14 7 4" xfId="14442"/>
    <cellStyle name="Вычисление 2 2 14 7 5" xfId="29917"/>
    <cellStyle name="Вычисление 2 2 14 8" xfId="4434"/>
    <cellStyle name="Вычисление 2 2 14 8 2" xfId="9621"/>
    <cellStyle name="Вычисление 2 2 14 8 2 2" xfId="20548"/>
    <cellStyle name="Вычисление 2 2 14 8 2 3" xfId="35909"/>
    <cellStyle name="Вычисление 2 2 14 8 3" xfId="25509"/>
    <cellStyle name="Вычисление 2 2 14 8 3 2" xfId="40870"/>
    <cellStyle name="Вычисление 2 2 14 8 4" xfId="14985"/>
    <cellStyle name="Вычисление 2 2 14 8 5" xfId="30460"/>
    <cellStyle name="Вычисление 2 2 14 9" xfId="5741"/>
    <cellStyle name="Вычисление 2 2 14 9 2" xfId="17150"/>
    <cellStyle name="Вычисление 2 2 14 9 3" xfId="32617"/>
    <cellStyle name="Вычисление 2 2 15" xfId="351"/>
    <cellStyle name="Вычисление 2 2 15 10" xfId="17440"/>
    <cellStyle name="Вычисление 2 2 15 10 2" xfId="32907"/>
    <cellStyle name="Вычисление 2 2 15 11" xfId="11037"/>
    <cellStyle name="Вычисление 2 2 15 12" xfId="10865"/>
    <cellStyle name="Вычисление 2 2 15 2" xfId="844"/>
    <cellStyle name="Вычисление 2 2 15 2 10" xfId="11428"/>
    <cellStyle name="Вычисление 2 2 15 2 11" xfId="26945"/>
    <cellStyle name="Вычисление 2 2 15 2 2" xfId="1518"/>
    <cellStyle name="Вычисление 2 2 15 2 2 2" xfId="1887"/>
    <cellStyle name="Вычисление 2 2 15 2 2 2 2" xfId="7126"/>
    <cellStyle name="Вычисление 2 2 15 2 2 2 2 2" xfId="18028"/>
    <cellStyle name="Вычисление 2 2 15 2 2 2 2 3" xfId="33389"/>
    <cellStyle name="Вычисление 2 2 15 2 2 2 3" xfId="23014"/>
    <cellStyle name="Вычисление 2 2 15 2 2 2 3 2" xfId="38375"/>
    <cellStyle name="Вычисление 2 2 15 2 2 2 4" xfId="12465"/>
    <cellStyle name="Вычисление 2 2 15 2 2 2 5" xfId="27965"/>
    <cellStyle name="Вычисление 2 2 15 2 2 3" xfId="5188"/>
    <cellStyle name="Вычисление 2 2 15 2 2 3 2" xfId="10371"/>
    <cellStyle name="Вычисление 2 2 15 2 2 3 2 2" xfId="21297"/>
    <cellStyle name="Вычисление 2 2 15 2 2 3 2 3" xfId="36658"/>
    <cellStyle name="Вычисление 2 2 15 2 2 3 3" xfId="26258"/>
    <cellStyle name="Вычисление 2 2 15 2 2 3 3 2" xfId="41619"/>
    <cellStyle name="Вычисление 2 2 15 2 2 3 4" xfId="15734"/>
    <cellStyle name="Вычисление 2 2 15 2 2 3 5" xfId="31209"/>
    <cellStyle name="Вычисление 2 2 15 2 2 4" xfId="6765"/>
    <cellStyle name="Вычисление 2 2 15 2 2 4 2" xfId="17660"/>
    <cellStyle name="Вычисление 2 2 15 2 2 4 3" xfId="33021"/>
    <cellStyle name="Вычисление 2 2 15 2 2 5" xfId="22653"/>
    <cellStyle name="Вычисление 2 2 15 2 2 5 2" xfId="38014"/>
    <cellStyle name="Вычисление 2 2 15 2 2 6" xfId="12096"/>
    <cellStyle name="Вычисление 2 2 15 2 2 7" xfId="27604"/>
    <cellStyle name="Вычисление 2 2 15 2 3" xfId="2250"/>
    <cellStyle name="Вычисление 2 2 15 2 3 2" xfId="7486"/>
    <cellStyle name="Вычисление 2 2 15 2 3 2 2" xfId="18388"/>
    <cellStyle name="Вычисление 2 2 15 2 3 2 3" xfId="33749"/>
    <cellStyle name="Вычисление 2 2 15 2 3 3" xfId="23374"/>
    <cellStyle name="Вычисление 2 2 15 2 3 3 2" xfId="38735"/>
    <cellStyle name="Вычисление 2 2 15 2 3 4" xfId="12825"/>
    <cellStyle name="Вычисление 2 2 15 2 3 5" xfId="28325"/>
    <cellStyle name="Вычисление 2 2 15 2 4" xfId="2596"/>
    <cellStyle name="Вычисление 2 2 15 2 4 2" xfId="7829"/>
    <cellStyle name="Вычисление 2 2 15 2 4 2 2" xfId="18731"/>
    <cellStyle name="Вычисление 2 2 15 2 4 2 3" xfId="34092"/>
    <cellStyle name="Вычисление 2 2 15 2 4 3" xfId="23717"/>
    <cellStyle name="Вычисление 2 2 15 2 4 3 2" xfId="39078"/>
    <cellStyle name="Вычисление 2 2 15 2 4 4" xfId="13168"/>
    <cellStyle name="Вычисление 2 2 15 2 4 5" xfId="28668"/>
    <cellStyle name="Вычисление 2 2 15 2 5" xfId="3775"/>
    <cellStyle name="Вычисление 2 2 15 2 5 2" xfId="8962"/>
    <cellStyle name="Вычисление 2 2 15 2 5 2 2" xfId="19889"/>
    <cellStyle name="Вычисление 2 2 15 2 5 2 3" xfId="35250"/>
    <cellStyle name="Вычисление 2 2 15 2 5 3" xfId="24850"/>
    <cellStyle name="Вычисление 2 2 15 2 5 3 2" xfId="40211"/>
    <cellStyle name="Вычисление 2 2 15 2 5 4" xfId="14326"/>
    <cellStyle name="Вычисление 2 2 15 2 5 5" xfId="29801"/>
    <cellStyle name="Вычисление 2 2 15 2 6" xfId="4298"/>
    <cellStyle name="Вычисление 2 2 15 2 6 2" xfId="9485"/>
    <cellStyle name="Вычисление 2 2 15 2 6 2 2" xfId="20412"/>
    <cellStyle name="Вычисление 2 2 15 2 6 2 3" xfId="35773"/>
    <cellStyle name="Вычисление 2 2 15 2 6 3" xfId="25373"/>
    <cellStyle name="Вычисление 2 2 15 2 6 3 2" xfId="40734"/>
    <cellStyle name="Вычисление 2 2 15 2 6 4" xfId="14849"/>
    <cellStyle name="Вычисление 2 2 15 2 6 5" xfId="30324"/>
    <cellStyle name="Вычисление 2 2 15 2 7" xfId="4531"/>
    <cellStyle name="Вычисление 2 2 15 2 7 2" xfId="9718"/>
    <cellStyle name="Вычисление 2 2 15 2 7 2 2" xfId="20645"/>
    <cellStyle name="Вычисление 2 2 15 2 7 2 3" xfId="36006"/>
    <cellStyle name="Вычисление 2 2 15 2 7 3" xfId="25606"/>
    <cellStyle name="Вычисление 2 2 15 2 7 3 2" xfId="40967"/>
    <cellStyle name="Вычисление 2 2 15 2 7 4" xfId="15082"/>
    <cellStyle name="Вычисление 2 2 15 2 7 5" xfId="30557"/>
    <cellStyle name="Вычисление 2 2 15 2 8" xfId="6106"/>
    <cellStyle name="Вычисление 2 2 15 2 8 2" xfId="16761"/>
    <cellStyle name="Вычисление 2 2 15 2 8 3" xfId="32228"/>
    <cellStyle name="Вычисление 2 2 15 2 9" xfId="21994"/>
    <cellStyle name="Вычисление 2 2 15 2 9 2" xfId="37355"/>
    <cellStyle name="Вычисление 2 2 15 3" xfId="1475"/>
    <cellStyle name="Вычисление 2 2 15 3 2" xfId="1642"/>
    <cellStyle name="Вычисление 2 2 15 3 2 2" xfId="6888"/>
    <cellStyle name="Вычисление 2 2 15 3 2 2 2" xfId="17784"/>
    <cellStyle name="Вычисление 2 2 15 3 2 2 3" xfId="33145"/>
    <cellStyle name="Вычисление 2 2 15 3 2 3" xfId="22776"/>
    <cellStyle name="Вычисление 2 2 15 3 2 3 2" xfId="38137"/>
    <cellStyle name="Вычисление 2 2 15 3 2 4" xfId="12220"/>
    <cellStyle name="Вычисление 2 2 15 3 2 5" xfId="27727"/>
    <cellStyle name="Вычисление 2 2 15 3 3" xfId="5189"/>
    <cellStyle name="Вычисление 2 2 15 3 3 2" xfId="10372"/>
    <cellStyle name="Вычисление 2 2 15 3 3 2 2" xfId="21298"/>
    <cellStyle name="Вычисление 2 2 15 3 3 2 3" xfId="36659"/>
    <cellStyle name="Вычисление 2 2 15 3 3 3" xfId="26259"/>
    <cellStyle name="Вычисление 2 2 15 3 3 3 2" xfId="41620"/>
    <cellStyle name="Вычисление 2 2 15 3 3 4" xfId="15735"/>
    <cellStyle name="Вычисление 2 2 15 3 3 5" xfId="31210"/>
    <cellStyle name="Вычисление 2 2 15 3 4" xfId="6722"/>
    <cellStyle name="Вычисление 2 2 15 3 4 2" xfId="16136"/>
    <cellStyle name="Вычисление 2 2 15 3 4 3" xfId="31603"/>
    <cellStyle name="Вычисление 2 2 15 3 5" xfId="22610"/>
    <cellStyle name="Вычисление 2 2 15 3 5 2" xfId="37971"/>
    <cellStyle name="Вычисление 2 2 15 3 6" xfId="12053"/>
    <cellStyle name="Вычисление 2 2 15 3 7" xfId="27561"/>
    <cellStyle name="Вычисление 2 2 15 4" xfId="1101"/>
    <cellStyle name="Вычисление 2 2 15 4 2" xfId="6357"/>
    <cellStyle name="Вычисление 2 2 15 4 2 2" xfId="16506"/>
    <cellStyle name="Вычисление 2 2 15 4 2 3" xfId="31973"/>
    <cellStyle name="Вычисление 2 2 15 4 3" xfId="22245"/>
    <cellStyle name="Вычисление 2 2 15 4 3 2" xfId="37606"/>
    <cellStyle name="Вычисление 2 2 15 4 4" xfId="11683"/>
    <cellStyle name="Вычисление 2 2 15 4 5" xfId="27196"/>
    <cellStyle name="Вычисление 2 2 15 5" xfId="2970"/>
    <cellStyle name="Вычисление 2 2 15 5 2" xfId="8171"/>
    <cellStyle name="Вычисление 2 2 15 5 2 2" xfId="19091"/>
    <cellStyle name="Вычисление 2 2 15 5 2 3" xfId="34452"/>
    <cellStyle name="Вычисление 2 2 15 5 3" xfId="24059"/>
    <cellStyle name="Вычисление 2 2 15 5 3 2" xfId="39420"/>
    <cellStyle name="Вычисление 2 2 15 5 4" xfId="13528"/>
    <cellStyle name="Вычисление 2 2 15 5 5" xfId="29010"/>
    <cellStyle name="Вычисление 2 2 15 6" xfId="3415"/>
    <cellStyle name="Вычисление 2 2 15 6 2" xfId="8609"/>
    <cellStyle name="Вычисление 2 2 15 6 2 2" xfId="19536"/>
    <cellStyle name="Вычисление 2 2 15 6 2 3" xfId="34897"/>
    <cellStyle name="Вычисление 2 2 15 6 3" xfId="24497"/>
    <cellStyle name="Вычисление 2 2 15 6 3 2" xfId="39858"/>
    <cellStyle name="Вычисление 2 2 15 6 4" xfId="13973"/>
    <cellStyle name="Вычисление 2 2 15 6 5" xfId="29448"/>
    <cellStyle name="Вычисление 2 2 15 7" xfId="3906"/>
    <cellStyle name="Вычисление 2 2 15 7 2" xfId="9093"/>
    <cellStyle name="Вычисление 2 2 15 7 2 2" xfId="20020"/>
    <cellStyle name="Вычисление 2 2 15 7 2 3" xfId="35381"/>
    <cellStyle name="Вычисление 2 2 15 7 3" xfId="24981"/>
    <cellStyle name="Вычисление 2 2 15 7 3 2" xfId="40342"/>
    <cellStyle name="Вычисление 2 2 15 7 4" xfId="14457"/>
    <cellStyle name="Вычисление 2 2 15 7 5" xfId="29932"/>
    <cellStyle name="Вычисление 2 2 15 8" xfId="4422"/>
    <cellStyle name="Вычисление 2 2 15 8 2" xfId="9609"/>
    <cellStyle name="Вычисление 2 2 15 8 2 2" xfId="20536"/>
    <cellStyle name="Вычисление 2 2 15 8 2 3" xfId="35897"/>
    <cellStyle name="Вычисление 2 2 15 8 3" xfId="25497"/>
    <cellStyle name="Вычисление 2 2 15 8 3 2" xfId="40858"/>
    <cellStyle name="Вычисление 2 2 15 8 4" xfId="14973"/>
    <cellStyle name="Вычисление 2 2 15 8 5" xfId="30448"/>
    <cellStyle name="Вычисление 2 2 15 9" xfId="5742"/>
    <cellStyle name="Вычисление 2 2 15 9 2" xfId="17149"/>
    <cellStyle name="Вычисление 2 2 15 9 3" xfId="32616"/>
    <cellStyle name="Вычисление 2 2 16" xfId="352"/>
    <cellStyle name="Вычисление 2 2 16 10" xfId="17441"/>
    <cellStyle name="Вычисление 2 2 16 10 2" xfId="32908"/>
    <cellStyle name="Вычисление 2 2 16 11" xfId="11038"/>
    <cellStyle name="Вычисление 2 2 16 12" xfId="10864"/>
    <cellStyle name="Вычисление 2 2 16 2" xfId="843"/>
    <cellStyle name="Вычисление 2 2 16 2 10" xfId="11427"/>
    <cellStyle name="Вычисление 2 2 16 2 11" xfId="26944"/>
    <cellStyle name="Вычисление 2 2 16 2 2" xfId="1054"/>
    <cellStyle name="Вычисление 2 2 16 2 2 2" xfId="2726"/>
    <cellStyle name="Вычисление 2 2 16 2 2 2 2" xfId="7955"/>
    <cellStyle name="Вычисление 2 2 16 2 2 2 2 2" xfId="18859"/>
    <cellStyle name="Вычисление 2 2 16 2 2 2 2 3" xfId="34220"/>
    <cellStyle name="Вычисление 2 2 16 2 2 2 3" xfId="23843"/>
    <cellStyle name="Вычисление 2 2 16 2 2 2 3 2" xfId="39204"/>
    <cellStyle name="Вычисление 2 2 16 2 2 2 4" xfId="13296"/>
    <cellStyle name="Вычисление 2 2 16 2 2 2 5" xfId="28794"/>
    <cellStyle name="Вычисление 2 2 16 2 2 3" xfId="5190"/>
    <cellStyle name="Вычисление 2 2 16 2 2 3 2" xfId="10373"/>
    <cellStyle name="Вычисление 2 2 16 2 2 3 2 2" xfId="21299"/>
    <cellStyle name="Вычисление 2 2 16 2 2 3 2 3" xfId="36660"/>
    <cellStyle name="Вычисление 2 2 16 2 2 3 3" xfId="26260"/>
    <cellStyle name="Вычисление 2 2 16 2 2 3 3 2" xfId="41621"/>
    <cellStyle name="Вычисление 2 2 16 2 2 3 4" xfId="15736"/>
    <cellStyle name="Вычисление 2 2 16 2 2 3 5" xfId="31211"/>
    <cellStyle name="Вычисление 2 2 16 2 2 4" xfId="6311"/>
    <cellStyle name="Вычисление 2 2 16 2 2 4 2" xfId="16553"/>
    <cellStyle name="Вычисление 2 2 16 2 2 4 3" xfId="32020"/>
    <cellStyle name="Вычисление 2 2 16 2 2 5" xfId="22199"/>
    <cellStyle name="Вычисление 2 2 16 2 2 5 2" xfId="37560"/>
    <cellStyle name="Вычисление 2 2 16 2 2 6" xfId="11636"/>
    <cellStyle name="Вычисление 2 2 16 2 2 7" xfId="27150"/>
    <cellStyle name="Вычисление 2 2 16 2 3" xfId="2249"/>
    <cellStyle name="Вычисление 2 2 16 2 3 2" xfId="7485"/>
    <cellStyle name="Вычисление 2 2 16 2 3 2 2" xfId="18387"/>
    <cellStyle name="Вычисление 2 2 16 2 3 2 3" xfId="33748"/>
    <cellStyle name="Вычисление 2 2 16 2 3 3" xfId="23373"/>
    <cellStyle name="Вычисление 2 2 16 2 3 3 2" xfId="38734"/>
    <cellStyle name="Вычисление 2 2 16 2 3 4" xfId="12824"/>
    <cellStyle name="Вычисление 2 2 16 2 3 5" xfId="28324"/>
    <cellStyle name="Вычисление 2 2 16 2 4" xfId="2900"/>
    <cellStyle name="Вычисление 2 2 16 2 4 2" xfId="8107"/>
    <cellStyle name="Вычисление 2 2 16 2 4 2 2" xfId="19027"/>
    <cellStyle name="Вычисление 2 2 16 2 4 2 3" xfId="34388"/>
    <cellStyle name="Вычисление 2 2 16 2 4 3" xfId="23995"/>
    <cellStyle name="Вычисление 2 2 16 2 4 3 2" xfId="39356"/>
    <cellStyle name="Вычисление 2 2 16 2 4 4" xfId="13464"/>
    <cellStyle name="Вычисление 2 2 16 2 4 5" xfId="28946"/>
    <cellStyle name="Вычисление 2 2 16 2 5" xfId="3647"/>
    <cellStyle name="Вычисление 2 2 16 2 5 2" xfId="8834"/>
    <cellStyle name="Вычисление 2 2 16 2 5 2 2" xfId="19761"/>
    <cellStyle name="Вычисление 2 2 16 2 5 2 3" xfId="35122"/>
    <cellStyle name="Вычисление 2 2 16 2 5 3" xfId="24722"/>
    <cellStyle name="Вычисление 2 2 16 2 5 3 2" xfId="40083"/>
    <cellStyle name="Вычисление 2 2 16 2 5 4" xfId="14198"/>
    <cellStyle name="Вычисление 2 2 16 2 5 5" xfId="29673"/>
    <cellStyle name="Вычисление 2 2 16 2 6" xfId="4297"/>
    <cellStyle name="Вычисление 2 2 16 2 6 2" xfId="9484"/>
    <cellStyle name="Вычисление 2 2 16 2 6 2 2" xfId="20411"/>
    <cellStyle name="Вычисление 2 2 16 2 6 2 3" xfId="35772"/>
    <cellStyle name="Вычисление 2 2 16 2 6 3" xfId="25372"/>
    <cellStyle name="Вычисление 2 2 16 2 6 3 2" xfId="40733"/>
    <cellStyle name="Вычисление 2 2 16 2 6 4" xfId="14848"/>
    <cellStyle name="Вычисление 2 2 16 2 6 5" xfId="30323"/>
    <cellStyle name="Вычисление 2 2 16 2 7" xfId="4532"/>
    <cellStyle name="Вычисление 2 2 16 2 7 2" xfId="9719"/>
    <cellStyle name="Вычисление 2 2 16 2 7 2 2" xfId="20646"/>
    <cellStyle name="Вычисление 2 2 16 2 7 2 3" xfId="36007"/>
    <cellStyle name="Вычисление 2 2 16 2 7 3" xfId="25607"/>
    <cellStyle name="Вычисление 2 2 16 2 7 3 2" xfId="40968"/>
    <cellStyle name="Вычисление 2 2 16 2 7 4" xfId="15083"/>
    <cellStyle name="Вычисление 2 2 16 2 7 5" xfId="30558"/>
    <cellStyle name="Вычисление 2 2 16 2 8" xfId="6105"/>
    <cellStyle name="Вычисление 2 2 16 2 8 2" xfId="16762"/>
    <cellStyle name="Вычисление 2 2 16 2 8 3" xfId="32229"/>
    <cellStyle name="Вычисление 2 2 16 2 9" xfId="21993"/>
    <cellStyle name="Вычисление 2 2 16 2 9 2" xfId="37354"/>
    <cellStyle name="Вычисление 2 2 16 3" xfId="1024"/>
    <cellStyle name="Вычисление 2 2 16 3 2" xfId="1015"/>
    <cellStyle name="Вычисление 2 2 16 3 2 2" xfId="6273"/>
    <cellStyle name="Вычисление 2 2 16 3 2 2 2" xfId="16591"/>
    <cellStyle name="Вычисление 2 2 16 3 2 2 3" xfId="32058"/>
    <cellStyle name="Вычисление 2 2 16 3 2 3" xfId="22161"/>
    <cellStyle name="Вычисление 2 2 16 3 2 3 2" xfId="37522"/>
    <cellStyle name="Вычисление 2 2 16 3 2 4" xfId="11598"/>
    <cellStyle name="Вычисление 2 2 16 3 2 5" xfId="27112"/>
    <cellStyle name="Вычисление 2 2 16 3 3" xfId="5191"/>
    <cellStyle name="Вычисление 2 2 16 3 3 2" xfId="10374"/>
    <cellStyle name="Вычисление 2 2 16 3 3 2 2" xfId="21300"/>
    <cellStyle name="Вычисление 2 2 16 3 3 2 3" xfId="36661"/>
    <cellStyle name="Вычисление 2 2 16 3 3 3" xfId="26261"/>
    <cellStyle name="Вычисление 2 2 16 3 3 3 2" xfId="41622"/>
    <cellStyle name="Вычисление 2 2 16 3 3 4" xfId="15737"/>
    <cellStyle name="Вычисление 2 2 16 3 3 5" xfId="31212"/>
    <cellStyle name="Вычисление 2 2 16 3 4" xfId="6282"/>
    <cellStyle name="Вычисление 2 2 16 3 4 2" xfId="16582"/>
    <cellStyle name="Вычисление 2 2 16 3 4 3" xfId="32049"/>
    <cellStyle name="Вычисление 2 2 16 3 5" xfId="22170"/>
    <cellStyle name="Вычисление 2 2 16 3 5 2" xfId="37531"/>
    <cellStyle name="Вычисление 2 2 16 3 6" xfId="11607"/>
    <cellStyle name="Вычисление 2 2 16 3 7" xfId="27121"/>
    <cellStyle name="Вычисление 2 2 16 4" xfId="1777"/>
    <cellStyle name="Вычисление 2 2 16 4 2" xfId="7016"/>
    <cellStyle name="Вычисление 2 2 16 4 2 2" xfId="17918"/>
    <cellStyle name="Вычисление 2 2 16 4 2 3" xfId="33279"/>
    <cellStyle name="Вычисление 2 2 16 4 3" xfId="22904"/>
    <cellStyle name="Вычисление 2 2 16 4 3 2" xfId="38265"/>
    <cellStyle name="Вычисление 2 2 16 4 4" xfId="12355"/>
    <cellStyle name="Вычисление 2 2 16 4 5" xfId="27855"/>
    <cellStyle name="Вычисление 2 2 16 5" xfId="2969"/>
    <cellStyle name="Вычисление 2 2 16 5 2" xfId="8170"/>
    <cellStyle name="Вычисление 2 2 16 5 2 2" xfId="19090"/>
    <cellStyle name="Вычисление 2 2 16 5 2 3" xfId="34451"/>
    <cellStyle name="Вычисление 2 2 16 5 3" xfId="24058"/>
    <cellStyle name="Вычисление 2 2 16 5 3 2" xfId="39419"/>
    <cellStyle name="Вычисление 2 2 16 5 4" xfId="13527"/>
    <cellStyle name="Вычисление 2 2 16 5 5" xfId="29009"/>
    <cellStyle name="Вычисление 2 2 16 6" xfId="3416"/>
    <cellStyle name="Вычисление 2 2 16 6 2" xfId="8610"/>
    <cellStyle name="Вычисление 2 2 16 6 2 2" xfId="19537"/>
    <cellStyle name="Вычисление 2 2 16 6 2 3" xfId="34898"/>
    <cellStyle name="Вычисление 2 2 16 6 3" xfId="24498"/>
    <cellStyle name="Вычисление 2 2 16 6 3 2" xfId="39859"/>
    <cellStyle name="Вычисление 2 2 16 6 4" xfId="13974"/>
    <cellStyle name="Вычисление 2 2 16 6 5" xfId="29449"/>
    <cellStyle name="Вычисление 2 2 16 7" xfId="3323"/>
    <cellStyle name="Вычисление 2 2 16 7 2" xfId="8517"/>
    <cellStyle name="Вычисление 2 2 16 7 2 2" xfId="19444"/>
    <cellStyle name="Вычисление 2 2 16 7 2 3" xfId="34805"/>
    <cellStyle name="Вычисление 2 2 16 7 3" xfId="24405"/>
    <cellStyle name="Вычисление 2 2 16 7 3 2" xfId="39766"/>
    <cellStyle name="Вычисление 2 2 16 7 4" xfId="13881"/>
    <cellStyle name="Вычисление 2 2 16 7 5" xfId="29356"/>
    <cellStyle name="Вычисление 2 2 16 8" xfId="4421"/>
    <cellStyle name="Вычисление 2 2 16 8 2" xfId="9608"/>
    <cellStyle name="Вычисление 2 2 16 8 2 2" xfId="20535"/>
    <cellStyle name="Вычисление 2 2 16 8 2 3" xfId="35896"/>
    <cellStyle name="Вычисление 2 2 16 8 3" xfId="25496"/>
    <cellStyle name="Вычисление 2 2 16 8 3 2" xfId="40857"/>
    <cellStyle name="Вычисление 2 2 16 8 4" xfId="14972"/>
    <cellStyle name="Вычисление 2 2 16 8 5" xfId="30447"/>
    <cellStyle name="Вычисление 2 2 16 9" xfId="5743"/>
    <cellStyle name="Вычисление 2 2 16 9 2" xfId="17148"/>
    <cellStyle name="Вычисление 2 2 16 9 3" xfId="32615"/>
    <cellStyle name="Вычисление 2 2 17" xfId="353"/>
    <cellStyle name="Вычисление 2 2 17 10" xfId="17322"/>
    <cellStyle name="Вычисление 2 2 17 10 2" xfId="32789"/>
    <cellStyle name="Вычисление 2 2 17 11" xfId="11039"/>
    <cellStyle name="Вычисление 2 2 17 12" xfId="10745"/>
    <cellStyle name="Вычисление 2 2 17 2" xfId="842"/>
    <cellStyle name="Вычисление 2 2 17 2 10" xfId="11426"/>
    <cellStyle name="Вычисление 2 2 17 2 11" xfId="26943"/>
    <cellStyle name="Вычисление 2 2 17 2 2" xfId="1332"/>
    <cellStyle name="Вычисление 2 2 17 2 2 2" xfId="2725"/>
    <cellStyle name="Вычисление 2 2 17 2 2 2 2" xfId="7954"/>
    <cellStyle name="Вычисление 2 2 17 2 2 2 2 2" xfId="18858"/>
    <cellStyle name="Вычисление 2 2 17 2 2 2 2 3" xfId="34219"/>
    <cellStyle name="Вычисление 2 2 17 2 2 2 3" xfId="23842"/>
    <cellStyle name="Вычисление 2 2 17 2 2 2 3 2" xfId="39203"/>
    <cellStyle name="Вычисление 2 2 17 2 2 2 4" xfId="13295"/>
    <cellStyle name="Вычисление 2 2 17 2 2 2 5" xfId="28793"/>
    <cellStyle name="Вычисление 2 2 17 2 2 3" xfId="5192"/>
    <cellStyle name="Вычисление 2 2 17 2 2 3 2" xfId="10375"/>
    <cellStyle name="Вычисление 2 2 17 2 2 3 2 2" xfId="21301"/>
    <cellStyle name="Вычисление 2 2 17 2 2 3 2 3" xfId="36662"/>
    <cellStyle name="Вычисление 2 2 17 2 2 3 3" xfId="26262"/>
    <cellStyle name="Вычисление 2 2 17 2 2 3 3 2" xfId="41623"/>
    <cellStyle name="Вычисление 2 2 17 2 2 3 4" xfId="15738"/>
    <cellStyle name="Вычисление 2 2 17 2 2 3 5" xfId="31213"/>
    <cellStyle name="Вычисление 2 2 17 2 2 4" xfId="6585"/>
    <cellStyle name="Вычисление 2 2 17 2 2 4 2" xfId="16276"/>
    <cellStyle name="Вычисление 2 2 17 2 2 4 3" xfId="31743"/>
    <cellStyle name="Вычисление 2 2 17 2 2 5" xfId="22473"/>
    <cellStyle name="Вычисление 2 2 17 2 2 5 2" xfId="37834"/>
    <cellStyle name="Вычисление 2 2 17 2 2 6" xfId="11913"/>
    <cellStyle name="Вычисление 2 2 17 2 2 7" xfId="27424"/>
    <cellStyle name="Вычисление 2 2 17 2 3" xfId="2248"/>
    <cellStyle name="Вычисление 2 2 17 2 3 2" xfId="7484"/>
    <cellStyle name="Вычисление 2 2 17 2 3 2 2" xfId="18386"/>
    <cellStyle name="Вычисление 2 2 17 2 3 2 3" xfId="33747"/>
    <cellStyle name="Вычисление 2 2 17 2 3 3" xfId="23372"/>
    <cellStyle name="Вычисление 2 2 17 2 3 3 2" xfId="38733"/>
    <cellStyle name="Вычисление 2 2 17 2 3 4" xfId="12823"/>
    <cellStyle name="Вычисление 2 2 17 2 3 5" xfId="28323"/>
    <cellStyle name="Вычисление 2 2 17 2 4" xfId="2810"/>
    <cellStyle name="Вычисление 2 2 17 2 4 2" xfId="8028"/>
    <cellStyle name="Вычисление 2 2 17 2 4 2 2" xfId="18940"/>
    <cellStyle name="Вычисление 2 2 17 2 4 2 3" xfId="34301"/>
    <cellStyle name="Вычисление 2 2 17 2 4 3" xfId="23916"/>
    <cellStyle name="Вычисление 2 2 17 2 4 3 2" xfId="39277"/>
    <cellStyle name="Вычисление 2 2 17 2 4 4" xfId="13377"/>
    <cellStyle name="Вычисление 2 2 17 2 4 5" xfId="28867"/>
    <cellStyle name="Вычисление 2 2 17 2 5" xfId="3776"/>
    <cellStyle name="Вычисление 2 2 17 2 5 2" xfId="8963"/>
    <cellStyle name="Вычисление 2 2 17 2 5 2 2" xfId="19890"/>
    <cellStyle name="Вычисление 2 2 17 2 5 2 3" xfId="35251"/>
    <cellStyle name="Вычисление 2 2 17 2 5 3" xfId="24851"/>
    <cellStyle name="Вычисление 2 2 17 2 5 3 2" xfId="40212"/>
    <cellStyle name="Вычисление 2 2 17 2 5 4" xfId="14327"/>
    <cellStyle name="Вычисление 2 2 17 2 5 5" xfId="29802"/>
    <cellStyle name="Вычисление 2 2 17 2 6" xfId="4296"/>
    <cellStyle name="Вычисление 2 2 17 2 6 2" xfId="9483"/>
    <cellStyle name="Вычисление 2 2 17 2 6 2 2" xfId="20410"/>
    <cellStyle name="Вычисление 2 2 17 2 6 2 3" xfId="35771"/>
    <cellStyle name="Вычисление 2 2 17 2 6 3" xfId="25371"/>
    <cellStyle name="Вычисление 2 2 17 2 6 3 2" xfId="40732"/>
    <cellStyle name="Вычисление 2 2 17 2 6 4" xfId="14847"/>
    <cellStyle name="Вычисление 2 2 17 2 6 5" xfId="30322"/>
    <cellStyle name="Вычисление 2 2 17 2 7" xfId="4533"/>
    <cellStyle name="Вычисление 2 2 17 2 7 2" xfId="9720"/>
    <cellStyle name="Вычисление 2 2 17 2 7 2 2" xfId="20647"/>
    <cellStyle name="Вычисление 2 2 17 2 7 2 3" xfId="36008"/>
    <cellStyle name="Вычисление 2 2 17 2 7 3" xfId="25608"/>
    <cellStyle name="Вычисление 2 2 17 2 7 3 2" xfId="40969"/>
    <cellStyle name="Вычисление 2 2 17 2 7 4" xfId="15084"/>
    <cellStyle name="Вычисление 2 2 17 2 7 5" xfId="30559"/>
    <cellStyle name="Вычисление 2 2 17 2 8" xfId="6104"/>
    <cellStyle name="Вычисление 2 2 17 2 8 2" xfId="16763"/>
    <cellStyle name="Вычисление 2 2 17 2 8 3" xfId="32230"/>
    <cellStyle name="Вычисление 2 2 17 2 9" xfId="21992"/>
    <cellStyle name="Вычисление 2 2 17 2 9 2" xfId="37353"/>
    <cellStyle name="Вычисление 2 2 17 3" xfId="1524"/>
    <cellStyle name="Вычисление 2 2 17 3 2" xfId="1875"/>
    <cellStyle name="Вычисление 2 2 17 3 2 2" xfId="7114"/>
    <cellStyle name="Вычисление 2 2 17 3 2 2 2" xfId="18016"/>
    <cellStyle name="Вычисление 2 2 17 3 2 2 3" xfId="33377"/>
    <cellStyle name="Вычисление 2 2 17 3 2 3" xfId="23002"/>
    <cellStyle name="Вычисление 2 2 17 3 2 3 2" xfId="38363"/>
    <cellStyle name="Вычисление 2 2 17 3 2 4" xfId="12453"/>
    <cellStyle name="Вычисление 2 2 17 3 2 5" xfId="27953"/>
    <cellStyle name="Вычисление 2 2 17 3 3" xfId="5193"/>
    <cellStyle name="Вычисление 2 2 17 3 3 2" xfId="10376"/>
    <cellStyle name="Вычисление 2 2 17 3 3 2 2" xfId="21302"/>
    <cellStyle name="Вычисление 2 2 17 3 3 2 3" xfId="36663"/>
    <cellStyle name="Вычисление 2 2 17 3 3 3" xfId="26263"/>
    <cellStyle name="Вычисление 2 2 17 3 3 3 2" xfId="41624"/>
    <cellStyle name="Вычисление 2 2 17 3 3 4" xfId="15739"/>
    <cellStyle name="Вычисление 2 2 17 3 3 5" xfId="31214"/>
    <cellStyle name="Вычисление 2 2 17 3 4" xfId="6771"/>
    <cellStyle name="Вычисление 2 2 17 3 4 2" xfId="17666"/>
    <cellStyle name="Вычисление 2 2 17 3 4 3" xfId="33027"/>
    <cellStyle name="Вычисление 2 2 17 3 5" xfId="22659"/>
    <cellStyle name="Вычисление 2 2 17 3 5 2" xfId="38020"/>
    <cellStyle name="Вычисление 2 2 17 3 6" xfId="12102"/>
    <cellStyle name="Вычисление 2 2 17 3 7" xfId="27610"/>
    <cellStyle name="Вычисление 2 2 17 4" xfId="1172"/>
    <cellStyle name="Вычисление 2 2 17 4 2" xfId="6426"/>
    <cellStyle name="Вычисление 2 2 17 4 2 2" xfId="16436"/>
    <cellStyle name="Вычисление 2 2 17 4 2 3" xfId="31903"/>
    <cellStyle name="Вычисление 2 2 17 4 3" xfId="22314"/>
    <cellStyle name="Вычисление 2 2 17 4 3 2" xfId="37675"/>
    <cellStyle name="Вычисление 2 2 17 4 4" xfId="11753"/>
    <cellStyle name="Вычисление 2 2 17 4 5" xfId="27265"/>
    <cellStyle name="Вычисление 2 2 17 5" xfId="2968"/>
    <cellStyle name="Вычисление 2 2 17 5 2" xfId="8169"/>
    <cellStyle name="Вычисление 2 2 17 5 2 2" xfId="19089"/>
    <cellStyle name="Вычисление 2 2 17 5 2 3" xfId="34450"/>
    <cellStyle name="Вычисление 2 2 17 5 3" xfId="24057"/>
    <cellStyle name="Вычисление 2 2 17 5 3 2" xfId="39418"/>
    <cellStyle name="Вычисление 2 2 17 5 4" xfId="13526"/>
    <cellStyle name="Вычисление 2 2 17 5 5" xfId="29008"/>
    <cellStyle name="Вычисление 2 2 17 6" xfId="3853"/>
    <cellStyle name="Вычисление 2 2 17 6 2" xfId="9040"/>
    <cellStyle name="Вычисление 2 2 17 6 2 2" xfId="19967"/>
    <cellStyle name="Вычисление 2 2 17 6 2 3" xfId="35328"/>
    <cellStyle name="Вычисление 2 2 17 6 3" xfId="24928"/>
    <cellStyle name="Вычисление 2 2 17 6 3 2" xfId="40289"/>
    <cellStyle name="Вычисление 2 2 17 6 4" xfId="14404"/>
    <cellStyle name="Вычисление 2 2 17 6 5" xfId="29879"/>
    <cellStyle name="Вычисление 2 2 17 7" xfId="3285"/>
    <cellStyle name="Вычисление 2 2 17 7 2" xfId="8479"/>
    <cellStyle name="Вычисление 2 2 17 7 2 2" xfId="19406"/>
    <cellStyle name="Вычисление 2 2 17 7 2 3" xfId="34767"/>
    <cellStyle name="Вычисление 2 2 17 7 3" xfId="24367"/>
    <cellStyle name="Вычисление 2 2 17 7 3 2" xfId="39728"/>
    <cellStyle name="Вычисление 2 2 17 7 4" xfId="13843"/>
    <cellStyle name="Вычисление 2 2 17 7 5" xfId="29318"/>
    <cellStyle name="Вычисление 2 2 17 8" xfId="4753"/>
    <cellStyle name="Вычисление 2 2 17 8 2" xfId="9940"/>
    <cellStyle name="Вычисление 2 2 17 8 2 2" xfId="20867"/>
    <cellStyle name="Вычисление 2 2 17 8 2 3" xfId="36228"/>
    <cellStyle name="Вычисление 2 2 17 8 3" xfId="25828"/>
    <cellStyle name="Вычисление 2 2 17 8 3 2" xfId="41189"/>
    <cellStyle name="Вычисление 2 2 17 8 4" xfId="15304"/>
    <cellStyle name="Вычисление 2 2 17 8 5" xfId="30779"/>
    <cellStyle name="Вычисление 2 2 17 9" xfId="5744"/>
    <cellStyle name="Вычисление 2 2 17 9 2" xfId="17147"/>
    <cellStyle name="Вычисление 2 2 17 9 3" xfId="32614"/>
    <cellStyle name="Вычисление 2 2 18" xfId="354"/>
    <cellStyle name="Вычисление 2 2 18 10" xfId="17323"/>
    <cellStyle name="Вычисление 2 2 18 10 2" xfId="32790"/>
    <cellStyle name="Вычисление 2 2 18 11" xfId="11040"/>
    <cellStyle name="Вычисление 2 2 18 12" xfId="10744"/>
    <cellStyle name="Вычисление 2 2 18 2" xfId="841"/>
    <cellStyle name="Вычисление 2 2 18 2 10" xfId="11425"/>
    <cellStyle name="Вычисление 2 2 18 2 11" xfId="26942"/>
    <cellStyle name="Вычисление 2 2 18 2 2" xfId="1270"/>
    <cellStyle name="Вычисление 2 2 18 2 2 2" xfId="2724"/>
    <cellStyle name="Вычисление 2 2 18 2 2 2 2" xfId="7953"/>
    <cellStyle name="Вычисление 2 2 18 2 2 2 2 2" xfId="18857"/>
    <cellStyle name="Вычисление 2 2 18 2 2 2 2 3" xfId="34218"/>
    <cellStyle name="Вычисление 2 2 18 2 2 2 3" xfId="23841"/>
    <cellStyle name="Вычисление 2 2 18 2 2 2 3 2" xfId="39202"/>
    <cellStyle name="Вычисление 2 2 18 2 2 2 4" xfId="13294"/>
    <cellStyle name="Вычисление 2 2 18 2 2 2 5" xfId="28792"/>
    <cellStyle name="Вычисление 2 2 18 2 2 3" xfId="5194"/>
    <cellStyle name="Вычисление 2 2 18 2 2 3 2" xfId="10377"/>
    <cellStyle name="Вычисление 2 2 18 2 2 3 2 2" xfId="21303"/>
    <cellStyle name="Вычисление 2 2 18 2 2 3 2 3" xfId="36664"/>
    <cellStyle name="Вычисление 2 2 18 2 2 3 3" xfId="26264"/>
    <cellStyle name="Вычисление 2 2 18 2 2 3 3 2" xfId="41625"/>
    <cellStyle name="Вычисление 2 2 18 2 2 3 4" xfId="15740"/>
    <cellStyle name="Вычисление 2 2 18 2 2 3 5" xfId="31215"/>
    <cellStyle name="Вычисление 2 2 18 2 2 4" xfId="6523"/>
    <cellStyle name="Вычисление 2 2 18 2 2 4 2" xfId="16338"/>
    <cellStyle name="Вычисление 2 2 18 2 2 4 3" xfId="31805"/>
    <cellStyle name="Вычисление 2 2 18 2 2 5" xfId="22411"/>
    <cellStyle name="Вычисление 2 2 18 2 2 5 2" xfId="37772"/>
    <cellStyle name="Вычисление 2 2 18 2 2 6" xfId="11851"/>
    <cellStyle name="Вычисление 2 2 18 2 2 7" xfId="27362"/>
    <cellStyle name="Вычисление 2 2 18 2 3" xfId="2247"/>
    <cellStyle name="Вычисление 2 2 18 2 3 2" xfId="7483"/>
    <cellStyle name="Вычисление 2 2 18 2 3 2 2" xfId="18385"/>
    <cellStyle name="Вычисление 2 2 18 2 3 2 3" xfId="33746"/>
    <cellStyle name="Вычисление 2 2 18 2 3 3" xfId="23371"/>
    <cellStyle name="Вычисление 2 2 18 2 3 3 2" xfId="38732"/>
    <cellStyle name="Вычисление 2 2 18 2 3 4" xfId="12822"/>
    <cellStyle name="Вычисление 2 2 18 2 3 5" xfId="28322"/>
    <cellStyle name="Вычисление 2 2 18 2 4" xfId="1016"/>
    <cellStyle name="Вычисление 2 2 18 2 4 2" xfId="6274"/>
    <cellStyle name="Вычисление 2 2 18 2 4 2 2" xfId="16590"/>
    <cellStyle name="Вычисление 2 2 18 2 4 2 3" xfId="32057"/>
    <cellStyle name="Вычисление 2 2 18 2 4 3" xfId="22162"/>
    <cellStyle name="Вычисление 2 2 18 2 4 3 2" xfId="37523"/>
    <cellStyle name="Вычисление 2 2 18 2 4 4" xfId="11599"/>
    <cellStyle name="Вычисление 2 2 18 2 4 5" xfId="27113"/>
    <cellStyle name="Вычисление 2 2 18 2 5" xfId="3646"/>
    <cellStyle name="Вычисление 2 2 18 2 5 2" xfId="8833"/>
    <cellStyle name="Вычисление 2 2 18 2 5 2 2" xfId="19760"/>
    <cellStyle name="Вычисление 2 2 18 2 5 2 3" xfId="35121"/>
    <cellStyle name="Вычисление 2 2 18 2 5 3" xfId="24721"/>
    <cellStyle name="Вычисление 2 2 18 2 5 3 2" xfId="40082"/>
    <cellStyle name="Вычисление 2 2 18 2 5 4" xfId="14197"/>
    <cellStyle name="Вычисление 2 2 18 2 5 5" xfId="29672"/>
    <cellStyle name="Вычисление 2 2 18 2 6" xfId="4295"/>
    <cellStyle name="Вычисление 2 2 18 2 6 2" xfId="9482"/>
    <cellStyle name="Вычисление 2 2 18 2 6 2 2" xfId="20409"/>
    <cellStyle name="Вычисление 2 2 18 2 6 2 3" xfId="35770"/>
    <cellStyle name="Вычисление 2 2 18 2 6 3" xfId="25370"/>
    <cellStyle name="Вычисление 2 2 18 2 6 3 2" xfId="40731"/>
    <cellStyle name="Вычисление 2 2 18 2 6 4" xfId="14846"/>
    <cellStyle name="Вычисление 2 2 18 2 6 5" xfId="30321"/>
    <cellStyle name="Вычисление 2 2 18 2 7" xfId="4534"/>
    <cellStyle name="Вычисление 2 2 18 2 7 2" xfId="9721"/>
    <cellStyle name="Вычисление 2 2 18 2 7 2 2" xfId="20648"/>
    <cellStyle name="Вычисление 2 2 18 2 7 2 3" xfId="36009"/>
    <cellStyle name="Вычисление 2 2 18 2 7 3" xfId="25609"/>
    <cellStyle name="Вычисление 2 2 18 2 7 3 2" xfId="40970"/>
    <cellStyle name="Вычисление 2 2 18 2 7 4" xfId="15085"/>
    <cellStyle name="Вычисление 2 2 18 2 7 5" xfId="30560"/>
    <cellStyle name="Вычисление 2 2 18 2 8" xfId="6103"/>
    <cellStyle name="Вычисление 2 2 18 2 8 2" xfId="16764"/>
    <cellStyle name="Вычисление 2 2 18 2 8 3" xfId="32231"/>
    <cellStyle name="Вычисление 2 2 18 2 9" xfId="21991"/>
    <cellStyle name="Вычисление 2 2 18 2 9 2" xfId="37352"/>
    <cellStyle name="Вычисление 2 2 18 3" xfId="1452"/>
    <cellStyle name="Вычисление 2 2 18 3 2" xfId="1914"/>
    <cellStyle name="Вычисление 2 2 18 3 2 2" xfId="7150"/>
    <cellStyle name="Вычисление 2 2 18 3 2 2 2" xfId="18052"/>
    <cellStyle name="Вычисление 2 2 18 3 2 2 3" xfId="33413"/>
    <cellStyle name="Вычисление 2 2 18 3 2 3" xfId="23038"/>
    <cellStyle name="Вычисление 2 2 18 3 2 3 2" xfId="38399"/>
    <cellStyle name="Вычисление 2 2 18 3 2 4" xfId="12489"/>
    <cellStyle name="Вычисление 2 2 18 3 2 5" xfId="27989"/>
    <cellStyle name="Вычисление 2 2 18 3 3" xfId="5195"/>
    <cellStyle name="Вычисление 2 2 18 3 3 2" xfId="10378"/>
    <cellStyle name="Вычисление 2 2 18 3 3 2 2" xfId="21304"/>
    <cellStyle name="Вычисление 2 2 18 3 3 2 3" xfId="36665"/>
    <cellStyle name="Вычисление 2 2 18 3 3 3" xfId="26265"/>
    <cellStyle name="Вычисление 2 2 18 3 3 3 2" xfId="41626"/>
    <cellStyle name="Вычисление 2 2 18 3 3 4" xfId="15741"/>
    <cellStyle name="Вычисление 2 2 18 3 3 5" xfId="31216"/>
    <cellStyle name="Вычисление 2 2 18 3 4" xfId="6699"/>
    <cellStyle name="Вычисление 2 2 18 3 4 2" xfId="16159"/>
    <cellStyle name="Вычисление 2 2 18 3 4 3" xfId="31626"/>
    <cellStyle name="Вычисление 2 2 18 3 5" xfId="22587"/>
    <cellStyle name="Вычисление 2 2 18 3 5 2" xfId="37948"/>
    <cellStyle name="Вычисление 2 2 18 3 6" xfId="12030"/>
    <cellStyle name="Вычисление 2 2 18 3 7" xfId="27538"/>
    <cellStyle name="Вычисление 2 2 18 4" xfId="1107"/>
    <cellStyle name="Вычисление 2 2 18 4 2" xfId="6363"/>
    <cellStyle name="Вычисление 2 2 18 4 2 2" xfId="16500"/>
    <cellStyle name="Вычисление 2 2 18 4 2 3" xfId="31967"/>
    <cellStyle name="Вычисление 2 2 18 4 3" xfId="22251"/>
    <cellStyle name="Вычисление 2 2 18 4 3 2" xfId="37612"/>
    <cellStyle name="Вычисление 2 2 18 4 4" xfId="11689"/>
    <cellStyle name="Вычисление 2 2 18 4 5" xfId="27202"/>
    <cellStyle name="Вычисление 2 2 18 5" xfId="2967"/>
    <cellStyle name="Вычисление 2 2 18 5 2" xfId="8168"/>
    <cellStyle name="Вычисление 2 2 18 5 2 2" xfId="19088"/>
    <cellStyle name="Вычисление 2 2 18 5 2 3" xfId="34449"/>
    <cellStyle name="Вычисление 2 2 18 5 3" xfId="24056"/>
    <cellStyle name="Вычисление 2 2 18 5 3 2" xfId="39417"/>
    <cellStyle name="Вычисление 2 2 18 5 4" xfId="13525"/>
    <cellStyle name="Вычисление 2 2 18 5 5" xfId="29007"/>
    <cellStyle name="Вычисление 2 2 18 6" xfId="3530"/>
    <cellStyle name="Вычисление 2 2 18 6 2" xfId="8717"/>
    <cellStyle name="Вычисление 2 2 18 6 2 2" xfId="19644"/>
    <cellStyle name="Вычисление 2 2 18 6 2 3" xfId="35005"/>
    <cellStyle name="Вычисление 2 2 18 6 3" xfId="24605"/>
    <cellStyle name="Вычисление 2 2 18 6 3 2" xfId="39966"/>
    <cellStyle name="Вычисление 2 2 18 6 4" xfId="14081"/>
    <cellStyle name="Вычисление 2 2 18 6 5" xfId="29556"/>
    <cellStyle name="Вычисление 2 2 18 7" xfId="3892"/>
    <cellStyle name="Вычисление 2 2 18 7 2" xfId="9079"/>
    <cellStyle name="Вычисление 2 2 18 7 2 2" xfId="20006"/>
    <cellStyle name="Вычисление 2 2 18 7 2 3" xfId="35367"/>
    <cellStyle name="Вычисление 2 2 18 7 3" xfId="24967"/>
    <cellStyle name="Вычисление 2 2 18 7 3 2" xfId="40328"/>
    <cellStyle name="Вычисление 2 2 18 7 4" xfId="14443"/>
    <cellStyle name="Вычисление 2 2 18 7 5" xfId="29918"/>
    <cellStyle name="Вычисление 2 2 18 8" xfId="4752"/>
    <cellStyle name="Вычисление 2 2 18 8 2" xfId="9939"/>
    <cellStyle name="Вычисление 2 2 18 8 2 2" xfId="20866"/>
    <cellStyle name="Вычисление 2 2 18 8 2 3" xfId="36227"/>
    <cellStyle name="Вычисление 2 2 18 8 3" xfId="25827"/>
    <cellStyle name="Вычисление 2 2 18 8 3 2" xfId="41188"/>
    <cellStyle name="Вычисление 2 2 18 8 4" xfId="15303"/>
    <cellStyle name="Вычисление 2 2 18 8 5" xfId="30778"/>
    <cellStyle name="Вычисление 2 2 18 9" xfId="5745"/>
    <cellStyle name="Вычисление 2 2 18 9 2" xfId="17146"/>
    <cellStyle name="Вычисление 2 2 18 9 3" xfId="32613"/>
    <cellStyle name="Вычисление 2 2 19" xfId="355"/>
    <cellStyle name="Вычисление 2 2 19 10" xfId="17442"/>
    <cellStyle name="Вычисление 2 2 19 10 2" xfId="32909"/>
    <cellStyle name="Вычисление 2 2 19 11" xfId="11041"/>
    <cellStyle name="Вычисление 2 2 19 12" xfId="10863"/>
    <cellStyle name="Вычисление 2 2 19 2" xfId="840"/>
    <cellStyle name="Вычисление 2 2 19 2 10" xfId="11424"/>
    <cellStyle name="Вычисление 2 2 19 2 11" xfId="26941"/>
    <cellStyle name="Вычисление 2 2 19 2 2" xfId="1484"/>
    <cellStyle name="Вычисление 2 2 19 2 2 2" xfId="2723"/>
    <cellStyle name="Вычисление 2 2 19 2 2 2 2" xfId="7952"/>
    <cellStyle name="Вычисление 2 2 19 2 2 2 2 2" xfId="18856"/>
    <cellStyle name="Вычисление 2 2 19 2 2 2 2 3" xfId="34217"/>
    <cellStyle name="Вычисление 2 2 19 2 2 2 3" xfId="23840"/>
    <cellStyle name="Вычисление 2 2 19 2 2 2 3 2" xfId="39201"/>
    <cellStyle name="Вычисление 2 2 19 2 2 2 4" xfId="13293"/>
    <cellStyle name="Вычисление 2 2 19 2 2 2 5" xfId="28791"/>
    <cellStyle name="Вычисление 2 2 19 2 2 3" xfId="5196"/>
    <cellStyle name="Вычисление 2 2 19 2 2 3 2" xfId="10379"/>
    <cellStyle name="Вычисление 2 2 19 2 2 3 2 2" xfId="21305"/>
    <cellStyle name="Вычисление 2 2 19 2 2 3 2 3" xfId="36666"/>
    <cellStyle name="Вычисление 2 2 19 2 2 3 3" xfId="26266"/>
    <cellStyle name="Вычисление 2 2 19 2 2 3 3 2" xfId="41627"/>
    <cellStyle name="Вычисление 2 2 19 2 2 3 4" xfId="15742"/>
    <cellStyle name="Вычисление 2 2 19 2 2 3 5" xfId="31217"/>
    <cellStyle name="Вычисление 2 2 19 2 2 4" xfId="6731"/>
    <cellStyle name="Вычисление 2 2 19 2 2 4 2" xfId="16127"/>
    <cellStyle name="Вычисление 2 2 19 2 2 4 3" xfId="31594"/>
    <cellStyle name="Вычисление 2 2 19 2 2 5" xfId="22619"/>
    <cellStyle name="Вычисление 2 2 19 2 2 5 2" xfId="37980"/>
    <cellStyle name="Вычисление 2 2 19 2 2 6" xfId="12062"/>
    <cellStyle name="Вычисление 2 2 19 2 2 7" xfId="27570"/>
    <cellStyle name="Вычисление 2 2 19 2 3" xfId="2246"/>
    <cellStyle name="Вычисление 2 2 19 2 3 2" xfId="7482"/>
    <cellStyle name="Вычисление 2 2 19 2 3 2 2" xfId="18384"/>
    <cellStyle name="Вычисление 2 2 19 2 3 2 3" xfId="33745"/>
    <cellStyle name="Вычисление 2 2 19 2 3 3" xfId="23370"/>
    <cellStyle name="Вычисление 2 2 19 2 3 3 2" xfId="38731"/>
    <cellStyle name="Вычисление 2 2 19 2 3 4" xfId="12821"/>
    <cellStyle name="Вычисление 2 2 19 2 3 5" xfId="28321"/>
    <cellStyle name="Вычисление 2 2 19 2 4" xfId="1375"/>
    <cellStyle name="Вычисление 2 2 19 2 4 2" xfId="6625"/>
    <cellStyle name="Вычисление 2 2 19 2 4 2 2" xfId="16234"/>
    <cellStyle name="Вычисление 2 2 19 2 4 2 3" xfId="31701"/>
    <cellStyle name="Вычисление 2 2 19 2 4 3" xfId="22513"/>
    <cellStyle name="Вычисление 2 2 19 2 4 3 2" xfId="37874"/>
    <cellStyle name="Вычисление 2 2 19 2 4 4" xfId="11955"/>
    <cellStyle name="Вычисление 2 2 19 2 4 5" xfId="27464"/>
    <cellStyle name="Вычисление 2 2 19 2 5" xfId="3777"/>
    <cellStyle name="Вычисление 2 2 19 2 5 2" xfId="8964"/>
    <cellStyle name="Вычисление 2 2 19 2 5 2 2" xfId="19891"/>
    <cellStyle name="Вычисление 2 2 19 2 5 2 3" xfId="35252"/>
    <cellStyle name="Вычисление 2 2 19 2 5 3" xfId="24852"/>
    <cellStyle name="Вычисление 2 2 19 2 5 3 2" xfId="40213"/>
    <cellStyle name="Вычисление 2 2 19 2 5 4" xfId="14328"/>
    <cellStyle name="Вычисление 2 2 19 2 5 5" xfId="29803"/>
    <cellStyle name="Вычисление 2 2 19 2 6" xfId="4294"/>
    <cellStyle name="Вычисление 2 2 19 2 6 2" xfId="9481"/>
    <cellStyle name="Вычисление 2 2 19 2 6 2 2" xfId="20408"/>
    <cellStyle name="Вычисление 2 2 19 2 6 2 3" xfId="35769"/>
    <cellStyle name="Вычисление 2 2 19 2 6 3" xfId="25369"/>
    <cellStyle name="Вычисление 2 2 19 2 6 3 2" xfId="40730"/>
    <cellStyle name="Вычисление 2 2 19 2 6 4" xfId="14845"/>
    <cellStyle name="Вычисление 2 2 19 2 6 5" xfId="30320"/>
    <cellStyle name="Вычисление 2 2 19 2 7" xfId="4535"/>
    <cellStyle name="Вычисление 2 2 19 2 7 2" xfId="9722"/>
    <cellStyle name="Вычисление 2 2 19 2 7 2 2" xfId="20649"/>
    <cellStyle name="Вычисление 2 2 19 2 7 2 3" xfId="36010"/>
    <cellStyle name="Вычисление 2 2 19 2 7 3" xfId="25610"/>
    <cellStyle name="Вычисление 2 2 19 2 7 3 2" xfId="40971"/>
    <cellStyle name="Вычисление 2 2 19 2 7 4" xfId="15086"/>
    <cellStyle name="Вычисление 2 2 19 2 7 5" xfId="30561"/>
    <cellStyle name="Вычисление 2 2 19 2 8" xfId="6102"/>
    <cellStyle name="Вычисление 2 2 19 2 8 2" xfId="16765"/>
    <cellStyle name="Вычисление 2 2 19 2 8 3" xfId="32232"/>
    <cellStyle name="Вычисление 2 2 19 2 9" xfId="21990"/>
    <cellStyle name="Вычисление 2 2 19 2 9 2" xfId="37351"/>
    <cellStyle name="Вычисление 2 2 19 3" xfId="1417"/>
    <cellStyle name="Вычисление 2 2 19 3 2" xfId="1876"/>
    <cellStyle name="Вычисление 2 2 19 3 2 2" xfId="7115"/>
    <cellStyle name="Вычисление 2 2 19 3 2 2 2" xfId="18017"/>
    <cellStyle name="Вычисление 2 2 19 3 2 2 3" xfId="33378"/>
    <cellStyle name="Вычисление 2 2 19 3 2 3" xfId="23003"/>
    <cellStyle name="Вычисление 2 2 19 3 2 3 2" xfId="38364"/>
    <cellStyle name="Вычисление 2 2 19 3 2 4" xfId="12454"/>
    <cellStyle name="Вычисление 2 2 19 3 2 5" xfId="27954"/>
    <cellStyle name="Вычисление 2 2 19 3 3" xfId="5197"/>
    <cellStyle name="Вычисление 2 2 19 3 3 2" xfId="10380"/>
    <cellStyle name="Вычисление 2 2 19 3 3 2 2" xfId="21306"/>
    <cellStyle name="Вычисление 2 2 19 3 3 2 3" xfId="36667"/>
    <cellStyle name="Вычисление 2 2 19 3 3 3" xfId="26267"/>
    <cellStyle name="Вычисление 2 2 19 3 3 3 2" xfId="41628"/>
    <cellStyle name="Вычисление 2 2 19 3 3 4" xfId="15743"/>
    <cellStyle name="Вычисление 2 2 19 3 3 5" xfId="31218"/>
    <cellStyle name="Вычисление 2 2 19 3 4" xfId="6665"/>
    <cellStyle name="Вычисление 2 2 19 3 4 2" xfId="16193"/>
    <cellStyle name="Вычисление 2 2 19 3 4 3" xfId="31660"/>
    <cellStyle name="Вычисление 2 2 19 3 5" xfId="22553"/>
    <cellStyle name="Вычисление 2 2 19 3 5 2" xfId="37914"/>
    <cellStyle name="Вычисление 2 2 19 3 6" xfId="11996"/>
    <cellStyle name="Вычисление 2 2 19 3 7" xfId="27504"/>
    <cellStyle name="Вычисление 2 2 19 4" xfId="1408"/>
    <cellStyle name="Вычисление 2 2 19 4 2" xfId="6656"/>
    <cellStyle name="Вычисление 2 2 19 4 2 2" xfId="16202"/>
    <cellStyle name="Вычисление 2 2 19 4 2 3" xfId="31669"/>
    <cellStyle name="Вычисление 2 2 19 4 3" xfId="22544"/>
    <cellStyle name="Вычисление 2 2 19 4 3 2" xfId="37905"/>
    <cellStyle name="Вычисление 2 2 19 4 4" xfId="11987"/>
    <cellStyle name="Вычисление 2 2 19 4 5" xfId="27495"/>
    <cellStyle name="Вычисление 2 2 19 5" xfId="2966"/>
    <cellStyle name="Вычисление 2 2 19 5 2" xfId="8167"/>
    <cellStyle name="Вычисление 2 2 19 5 2 2" xfId="19087"/>
    <cellStyle name="Вычисление 2 2 19 5 2 3" xfId="34448"/>
    <cellStyle name="Вычисление 2 2 19 5 3" xfId="24055"/>
    <cellStyle name="Вычисление 2 2 19 5 3 2" xfId="39416"/>
    <cellStyle name="Вычисление 2 2 19 5 4" xfId="13524"/>
    <cellStyle name="Вычисление 2 2 19 5 5" xfId="29006"/>
    <cellStyle name="Вычисление 2 2 19 6" xfId="3406"/>
    <cellStyle name="Вычисление 2 2 19 6 2" xfId="8600"/>
    <cellStyle name="Вычисление 2 2 19 6 2 2" xfId="19527"/>
    <cellStyle name="Вычисление 2 2 19 6 2 3" xfId="34888"/>
    <cellStyle name="Вычисление 2 2 19 6 3" xfId="24488"/>
    <cellStyle name="Вычисление 2 2 19 6 3 2" xfId="39849"/>
    <cellStyle name="Вычисление 2 2 19 6 4" xfId="13964"/>
    <cellStyle name="Вычисление 2 2 19 6 5" xfId="29439"/>
    <cellStyle name="Вычисление 2 2 19 7" xfId="3905"/>
    <cellStyle name="Вычисление 2 2 19 7 2" xfId="9092"/>
    <cellStyle name="Вычисление 2 2 19 7 2 2" xfId="20019"/>
    <cellStyle name="Вычисление 2 2 19 7 2 3" xfId="35380"/>
    <cellStyle name="Вычисление 2 2 19 7 3" xfId="24980"/>
    <cellStyle name="Вычисление 2 2 19 7 3 2" xfId="40341"/>
    <cellStyle name="Вычисление 2 2 19 7 4" xfId="14456"/>
    <cellStyle name="Вычисление 2 2 19 7 5" xfId="29931"/>
    <cellStyle name="Вычисление 2 2 19 8" xfId="4433"/>
    <cellStyle name="Вычисление 2 2 19 8 2" xfId="9620"/>
    <cellStyle name="Вычисление 2 2 19 8 2 2" xfId="20547"/>
    <cellStyle name="Вычисление 2 2 19 8 2 3" xfId="35908"/>
    <cellStyle name="Вычисление 2 2 19 8 3" xfId="25508"/>
    <cellStyle name="Вычисление 2 2 19 8 3 2" xfId="40869"/>
    <cellStyle name="Вычисление 2 2 19 8 4" xfId="14984"/>
    <cellStyle name="Вычисление 2 2 19 8 5" xfId="30459"/>
    <cellStyle name="Вычисление 2 2 19 9" xfId="5746"/>
    <cellStyle name="Вычисление 2 2 19 9 2" xfId="17145"/>
    <cellStyle name="Вычисление 2 2 19 9 3" xfId="32612"/>
    <cellStyle name="Вычисление 2 2 2" xfId="356"/>
    <cellStyle name="Вычисление 2 2 2 10" xfId="17324"/>
    <cellStyle name="Вычисление 2 2 2 10 2" xfId="32791"/>
    <cellStyle name="Вычисление 2 2 2 11" xfId="11042"/>
    <cellStyle name="Вычисление 2 2 2 12" xfId="10862"/>
    <cellStyle name="Вычисление 2 2 2 13" xfId="43817"/>
    <cellStyle name="Вычисление 2 2 2 2" xfId="839"/>
    <cellStyle name="Вычисление 2 2 2 2 10" xfId="11423"/>
    <cellStyle name="Вычисление 2 2 2 2 11" xfId="26940"/>
    <cellStyle name="Вычисление 2 2 2 2 12" xfId="43818"/>
    <cellStyle name="Вычисление 2 2 2 2 2" xfId="992"/>
    <cellStyle name="Вычисление 2 2 2 2 2 2" xfId="2722"/>
    <cellStyle name="Вычисление 2 2 2 2 2 2 2" xfId="7951"/>
    <cellStyle name="Вычисление 2 2 2 2 2 2 2 2" xfId="18855"/>
    <cellStyle name="Вычисление 2 2 2 2 2 2 2 3" xfId="34216"/>
    <cellStyle name="Вычисление 2 2 2 2 2 2 3" xfId="23839"/>
    <cellStyle name="Вычисление 2 2 2 2 2 2 3 2" xfId="39200"/>
    <cellStyle name="Вычисление 2 2 2 2 2 2 4" xfId="13292"/>
    <cellStyle name="Вычисление 2 2 2 2 2 2 5" xfId="28790"/>
    <cellStyle name="Вычисление 2 2 2 2 2 3" xfId="5198"/>
    <cellStyle name="Вычисление 2 2 2 2 2 3 2" xfId="10381"/>
    <cellStyle name="Вычисление 2 2 2 2 2 3 2 2" xfId="21307"/>
    <cellStyle name="Вычисление 2 2 2 2 2 3 2 3" xfId="36668"/>
    <cellStyle name="Вычисление 2 2 2 2 2 3 3" xfId="26268"/>
    <cellStyle name="Вычисление 2 2 2 2 2 3 3 2" xfId="41629"/>
    <cellStyle name="Вычисление 2 2 2 2 2 3 4" xfId="15744"/>
    <cellStyle name="Вычисление 2 2 2 2 2 3 5" xfId="31219"/>
    <cellStyle name="Вычисление 2 2 2 2 2 3 6" xfId="44369"/>
    <cellStyle name="Вычисление 2 2 2 2 2 4" xfId="6251"/>
    <cellStyle name="Вычисление 2 2 2 2 2 4 2" xfId="16614"/>
    <cellStyle name="Вычисление 2 2 2 2 2 4 3" xfId="32081"/>
    <cellStyle name="Вычисление 2 2 2 2 2 4 4" xfId="46239"/>
    <cellStyle name="Вычисление 2 2 2 2 2 5" xfId="22139"/>
    <cellStyle name="Вычисление 2 2 2 2 2 5 2" xfId="37500"/>
    <cellStyle name="Вычисление 2 2 2 2 2 6" xfId="11575"/>
    <cellStyle name="Вычисление 2 2 2 2 2 7" xfId="27090"/>
    <cellStyle name="Вычисление 2 2 2 2 2 8" xfId="43993"/>
    <cellStyle name="Вычисление 2 2 2 2 3" xfId="2245"/>
    <cellStyle name="Вычисление 2 2 2 2 3 2" xfId="7481"/>
    <cellStyle name="Вычисление 2 2 2 2 3 2 2" xfId="18383"/>
    <cellStyle name="Вычисление 2 2 2 2 3 2 3" xfId="33744"/>
    <cellStyle name="Вычисление 2 2 2 2 3 3" xfId="23369"/>
    <cellStyle name="Вычисление 2 2 2 2 3 3 2" xfId="38730"/>
    <cellStyle name="Вычисление 2 2 2 2 3 4" xfId="12820"/>
    <cellStyle name="Вычисление 2 2 2 2 3 5" xfId="28320"/>
    <cellStyle name="Вычисление 2 2 2 2 4" xfId="2829"/>
    <cellStyle name="Вычисление 2 2 2 2 4 2" xfId="8047"/>
    <cellStyle name="Вычисление 2 2 2 2 4 2 2" xfId="18959"/>
    <cellStyle name="Вычисление 2 2 2 2 4 2 3" xfId="34320"/>
    <cellStyle name="Вычисление 2 2 2 2 4 3" xfId="23935"/>
    <cellStyle name="Вычисление 2 2 2 2 4 3 2" xfId="39296"/>
    <cellStyle name="Вычисление 2 2 2 2 4 4" xfId="13396"/>
    <cellStyle name="Вычисление 2 2 2 2 4 5" xfId="28886"/>
    <cellStyle name="Вычисление 2 2 2 2 5" xfId="3645"/>
    <cellStyle name="Вычисление 2 2 2 2 5 2" xfId="8832"/>
    <cellStyle name="Вычисление 2 2 2 2 5 2 2" xfId="19759"/>
    <cellStyle name="Вычисление 2 2 2 2 5 2 3" xfId="35120"/>
    <cellStyle name="Вычисление 2 2 2 2 5 3" xfId="24720"/>
    <cellStyle name="Вычисление 2 2 2 2 5 3 2" xfId="40081"/>
    <cellStyle name="Вычисление 2 2 2 2 5 4" xfId="14196"/>
    <cellStyle name="Вычисление 2 2 2 2 5 5" xfId="29671"/>
    <cellStyle name="Вычисление 2 2 2 2 5 6" xfId="44370"/>
    <cellStyle name="Вычисление 2 2 2 2 6" xfId="4293"/>
    <cellStyle name="Вычисление 2 2 2 2 6 2" xfId="9480"/>
    <cellStyle name="Вычисление 2 2 2 2 6 2 2" xfId="20407"/>
    <cellStyle name="Вычисление 2 2 2 2 6 2 3" xfId="35768"/>
    <cellStyle name="Вычисление 2 2 2 2 6 3" xfId="25368"/>
    <cellStyle name="Вычисление 2 2 2 2 6 3 2" xfId="40729"/>
    <cellStyle name="Вычисление 2 2 2 2 6 4" xfId="14844"/>
    <cellStyle name="Вычисление 2 2 2 2 6 5" xfId="30319"/>
    <cellStyle name="Вычисление 2 2 2 2 6 6" xfId="46238"/>
    <cellStyle name="Вычисление 2 2 2 2 7" xfId="4536"/>
    <cellStyle name="Вычисление 2 2 2 2 7 2" xfId="9723"/>
    <cellStyle name="Вычисление 2 2 2 2 7 2 2" xfId="20650"/>
    <cellStyle name="Вычисление 2 2 2 2 7 2 3" xfId="36011"/>
    <cellStyle name="Вычисление 2 2 2 2 7 3" xfId="25611"/>
    <cellStyle name="Вычисление 2 2 2 2 7 3 2" xfId="40972"/>
    <cellStyle name="Вычисление 2 2 2 2 7 4" xfId="15087"/>
    <cellStyle name="Вычисление 2 2 2 2 7 5" xfId="30562"/>
    <cellStyle name="Вычисление 2 2 2 2 8" xfId="6101"/>
    <cellStyle name="Вычисление 2 2 2 2 8 2" xfId="16766"/>
    <cellStyle name="Вычисление 2 2 2 2 8 3" xfId="32233"/>
    <cellStyle name="Вычисление 2 2 2 2 9" xfId="21989"/>
    <cellStyle name="Вычисление 2 2 2 2 9 2" xfId="37350"/>
    <cellStyle name="Вычисление 2 2 2 3" xfId="1752"/>
    <cellStyle name="Вычисление 2 2 2 3 2" xfId="949"/>
    <cellStyle name="Вычисление 2 2 2 3 2 2" xfId="6211"/>
    <cellStyle name="Вычисление 2 2 2 3 2 2 2" xfId="16656"/>
    <cellStyle name="Вычисление 2 2 2 3 2 2 3" xfId="32123"/>
    <cellStyle name="Вычисление 2 2 2 3 2 2 4" xfId="44371"/>
    <cellStyle name="Вычисление 2 2 2 3 2 3" xfId="22099"/>
    <cellStyle name="Вычисление 2 2 2 3 2 3 2" xfId="37460"/>
    <cellStyle name="Вычисление 2 2 2 3 2 3 3" xfId="44372"/>
    <cellStyle name="Вычисление 2 2 2 3 2 4" xfId="11533"/>
    <cellStyle name="Вычисление 2 2 2 3 2 4 2" xfId="46241"/>
    <cellStyle name="Вычисление 2 2 2 3 2 5" xfId="27050"/>
    <cellStyle name="Вычисление 2 2 2 3 2 6" xfId="43994"/>
    <cellStyle name="Вычисление 2 2 2 3 3" xfId="5199"/>
    <cellStyle name="Вычисление 2 2 2 3 3 2" xfId="10382"/>
    <cellStyle name="Вычисление 2 2 2 3 3 2 2" xfId="21308"/>
    <cellStyle name="Вычисление 2 2 2 3 3 2 3" xfId="36669"/>
    <cellStyle name="Вычисление 2 2 2 3 3 3" xfId="26269"/>
    <cellStyle name="Вычисление 2 2 2 3 3 3 2" xfId="41630"/>
    <cellStyle name="Вычисление 2 2 2 3 3 4" xfId="15745"/>
    <cellStyle name="Вычисление 2 2 2 3 3 5" xfId="31220"/>
    <cellStyle name="Вычисление 2 2 2 3 4" xfId="6991"/>
    <cellStyle name="Вычисление 2 2 2 3 4 2" xfId="17893"/>
    <cellStyle name="Вычисление 2 2 2 3 4 3" xfId="33254"/>
    <cellStyle name="Вычисление 2 2 2 3 4 4" xfId="44373"/>
    <cellStyle name="Вычисление 2 2 2 3 5" xfId="22879"/>
    <cellStyle name="Вычисление 2 2 2 3 5 2" xfId="38240"/>
    <cellStyle name="Вычисление 2 2 2 3 5 3" xfId="46240"/>
    <cellStyle name="Вычисление 2 2 2 3 6" xfId="12330"/>
    <cellStyle name="Вычисление 2 2 2 3 7" xfId="27830"/>
    <cellStyle name="Вычисление 2 2 2 3 8" xfId="43819"/>
    <cellStyle name="Вычисление 2 2 2 4" xfId="1745"/>
    <cellStyle name="Вычисление 2 2 2 4 2" xfId="6984"/>
    <cellStyle name="Вычисление 2 2 2 4 2 2" xfId="17886"/>
    <cellStyle name="Вычисление 2 2 2 4 2 3" xfId="33247"/>
    <cellStyle name="Вычисление 2 2 2 4 3" xfId="22872"/>
    <cellStyle name="Вычисление 2 2 2 4 3 2" xfId="38233"/>
    <cellStyle name="Вычисление 2 2 2 4 3 3" xfId="44374"/>
    <cellStyle name="Вычисление 2 2 2 4 4" xfId="12323"/>
    <cellStyle name="Вычисление 2 2 2 4 4 2" xfId="46242"/>
    <cellStyle name="Вычисление 2 2 2 4 5" xfId="27823"/>
    <cellStyle name="Вычисление 2 2 2 4 6" xfId="43992"/>
    <cellStyle name="Вычисление 2 2 2 5" xfId="2965"/>
    <cellStyle name="Вычисление 2 2 2 5 2" xfId="8166"/>
    <cellStyle name="Вычисление 2 2 2 5 2 2" xfId="19086"/>
    <cellStyle name="Вычисление 2 2 2 5 2 3" xfId="34447"/>
    <cellStyle name="Вычисление 2 2 2 5 3" xfId="24054"/>
    <cellStyle name="Вычисление 2 2 2 5 3 2" xfId="39415"/>
    <cellStyle name="Вычисление 2 2 2 5 4" xfId="13523"/>
    <cellStyle name="Вычисление 2 2 2 5 5" xfId="29005"/>
    <cellStyle name="Вычисление 2 2 2 6" xfId="3709"/>
    <cellStyle name="Вычисление 2 2 2 6 2" xfId="8896"/>
    <cellStyle name="Вычисление 2 2 2 6 2 2" xfId="19823"/>
    <cellStyle name="Вычисление 2 2 2 6 2 3" xfId="35184"/>
    <cellStyle name="Вычисление 2 2 2 6 3" xfId="24784"/>
    <cellStyle name="Вычисление 2 2 2 6 3 2" xfId="40145"/>
    <cellStyle name="Вычисление 2 2 2 6 4" xfId="14260"/>
    <cellStyle name="Вычисление 2 2 2 6 5" xfId="29735"/>
    <cellStyle name="Вычисление 2 2 2 6 6" xfId="44375"/>
    <cellStyle name="Вычисление 2 2 2 7" xfId="3322"/>
    <cellStyle name="Вычисление 2 2 2 7 2" xfId="8516"/>
    <cellStyle name="Вычисление 2 2 2 7 2 2" xfId="19443"/>
    <cellStyle name="Вычисление 2 2 2 7 2 3" xfId="34804"/>
    <cellStyle name="Вычисление 2 2 2 7 3" xfId="24404"/>
    <cellStyle name="Вычисление 2 2 2 7 3 2" xfId="39765"/>
    <cellStyle name="Вычисление 2 2 2 7 4" xfId="13880"/>
    <cellStyle name="Вычисление 2 2 2 7 5" xfId="29355"/>
    <cellStyle name="Вычисление 2 2 2 7 6" xfId="44376"/>
    <cellStyle name="Вычисление 2 2 2 8" xfId="4420"/>
    <cellStyle name="Вычисление 2 2 2 8 2" xfId="9607"/>
    <cellStyle name="Вычисление 2 2 2 8 2 2" xfId="20534"/>
    <cellStyle name="Вычисление 2 2 2 8 2 3" xfId="35895"/>
    <cellStyle name="Вычисление 2 2 2 8 3" xfId="25495"/>
    <cellStyle name="Вычисление 2 2 2 8 3 2" xfId="40856"/>
    <cellStyle name="Вычисление 2 2 2 8 4" xfId="14971"/>
    <cellStyle name="Вычисление 2 2 2 8 5" xfId="30446"/>
    <cellStyle name="Вычисление 2 2 2 9" xfId="5747"/>
    <cellStyle name="Вычисление 2 2 2 9 2" xfId="17144"/>
    <cellStyle name="Вычисление 2 2 2 9 3" xfId="32611"/>
    <cellStyle name="Вычисление 2 2 20" xfId="357"/>
    <cellStyle name="Вычисление 2 2 20 10" xfId="17325"/>
    <cellStyle name="Вычисление 2 2 20 10 2" xfId="32792"/>
    <cellStyle name="Вычисление 2 2 20 11" xfId="11043"/>
    <cellStyle name="Вычисление 2 2 20 12" xfId="10743"/>
    <cellStyle name="Вычисление 2 2 20 2" xfId="838"/>
    <cellStyle name="Вычисление 2 2 20 2 10" xfId="11422"/>
    <cellStyle name="Вычисление 2 2 20 2 11" xfId="26939"/>
    <cellStyle name="Вычисление 2 2 20 2 2" xfId="1005"/>
    <cellStyle name="Вычисление 2 2 20 2 2 2" xfId="1877"/>
    <cellStyle name="Вычисление 2 2 20 2 2 2 2" xfId="7116"/>
    <cellStyle name="Вычисление 2 2 20 2 2 2 2 2" xfId="18018"/>
    <cellStyle name="Вычисление 2 2 20 2 2 2 2 3" xfId="33379"/>
    <cellStyle name="Вычисление 2 2 20 2 2 2 3" xfId="23004"/>
    <cellStyle name="Вычисление 2 2 20 2 2 2 3 2" xfId="38365"/>
    <cellStyle name="Вычисление 2 2 20 2 2 2 4" xfId="12455"/>
    <cellStyle name="Вычисление 2 2 20 2 2 2 5" xfId="27955"/>
    <cellStyle name="Вычисление 2 2 20 2 2 3" xfId="5200"/>
    <cellStyle name="Вычисление 2 2 20 2 2 3 2" xfId="10383"/>
    <cellStyle name="Вычисление 2 2 20 2 2 3 2 2" xfId="21309"/>
    <cellStyle name="Вычисление 2 2 20 2 2 3 2 3" xfId="36670"/>
    <cellStyle name="Вычисление 2 2 20 2 2 3 3" xfId="26270"/>
    <cellStyle name="Вычисление 2 2 20 2 2 3 3 2" xfId="41631"/>
    <cellStyle name="Вычисление 2 2 20 2 2 3 4" xfId="15746"/>
    <cellStyle name="Вычисление 2 2 20 2 2 3 5" xfId="31221"/>
    <cellStyle name="Вычисление 2 2 20 2 2 4" xfId="6264"/>
    <cellStyle name="Вычисление 2 2 20 2 2 4 2" xfId="16601"/>
    <cellStyle name="Вычисление 2 2 20 2 2 4 3" xfId="32068"/>
    <cellStyle name="Вычисление 2 2 20 2 2 5" xfId="22152"/>
    <cellStyle name="Вычисление 2 2 20 2 2 5 2" xfId="37513"/>
    <cellStyle name="Вычисление 2 2 20 2 2 6" xfId="11588"/>
    <cellStyle name="Вычисление 2 2 20 2 2 7" xfId="27103"/>
    <cellStyle name="Вычисление 2 2 20 2 3" xfId="2244"/>
    <cellStyle name="Вычисление 2 2 20 2 3 2" xfId="7480"/>
    <cellStyle name="Вычисление 2 2 20 2 3 2 2" xfId="18382"/>
    <cellStyle name="Вычисление 2 2 20 2 3 2 3" xfId="33743"/>
    <cellStyle name="Вычисление 2 2 20 2 3 3" xfId="23368"/>
    <cellStyle name="Вычисление 2 2 20 2 3 3 2" xfId="38729"/>
    <cellStyle name="Вычисление 2 2 20 2 3 4" xfId="12819"/>
    <cellStyle name="Вычисление 2 2 20 2 3 5" xfId="28319"/>
    <cellStyle name="Вычисление 2 2 20 2 4" xfId="2809"/>
    <cellStyle name="Вычисление 2 2 20 2 4 2" xfId="8027"/>
    <cellStyle name="Вычисление 2 2 20 2 4 2 2" xfId="18939"/>
    <cellStyle name="Вычисление 2 2 20 2 4 2 3" xfId="34300"/>
    <cellStyle name="Вычисление 2 2 20 2 4 3" xfId="23915"/>
    <cellStyle name="Вычисление 2 2 20 2 4 3 2" xfId="39276"/>
    <cellStyle name="Вычисление 2 2 20 2 4 4" xfId="13376"/>
    <cellStyle name="Вычисление 2 2 20 2 4 5" xfId="28866"/>
    <cellStyle name="Вычисление 2 2 20 2 5" xfId="3778"/>
    <cellStyle name="Вычисление 2 2 20 2 5 2" xfId="8965"/>
    <cellStyle name="Вычисление 2 2 20 2 5 2 2" xfId="19892"/>
    <cellStyle name="Вычисление 2 2 20 2 5 2 3" xfId="35253"/>
    <cellStyle name="Вычисление 2 2 20 2 5 3" xfId="24853"/>
    <cellStyle name="Вычисление 2 2 20 2 5 3 2" xfId="40214"/>
    <cellStyle name="Вычисление 2 2 20 2 5 4" xfId="14329"/>
    <cellStyle name="Вычисление 2 2 20 2 5 5" xfId="29804"/>
    <cellStyle name="Вычисление 2 2 20 2 6" xfId="4292"/>
    <cellStyle name="Вычисление 2 2 20 2 6 2" xfId="9479"/>
    <cellStyle name="Вычисление 2 2 20 2 6 2 2" xfId="20406"/>
    <cellStyle name="Вычисление 2 2 20 2 6 2 3" xfId="35767"/>
    <cellStyle name="Вычисление 2 2 20 2 6 3" xfId="25367"/>
    <cellStyle name="Вычисление 2 2 20 2 6 3 2" xfId="40728"/>
    <cellStyle name="Вычисление 2 2 20 2 6 4" xfId="14843"/>
    <cellStyle name="Вычисление 2 2 20 2 6 5" xfId="30318"/>
    <cellStyle name="Вычисление 2 2 20 2 7" xfId="4537"/>
    <cellStyle name="Вычисление 2 2 20 2 7 2" xfId="9724"/>
    <cellStyle name="Вычисление 2 2 20 2 7 2 2" xfId="20651"/>
    <cellStyle name="Вычисление 2 2 20 2 7 2 3" xfId="36012"/>
    <cellStyle name="Вычисление 2 2 20 2 7 3" xfId="25612"/>
    <cellStyle name="Вычисление 2 2 20 2 7 3 2" xfId="40973"/>
    <cellStyle name="Вычисление 2 2 20 2 7 4" xfId="15088"/>
    <cellStyle name="Вычисление 2 2 20 2 7 5" xfId="30563"/>
    <cellStyle name="Вычисление 2 2 20 2 8" xfId="6100"/>
    <cellStyle name="Вычисление 2 2 20 2 8 2" xfId="16767"/>
    <cellStyle name="Вычисление 2 2 20 2 8 3" xfId="32234"/>
    <cellStyle name="Вычисление 2 2 20 2 9" xfId="21988"/>
    <cellStyle name="Вычисление 2 2 20 2 9 2" xfId="37349"/>
    <cellStyle name="Вычисление 2 2 20 3" xfId="1400"/>
    <cellStyle name="Вычисление 2 2 20 3 2" xfId="2721"/>
    <cellStyle name="Вычисление 2 2 20 3 2 2" xfId="7950"/>
    <cellStyle name="Вычисление 2 2 20 3 2 2 2" xfId="18854"/>
    <cellStyle name="Вычисление 2 2 20 3 2 2 3" xfId="34215"/>
    <cellStyle name="Вычисление 2 2 20 3 2 3" xfId="23838"/>
    <cellStyle name="Вычисление 2 2 20 3 2 3 2" xfId="39199"/>
    <cellStyle name="Вычисление 2 2 20 3 2 4" xfId="13291"/>
    <cellStyle name="Вычисление 2 2 20 3 2 5" xfId="28789"/>
    <cellStyle name="Вычисление 2 2 20 3 3" xfId="5201"/>
    <cellStyle name="Вычисление 2 2 20 3 3 2" xfId="10384"/>
    <cellStyle name="Вычисление 2 2 20 3 3 2 2" xfId="21310"/>
    <cellStyle name="Вычисление 2 2 20 3 3 2 3" xfId="36671"/>
    <cellStyle name="Вычисление 2 2 20 3 3 3" xfId="26271"/>
    <cellStyle name="Вычисление 2 2 20 3 3 3 2" xfId="41632"/>
    <cellStyle name="Вычисление 2 2 20 3 3 4" xfId="15747"/>
    <cellStyle name="Вычисление 2 2 20 3 3 5" xfId="31222"/>
    <cellStyle name="Вычисление 2 2 20 3 4" xfId="6649"/>
    <cellStyle name="Вычисление 2 2 20 3 4 2" xfId="16210"/>
    <cellStyle name="Вычисление 2 2 20 3 4 3" xfId="31677"/>
    <cellStyle name="Вычисление 2 2 20 3 5" xfId="22537"/>
    <cellStyle name="Вычисление 2 2 20 3 5 2" xfId="37898"/>
    <cellStyle name="Вычисление 2 2 20 3 6" xfId="11979"/>
    <cellStyle name="Вычисление 2 2 20 3 7" xfId="27488"/>
    <cellStyle name="Вычисление 2 2 20 4" xfId="980"/>
    <cellStyle name="Вычисление 2 2 20 4 2" xfId="6239"/>
    <cellStyle name="Вычисление 2 2 20 4 2 2" xfId="16626"/>
    <cellStyle name="Вычисление 2 2 20 4 2 3" xfId="32093"/>
    <cellStyle name="Вычисление 2 2 20 4 3" xfId="22127"/>
    <cellStyle name="Вычисление 2 2 20 4 3 2" xfId="37488"/>
    <cellStyle name="Вычисление 2 2 20 4 4" xfId="11563"/>
    <cellStyle name="Вычисление 2 2 20 4 5" xfId="27078"/>
    <cellStyle name="Вычисление 2 2 20 5" xfId="2964"/>
    <cellStyle name="Вычисление 2 2 20 5 2" xfId="8165"/>
    <cellStyle name="Вычисление 2 2 20 5 2 2" xfId="19085"/>
    <cellStyle name="Вычисление 2 2 20 5 2 3" xfId="34446"/>
    <cellStyle name="Вычисление 2 2 20 5 3" xfId="24053"/>
    <cellStyle name="Вычисление 2 2 20 5 3 2" xfId="39414"/>
    <cellStyle name="Вычисление 2 2 20 5 4" xfId="13522"/>
    <cellStyle name="Вычисление 2 2 20 5 5" xfId="29004"/>
    <cellStyle name="Вычисление 2 2 20 6" xfId="3852"/>
    <cellStyle name="Вычисление 2 2 20 6 2" xfId="9039"/>
    <cellStyle name="Вычисление 2 2 20 6 2 2" xfId="19966"/>
    <cellStyle name="Вычисление 2 2 20 6 2 3" xfId="35327"/>
    <cellStyle name="Вычисление 2 2 20 6 3" xfId="24927"/>
    <cellStyle name="Вычисление 2 2 20 6 3 2" xfId="40288"/>
    <cellStyle name="Вычисление 2 2 20 6 4" xfId="14403"/>
    <cellStyle name="Вычисление 2 2 20 6 5" xfId="29878"/>
    <cellStyle name="Вычисление 2 2 20 7" xfId="3288"/>
    <cellStyle name="Вычисление 2 2 20 7 2" xfId="8482"/>
    <cellStyle name="Вычисление 2 2 20 7 2 2" xfId="19409"/>
    <cellStyle name="Вычисление 2 2 20 7 2 3" xfId="34770"/>
    <cellStyle name="Вычисление 2 2 20 7 3" xfId="24370"/>
    <cellStyle name="Вычисление 2 2 20 7 3 2" xfId="39731"/>
    <cellStyle name="Вычисление 2 2 20 7 4" xfId="13846"/>
    <cellStyle name="Вычисление 2 2 20 7 5" xfId="29321"/>
    <cellStyle name="Вычисление 2 2 20 8" xfId="4751"/>
    <cellStyle name="Вычисление 2 2 20 8 2" xfId="9938"/>
    <cellStyle name="Вычисление 2 2 20 8 2 2" xfId="20865"/>
    <cellStyle name="Вычисление 2 2 20 8 2 3" xfId="36226"/>
    <cellStyle name="Вычисление 2 2 20 8 3" xfId="25826"/>
    <cellStyle name="Вычисление 2 2 20 8 3 2" xfId="41187"/>
    <cellStyle name="Вычисление 2 2 20 8 4" xfId="15302"/>
    <cellStyle name="Вычисление 2 2 20 8 5" xfId="30777"/>
    <cellStyle name="Вычисление 2 2 20 9" xfId="5748"/>
    <cellStyle name="Вычисление 2 2 20 9 2" xfId="17143"/>
    <cellStyle name="Вычисление 2 2 20 9 3" xfId="32610"/>
    <cellStyle name="Вычисление 2 2 21" xfId="358"/>
    <cellStyle name="Вычисление 2 2 21 10" xfId="17443"/>
    <cellStyle name="Вычисление 2 2 21 10 2" xfId="32910"/>
    <cellStyle name="Вычисление 2 2 21 11" xfId="11044"/>
    <cellStyle name="Вычисление 2 2 21 12" xfId="10861"/>
    <cellStyle name="Вычисление 2 2 21 2" xfId="837"/>
    <cellStyle name="Вычисление 2 2 21 2 10" xfId="11421"/>
    <cellStyle name="Вычисление 2 2 21 2 11" xfId="26938"/>
    <cellStyle name="Вычисление 2 2 21 2 2" xfId="1390"/>
    <cellStyle name="Вычисление 2 2 21 2 2 2" xfId="1686"/>
    <cellStyle name="Вычисление 2 2 21 2 2 2 2" xfId="6930"/>
    <cellStyle name="Вычисление 2 2 21 2 2 2 2 2" xfId="17828"/>
    <cellStyle name="Вычисление 2 2 21 2 2 2 2 3" xfId="33189"/>
    <cellStyle name="Вычисление 2 2 21 2 2 2 3" xfId="22818"/>
    <cellStyle name="Вычисление 2 2 21 2 2 2 3 2" xfId="38179"/>
    <cellStyle name="Вычисление 2 2 21 2 2 2 4" xfId="12264"/>
    <cellStyle name="Вычисление 2 2 21 2 2 2 5" xfId="27769"/>
    <cellStyle name="Вычисление 2 2 21 2 2 3" xfId="5202"/>
    <cellStyle name="Вычисление 2 2 21 2 2 3 2" xfId="10385"/>
    <cellStyle name="Вычисление 2 2 21 2 2 3 2 2" xfId="21311"/>
    <cellStyle name="Вычисление 2 2 21 2 2 3 2 3" xfId="36672"/>
    <cellStyle name="Вычисление 2 2 21 2 2 3 3" xfId="26272"/>
    <cellStyle name="Вычисление 2 2 21 2 2 3 3 2" xfId="41633"/>
    <cellStyle name="Вычисление 2 2 21 2 2 3 4" xfId="15748"/>
    <cellStyle name="Вычисление 2 2 21 2 2 3 5" xfId="31223"/>
    <cellStyle name="Вычисление 2 2 21 2 2 4" xfId="6640"/>
    <cellStyle name="Вычисление 2 2 21 2 2 4 2" xfId="16219"/>
    <cellStyle name="Вычисление 2 2 21 2 2 4 3" xfId="31686"/>
    <cellStyle name="Вычисление 2 2 21 2 2 5" xfId="22528"/>
    <cellStyle name="Вычисление 2 2 21 2 2 5 2" xfId="37889"/>
    <cellStyle name="Вычисление 2 2 21 2 2 6" xfId="11970"/>
    <cellStyle name="Вычисление 2 2 21 2 2 7" xfId="27479"/>
    <cellStyle name="Вычисление 2 2 21 2 3" xfId="2243"/>
    <cellStyle name="Вычисление 2 2 21 2 3 2" xfId="7479"/>
    <cellStyle name="Вычисление 2 2 21 2 3 2 2" xfId="18381"/>
    <cellStyle name="Вычисление 2 2 21 2 3 2 3" xfId="33742"/>
    <cellStyle name="Вычисление 2 2 21 2 3 3" xfId="23367"/>
    <cellStyle name="Вычисление 2 2 21 2 3 3 2" xfId="38728"/>
    <cellStyle name="Вычисление 2 2 21 2 3 4" xfId="12818"/>
    <cellStyle name="Вычисление 2 2 21 2 3 5" xfId="28318"/>
    <cellStyle name="Вычисление 2 2 21 2 4" xfId="1473"/>
    <cellStyle name="Вычисление 2 2 21 2 4 2" xfId="6720"/>
    <cellStyle name="Вычисление 2 2 21 2 4 2 2" xfId="16138"/>
    <cellStyle name="Вычисление 2 2 21 2 4 2 3" xfId="31605"/>
    <cellStyle name="Вычисление 2 2 21 2 4 3" xfId="22608"/>
    <cellStyle name="Вычисление 2 2 21 2 4 3 2" xfId="37969"/>
    <cellStyle name="Вычисление 2 2 21 2 4 4" xfId="12051"/>
    <cellStyle name="Вычисление 2 2 21 2 4 5" xfId="27559"/>
    <cellStyle name="Вычисление 2 2 21 2 5" xfId="3644"/>
    <cellStyle name="Вычисление 2 2 21 2 5 2" xfId="8831"/>
    <cellStyle name="Вычисление 2 2 21 2 5 2 2" xfId="19758"/>
    <cellStyle name="Вычисление 2 2 21 2 5 2 3" xfId="35119"/>
    <cellStyle name="Вычисление 2 2 21 2 5 3" xfId="24719"/>
    <cellStyle name="Вычисление 2 2 21 2 5 3 2" xfId="40080"/>
    <cellStyle name="Вычисление 2 2 21 2 5 4" xfId="14195"/>
    <cellStyle name="Вычисление 2 2 21 2 5 5" xfId="29670"/>
    <cellStyle name="Вычисление 2 2 21 2 6" xfId="4291"/>
    <cellStyle name="Вычисление 2 2 21 2 6 2" xfId="9478"/>
    <cellStyle name="Вычисление 2 2 21 2 6 2 2" xfId="20405"/>
    <cellStyle name="Вычисление 2 2 21 2 6 2 3" xfId="35766"/>
    <cellStyle name="Вычисление 2 2 21 2 6 3" xfId="25366"/>
    <cellStyle name="Вычисление 2 2 21 2 6 3 2" xfId="40727"/>
    <cellStyle name="Вычисление 2 2 21 2 6 4" xfId="14842"/>
    <cellStyle name="Вычисление 2 2 21 2 6 5" xfId="30317"/>
    <cellStyle name="Вычисление 2 2 21 2 7" xfId="4538"/>
    <cellStyle name="Вычисление 2 2 21 2 7 2" xfId="9725"/>
    <cellStyle name="Вычисление 2 2 21 2 7 2 2" xfId="20652"/>
    <cellStyle name="Вычисление 2 2 21 2 7 2 3" xfId="36013"/>
    <cellStyle name="Вычисление 2 2 21 2 7 3" xfId="25613"/>
    <cellStyle name="Вычисление 2 2 21 2 7 3 2" xfId="40974"/>
    <cellStyle name="Вычисление 2 2 21 2 7 4" xfId="15089"/>
    <cellStyle name="Вычисление 2 2 21 2 7 5" xfId="30564"/>
    <cellStyle name="Вычисление 2 2 21 2 8" xfId="6099"/>
    <cellStyle name="Вычисление 2 2 21 2 8 2" xfId="16768"/>
    <cellStyle name="Вычисление 2 2 21 2 8 3" xfId="32235"/>
    <cellStyle name="Вычисление 2 2 21 2 9" xfId="21987"/>
    <cellStyle name="Вычисление 2 2 21 2 9 2" xfId="37348"/>
    <cellStyle name="Вычисление 2 2 21 3" xfId="1166"/>
    <cellStyle name="Вычисление 2 2 21 3 2" xfId="2720"/>
    <cellStyle name="Вычисление 2 2 21 3 2 2" xfId="7949"/>
    <cellStyle name="Вычисление 2 2 21 3 2 2 2" xfId="18853"/>
    <cellStyle name="Вычисление 2 2 21 3 2 2 3" xfId="34214"/>
    <cellStyle name="Вычисление 2 2 21 3 2 3" xfId="23837"/>
    <cellStyle name="Вычисление 2 2 21 3 2 3 2" xfId="39198"/>
    <cellStyle name="Вычисление 2 2 21 3 2 4" xfId="13290"/>
    <cellStyle name="Вычисление 2 2 21 3 2 5" xfId="28788"/>
    <cellStyle name="Вычисление 2 2 21 3 3" xfId="5203"/>
    <cellStyle name="Вычисление 2 2 21 3 3 2" xfId="10386"/>
    <cellStyle name="Вычисление 2 2 21 3 3 2 2" xfId="21312"/>
    <cellStyle name="Вычисление 2 2 21 3 3 2 3" xfId="36673"/>
    <cellStyle name="Вычисление 2 2 21 3 3 3" xfId="26273"/>
    <cellStyle name="Вычисление 2 2 21 3 3 3 2" xfId="41634"/>
    <cellStyle name="Вычисление 2 2 21 3 3 4" xfId="15749"/>
    <cellStyle name="Вычисление 2 2 21 3 3 5" xfId="31224"/>
    <cellStyle name="Вычисление 2 2 21 3 4" xfId="6420"/>
    <cellStyle name="Вычисление 2 2 21 3 4 2" xfId="16442"/>
    <cellStyle name="Вычисление 2 2 21 3 4 3" xfId="31909"/>
    <cellStyle name="Вычисление 2 2 21 3 5" xfId="22308"/>
    <cellStyle name="Вычисление 2 2 21 3 5 2" xfId="37669"/>
    <cellStyle name="Вычисление 2 2 21 3 6" xfId="11747"/>
    <cellStyle name="Вычисление 2 2 21 3 7" xfId="27259"/>
    <cellStyle name="Вычисление 2 2 21 4" xfId="1410"/>
    <cellStyle name="Вычисление 2 2 21 4 2" xfId="6658"/>
    <cellStyle name="Вычисление 2 2 21 4 2 2" xfId="16200"/>
    <cellStyle name="Вычисление 2 2 21 4 2 3" xfId="31667"/>
    <cellStyle name="Вычисление 2 2 21 4 3" xfId="22546"/>
    <cellStyle name="Вычисление 2 2 21 4 3 2" xfId="37907"/>
    <cellStyle name="Вычисление 2 2 21 4 4" xfId="11989"/>
    <cellStyle name="Вычисление 2 2 21 4 5" xfId="27497"/>
    <cellStyle name="Вычисление 2 2 21 5" xfId="2963"/>
    <cellStyle name="Вычисление 2 2 21 5 2" xfId="8164"/>
    <cellStyle name="Вычисление 2 2 21 5 2 2" xfId="19084"/>
    <cellStyle name="Вычисление 2 2 21 5 2 3" xfId="34445"/>
    <cellStyle name="Вычисление 2 2 21 5 3" xfId="24052"/>
    <cellStyle name="Вычисление 2 2 21 5 3 2" xfId="39413"/>
    <cellStyle name="Вычисление 2 2 21 5 4" xfId="13521"/>
    <cellStyle name="Вычисление 2 2 21 5 5" xfId="29003"/>
    <cellStyle name="Вычисление 2 2 21 6" xfId="2443"/>
    <cellStyle name="Вычисление 2 2 21 6 2" xfId="7679"/>
    <cellStyle name="Вычисление 2 2 21 6 2 2" xfId="18581"/>
    <cellStyle name="Вычисление 2 2 21 6 2 3" xfId="33942"/>
    <cellStyle name="Вычисление 2 2 21 6 3" xfId="23567"/>
    <cellStyle name="Вычисление 2 2 21 6 3 2" xfId="38928"/>
    <cellStyle name="Вычисление 2 2 21 6 4" xfId="13018"/>
    <cellStyle name="Вычисление 2 2 21 6 5" xfId="28518"/>
    <cellStyle name="Вычисление 2 2 21 7" xfId="3893"/>
    <cellStyle name="Вычисление 2 2 21 7 2" xfId="9080"/>
    <cellStyle name="Вычисление 2 2 21 7 2 2" xfId="20007"/>
    <cellStyle name="Вычисление 2 2 21 7 2 3" xfId="35368"/>
    <cellStyle name="Вычисление 2 2 21 7 3" xfId="24968"/>
    <cellStyle name="Вычисление 2 2 21 7 3 2" xfId="40329"/>
    <cellStyle name="Вычисление 2 2 21 7 4" xfId="14444"/>
    <cellStyle name="Вычисление 2 2 21 7 5" xfId="29919"/>
    <cellStyle name="Вычисление 2 2 21 8" xfId="4419"/>
    <cellStyle name="Вычисление 2 2 21 8 2" xfId="9606"/>
    <cellStyle name="Вычисление 2 2 21 8 2 2" xfId="20533"/>
    <cellStyle name="Вычисление 2 2 21 8 2 3" xfId="35894"/>
    <cellStyle name="Вычисление 2 2 21 8 3" xfId="25494"/>
    <cellStyle name="Вычисление 2 2 21 8 3 2" xfId="40855"/>
    <cellStyle name="Вычисление 2 2 21 8 4" xfId="14970"/>
    <cellStyle name="Вычисление 2 2 21 8 5" xfId="30445"/>
    <cellStyle name="Вычисление 2 2 21 9" xfId="5749"/>
    <cellStyle name="Вычисление 2 2 21 9 2" xfId="17142"/>
    <cellStyle name="Вычисление 2 2 21 9 3" xfId="32609"/>
    <cellStyle name="Вычисление 2 2 22" xfId="359"/>
    <cellStyle name="Вычисление 2 2 22 10" xfId="17326"/>
    <cellStyle name="Вычисление 2 2 22 10 2" xfId="32793"/>
    <cellStyle name="Вычисление 2 2 22 11" xfId="11045"/>
    <cellStyle name="Вычисление 2 2 22 12" xfId="10860"/>
    <cellStyle name="Вычисление 2 2 22 2" xfId="836"/>
    <cellStyle name="Вычисление 2 2 22 2 10" xfId="11420"/>
    <cellStyle name="Вычисление 2 2 22 2 11" xfId="26937"/>
    <cellStyle name="Вычисление 2 2 22 2 2" xfId="1334"/>
    <cellStyle name="Вычисление 2 2 22 2 2 2" xfId="1878"/>
    <cellStyle name="Вычисление 2 2 22 2 2 2 2" xfId="7117"/>
    <cellStyle name="Вычисление 2 2 22 2 2 2 2 2" xfId="18019"/>
    <cellStyle name="Вычисление 2 2 22 2 2 2 2 3" xfId="33380"/>
    <cellStyle name="Вычисление 2 2 22 2 2 2 3" xfId="23005"/>
    <cellStyle name="Вычисление 2 2 22 2 2 2 3 2" xfId="38366"/>
    <cellStyle name="Вычисление 2 2 22 2 2 2 4" xfId="12456"/>
    <cellStyle name="Вычисление 2 2 22 2 2 2 5" xfId="27956"/>
    <cellStyle name="Вычисление 2 2 22 2 2 3" xfId="5204"/>
    <cellStyle name="Вычисление 2 2 22 2 2 3 2" xfId="10387"/>
    <cellStyle name="Вычисление 2 2 22 2 2 3 2 2" xfId="21313"/>
    <cellStyle name="Вычисление 2 2 22 2 2 3 2 3" xfId="36674"/>
    <cellStyle name="Вычисление 2 2 22 2 2 3 3" xfId="26274"/>
    <cellStyle name="Вычисление 2 2 22 2 2 3 3 2" xfId="41635"/>
    <cellStyle name="Вычисление 2 2 22 2 2 3 4" xfId="15750"/>
    <cellStyle name="Вычисление 2 2 22 2 2 3 5" xfId="31225"/>
    <cellStyle name="Вычисление 2 2 22 2 2 4" xfId="6587"/>
    <cellStyle name="Вычисление 2 2 22 2 2 4 2" xfId="16274"/>
    <cellStyle name="Вычисление 2 2 22 2 2 4 3" xfId="31741"/>
    <cellStyle name="Вычисление 2 2 22 2 2 5" xfId="22475"/>
    <cellStyle name="Вычисление 2 2 22 2 2 5 2" xfId="37836"/>
    <cellStyle name="Вычисление 2 2 22 2 2 6" xfId="11915"/>
    <cellStyle name="Вычисление 2 2 22 2 2 7" xfId="27426"/>
    <cellStyle name="Вычисление 2 2 22 2 3" xfId="2242"/>
    <cellStyle name="Вычисление 2 2 22 2 3 2" xfId="7478"/>
    <cellStyle name="Вычисление 2 2 22 2 3 2 2" xfId="18380"/>
    <cellStyle name="Вычисление 2 2 22 2 3 2 3" xfId="33741"/>
    <cellStyle name="Вычисление 2 2 22 2 3 3" xfId="23366"/>
    <cellStyle name="Вычисление 2 2 22 2 3 3 2" xfId="38727"/>
    <cellStyle name="Вычисление 2 2 22 2 3 4" xfId="12817"/>
    <cellStyle name="Вычисление 2 2 22 2 3 5" xfId="28317"/>
    <cellStyle name="Вычисление 2 2 22 2 4" xfId="1150"/>
    <cellStyle name="Вычисление 2 2 22 2 4 2" xfId="6404"/>
    <cellStyle name="Вычисление 2 2 22 2 4 2 2" xfId="16458"/>
    <cellStyle name="Вычисление 2 2 22 2 4 2 3" xfId="31925"/>
    <cellStyle name="Вычисление 2 2 22 2 4 3" xfId="22292"/>
    <cellStyle name="Вычисление 2 2 22 2 4 3 2" xfId="37653"/>
    <cellStyle name="Вычисление 2 2 22 2 4 4" xfId="11731"/>
    <cellStyle name="Вычисление 2 2 22 2 4 5" xfId="27243"/>
    <cellStyle name="Вычисление 2 2 22 2 5" xfId="3793"/>
    <cellStyle name="Вычисление 2 2 22 2 5 2" xfId="8980"/>
    <cellStyle name="Вычисление 2 2 22 2 5 2 2" xfId="19907"/>
    <cellStyle name="Вычисление 2 2 22 2 5 2 3" xfId="35268"/>
    <cellStyle name="Вычисление 2 2 22 2 5 3" xfId="24868"/>
    <cellStyle name="Вычисление 2 2 22 2 5 3 2" xfId="40229"/>
    <cellStyle name="Вычисление 2 2 22 2 5 4" xfId="14344"/>
    <cellStyle name="Вычисление 2 2 22 2 5 5" xfId="29819"/>
    <cellStyle name="Вычисление 2 2 22 2 6" xfId="4290"/>
    <cellStyle name="Вычисление 2 2 22 2 6 2" xfId="9477"/>
    <cellStyle name="Вычисление 2 2 22 2 6 2 2" xfId="20404"/>
    <cellStyle name="Вычисление 2 2 22 2 6 2 3" xfId="35765"/>
    <cellStyle name="Вычисление 2 2 22 2 6 3" xfId="25365"/>
    <cellStyle name="Вычисление 2 2 22 2 6 3 2" xfId="40726"/>
    <cellStyle name="Вычисление 2 2 22 2 6 4" xfId="14841"/>
    <cellStyle name="Вычисление 2 2 22 2 6 5" xfId="30316"/>
    <cellStyle name="Вычисление 2 2 22 2 7" xfId="4539"/>
    <cellStyle name="Вычисление 2 2 22 2 7 2" xfId="9726"/>
    <cellStyle name="Вычисление 2 2 22 2 7 2 2" xfId="20653"/>
    <cellStyle name="Вычисление 2 2 22 2 7 2 3" xfId="36014"/>
    <cellStyle name="Вычисление 2 2 22 2 7 3" xfId="25614"/>
    <cellStyle name="Вычисление 2 2 22 2 7 3 2" xfId="40975"/>
    <cellStyle name="Вычисление 2 2 22 2 7 4" xfId="15090"/>
    <cellStyle name="Вычисление 2 2 22 2 7 5" xfId="30565"/>
    <cellStyle name="Вычисление 2 2 22 2 8" xfId="6098"/>
    <cellStyle name="Вычисление 2 2 22 2 8 2" xfId="16769"/>
    <cellStyle name="Вычисление 2 2 22 2 8 3" xfId="32236"/>
    <cellStyle name="Вычисление 2 2 22 2 9" xfId="21986"/>
    <cellStyle name="Вычисление 2 2 22 2 9 2" xfId="37347"/>
    <cellStyle name="Вычисление 2 2 22 3" xfId="962"/>
    <cellStyle name="Вычисление 2 2 22 3 2" xfId="2719"/>
    <cellStyle name="Вычисление 2 2 22 3 2 2" xfId="7948"/>
    <cellStyle name="Вычисление 2 2 22 3 2 2 2" xfId="18852"/>
    <cellStyle name="Вычисление 2 2 22 3 2 2 3" xfId="34213"/>
    <cellStyle name="Вычисление 2 2 22 3 2 3" xfId="23836"/>
    <cellStyle name="Вычисление 2 2 22 3 2 3 2" xfId="39197"/>
    <cellStyle name="Вычисление 2 2 22 3 2 4" xfId="13289"/>
    <cellStyle name="Вычисление 2 2 22 3 2 5" xfId="28787"/>
    <cellStyle name="Вычисление 2 2 22 3 3" xfId="5205"/>
    <cellStyle name="Вычисление 2 2 22 3 3 2" xfId="10388"/>
    <cellStyle name="Вычисление 2 2 22 3 3 2 2" xfId="21314"/>
    <cellStyle name="Вычисление 2 2 22 3 3 2 3" xfId="36675"/>
    <cellStyle name="Вычисление 2 2 22 3 3 3" xfId="26275"/>
    <cellStyle name="Вычисление 2 2 22 3 3 3 2" xfId="41636"/>
    <cellStyle name="Вычисление 2 2 22 3 3 4" xfId="15751"/>
    <cellStyle name="Вычисление 2 2 22 3 3 5" xfId="31226"/>
    <cellStyle name="Вычисление 2 2 22 3 4" xfId="6222"/>
    <cellStyle name="Вычисление 2 2 22 3 4 2" xfId="16644"/>
    <cellStyle name="Вычисление 2 2 22 3 4 3" xfId="32111"/>
    <cellStyle name="Вычисление 2 2 22 3 5" xfId="22110"/>
    <cellStyle name="Вычисление 2 2 22 3 5 2" xfId="37471"/>
    <cellStyle name="Вычисление 2 2 22 3 6" xfId="11545"/>
    <cellStyle name="Вычисление 2 2 22 3 7" xfId="27061"/>
    <cellStyle name="Вычисление 2 2 22 4" xfId="1228"/>
    <cellStyle name="Вычисление 2 2 22 4 2" xfId="6481"/>
    <cellStyle name="Вычисление 2 2 22 4 2 2" xfId="16380"/>
    <cellStyle name="Вычисление 2 2 22 4 2 3" xfId="31847"/>
    <cellStyle name="Вычисление 2 2 22 4 3" xfId="22369"/>
    <cellStyle name="Вычисление 2 2 22 4 3 2" xfId="37730"/>
    <cellStyle name="Вычисление 2 2 22 4 4" xfId="11809"/>
    <cellStyle name="Вычисление 2 2 22 4 5" xfId="27320"/>
    <cellStyle name="Вычисление 2 2 22 5" xfId="2962"/>
    <cellStyle name="Вычисление 2 2 22 5 2" xfId="8163"/>
    <cellStyle name="Вычисление 2 2 22 5 2 2" xfId="19083"/>
    <cellStyle name="Вычисление 2 2 22 5 2 3" xfId="34444"/>
    <cellStyle name="Вычисление 2 2 22 5 3" xfId="24051"/>
    <cellStyle name="Вычисление 2 2 22 5 3 2" xfId="39412"/>
    <cellStyle name="Вычисление 2 2 22 5 4" xfId="13520"/>
    <cellStyle name="Вычисление 2 2 22 5 5" xfId="29002"/>
    <cellStyle name="Вычисление 2 2 22 6" xfId="3531"/>
    <cellStyle name="Вычисление 2 2 22 6 2" xfId="8718"/>
    <cellStyle name="Вычисление 2 2 22 6 2 2" xfId="19645"/>
    <cellStyle name="Вычисление 2 2 22 6 2 3" xfId="35006"/>
    <cellStyle name="Вычисление 2 2 22 6 3" xfId="24606"/>
    <cellStyle name="Вычисление 2 2 22 6 3 2" xfId="39967"/>
    <cellStyle name="Вычисление 2 2 22 6 4" xfId="14082"/>
    <cellStyle name="Вычисление 2 2 22 6 5" xfId="29557"/>
    <cellStyle name="Вычисление 2 2 22 7" xfId="3904"/>
    <cellStyle name="Вычисление 2 2 22 7 2" xfId="9091"/>
    <cellStyle name="Вычисление 2 2 22 7 2 2" xfId="20018"/>
    <cellStyle name="Вычисление 2 2 22 7 2 3" xfId="35379"/>
    <cellStyle name="Вычисление 2 2 22 7 3" xfId="24979"/>
    <cellStyle name="Вычисление 2 2 22 7 3 2" xfId="40340"/>
    <cellStyle name="Вычисление 2 2 22 7 4" xfId="14455"/>
    <cellStyle name="Вычисление 2 2 22 7 5" xfId="29930"/>
    <cellStyle name="Вычисление 2 2 22 8" xfId="4750"/>
    <cellStyle name="Вычисление 2 2 22 8 2" xfId="9937"/>
    <cellStyle name="Вычисление 2 2 22 8 2 2" xfId="20864"/>
    <cellStyle name="Вычисление 2 2 22 8 2 3" xfId="36225"/>
    <cellStyle name="Вычисление 2 2 22 8 3" xfId="25825"/>
    <cellStyle name="Вычисление 2 2 22 8 3 2" xfId="41186"/>
    <cellStyle name="Вычисление 2 2 22 8 4" xfId="15301"/>
    <cellStyle name="Вычисление 2 2 22 8 5" xfId="30776"/>
    <cellStyle name="Вычисление 2 2 22 9" xfId="5750"/>
    <cellStyle name="Вычисление 2 2 22 9 2" xfId="17141"/>
    <cellStyle name="Вычисление 2 2 22 9 3" xfId="32608"/>
    <cellStyle name="Вычисление 2 2 23" xfId="847"/>
    <cellStyle name="Вычисление 2 2 23 10" xfId="11431"/>
    <cellStyle name="Вычисление 2 2 23 11" xfId="26948"/>
    <cellStyle name="Вычисление 2 2 23 2" xfId="1594"/>
    <cellStyle name="Вычисление 2 2 23 2 2" xfId="2486"/>
    <cellStyle name="Вычисление 2 2 23 2 2 2" xfId="7722"/>
    <cellStyle name="Вычисление 2 2 23 2 2 2 2" xfId="18624"/>
    <cellStyle name="Вычисление 2 2 23 2 2 2 3" xfId="33985"/>
    <cellStyle name="Вычисление 2 2 23 2 2 3" xfId="23610"/>
    <cellStyle name="Вычисление 2 2 23 2 2 3 2" xfId="38971"/>
    <cellStyle name="Вычисление 2 2 23 2 2 4" xfId="13061"/>
    <cellStyle name="Вычисление 2 2 23 2 2 5" xfId="28561"/>
    <cellStyle name="Вычисление 2 2 23 2 3" xfId="5206"/>
    <cellStyle name="Вычисление 2 2 23 2 3 2" xfId="10389"/>
    <cellStyle name="Вычисление 2 2 23 2 3 2 2" xfId="21315"/>
    <cellStyle name="Вычисление 2 2 23 2 3 2 3" xfId="36676"/>
    <cellStyle name="Вычисление 2 2 23 2 3 3" xfId="26276"/>
    <cellStyle name="Вычисление 2 2 23 2 3 3 2" xfId="41637"/>
    <cellStyle name="Вычисление 2 2 23 2 3 4" xfId="15752"/>
    <cellStyle name="Вычисление 2 2 23 2 3 5" xfId="31227"/>
    <cellStyle name="Вычисление 2 2 23 2 4" xfId="6841"/>
    <cellStyle name="Вычисление 2 2 23 2 4 2" xfId="17736"/>
    <cellStyle name="Вычисление 2 2 23 2 4 3" xfId="33097"/>
    <cellStyle name="Вычисление 2 2 23 2 5" xfId="22729"/>
    <cellStyle name="Вычисление 2 2 23 2 5 2" xfId="38090"/>
    <cellStyle name="Вычисление 2 2 23 2 6" xfId="12172"/>
    <cellStyle name="Вычисление 2 2 23 2 7" xfId="27680"/>
    <cellStyle name="Вычисление 2 2 23 3" xfId="2253"/>
    <cellStyle name="Вычисление 2 2 23 3 2" xfId="7489"/>
    <cellStyle name="Вычисление 2 2 23 3 2 2" xfId="18391"/>
    <cellStyle name="Вычисление 2 2 23 3 2 3" xfId="33752"/>
    <cellStyle name="Вычисление 2 2 23 3 3" xfId="23377"/>
    <cellStyle name="Вычисление 2 2 23 3 3 2" xfId="38738"/>
    <cellStyle name="Вычисление 2 2 23 3 4" xfId="12828"/>
    <cellStyle name="Вычисление 2 2 23 3 5" xfId="28328"/>
    <cellStyle name="Вычисление 2 2 23 4" xfId="2811"/>
    <cellStyle name="Вычисление 2 2 23 4 2" xfId="8029"/>
    <cellStyle name="Вычисление 2 2 23 4 2 2" xfId="18941"/>
    <cellStyle name="Вычисление 2 2 23 4 2 3" xfId="34302"/>
    <cellStyle name="Вычисление 2 2 23 4 3" xfId="23917"/>
    <cellStyle name="Вычисление 2 2 23 4 3 2" xfId="39278"/>
    <cellStyle name="Вычисление 2 2 23 4 4" xfId="13378"/>
    <cellStyle name="Вычисление 2 2 23 4 5" xfId="28868"/>
    <cellStyle name="Вычисление 2 2 23 5" xfId="3649"/>
    <cellStyle name="Вычисление 2 2 23 5 2" xfId="8836"/>
    <cellStyle name="Вычисление 2 2 23 5 2 2" xfId="19763"/>
    <cellStyle name="Вычисление 2 2 23 5 2 3" xfId="35124"/>
    <cellStyle name="Вычисление 2 2 23 5 3" xfId="24724"/>
    <cellStyle name="Вычисление 2 2 23 5 3 2" xfId="40085"/>
    <cellStyle name="Вычисление 2 2 23 5 4" xfId="14200"/>
    <cellStyle name="Вычисление 2 2 23 5 5" xfId="29675"/>
    <cellStyle name="Вычисление 2 2 23 6" xfId="4301"/>
    <cellStyle name="Вычисление 2 2 23 6 2" xfId="9488"/>
    <cellStyle name="Вычисление 2 2 23 6 2 2" xfId="20415"/>
    <cellStyle name="Вычисление 2 2 23 6 2 3" xfId="35776"/>
    <cellStyle name="Вычисление 2 2 23 6 3" xfId="25376"/>
    <cellStyle name="Вычисление 2 2 23 6 3 2" xfId="40737"/>
    <cellStyle name="Вычисление 2 2 23 6 4" xfId="14852"/>
    <cellStyle name="Вычисление 2 2 23 6 5" xfId="30327"/>
    <cellStyle name="Вычисление 2 2 23 7" xfId="4528"/>
    <cellStyle name="Вычисление 2 2 23 7 2" xfId="9715"/>
    <cellStyle name="Вычисление 2 2 23 7 2 2" xfId="20642"/>
    <cellStyle name="Вычисление 2 2 23 7 2 3" xfId="36003"/>
    <cellStyle name="Вычисление 2 2 23 7 3" xfId="25603"/>
    <cellStyle name="Вычисление 2 2 23 7 3 2" xfId="40964"/>
    <cellStyle name="Вычисление 2 2 23 7 4" xfId="15079"/>
    <cellStyle name="Вычисление 2 2 23 7 5" xfId="30554"/>
    <cellStyle name="Вычисление 2 2 23 8" xfId="6109"/>
    <cellStyle name="Вычисление 2 2 23 8 2" xfId="16758"/>
    <cellStyle name="Вычисление 2 2 23 8 3" xfId="32225"/>
    <cellStyle name="Вычисление 2 2 23 9" xfId="21997"/>
    <cellStyle name="Вычисление 2 2 23 9 2" xfId="37358"/>
    <cellStyle name="Вычисление 2 2 24" xfId="1382"/>
    <cellStyle name="Вычисление 2 2 24 2" xfId="1880"/>
    <cellStyle name="Вычисление 2 2 24 2 2" xfId="7119"/>
    <cellStyle name="Вычисление 2 2 24 2 2 2" xfId="18021"/>
    <cellStyle name="Вычисление 2 2 24 2 2 3" xfId="33382"/>
    <cellStyle name="Вычисление 2 2 24 2 3" xfId="23007"/>
    <cellStyle name="Вычисление 2 2 24 2 3 2" xfId="38368"/>
    <cellStyle name="Вычисление 2 2 24 2 4" xfId="12458"/>
    <cellStyle name="Вычисление 2 2 24 2 5" xfId="27958"/>
    <cellStyle name="Вычисление 2 2 24 3" xfId="5207"/>
    <cellStyle name="Вычисление 2 2 24 3 2" xfId="10390"/>
    <cellStyle name="Вычисление 2 2 24 3 2 2" xfId="21316"/>
    <cellStyle name="Вычисление 2 2 24 3 2 3" xfId="36677"/>
    <cellStyle name="Вычисление 2 2 24 3 3" xfId="26277"/>
    <cellStyle name="Вычисление 2 2 24 3 3 2" xfId="41638"/>
    <cellStyle name="Вычисление 2 2 24 3 4" xfId="15753"/>
    <cellStyle name="Вычисление 2 2 24 3 5" xfId="31228"/>
    <cellStyle name="Вычисление 2 2 24 4" xfId="6632"/>
    <cellStyle name="Вычисление 2 2 24 4 2" xfId="16227"/>
    <cellStyle name="Вычисление 2 2 24 4 3" xfId="31694"/>
    <cellStyle name="Вычисление 2 2 24 5" xfId="22520"/>
    <cellStyle name="Вычисление 2 2 24 5 2" xfId="37881"/>
    <cellStyle name="Вычисление 2 2 24 6" xfId="11962"/>
    <cellStyle name="Вычисление 2 2 24 7" xfId="27471"/>
    <cellStyle name="Вычисление 2 2 25" xfId="1283"/>
    <cellStyle name="Вычисление 2 2 25 2" xfId="6536"/>
    <cellStyle name="Вычисление 2 2 25 2 2" xfId="16325"/>
    <cellStyle name="Вычисление 2 2 25 2 3" xfId="31792"/>
    <cellStyle name="Вычисление 2 2 25 3" xfId="22424"/>
    <cellStyle name="Вычисление 2 2 25 3 2" xfId="37785"/>
    <cellStyle name="Вычисление 2 2 25 4" xfId="11864"/>
    <cellStyle name="Вычисление 2 2 25 5" xfId="27375"/>
    <cellStyle name="Вычисление 2 2 26" xfId="2976"/>
    <cellStyle name="Вычисление 2 2 26 2" xfId="8177"/>
    <cellStyle name="Вычисление 2 2 26 2 2" xfId="19097"/>
    <cellStyle name="Вычисление 2 2 26 2 3" xfId="34458"/>
    <cellStyle name="Вычисление 2 2 26 3" xfId="24065"/>
    <cellStyle name="Вычисление 2 2 26 3 2" xfId="39426"/>
    <cellStyle name="Вычисление 2 2 26 4" xfId="13534"/>
    <cellStyle name="Вычисление 2 2 26 5" xfId="29016"/>
    <cellStyle name="Вычисление 2 2 27" xfId="3527"/>
    <cellStyle name="Вычисление 2 2 27 2" xfId="8714"/>
    <cellStyle name="Вычисление 2 2 27 2 2" xfId="19641"/>
    <cellStyle name="Вычисление 2 2 27 2 3" xfId="35002"/>
    <cellStyle name="Вычисление 2 2 27 3" xfId="24602"/>
    <cellStyle name="Вычисление 2 2 27 3 2" xfId="39963"/>
    <cellStyle name="Вычисление 2 2 27 4" xfId="14078"/>
    <cellStyle name="Вычисление 2 2 27 5" xfId="29553"/>
    <cellStyle name="Вычисление 2 2 27 6" xfId="46237"/>
    <cellStyle name="Вычисление 2 2 28" xfId="3281"/>
    <cellStyle name="Вычисление 2 2 28 2" xfId="8475"/>
    <cellStyle name="Вычисление 2 2 28 2 2" xfId="19402"/>
    <cellStyle name="Вычисление 2 2 28 2 3" xfId="34763"/>
    <cellStyle name="Вычисление 2 2 28 3" xfId="24363"/>
    <cellStyle name="Вычисление 2 2 28 3 2" xfId="39724"/>
    <cellStyle name="Вычисление 2 2 28 4" xfId="13839"/>
    <cellStyle name="Вычисление 2 2 28 5" xfId="29314"/>
    <cellStyle name="Вычисление 2 2 29" xfId="4758"/>
    <cellStyle name="Вычисление 2 2 29 2" xfId="9945"/>
    <cellStyle name="Вычисление 2 2 29 2 2" xfId="20872"/>
    <cellStyle name="Вычисление 2 2 29 2 3" xfId="36233"/>
    <cellStyle name="Вычисление 2 2 29 3" xfId="25833"/>
    <cellStyle name="Вычисление 2 2 29 3 2" xfId="41194"/>
    <cellStyle name="Вычисление 2 2 29 4" xfId="15309"/>
    <cellStyle name="Вычисление 2 2 29 5" xfId="30784"/>
    <cellStyle name="Вычисление 2 2 3" xfId="360"/>
    <cellStyle name="Вычисление 2 2 3 10" xfId="17327"/>
    <cellStyle name="Вычисление 2 2 3 10 2" xfId="32794"/>
    <cellStyle name="Вычисление 2 2 3 11" xfId="11046"/>
    <cellStyle name="Вычисление 2 2 3 12" xfId="10742"/>
    <cellStyle name="Вычисление 2 2 3 13" xfId="43820"/>
    <cellStyle name="Вычисление 2 2 3 2" xfId="835"/>
    <cellStyle name="Вычисление 2 2 3 2 10" xfId="11419"/>
    <cellStyle name="Вычисление 2 2 3 2 11" xfId="26936"/>
    <cellStyle name="Вычисление 2 2 3 2 12" xfId="43995"/>
    <cellStyle name="Вычисление 2 2 3 2 2" xfId="1216"/>
    <cellStyle name="Вычисление 2 2 3 2 2 2" xfId="2487"/>
    <cellStyle name="Вычисление 2 2 3 2 2 2 2" xfId="7723"/>
    <cellStyle name="Вычисление 2 2 3 2 2 2 2 2" xfId="18625"/>
    <cellStyle name="Вычисление 2 2 3 2 2 2 2 3" xfId="33986"/>
    <cellStyle name="Вычисление 2 2 3 2 2 2 3" xfId="23611"/>
    <cellStyle name="Вычисление 2 2 3 2 2 2 3 2" xfId="38972"/>
    <cellStyle name="Вычисление 2 2 3 2 2 2 4" xfId="13062"/>
    <cellStyle name="Вычисление 2 2 3 2 2 2 5" xfId="28562"/>
    <cellStyle name="Вычисление 2 2 3 2 2 3" xfId="5208"/>
    <cellStyle name="Вычисление 2 2 3 2 2 3 2" xfId="10391"/>
    <cellStyle name="Вычисление 2 2 3 2 2 3 2 2" xfId="21317"/>
    <cellStyle name="Вычисление 2 2 3 2 2 3 2 3" xfId="36678"/>
    <cellStyle name="Вычисление 2 2 3 2 2 3 3" xfId="26278"/>
    <cellStyle name="Вычисление 2 2 3 2 2 3 3 2" xfId="41639"/>
    <cellStyle name="Вычисление 2 2 3 2 2 3 4" xfId="15754"/>
    <cellStyle name="Вычисление 2 2 3 2 2 3 5" xfId="31229"/>
    <cellStyle name="Вычисление 2 2 3 2 2 4" xfId="6469"/>
    <cellStyle name="Вычисление 2 2 3 2 2 4 2" xfId="16392"/>
    <cellStyle name="Вычисление 2 2 3 2 2 4 3" xfId="31859"/>
    <cellStyle name="Вычисление 2 2 3 2 2 5" xfId="22357"/>
    <cellStyle name="Вычисление 2 2 3 2 2 5 2" xfId="37718"/>
    <cellStyle name="Вычисление 2 2 3 2 2 6" xfId="11797"/>
    <cellStyle name="Вычисление 2 2 3 2 2 7" xfId="27308"/>
    <cellStyle name="Вычисление 2 2 3 2 3" xfId="2241"/>
    <cellStyle name="Вычисление 2 2 3 2 3 2" xfId="7477"/>
    <cellStyle name="Вычисление 2 2 3 2 3 2 2" xfId="18379"/>
    <cellStyle name="Вычисление 2 2 3 2 3 2 3" xfId="33740"/>
    <cellStyle name="Вычисление 2 2 3 2 3 3" xfId="23365"/>
    <cellStyle name="Вычисление 2 2 3 2 3 3 2" xfId="38726"/>
    <cellStyle name="Вычисление 2 2 3 2 3 4" xfId="12816"/>
    <cellStyle name="Вычисление 2 2 3 2 3 5" xfId="28316"/>
    <cellStyle name="Вычисление 2 2 3 2 4" xfId="2830"/>
    <cellStyle name="Вычисление 2 2 3 2 4 2" xfId="8048"/>
    <cellStyle name="Вычисление 2 2 3 2 4 2 2" xfId="18960"/>
    <cellStyle name="Вычисление 2 2 3 2 4 2 3" xfId="34321"/>
    <cellStyle name="Вычисление 2 2 3 2 4 3" xfId="23936"/>
    <cellStyle name="Вычисление 2 2 3 2 4 3 2" xfId="39297"/>
    <cellStyle name="Вычисление 2 2 3 2 4 4" xfId="13397"/>
    <cellStyle name="Вычисление 2 2 3 2 4 5" xfId="28887"/>
    <cellStyle name="Вычисление 2 2 3 2 5" xfId="3779"/>
    <cellStyle name="Вычисление 2 2 3 2 5 2" xfId="8966"/>
    <cellStyle name="Вычисление 2 2 3 2 5 2 2" xfId="19893"/>
    <cellStyle name="Вычисление 2 2 3 2 5 2 3" xfId="35254"/>
    <cellStyle name="Вычисление 2 2 3 2 5 3" xfId="24854"/>
    <cellStyle name="Вычисление 2 2 3 2 5 3 2" xfId="40215"/>
    <cellStyle name="Вычисление 2 2 3 2 5 4" xfId="14330"/>
    <cellStyle name="Вычисление 2 2 3 2 5 5" xfId="29805"/>
    <cellStyle name="Вычисление 2 2 3 2 5 6" xfId="45354"/>
    <cellStyle name="Вычисление 2 2 3 2 6" xfId="4289"/>
    <cellStyle name="Вычисление 2 2 3 2 6 2" xfId="9476"/>
    <cellStyle name="Вычисление 2 2 3 2 6 2 2" xfId="20403"/>
    <cellStyle name="Вычисление 2 2 3 2 6 2 3" xfId="35764"/>
    <cellStyle name="Вычисление 2 2 3 2 6 3" xfId="25364"/>
    <cellStyle name="Вычисление 2 2 3 2 6 3 2" xfId="40725"/>
    <cellStyle name="Вычисление 2 2 3 2 6 4" xfId="14840"/>
    <cellStyle name="Вычисление 2 2 3 2 6 5" xfId="30315"/>
    <cellStyle name="Вычисление 2 2 3 2 6 6" xfId="46244"/>
    <cellStyle name="Вычисление 2 2 3 2 7" xfId="4540"/>
    <cellStyle name="Вычисление 2 2 3 2 7 2" xfId="9727"/>
    <cellStyle name="Вычисление 2 2 3 2 7 2 2" xfId="20654"/>
    <cellStyle name="Вычисление 2 2 3 2 7 2 3" xfId="36015"/>
    <cellStyle name="Вычисление 2 2 3 2 7 3" xfId="25615"/>
    <cellStyle name="Вычисление 2 2 3 2 7 3 2" xfId="40976"/>
    <cellStyle name="Вычисление 2 2 3 2 7 4" xfId="15091"/>
    <cellStyle name="Вычисление 2 2 3 2 7 5" xfId="30566"/>
    <cellStyle name="Вычисление 2 2 3 2 8" xfId="6097"/>
    <cellStyle name="Вычисление 2 2 3 2 8 2" xfId="16770"/>
    <cellStyle name="Вычисление 2 2 3 2 8 3" xfId="32237"/>
    <cellStyle name="Вычисление 2 2 3 2 9" xfId="21985"/>
    <cellStyle name="Вычисление 2 2 3 2 9 2" xfId="37346"/>
    <cellStyle name="Вычисление 2 2 3 3" xfId="1750"/>
    <cellStyle name="Вычисление 2 2 3 3 2" xfId="2062"/>
    <cellStyle name="Вычисление 2 2 3 3 2 2" xfId="7298"/>
    <cellStyle name="Вычисление 2 2 3 3 2 2 2" xfId="18200"/>
    <cellStyle name="Вычисление 2 2 3 3 2 2 3" xfId="33561"/>
    <cellStyle name="Вычисление 2 2 3 3 2 3" xfId="23186"/>
    <cellStyle name="Вычисление 2 2 3 3 2 3 2" xfId="38547"/>
    <cellStyle name="Вычисление 2 2 3 3 2 4" xfId="12637"/>
    <cellStyle name="Вычисление 2 2 3 3 2 5" xfId="28137"/>
    <cellStyle name="Вычисление 2 2 3 3 3" xfId="5209"/>
    <cellStyle name="Вычисление 2 2 3 3 3 2" xfId="10392"/>
    <cellStyle name="Вычисление 2 2 3 3 3 2 2" xfId="21318"/>
    <cellStyle name="Вычисление 2 2 3 3 3 2 3" xfId="36679"/>
    <cellStyle name="Вычисление 2 2 3 3 3 3" xfId="26279"/>
    <cellStyle name="Вычисление 2 2 3 3 3 3 2" xfId="41640"/>
    <cellStyle name="Вычисление 2 2 3 3 3 4" xfId="15755"/>
    <cellStyle name="Вычисление 2 2 3 3 3 5" xfId="31230"/>
    <cellStyle name="Вычисление 2 2 3 3 4" xfId="6989"/>
    <cellStyle name="Вычисление 2 2 3 3 4 2" xfId="17891"/>
    <cellStyle name="Вычисление 2 2 3 3 4 3" xfId="33252"/>
    <cellStyle name="Вычисление 2 2 3 3 5" xfId="22877"/>
    <cellStyle name="Вычисление 2 2 3 3 5 2" xfId="38238"/>
    <cellStyle name="Вычисление 2 2 3 3 6" xfId="12328"/>
    <cellStyle name="Вычисление 2 2 3 3 7" xfId="27828"/>
    <cellStyle name="Вычисление 2 2 3 4" xfId="1281"/>
    <cellStyle name="Вычисление 2 2 3 4 2" xfId="6534"/>
    <cellStyle name="Вычисление 2 2 3 4 2 2" xfId="16327"/>
    <cellStyle name="Вычисление 2 2 3 4 2 3" xfId="31794"/>
    <cellStyle name="Вычисление 2 2 3 4 3" xfId="22422"/>
    <cellStyle name="Вычисление 2 2 3 4 3 2" xfId="37783"/>
    <cellStyle name="Вычисление 2 2 3 4 4" xfId="11862"/>
    <cellStyle name="Вычисление 2 2 3 4 5" xfId="27373"/>
    <cellStyle name="Вычисление 2 2 3 5" xfId="2961"/>
    <cellStyle name="Вычисление 2 2 3 5 2" xfId="8162"/>
    <cellStyle name="Вычисление 2 2 3 5 2 2" xfId="19082"/>
    <cellStyle name="Вычисление 2 2 3 5 2 3" xfId="34443"/>
    <cellStyle name="Вычисление 2 2 3 5 3" xfId="24050"/>
    <cellStyle name="Вычисление 2 2 3 5 3 2" xfId="39411"/>
    <cellStyle name="Вычисление 2 2 3 5 4" xfId="13519"/>
    <cellStyle name="Вычисление 2 2 3 5 5" xfId="29001"/>
    <cellStyle name="Вычисление 2 2 3 6" xfId="3532"/>
    <cellStyle name="Вычисление 2 2 3 6 2" xfId="8719"/>
    <cellStyle name="Вычисление 2 2 3 6 2 2" xfId="19646"/>
    <cellStyle name="Вычисление 2 2 3 6 2 3" xfId="35007"/>
    <cellStyle name="Вычисление 2 2 3 6 3" xfId="24607"/>
    <cellStyle name="Вычисление 2 2 3 6 3 2" xfId="39968"/>
    <cellStyle name="Вычисление 2 2 3 6 4" xfId="14083"/>
    <cellStyle name="Вычисление 2 2 3 6 5" xfId="29558"/>
    <cellStyle name="Вычисление 2 2 3 6 6" xfId="45302"/>
    <cellStyle name="Вычисление 2 2 3 7" xfId="3319"/>
    <cellStyle name="Вычисление 2 2 3 7 2" xfId="8513"/>
    <cellStyle name="Вычисление 2 2 3 7 2 2" xfId="19440"/>
    <cellStyle name="Вычисление 2 2 3 7 2 3" xfId="34801"/>
    <cellStyle name="Вычисление 2 2 3 7 3" xfId="24401"/>
    <cellStyle name="Вычисление 2 2 3 7 3 2" xfId="39762"/>
    <cellStyle name="Вычисление 2 2 3 7 4" xfId="13877"/>
    <cellStyle name="Вычисление 2 2 3 7 5" xfId="29352"/>
    <cellStyle name="Вычисление 2 2 3 7 6" xfId="46243"/>
    <cellStyle name="Вычисление 2 2 3 8" xfId="4749"/>
    <cellStyle name="Вычисление 2 2 3 8 2" xfId="9936"/>
    <cellStyle name="Вычисление 2 2 3 8 2 2" xfId="20863"/>
    <cellStyle name="Вычисление 2 2 3 8 2 3" xfId="36224"/>
    <cellStyle name="Вычисление 2 2 3 8 3" xfId="25824"/>
    <cellStyle name="Вычисление 2 2 3 8 3 2" xfId="41185"/>
    <cellStyle name="Вычисление 2 2 3 8 4" xfId="15300"/>
    <cellStyle name="Вычисление 2 2 3 8 5" xfId="30775"/>
    <cellStyle name="Вычисление 2 2 3 9" xfId="5751"/>
    <cellStyle name="Вычисление 2 2 3 9 2" xfId="17140"/>
    <cellStyle name="Вычисление 2 2 3 9 3" xfId="32607"/>
    <cellStyle name="Вычисление 2 2 30" xfId="5736"/>
    <cellStyle name="Вычисление 2 2 30 2" xfId="17155"/>
    <cellStyle name="Вычисление 2 2 30 3" xfId="32622"/>
    <cellStyle name="Вычисление 2 2 31" xfId="17318"/>
    <cellStyle name="Вычисление 2 2 31 2" xfId="32785"/>
    <cellStyle name="Вычисление 2 2 32" xfId="11031"/>
    <cellStyle name="Вычисление 2 2 33" xfId="10869"/>
    <cellStyle name="Вычисление 2 2 34" xfId="43816"/>
    <cellStyle name="Вычисление 2 2 4" xfId="361"/>
    <cellStyle name="Вычисление 2 2 4 10" xfId="17444"/>
    <cellStyle name="Вычисление 2 2 4 10 2" xfId="32911"/>
    <cellStyle name="Вычисление 2 2 4 11" xfId="11047"/>
    <cellStyle name="Вычисление 2 2 4 12" xfId="10859"/>
    <cellStyle name="Вычисление 2 2 4 13" xfId="43991"/>
    <cellStyle name="Вычисление 2 2 4 2" xfId="834"/>
    <cellStyle name="Вычисление 2 2 4 2 10" xfId="11418"/>
    <cellStyle name="Вычисление 2 2 4 2 11" xfId="26935"/>
    <cellStyle name="Вычисление 2 2 4 2 2" xfId="1323"/>
    <cellStyle name="Вычисление 2 2 4 2 2 2" xfId="2488"/>
    <cellStyle name="Вычисление 2 2 4 2 2 2 2" xfId="7724"/>
    <cellStyle name="Вычисление 2 2 4 2 2 2 2 2" xfId="18626"/>
    <cellStyle name="Вычисление 2 2 4 2 2 2 2 3" xfId="33987"/>
    <cellStyle name="Вычисление 2 2 4 2 2 2 3" xfId="23612"/>
    <cellStyle name="Вычисление 2 2 4 2 2 2 3 2" xfId="38973"/>
    <cellStyle name="Вычисление 2 2 4 2 2 2 4" xfId="13063"/>
    <cellStyle name="Вычисление 2 2 4 2 2 2 5" xfId="28563"/>
    <cellStyle name="Вычисление 2 2 4 2 2 3" xfId="5210"/>
    <cellStyle name="Вычисление 2 2 4 2 2 3 2" xfId="10393"/>
    <cellStyle name="Вычисление 2 2 4 2 2 3 2 2" xfId="21319"/>
    <cellStyle name="Вычисление 2 2 4 2 2 3 2 3" xfId="36680"/>
    <cellStyle name="Вычисление 2 2 4 2 2 3 3" xfId="26280"/>
    <cellStyle name="Вычисление 2 2 4 2 2 3 3 2" xfId="41641"/>
    <cellStyle name="Вычисление 2 2 4 2 2 3 4" xfId="15756"/>
    <cellStyle name="Вычисление 2 2 4 2 2 3 5" xfId="31231"/>
    <cellStyle name="Вычисление 2 2 4 2 2 4" xfId="6576"/>
    <cellStyle name="Вычисление 2 2 4 2 2 4 2" xfId="16285"/>
    <cellStyle name="Вычисление 2 2 4 2 2 4 3" xfId="31752"/>
    <cellStyle name="Вычисление 2 2 4 2 2 5" xfId="22464"/>
    <cellStyle name="Вычисление 2 2 4 2 2 5 2" xfId="37825"/>
    <cellStyle name="Вычисление 2 2 4 2 2 6" xfId="11904"/>
    <cellStyle name="Вычисление 2 2 4 2 2 7" xfId="27415"/>
    <cellStyle name="Вычисление 2 2 4 2 3" xfId="2240"/>
    <cellStyle name="Вычисление 2 2 4 2 3 2" xfId="7476"/>
    <cellStyle name="Вычисление 2 2 4 2 3 2 2" xfId="18378"/>
    <cellStyle name="Вычисление 2 2 4 2 3 2 3" xfId="33739"/>
    <cellStyle name="Вычисление 2 2 4 2 3 3" xfId="23364"/>
    <cellStyle name="Вычисление 2 2 4 2 3 3 2" xfId="38725"/>
    <cellStyle name="Вычисление 2 2 4 2 3 4" xfId="12815"/>
    <cellStyle name="Вычисление 2 2 4 2 3 5" xfId="28315"/>
    <cellStyle name="Вычисление 2 2 4 2 4" xfId="1678"/>
    <cellStyle name="Вычисление 2 2 4 2 4 2" xfId="6923"/>
    <cellStyle name="Вычисление 2 2 4 2 4 2 2" xfId="17820"/>
    <cellStyle name="Вычисление 2 2 4 2 4 2 3" xfId="33181"/>
    <cellStyle name="Вычисление 2 2 4 2 4 3" xfId="22811"/>
    <cellStyle name="Вычисление 2 2 4 2 4 3 2" xfId="38172"/>
    <cellStyle name="Вычисление 2 2 4 2 4 4" xfId="12256"/>
    <cellStyle name="Вычисление 2 2 4 2 4 5" xfId="27762"/>
    <cellStyle name="Вычисление 2 2 4 2 5" xfId="3643"/>
    <cellStyle name="Вычисление 2 2 4 2 5 2" xfId="8830"/>
    <cellStyle name="Вычисление 2 2 4 2 5 2 2" xfId="19757"/>
    <cellStyle name="Вычисление 2 2 4 2 5 2 3" xfId="35118"/>
    <cellStyle name="Вычисление 2 2 4 2 5 3" xfId="24718"/>
    <cellStyle name="Вычисление 2 2 4 2 5 3 2" xfId="40079"/>
    <cellStyle name="Вычисление 2 2 4 2 5 4" xfId="14194"/>
    <cellStyle name="Вычисление 2 2 4 2 5 5" xfId="29669"/>
    <cellStyle name="Вычисление 2 2 4 2 6" xfId="4288"/>
    <cellStyle name="Вычисление 2 2 4 2 6 2" xfId="9475"/>
    <cellStyle name="Вычисление 2 2 4 2 6 2 2" xfId="20402"/>
    <cellStyle name="Вычисление 2 2 4 2 6 2 3" xfId="35763"/>
    <cellStyle name="Вычисление 2 2 4 2 6 3" xfId="25363"/>
    <cellStyle name="Вычисление 2 2 4 2 6 3 2" xfId="40724"/>
    <cellStyle name="Вычисление 2 2 4 2 6 4" xfId="14839"/>
    <cellStyle name="Вычисление 2 2 4 2 6 5" xfId="30314"/>
    <cellStyle name="Вычисление 2 2 4 2 7" xfId="4541"/>
    <cellStyle name="Вычисление 2 2 4 2 7 2" xfId="9728"/>
    <cellStyle name="Вычисление 2 2 4 2 7 2 2" xfId="20655"/>
    <cellStyle name="Вычисление 2 2 4 2 7 2 3" xfId="36016"/>
    <cellStyle name="Вычисление 2 2 4 2 7 3" xfId="25616"/>
    <cellStyle name="Вычисление 2 2 4 2 7 3 2" xfId="40977"/>
    <cellStyle name="Вычисление 2 2 4 2 7 4" xfId="15092"/>
    <cellStyle name="Вычисление 2 2 4 2 7 5" xfId="30567"/>
    <cellStyle name="Вычисление 2 2 4 2 8" xfId="6096"/>
    <cellStyle name="Вычисление 2 2 4 2 8 2" xfId="16771"/>
    <cellStyle name="Вычисление 2 2 4 2 8 3" xfId="32238"/>
    <cellStyle name="Вычисление 2 2 4 2 9" xfId="21984"/>
    <cellStyle name="Вычисление 2 2 4 2 9 2" xfId="37345"/>
    <cellStyle name="Вычисление 2 2 4 3" xfId="1460"/>
    <cellStyle name="Вычисление 2 2 4 3 2" xfId="2068"/>
    <cellStyle name="Вычисление 2 2 4 3 2 2" xfId="7304"/>
    <cellStyle name="Вычисление 2 2 4 3 2 2 2" xfId="18206"/>
    <cellStyle name="Вычисление 2 2 4 3 2 2 3" xfId="33567"/>
    <cellStyle name="Вычисление 2 2 4 3 2 3" xfId="23192"/>
    <cellStyle name="Вычисление 2 2 4 3 2 3 2" xfId="38553"/>
    <cellStyle name="Вычисление 2 2 4 3 2 4" xfId="12643"/>
    <cellStyle name="Вычисление 2 2 4 3 2 5" xfId="28143"/>
    <cellStyle name="Вычисление 2 2 4 3 3" xfId="5211"/>
    <cellStyle name="Вычисление 2 2 4 3 3 2" xfId="10394"/>
    <cellStyle name="Вычисление 2 2 4 3 3 2 2" xfId="21320"/>
    <cellStyle name="Вычисление 2 2 4 3 3 2 3" xfId="36681"/>
    <cellStyle name="Вычисление 2 2 4 3 3 3" xfId="26281"/>
    <cellStyle name="Вычисление 2 2 4 3 3 3 2" xfId="41642"/>
    <cellStyle name="Вычисление 2 2 4 3 3 4" xfId="15757"/>
    <cellStyle name="Вычисление 2 2 4 3 3 5" xfId="31232"/>
    <cellStyle name="Вычисление 2 2 4 3 4" xfId="6707"/>
    <cellStyle name="Вычисление 2 2 4 3 4 2" xfId="16151"/>
    <cellStyle name="Вычисление 2 2 4 3 4 3" xfId="31618"/>
    <cellStyle name="Вычисление 2 2 4 3 5" xfId="22595"/>
    <cellStyle name="Вычисление 2 2 4 3 5 2" xfId="37956"/>
    <cellStyle name="Вычисление 2 2 4 3 6" xfId="12038"/>
    <cellStyle name="Вычисление 2 2 4 3 7" xfId="27546"/>
    <cellStyle name="Вычисление 2 2 4 4" xfId="1779"/>
    <cellStyle name="Вычисление 2 2 4 4 2" xfId="7018"/>
    <cellStyle name="Вычисление 2 2 4 4 2 2" xfId="17920"/>
    <cellStyle name="Вычисление 2 2 4 4 2 3" xfId="33281"/>
    <cellStyle name="Вычисление 2 2 4 4 3" xfId="22906"/>
    <cellStyle name="Вычисление 2 2 4 4 3 2" xfId="38267"/>
    <cellStyle name="Вычисление 2 2 4 4 4" xfId="12357"/>
    <cellStyle name="Вычисление 2 2 4 4 5" xfId="27857"/>
    <cellStyle name="Вычисление 2 2 4 5" xfId="2960"/>
    <cellStyle name="Вычисление 2 2 4 5 2" xfId="8161"/>
    <cellStyle name="Вычисление 2 2 4 5 2 2" xfId="19081"/>
    <cellStyle name="Вычисление 2 2 4 5 2 3" xfId="34442"/>
    <cellStyle name="Вычисление 2 2 4 5 3" xfId="24049"/>
    <cellStyle name="Вычисление 2 2 4 5 3 2" xfId="39410"/>
    <cellStyle name="Вычисление 2 2 4 5 4" xfId="13518"/>
    <cellStyle name="Вычисление 2 2 4 5 5" xfId="29000"/>
    <cellStyle name="Вычисление 2 2 4 6" xfId="3850"/>
    <cellStyle name="Вычисление 2 2 4 6 2" xfId="9037"/>
    <cellStyle name="Вычисление 2 2 4 6 2 2" xfId="19964"/>
    <cellStyle name="Вычисление 2 2 4 6 2 3" xfId="35325"/>
    <cellStyle name="Вычисление 2 2 4 6 3" xfId="24925"/>
    <cellStyle name="Вычисление 2 2 4 6 3 2" xfId="40286"/>
    <cellStyle name="Вычисление 2 2 4 6 4" xfId="14401"/>
    <cellStyle name="Вычисление 2 2 4 6 5" xfId="29876"/>
    <cellStyle name="Вычисление 2 2 4 6 6" xfId="45353"/>
    <cellStyle name="Вычисление 2 2 4 7" xfId="3446"/>
    <cellStyle name="Вычисление 2 2 4 7 2" xfId="8635"/>
    <cellStyle name="Вычисление 2 2 4 7 2 2" xfId="19562"/>
    <cellStyle name="Вычисление 2 2 4 7 2 3" xfId="34923"/>
    <cellStyle name="Вычисление 2 2 4 7 3" xfId="24523"/>
    <cellStyle name="Вычисление 2 2 4 7 3 2" xfId="39884"/>
    <cellStyle name="Вычисление 2 2 4 7 4" xfId="13999"/>
    <cellStyle name="Вычисление 2 2 4 7 5" xfId="29474"/>
    <cellStyle name="Вычисление 2 2 4 8" xfId="4748"/>
    <cellStyle name="Вычисление 2 2 4 8 2" xfId="9935"/>
    <cellStyle name="Вычисление 2 2 4 8 2 2" xfId="20862"/>
    <cellStyle name="Вычисление 2 2 4 8 2 3" xfId="36223"/>
    <cellStyle name="Вычисление 2 2 4 8 3" xfId="25823"/>
    <cellStyle name="Вычисление 2 2 4 8 3 2" xfId="41184"/>
    <cellStyle name="Вычисление 2 2 4 8 4" xfId="15299"/>
    <cellStyle name="Вычисление 2 2 4 8 5" xfId="30774"/>
    <cellStyle name="Вычисление 2 2 4 9" xfId="5752"/>
    <cellStyle name="Вычисление 2 2 4 9 2" xfId="17139"/>
    <cellStyle name="Вычисление 2 2 4 9 3" xfId="32606"/>
    <cellStyle name="Вычисление 2 2 5" xfId="362"/>
    <cellStyle name="Вычисление 2 2 5 10" xfId="17439"/>
    <cellStyle name="Вычисление 2 2 5 10 2" xfId="32906"/>
    <cellStyle name="Вычисление 2 2 5 11" xfId="11048"/>
    <cellStyle name="Вычисление 2 2 5 12" xfId="10858"/>
    <cellStyle name="Вычисление 2 2 5 2" xfId="833"/>
    <cellStyle name="Вычисление 2 2 5 2 10" xfId="11417"/>
    <cellStyle name="Вычисление 2 2 5 2 11" xfId="26934"/>
    <cellStyle name="Вычисление 2 2 5 2 2" xfId="1708"/>
    <cellStyle name="Вычисление 2 2 5 2 2 2" xfId="2489"/>
    <cellStyle name="Вычисление 2 2 5 2 2 2 2" xfId="7725"/>
    <cellStyle name="Вычисление 2 2 5 2 2 2 2 2" xfId="18627"/>
    <cellStyle name="Вычисление 2 2 5 2 2 2 2 3" xfId="33988"/>
    <cellStyle name="Вычисление 2 2 5 2 2 2 3" xfId="23613"/>
    <cellStyle name="Вычисление 2 2 5 2 2 2 3 2" xfId="38974"/>
    <cellStyle name="Вычисление 2 2 5 2 2 2 4" xfId="13064"/>
    <cellStyle name="Вычисление 2 2 5 2 2 2 5" xfId="28564"/>
    <cellStyle name="Вычисление 2 2 5 2 2 3" xfId="5212"/>
    <cellStyle name="Вычисление 2 2 5 2 2 3 2" xfId="10395"/>
    <cellStyle name="Вычисление 2 2 5 2 2 3 2 2" xfId="21321"/>
    <cellStyle name="Вычисление 2 2 5 2 2 3 2 3" xfId="36682"/>
    <cellStyle name="Вычисление 2 2 5 2 2 3 3" xfId="26282"/>
    <cellStyle name="Вычисление 2 2 5 2 2 3 3 2" xfId="41643"/>
    <cellStyle name="Вычисление 2 2 5 2 2 3 4" xfId="15758"/>
    <cellStyle name="Вычисление 2 2 5 2 2 3 5" xfId="31233"/>
    <cellStyle name="Вычисление 2 2 5 2 2 4" xfId="6950"/>
    <cellStyle name="Вычисление 2 2 5 2 2 4 2" xfId="17850"/>
    <cellStyle name="Вычисление 2 2 5 2 2 4 3" xfId="33211"/>
    <cellStyle name="Вычисление 2 2 5 2 2 5" xfId="22838"/>
    <cellStyle name="Вычисление 2 2 5 2 2 5 2" xfId="38199"/>
    <cellStyle name="Вычисление 2 2 5 2 2 6" xfId="12286"/>
    <cellStyle name="Вычисление 2 2 5 2 2 7" xfId="27789"/>
    <cellStyle name="Вычисление 2 2 5 2 3" xfId="2239"/>
    <cellStyle name="Вычисление 2 2 5 2 3 2" xfId="7475"/>
    <cellStyle name="Вычисление 2 2 5 2 3 2 2" xfId="18377"/>
    <cellStyle name="Вычисление 2 2 5 2 3 2 3" xfId="33738"/>
    <cellStyle name="Вычисление 2 2 5 2 3 3" xfId="23363"/>
    <cellStyle name="Вычисление 2 2 5 2 3 3 2" xfId="38724"/>
    <cellStyle name="Вычисление 2 2 5 2 3 4" xfId="12814"/>
    <cellStyle name="Вычисление 2 2 5 2 3 5" xfId="28314"/>
    <cellStyle name="Вычисление 2 2 5 2 4" xfId="2831"/>
    <cellStyle name="Вычисление 2 2 5 2 4 2" xfId="8049"/>
    <cellStyle name="Вычисление 2 2 5 2 4 2 2" xfId="18961"/>
    <cellStyle name="Вычисление 2 2 5 2 4 2 3" xfId="34322"/>
    <cellStyle name="Вычисление 2 2 5 2 4 3" xfId="23937"/>
    <cellStyle name="Вычисление 2 2 5 2 4 3 2" xfId="39298"/>
    <cellStyle name="Вычисление 2 2 5 2 4 4" xfId="13398"/>
    <cellStyle name="Вычисление 2 2 5 2 4 5" xfId="28888"/>
    <cellStyle name="Вычисление 2 2 5 2 5" xfId="3780"/>
    <cellStyle name="Вычисление 2 2 5 2 5 2" xfId="8967"/>
    <cellStyle name="Вычисление 2 2 5 2 5 2 2" xfId="19894"/>
    <cellStyle name="Вычисление 2 2 5 2 5 2 3" xfId="35255"/>
    <cellStyle name="Вычисление 2 2 5 2 5 3" xfId="24855"/>
    <cellStyle name="Вычисление 2 2 5 2 5 3 2" xfId="40216"/>
    <cellStyle name="Вычисление 2 2 5 2 5 4" xfId="14331"/>
    <cellStyle name="Вычисление 2 2 5 2 5 5" xfId="29806"/>
    <cellStyle name="Вычисление 2 2 5 2 6" xfId="4287"/>
    <cellStyle name="Вычисление 2 2 5 2 6 2" xfId="9474"/>
    <cellStyle name="Вычисление 2 2 5 2 6 2 2" xfId="20401"/>
    <cellStyle name="Вычисление 2 2 5 2 6 2 3" xfId="35762"/>
    <cellStyle name="Вычисление 2 2 5 2 6 3" xfId="25362"/>
    <cellStyle name="Вычисление 2 2 5 2 6 3 2" xfId="40723"/>
    <cellStyle name="Вычисление 2 2 5 2 6 4" xfId="14838"/>
    <cellStyle name="Вычисление 2 2 5 2 6 5" xfId="30313"/>
    <cellStyle name="Вычисление 2 2 5 2 7" xfId="4542"/>
    <cellStyle name="Вычисление 2 2 5 2 7 2" xfId="9729"/>
    <cellStyle name="Вычисление 2 2 5 2 7 2 2" xfId="20656"/>
    <cellStyle name="Вычисление 2 2 5 2 7 2 3" xfId="36017"/>
    <cellStyle name="Вычисление 2 2 5 2 7 3" xfId="25617"/>
    <cellStyle name="Вычисление 2 2 5 2 7 3 2" xfId="40978"/>
    <cellStyle name="Вычисление 2 2 5 2 7 4" xfId="15093"/>
    <cellStyle name="Вычисление 2 2 5 2 7 5" xfId="30568"/>
    <cellStyle name="Вычисление 2 2 5 2 8" xfId="6095"/>
    <cellStyle name="Вычисление 2 2 5 2 8 2" xfId="16772"/>
    <cellStyle name="Вычисление 2 2 5 2 8 3" xfId="32239"/>
    <cellStyle name="Вычисление 2 2 5 2 9" xfId="21983"/>
    <cellStyle name="Вычисление 2 2 5 2 9 2" xfId="37344"/>
    <cellStyle name="Вычисление 2 2 5 3" xfId="1093"/>
    <cellStyle name="Вычисление 2 2 5 3 2" xfId="2064"/>
    <cellStyle name="Вычисление 2 2 5 3 2 2" xfId="7300"/>
    <cellStyle name="Вычисление 2 2 5 3 2 2 2" xfId="18202"/>
    <cellStyle name="Вычисление 2 2 5 3 2 2 3" xfId="33563"/>
    <cellStyle name="Вычисление 2 2 5 3 2 3" xfId="23188"/>
    <cellStyle name="Вычисление 2 2 5 3 2 3 2" xfId="38549"/>
    <cellStyle name="Вычисление 2 2 5 3 2 4" xfId="12639"/>
    <cellStyle name="Вычисление 2 2 5 3 2 5" xfId="28139"/>
    <cellStyle name="Вычисление 2 2 5 3 3" xfId="5213"/>
    <cellStyle name="Вычисление 2 2 5 3 3 2" xfId="10396"/>
    <cellStyle name="Вычисление 2 2 5 3 3 2 2" xfId="21322"/>
    <cellStyle name="Вычисление 2 2 5 3 3 2 3" xfId="36683"/>
    <cellStyle name="Вычисление 2 2 5 3 3 3" xfId="26283"/>
    <cellStyle name="Вычисление 2 2 5 3 3 3 2" xfId="41644"/>
    <cellStyle name="Вычисление 2 2 5 3 3 4" xfId="15759"/>
    <cellStyle name="Вычисление 2 2 5 3 3 5" xfId="31234"/>
    <cellStyle name="Вычисление 2 2 5 3 4" xfId="6349"/>
    <cellStyle name="Вычисление 2 2 5 3 4 2" xfId="16514"/>
    <cellStyle name="Вычисление 2 2 5 3 4 3" xfId="31981"/>
    <cellStyle name="Вычисление 2 2 5 3 5" xfId="22237"/>
    <cellStyle name="Вычисление 2 2 5 3 5 2" xfId="37598"/>
    <cellStyle name="Вычисление 2 2 5 3 6" xfId="11675"/>
    <cellStyle name="Вычисление 2 2 5 3 7" xfId="27188"/>
    <cellStyle name="Вычисление 2 2 5 4" xfId="1105"/>
    <cellStyle name="Вычисление 2 2 5 4 2" xfId="6361"/>
    <cellStyle name="Вычисление 2 2 5 4 2 2" xfId="16502"/>
    <cellStyle name="Вычисление 2 2 5 4 2 3" xfId="31969"/>
    <cellStyle name="Вычисление 2 2 5 4 3" xfId="22249"/>
    <cellStyle name="Вычисление 2 2 5 4 3 2" xfId="37610"/>
    <cellStyle name="Вычисление 2 2 5 4 4" xfId="11687"/>
    <cellStyle name="Вычисление 2 2 5 4 5" xfId="27200"/>
    <cellStyle name="Вычисление 2 2 5 5" xfId="2959"/>
    <cellStyle name="Вычисление 2 2 5 5 2" xfId="8160"/>
    <cellStyle name="Вычисление 2 2 5 5 2 2" xfId="19080"/>
    <cellStyle name="Вычисление 2 2 5 5 2 3" xfId="34441"/>
    <cellStyle name="Вычисление 2 2 5 5 3" xfId="24048"/>
    <cellStyle name="Вычисление 2 2 5 5 3 2" xfId="39409"/>
    <cellStyle name="Вычисление 2 2 5 5 4" xfId="13517"/>
    <cellStyle name="Вычисление 2 2 5 5 5" xfId="28999"/>
    <cellStyle name="Вычисление 2 2 5 6" xfId="3533"/>
    <cellStyle name="Вычисление 2 2 5 6 2" xfId="8720"/>
    <cellStyle name="Вычисление 2 2 5 6 2 2" xfId="19647"/>
    <cellStyle name="Вычисление 2 2 5 6 2 3" xfId="35008"/>
    <cellStyle name="Вычисление 2 2 5 6 3" xfId="24608"/>
    <cellStyle name="Вычисление 2 2 5 6 3 2" xfId="39969"/>
    <cellStyle name="Вычисление 2 2 5 6 4" xfId="14084"/>
    <cellStyle name="Вычисление 2 2 5 6 5" xfId="29559"/>
    <cellStyle name="Вычисление 2 2 5 7" xfId="3922"/>
    <cellStyle name="Вычисление 2 2 5 7 2" xfId="9109"/>
    <cellStyle name="Вычисление 2 2 5 7 2 2" xfId="20036"/>
    <cellStyle name="Вычисление 2 2 5 7 2 3" xfId="35397"/>
    <cellStyle name="Вычисление 2 2 5 7 3" xfId="24997"/>
    <cellStyle name="Вычисление 2 2 5 7 3 2" xfId="40358"/>
    <cellStyle name="Вычисление 2 2 5 7 4" xfId="14473"/>
    <cellStyle name="Вычисление 2 2 5 7 5" xfId="29948"/>
    <cellStyle name="Вычисление 2 2 5 8" xfId="4747"/>
    <cellStyle name="Вычисление 2 2 5 8 2" xfId="9934"/>
    <cellStyle name="Вычисление 2 2 5 8 2 2" xfId="20861"/>
    <cellStyle name="Вычисление 2 2 5 8 2 3" xfId="36222"/>
    <cellStyle name="Вычисление 2 2 5 8 3" xfId="25822"/>
    <cellStyle name="Вычисление 2 2 5 8 3 2" xfId="41183"/>
    <cellStyle name="Вычисление 2 2 5 8 4" xfId="15298"/>
    <cellStyle name="Вычисление 2 2 5 8 5" xfId="30773"/>
    <cellStyle name="Вычисление 2 2 5 9" xfId="5753"/>
    <cellStyle name="Вычисление 2 2 5 9 2" xfId="17138"/>
    <cellStyle name="Вычисление 2 2 5 9 3" xfId="32605"/>
    <cellStyle name="Вычисление 2 2 6" xfId="363"/>
    <cellStyle name="Вычисление 2 2 6 10" xfId="17328"/>
    <cellStyle name="Вычисление 2 2 6 10 2" xfId="32795"/>
    <cellStyle name="Вычисление 2 2 6 11" xfId="11049"/>
    <cellStyle name="Вычисление 2 2 6 12" xfId="10741"/>
    <cellStyle name="Вычисление 2 2 6 2" xfId="832"/>
    <cellStyle name="Вычисление 2 2 6 2 10" xfId="11416"/>
    <cellStyle name="Вычисление 2 2 6 2 11" xfId="26933"/>
    <cellStyle name="Вычисление 2 2 6 2 2" xfId="1490"/>
    <cellStyle name="Вычисление 2 2 6 2 2 2" xfId="2490"/>
    <cellStyle name="Вычисление 2 2 6 2 2 2 2" xfId="7726"/>
    <cellStyle name="Вычисление 2 2 6 2 2 2 2 2" xfId="18628"/>
    <cellStyle name="Вычисление 2 2 6 2 2 2 2 3" xfId="33989"/>
    <cellStyle name="Вычисление 2 2 6 2 2 2 3" xfId="23614"/>
    <cellStyle name="Вычисление 2 2 6 2 2 2 3 2" xfId="38975"/>
    <cellStyle name="Вычисление 2 2 6 2 2 2 4" xfId="13065"/>
    <cellStyle name="Вычисление 2 2 6 2 2 2 5" xfId="28565"/>
    <cellStyle name="Вычисление 2 2 6 2 2 3" xfId="5214"/>
    <cellStyle name="Вычисление 2 2 6 2 2 3 2" xfId="10397"/>
    <cellStyle name="Вычисление 2 2 6 2 2 3 2 2" xfId="21323"/>
    <cellStyle name="Вычисление 2 2 6 2 2 3 2 3" xfId="36684"/>
    <cellStyle name="Вычисление 2 2 6 2 2 3 3" xfId="26284"/>
    <cellStyle name="Вычисление 2 2 6 2 2 3 3 2" xfId="41645"/>
    <cellStyle name="Вычисление 2 2 6 2 2 3 4" xfId="15760"/>
    <cellStyle name="Вычисление 2 2 6 2 2 3 5" xfId="31235"/>
    <cellStyle name="Вычисление 2 2 6 2 2 4" xfId="6737"/>
    <cellStyle name="Вычисление 2 2 6 2 2 4 2" xfId="16121"/>
    <cellStyle name="Вычисление 2 2 6 2 2 4 3" xfId="31588"/>
    <cellStyle name="Вычисление 2 2 6 2 2 5" xfId="22625"/>
    <cellStyle name="Вычисление 2 2 6 2 2 5 2" xfId="37986"/>
    <cellStyle name="Вычисление 2 2 6 2 2 6" xfId="12068"/>
    <cellStyle name="Вычисление 2 2 6 2 2 7" xfId="27576"/>
    <cellStyle name="Вычисление 2 2 6 2 3" xfId="2238"/>
    <cellStyle name="Вычисление 2 2 6 2 3 2" xfId="7474"/>
    <cellStyle name="Вычисление 2 2 6 2 3 2 2" xfId="18376"/>
    <cellStyle name="Вычисление 2 2 6 2 3 2 3" xfId="33737"/>
    <cellStyle name="Вычисление 2 2 6 2 3 3" xfId="23362"/>
    <cellStyle name="Вычисление 2 2 6 2 3 3 2" xfId="38723"/>
    <cellStyle name="Вычисление 2 2 6 2 3 4" xfId="12813"/>
    <cellStyle name="Вычисление 2 2 6 2 3 5" xfId="28313"/>
    <cellStyle name="Вычисление 2 2 6 2 4" xfId="2807"/>
    <cellStyle name="Вычисление 2 2 6 2 4 2" xfId="8026"/>
    <cellStyle name="Вычисление 2 2 6 2 4 2 2" xfId="18937"/>
    <cellStyle name="Вычисление 2 2 6 2 4 2 3" xfId="34298"/>
    <cellStyle name="Вычисление 2 2 6 2 4 3" xfId="23914"/>
    <cellStyle name="Вычисление 2 2 6 2 4 3 2" xfId="39275"/>
    <cellStyle name="Вычисление 2 2 6 2 4 4" xfId="13374"/>
    <cellStyle name="Вычисление 2 2 6 2 4 5" xfId="28865"/>
    <cellStyle name="Вычисление 2 2 6 2 5" xfId="3642"/>
    <cellStyle name="Вычисление 2 2 6 2 5 2" xfId="8829"/>
    <cellStyle name="Вычисление 2 2 6 2 5 2 2" xfId="19756"/>
    <cellStyle name="Вычисление 2 2 6 2 5 2 3" xfId="35117"/>
    <cellStyle name="Вычисление 2 2 6 2 5 3" xfId="24717"/>
    <cellStyle name="Вычисление 2 2 6 2 5 3 2" xfId="40078"/>
    <cellStyle name="Вычисление 2 2 6 2 5 4" xfId="14193"/>
    <cellStyle name="Вычисление 2 2 6 2 5 5" xfId="29668"/>
    <cellStyle name="Вычисление 2 2 6 2 6" xfId="4286"/>
    <cellStyle name="Вычисление 2 2 6 2 6 2" xfId="9473"/>
    <cellStyle name="Вычисление 2 2 6 2 6 2 2" xfId="20400"/>
    <cellStyle name="Вычисление 2 2 6 2 6 2 3" xfId="35761"/>
    <cellStyle name="Вычисление 2 2 6 2 6 3" xfId="25361"/>
    <cellStyle name="Вычисление 2 2 6 2 6 3 2" xfId="40722"/>
    <cellStyle name="Вычисление 2 2 6 2 6 4" xfId="14837"/>
    <cellStyle name="Вычисление 2 2 6 2 6 5" xfId="30312"/>
    <cellStyle name="Вычисление 2 2 6 2 7" xfId="4543"/>
    <cellStyle name="Вычисление 2 2 6 2 7 2" xfId="9730"/>
    <cellStyle name="Вычисление 2 2 6 2 7 2 2" xfId="20657"/>
    <cellStyle name="Вычисление 2 2 6 2 7 2 3" xfId="36018"/>
    <cellStyle name="Вычисление 2 2 6 2 7 3" xfId="25618"/>
    <cellStyle name="Вычисление 2 2 6 2 7 3 2" xfId="40979"/>
    <cellStyle name="Вычисление 2 2 6 2 7 4" xfId="15094"/>
    <cellStyle name="Вычисление 2 2 6 2 7 5" xfId="30569"/>
    <cellStyle name="Вычисление 2 2 6 2 8" xfId="6094"/>
    <cellStyle name="Вычисление 2 2 6 2 8 2" xfId="16773"/>
    <cellStyle name="Вычисление 2 2 6 2 8 3" xfId="32240"/>
    <cellStyle name="Вычисление 2 2 6 2 9" xfId="21982"/>
    <cellStyle name="Вычисление 2 2 6 2 9 2" xfId="37343"/>
    <cellStyle name="Вычисление 2 2 6 3" xfId="1561"/>
    <cellStyle name="Вычисление 2 2 6 3 2" xfId="2714"/>
    <cellStyle name="Вычисление 2 2 6 3 2 2" xfId="7943"/>
    <cellStyle name="Вычисление 2 2 6 3 2 2 2" xfId="18847"/>
    <cellStyle name="Вычисление 2 2 6 3 2 2 3" xfId="34208"/>
    <cellStyle name="Вычисление 2 2 6 3 2 3" xfId="23831"/>
    <cellStyle name="Вычисление 2 2 6 3 2 3 2" xfId="39192"/>
    <cellStyle name="Вычисление 2 2 6 3 2 4" xfId="13284"/>
    <cellStyle name="Вычисление 2 2 6 3 2 5" xfId="28782"/>
    <cellStyle name="Вычисление 2 2 6 3 3" xfId="5215"/>
    <cellStyle name="Вычисление 2 2 6 3 3 2" xfId="10398"/>
    <cellStyle name="Вычисление 2 2 6 3 3 2 2" xfId="21324"/>
    <cellStyle name="Вычисление 2 2 6 3 3 2 3" xfId="36685"/>
    <cellStyle name="Вычисление 2 2 6 3 3 3" xfId="26285"/>
    <cellStyle name="Вычисление 2 2 6 3 3 3 2" xfId="41646"/>
    <cellStyle name="Вычисление 2 2 6 3 3 4" xfId="15761"/>
    <cellStyle name="Вычисление 2 2 6 3 3 5" xfId="31236"/>
    <cellStyle name="Вычисление 2 2 6 3 4" xfId="6808"/>
    <cellStyle name="Вычисление 2 2 6 3 4 2" xfId="17703"/>
    <cellStyle name="Вычисление 2 2 6 3 4 3" xfId="33064"/>
    <cellStyle name="Вычисление 2 2 6 3 5" xfId="22696"/>
    <cellStyle name="Вычисление 2 2 6 3 5 2" xfId="38057"/>
    <cellStyle name="Вычисление 2 2 6 3 6" xfId="12139"/>
    <cellStyle name="Вычисление 2 2 6 3 7" xfId="27647"/>
    <cellStyle name="Вычисление 2 2 6 4" xfId="1570"/>
    <cellStyle name="Вычисление 2 2 6 4 2" xfId="6817"/>
    <cellStyle name="Вычисление 2 2 6 4 2 2" xfId="17712"/>
    <cellStyle name="Вычисление 2 2 6 4 2 3" xfId="33073"/>
    <cellStyle name="Вычисление 2 2 6 4 3" xfId="22705"/>
    <cellStyle name="Вычисление 2 2 6 4 3 2" xfId="38066"/>
    <cellStyle name="Вычисление 2 2 6 4 4" xfId="12148"/>
    <cellStyle name="Вычисление 2 2 6 4 5" xfId="27656"/>
    <cellStyle name="Вычисление 2 2 6 5" xfId="2958"/>
    <cellStyle name="Вычисление 2 2 6 5 2" xfId="8159"/>
    <cellStyle name="Вычисление 2 2 6 5 2 2" xfId="19079"/>
    <cellStyle name="Вычисление 2 2 6 5 2 3" xfId="34440"/>
    <cellStyle name="Вычисление 2 2 6 5 3" xfId="24047"/>
    <cellStyle name="Вычисление 2 2 6 5 3 2" xfId="39408"/>
    <cellStyle name="Вычисление 2 2 6 5 4" xfId="13516"/>
    <cellStyle name="Вычисление 2 2 6 5 5" xfId="28998"/>
    <cellStyle name="Вычисление 2 2 6 6" xfId="3849"/>
    <cellStyle name="Вычисление 2 2 6 6 2" xfId="9036"/>
    <cellStyle name="Вычисление 2 2 6 6 2 2" xfId="19963"/>
    <cellStyle name="Вычисление 2 2 6 6 2 3" xfId="35324"/>
    <cellStyle name="Вычисление 2 2 6 6 3" xfId="24924"/>
    <cellStyle name="Вычисление 2 2 6 6 3 2" xfId="40285"/>
    <cellStyle name="Вычисление 2 2 6 6 4" xfId="14400"/>
    <cellStyle name="Вычисление 2 2 6 6 5" xfId="29875"/>
    <cellStyle name="Вычисление 2 2 6 7" xfId="3894"/>
    <cellStyle name="Вычисление 2 2 6 7 2" xfId="9081"/>
    <cellStyle name="Вычисление 2 2 6 7 2 2" xfId="20008"/>
    <cellStyle name="Вычисление 2 2 6 7 2 3" xfId="35369"/>
    <cellStyle name="Вычисление 2 2 6 7 3" xfId="24969"/>
    <cellStyle name="Вычисление 2 2 6 7 3 2" xfId="40330"/>
    <cellStyle name="Вычисление 2 2 6 7 4" xfId="14445"/>
    <cellStyle name="Вычисление 2 2 6 7 5" xfId="29920"/>
    <cellStyle name="Вычисление 2 2 6 8" xfId="4746"/>
    <cellStyle name="Вычисление 2 2 6 8 2" xfId="9933"/>
    <cellStyle name="Вычисление 2 2 6 8 2 2" xfId="20860"/>
    <cellStyle name="Вычисление 2 2 6 8 2 3" xfId="36221"/>
    <cellStyle name="Вычисление 2 2 6 8 3" xfId="25821"/>
    <cellStyle name="Вычисление 2 2 6 8 3 2" xfId="41182"/>
    <cellStyle name="Вычисление 2 2 6 8 4" xfId="15297"/>
    <cellStyle name="Вычисление 2 2 6 8 5" xfId="30772"/>
    <cellStyle name="Вычисление 2 2 6 9" xfId="5754"/>
    <cellStyle name="Вычисление 2 2 6 9 2" xfId="17137"/>
    <cellStyle name="Вычисление 2 2 6 9 3" xfId="32604"/>
    <cellStyle name="Вычисление 2 2 7" xfId="364"/>
    <cellStyle name="Вычисление 2 2 7 10" xfId="17329"/>
    <cellStyle name="Вычисление 2 2 7 10 2" xfId="32796"/>
    <cellStyle name="Вычисление 2 2 7 11" xfId="11050"/>
    <cellStyle name="Вычисление 2 2 7 12" xfId="10746"/>
    <cellStyle name="Вычисление 2 2 7 2" xfId="831"/>
    <cellStyle name="Вычисление 2 2 7 2 10" xfId="11415"/>
    <cellStyle name="Вычисление 2 2 7 2 11" xfId="26932"/>
    <cellStyle name="Вычисление 2 2 7 2 2" xfId="1159"/>
    <cellStyle name="Вычисление 2 2 7 2 2 2" xfId="63"/>
    <cellStyle name="Вычисление 2 2 7 2 2 2 2" xfId="5590"/>
    <cellStyle name="Вычисление 2 2 7 2 2 2 2 2" xfId="17408"/>
    <cellStyle name="Вычисление 2 2 7 2 2 2 2 3" xfId="32875"/>
    <cellStyle name="Вычисление 2 2 7 2 2 2 3" xfId="19121"/>
    <cellStyle name="Вычисление 2 2 7 2 2 2 3 2" xfId="34482"/>
    <cellStyle name="Вычисление 2 2 7 2 2 2 4" xfId="10777"/>
    <cellStyle name="Вычисление 2 2 7 2 2 2 5" xfId="13558"/>
    <cellStyle name="Вычисление 2 2 7 2 2 3" xfId="5216"/>
    <cellStyle name="Вычисление 2 2 7 2 2 3 2" xfId="10399"/>
    <cellStyle name="Вычисление 2 2 7 2 2 3 2 2" xfId="21325"/>
    <cellStyle name="Вычисление 2 2 7 2 2 3 2 3" xfId="36686"/>
    <cellStyle name="Вычисление 2 2 7 2 2 3 3" xfId="26286"/>
    <cellStyle name="Вычисление 2 2 7 2 2 3 3 2" xfId="41647"/>
    <cellStyle name="Вычисление 2 2 7 2 2 3 4" xfId="15762"/>
    <cellStyle name="Вычисление 2 2 7 2 2 3 5" xfId="31237"/>
    <cellStyle name="Вычисление 2 2 7 2 2 4" xfId="6413"/>
    <cellStyle name="Вычисление 2 2 7 2 2 4 2" xfId="16449"/>
    <cellStyle name="Вычисление 2 2 7 2 2 4 3" xfId="31916"/>
    <cellStyle name="Вычисление 2 2 7 2 2 5" xfId="22301"/>
    <cellStyle name="Вычисление 2 2 7 2 2 5 2" xfId="37662"/>
    <cellStyle name="Вычисление 2 2 7 2 2 6" xfId="11740"/>
    <cellStyle name="Вычисление 2 2 7 2 2 7" xfId="27252"/>
    <cellStyle name="Вычисление 2 2 7 2 3" xfId="2237"/>
    <cellStyle name="Вычисление 2 2 7 2 3 2" xfId="7473"/>
    <cellStyle name="Вычисление 2 2 7 2 3 2 2" xfId="18375"/>
    <cellStyle name="Вычисление 2 2 7 2 3 2 3" xfId="33736"/>
    <cellStyle name="Вычисление 2 2 7 2 3 3" xfId="23361"/>
    <cellStyle name="Вычисление 2 2 7 2 3 3 2" xfId="38722"/>
    <cellStyle name="Вычисление 2 2 7 2 3 4" xfId="12812"/>
    <cellStyle name="Вычисление 2 2 7 2 3 5" xfId="28312"/>
    <cellStyle name="Вычисление 2 2 7 2 4" xfId="1217"/>
    <cellStyle name="Вычисление 2 2 7 2 4 2" xfId="6470"/>
    <cellStyle name="Вычисление 2 2 7 2 4 2 2" xfId="16391"/>
    <cellStyle name="Вычисление 2 2 7 2 4 2 3" xfId="31858"/>
    <cellStyle name="Вычисление 2 2 7 2 4 3" xfId="22358"/>
    <cellStyle name="Вычисление 2 2 7 2 4 3 2" xfId="37719"/>
    <cellStyle name="Вычисление 2 2 7 2 4 4" xfId="11798"/>
    <cellStyle name="Вычисление 2 2 7 2 4 5" xfId="27309"/>
    <cellStyle name="Вычисление 2 2 7 2 5" xfId="3781"/>
    <cellStyle name="Вычисление 2 2 7 2 5 2" xfId="8968"/>
    <cellStyle name="Вычисление 2 2 7 2 5 2 2" xfId="19895"/>
    <cellStyle name="Вычисление 2 2 7 2 5 2 3" xfId="35256"/>
    <cellStyle name="Вычисление 2 2 7 2 5 3" xfId="24856"/>
    <cellStyle name="Вычисление 2 2 7 2 5 3 2" xfId="40217"/>
    <cellStyle name="Вычисление 2 2 7 2 5 4" xfId="14332"/>
    <cellStyle name="Вычисление 2 2 7 2 5 5" xfId="29807"/>
    <cellStyle name="Вычисление 2 2 7 2 6" xfId="4285"/>
    <cellStyle name="Вычисление 2 2 7 2 6 2" xfId="9472"/>
    <cellStyle name="Вычисление 2 2 7 2 6 2 2" xfId="20399"/>
    <cellStyle name="Вычисление 2 2 7 2 6 2 3" xfId="35760"/>
    <cellStyle name="Вычисление 2 2 7 2 6 3" xfId="25360"/>
    <cellStyle name="Вычисление 2 2 7 2 6 3 2" xfId="40721"/>
    <cellStyle name="Вычисление 2 2 7 2 6 4" xfId="14836"/>
    <cellStyle name="Вычисление 2 2 7 2 6 5" xfId="30311"/>
    <cellStyle name="Вычисление 2 2 7 2 7" xfId="4544"/>
    <cellStyle name="Вычисление 2 2 7 2 7 2" xfId="9731"/>
    <cellStyle name="Вычисление 2 2 7 2 7 2 2" xfId="20658"/>
    <cellStyle name="Вычисление 2 2 7 2 7 2 3" xfId="36019"/>
    <cellStyle name="Вычисление 2 2 7 2 7 3" xfId="25619"/>
    <cellStyle name="Вычисление 2 2 7 2 7 3 2" xfId="40980"/>
    <cellStyle name="Вычисление 2 2 7 2 7 4" xfId="15095"/>
    <cellStyle name="Вычисление 2 2 7 2 7 5" xfId="30570"/>
    <cellStyle name="Вычисление 2 2 7 2 8" xfId="6093"/>
    <cellStyle name="Вычисление 2 2 7 2 8 2" xfId="16774"/>
    <cellStyle name="Вычисление 2 2 7 2 8 3" xfId="32241"/>
    <cellStyle name="Вычисление 2 2 7 2 9" xfId="21981"/>
    <cellStyle name="Вычисление 2 2 7 2 9 2" xfId="37342"/>
    <cellStyle name="Вычисление 2 2 7 3" xfId="1507"/>
    <cellStyle name="Вычисление 2 2 7 3 2" xfId="2728"/>
    <cellStyle name="Вычисление 2 2 7 3 2 2" xfId="7957"/>
    <cellStyle name="Вычисление 2 2 7 3 2 2 2" xfId="18861"/>
    <cellStyle name="Вычисление 2 2 7 3 2 2 3" xfId="34222"/>
    <cellStyle name="Вычисление 2 2 7 3 2 3" xfId="23845"/>
    <cellStyle name="Вычисление 2 2 7 3 2 3 2" xfId="39206"/>
    <cellStyle name="Вычисление 2 2 7 3 2 4" xfId="13298"/>
    <cellStyle name="Вычисление 2 2 7 3 2 5" xfId="28796"/>
    <cellStyle name="Вычисление 2 2 7 3 3" xfId="5217"/>
    <cellStyle name="Вычисление 2 2 7 3 3 2" xfId="10400"/>
    <cellStyle name="Вычисление 2 2 7 3 3 2 2" xfId="21326"/>
    <cellStyle name="Вычисление 2 2 7 3 3 2 3" xfId="36687"/>
    <cellStyle name="Вычисление 2 2 7 3 3 3" xfId="26287"/>
    <cellStyle name="Вычисление 2 2 7 3 3 3 2" xfId="41648"/>
    <cellStyle name="Вычисление 2 2 7 3 3 4" xfId="15763"/>
    <cellStyle name="Вычисление 2 2 7 3 3 5" xfId="31238"/>
    <cellStyle name="Вычисление 2 2 7 3 4" xfId="6754"/>
    <cellStyle name="Вычисление 2 2 7 3 4 2" xfId="17649"/>
    <cellStyle name="Вычисление 2 2 7 3 4 3" xfId="33010"/>
    <cellStyle name="Вычисление 2 2 7 3 5" xfId="22642"/>
    <cellStyle name="Вычисление 2 2 7 3 5 2" xfId="38003"/>
    <cellStyle name="Вычисление 2 2 7 3 6" xfId="12085"/>
    <cellStyle name="Вычисление 2 2 7 3 7" xfId="27593"/>
    <cellStyle name="Вычисление 2 2 7 4" xfId="1649"/>
    <cellStyle name="Вычисление 2 2 7 4 2" xfId="6895"/>
    <cellStyle name="Вычисление 2 2 7 4 2 2" xfId="17791"/>
    <cellStyle name="Вычисление 2 2 7 4 2 3" xfId="33152"/>
    <cellStyle name="Вычисление 2 2 7 4 3" xfId="22783"/>
    <cellStyle name="Вычисление 2 2 7 4 3 2" xfId="38144"/>
    <cellStyle name="Вычисление 2 2 7 4 4" xfId="12227"/>
    <cellStyle name="Вычисление 2 2 7 4 5" xfId="27734"/>
    <cellStyle name="Вычисление 2 2 7 5" xfId="2957"/>
    <cellStyle name="Вычисление 2 2 7 5 2" xfId="8158"/>
    <cellStyle name="Вычисление 2 2 7 5 2 2" xfId="19078"/>
    <cellStyle name="Вычисление 2 2 7 5 2 3" xfId="34439"/>
    <cellStyle name="Вычисление 2 2 7 5 3" xfId="24046"/>
    <cellStyle name="Вычисление 2 2 7 5 3 2" xfId="39407"/>
    <cellStyle name="Вычисление 2 2 7 5 4" xfId="13515"/>
    <cellStyle name="Вычисление 2 2 7 5 5" xfId="28997"/>
    <cellStyle name="Вычисление 2 2 7 6" xfId="3534"/>
    <cellStyle name="Вычисление 2 2 7 6 2" xfId="8721"/>
    <cellStyle name="Вычисление 2 2 7 6 2 2" xfId="19648"/>
    <cellStyle name="Вычисление 2 2 7 6 2 3" xfId="35009"/>
    <cellStyle name="Вычисление 2 2 7 6 3" xfId="24609"/>
    <cellStyle name="Вычисление 2 2 7 6 3 2" xfId="39970"/>
    <cellStyle name="Вычисление 2 2 7 6 4" xfId="14085"/>
    <cellStyle name="Вычисление 2 2 7 6 5" xfId="29560"/>
    <cellStyle name="Вычисление 2 2 7 7" xfId="3903"/>
    <cellStyle name="Вычисление 2 2 7 7 2" xfId="9090"/>
    <cellStyle name="Вычисление 2 2 7 7 2 2" xfId="20017"/>
    <cellStyle name="Вычисление 2 2 7 7 2 3" xfId="35378"/>
    <cellStyle name="Вычисление 2 2 7 7 3" xfId="24978"/>
    <cellStyle name="Вычисление 2 2 7 7 3 2" xfId="40339"/>
    <cellStyle name="Вычисление 2 2 7 7 4" xfId="14454"/>
    <cellStyle name="Вычисление 2 2 7 7 5" xfId="29929"/>
    <cellStyle name="Вычисление 2 2 7 8" xfId="4745"/>
    <cellStyle name="Вычисление 2 2 7 8 2" xfId="9932"/>
    <cellStyle name="Вычисление 2 2 7 8 2 2" xfId="20859"/>
    <cellStyle name="Вычисление 2 2 7 8 2 3" xfId="36220"/>
    <cellStyle name="Вычисление 2 2 7 8 3" xfId="25820"/>
    <cellStyle name="Вычисление 2 2 7 8 3 2" xfId="41181"/>
    <cellStyle name="Вычисление 2 2 7 8 4" xfId="15296"/>
    <cellStyle name="Вычисление 2 2 7 8 5" xfId="30771"/>
    <cellStyle name="Вычисление 2 2 7 9" xfId="5755"/>
    <cellStyle name="Вычисление 2 2 7 9 2" xfId="17136"/>
    <cellStyle name="Вычисление 2 2 7 9 3" xfId="32603"/>
    <cellStyle name="Вычисление 2 2 8" xfId="365"/>
    <cellStyle name="Вычисление 2 2 8 10" xfId="17330"/>
    <cellStyle name="Вычисление 2 2 8 10 2" xfId="32797"/>
    <cellStyle name="Вычисление 2 2 8 11" xfId="11051"/>
    <cellStyle name="Вычисление 2 2 8 12" xfId="10857"/>
    <cellStyle name="Вычисление 2 2 8 2" xfId="830"/>
    <cellStyle name="Вычисление 2 2 8 2 10" xfId="11414"/>
    <cellStyle name="Вычисление 2 2 8 2 11" xfId="26931"/>
    <cellStyle name="Вычисление 2 2 8 2 2" xfId="1367"/>
    <cellStyle name="Вычисление 2 2 8 2 2 2" xfId="2066"/>
    <cellStyle name="Вычисление 2 2 8 2 2 2 2" xfId="7302"/>
    <cellStyle name="Вычисление 2 2 8 2 2 2 2 2" xfId="18204"/>
    <cellStyle name="Вычисление 2 2 8 2 2 2 2 3" xfId="33565"/>
    <cellStyle name="Вычисление 2 2 8 2 2 2 3" xfId="23190"/>
    <cellStyle name="Вычисление 2 2 8 2 2 2 3 2" xfId="38551"/>
    <cellStyle name="Вычисление 2 2 8 2 2 2 4" xfId="12641"/>
    <cellStyle name="Вычисление 2 2 8 2 2 2 5" xfId="28141"/>
    <cellStyle name="Вычисление 2 2 8 2 2 3" xfId="5218"/>
    <cellStyle name="Вычисление 2 2 8 2 2 3 2" xfId="10401"/>
    <cellStyle name="Вычисление 2 2 8 2 2 3 2 2" xfId="21327"/>
    <cellStyle name="Вычисление 2 2 8 2 2 3 2 3" xfId="36688"/>
    <cellStyle name="Вычисление 2 2 8 2 2 3 3" xfId="26288"/>
    <cellStyle name="Вычисление 2 2 8 2 2 3 3 2" xfId="41649"/>
    <cellStyle name="Вычисление 2 2 8 2 2 3 4" xfId="15764"/>
    <cellStyle name="Вычисление 2 2 8 2 2 3 5" xfId="31239"/>
    <cellStyle name="Вычисление 2 2 8 2 2 4" xfId="6618"/>
    <cellStyle name="Вычисление 2 2 8 2 2 4 2" xfId="16242"/>
    <cellStyle name="Вычисление 2 2 8 2 2 4 3" xfId="31709"/>
    <cellStyle name="Вычисление 2 2 8 2 2 5" xfId="22506"/>
    <cellStyle name="Вычисление 2 2 8 2 2 5 2" xfId="37867"/>
    <cellStyle name="Вычисление 2 2 8 2 2 6" xfId="11947"/>
    <cellStyle name="Вычисление 2 2 8 2 2 7" xfId="27457"/>
    <cellStyle name="Вычисление 2 2 8 2 3" xfId="2236"/>
    <cellStyle name="Вычисление 2 2 8 2 3 2" xfId="7472"/>
    <cellStyle name="Вычисление 2 2 8 2 3 2 2" xfId="18374"/>
    <cellStyle name="Вычисление 2 2 8 2 3 2 3" xfId="33735"/>
    <cellStyle name="Вычисление 2 2 8 2 3 3" xfId="23360"/>
    <cellStyle name="Вычисление 2 2 8 2 3 3 2" xfId="38721"/>
    <cellStyle name="Вычисление 2 2 8 2 3 4" xfId="12811"/>
    <cellStyle name="Вычисление 2 2 8 2 3 5" xfId="28311"/>
    <cellStyle name="Вычисление 2 2 8 2 4" xfId="2832"/>
    <cellStyle name="Вычисление 2 2 8 2 4 2" xfId="8050"/>
    <cellStyle name="Вычисление 2 2 8 2 4 2 2" xfId="18962"/>
    <cellStyle name="Вычисление 2 2 8 2 4 2 3" xfId="34323"/>
    <cellStyle name="Вычисление 2 2 8 2 4 3" xfId="23938"/>
    <cellStyle name="Вычисление 2 2 8 2 4 3 2" xfId="39299"/>
    <cellStyle name="Вычисление 2 2 8 2 4 4" xfId="13399"/>
    <cellStyle name="Вычисление 2 2 8 2 4 5" xfId="28889"/>
    <cellStyle name="Вычисление 2 2 8 2 5" xfId="3641"/>
    <cellStyle name="Вычисление 2 2 8 2 5 2" xfId="8828"/>
    <cellStyle name="Вычисление 2 2 8 2 5 2 2" xfId="19755"/>
    <cellStyle name="Вычисление 2 2 8 2 5 2 3" xfId="35116"/>
    <cellStyle name="Вычисление 2 2 8 2 5 3" xfId="24716"/>
    <cellStyle name="Вычисление 2 2 8 2 5 3 2" xfId="40077"/>
    <cellStyle name="Вычисление 2 2 8 2 5 4" xfId="14192"/>
    <cellStyle name="Вычисление 2 2 8 2 5 5" xfId="29667"/>
    <cellStyle name="Вычисление 2 2 8 2 6" xfId="4284"/>
    <cellStyle name="Вычисление 2 2 8 2 6 2" xfId="9471"/>
    <cellStyle name="Вычисление 2 2 8 2 6 2 2" xfId="20398"/>
    <cellStyle name="Вычисление 2 2 8 2 6 2 3" xfId="35759"/>
    <cellStyle name="Вычисление 2 2 8 2 6 3" xfId="25359"/>
    <cellStyle name="Вычисление 2 2 8 2 6 3 2" xfId="40720"/>
    <cellStyle name="Вычисление 2 2 8 2 6 4" xfId="14835"/>
    <cellStyle name="Вычисление 2 2 8 2 6 5" xfId="30310"/>
    <cellStyle name="Вычисление 2 2 8 2 7" xfId="4545"/>
    <cellStyle name="Вычисление 2 2 8 2 7 2" xfId="9732"/>
    <cellStyle name="Вычисление 2 2 8 2 7 2 2" xfId="20659"/>
    <cellStyle name="Вычисление 2 2 8 2 7 2 3" xfId="36020"/>
    <cellStyle name="Вычисление 2 2 8 2 7 3" xfId="25620"/>
    <cellStyle name="Вычисление 2 2 8 2 7 3 2" xfId="40981"/>
    <cellStyle name="Вычисление 2 2 8 2 7 4" xfId="15096"/>
    <cellStyle name="Вычисление 2 2 8 2 7 5" xfId="30571"/>
    <cellStyle name="Вычисление 2 2 8 2 8" xfId="6092"/>
    <cellStyle name="Вычисление 2 2 8 2 8 2" xfId="16775"/>
    <cellStyle name="Вычисление 2 2 8 2 8 3" xfId="32242"/>
    <cellStyle name="Вычисление 2 2 8 2 9" xfId="21980"/>
    <cellStyle name="Вычисление 2 2 8 2 9 2" xfId="37341"/>
    <cellStyle name="Вычисление 2 2 8 3" xfId="1510"/>
    <cellStyle name="Вычисление 2 2 8 3 2" xfId="2713"/>
    <cellStyle name="Вычисление 2 2 8 3 2 2" xfId="7942"/>
    <cellStyle name="Вычисление 2 2 8 3 2 2 2" xfId="18846"/>
    <cellStyle name="Вычисление 2 2 8 3 2 2 3" xfId="34207"/>
    <cellStyle name="Вычисление 2 2 8 3 2 3" xfId="23830"/>
    <cellStyle name="Вычисление 2 2 8 3 2 3 2" xfId="39191"/>
    <cellStyle name="Вычисление 2 2 8 3 2 4" xfId="13283"/>
    <cellStyle name="Вычисление 2 2 8 3 2 5" xfId="28781"/>
    <cellStyle name="Вычисление 2 2 8 3 3" xfId="5219"/>
    <cellStyle name="Вычисление 2 2 8 3 3 2" xfId="10402"/>
    <cellStyle name="Вычисление 2 2 8 3 3 2 2" xfId="21328"/>
    <cellStyle name="Вычисление 2 2 8 3 3 2 3" xfId="36689"/>
    <cellStyle name="Вычисление 2 2 8 3 3 3" xfId="26289"/>
    <cellStyle name="Вычисление 2 2 8 3 3 3 2" xfId="41650"/>
    <cellStyle name="Вычисление 2 2 8 3 3 4" xfId="15765"/>
    <cellStyle name="Вычисление 2 2 8 3 3 5" xfId="31240"/>
    <cellStyle name="Вычисление 2 2 8 3 4" xfId="6757"/>
    <cellStyle name="Вычисление 2 2 8 3 4 2" xfId="17652"/>
    <cellStyle name="Вычисление 2 2 8 3 4 3" xfId="33013"/>
    <cellStyle name="Вычисление 2 2 8 3 5" xfId="22645"/>
    <cellStyle name="Вычисление 2 2 8 3 5 2" xfId="38006"/>
    <cellStyle name="Вычисление 2 2 8 3 6" xfId="12088"/>
    <cellStyle name="Вычисление 2 2 8 3 7" xfId="27596"/>
    <cellStyle name="Вычисление 2 2 8 4" xfId="1713"/>
    <cellStyle name="Вычисление 2 2 8 4 2" xfId="6955"/>
    <cellStyle name="Вычисление 2 2 8 4 2 2" xfId="17855"/>
    <cellStyle name="Вычисление 2 2 8 4 2 3" xfId="33216"/>
    <cellStyle name="Вычисление 2 2 8 4 3" xfId="22843"/>
    <cellStyle name="Вычисление 2 2 8 4 3 2" xfId="38204"/>
    <cellStyle name="Вычисление 2 2 8 4 4" xfId="12291"/>
    <cellStyle name="Вычисление 2 2 8 4 5" xfId="27794"/>
    <cellStyle name="Вычисление 2 2 8 5" xfId="2956"/>
    <cellStyle name="Вычисление 2 2 8 5 2" xfId="8157"/>
    <cellStyle name="Вычисление 2 2 8 5 2 2" xfId="19077"/>
    <cellStyle name="Вычисление 2 2 8 5 2 3" xfId="34438"/>
    <cellStyle name="Вычисление 2 2 8 5 3" xfId="24045"/>
    <cellStyle name="Вычисление 2 2 8 5 3 2" xfId="39406"/>
    <cellStyle name="Вычисление 2 2 8 5 4" xfId="13514"/>
    <cellStyle name="Вычисление 2 2 8 5 5" xfId="28996"/>
    <cellStyle name="Вычисление 2 2 8 6" xfId="3535"/>
    <cellStyle name="Вычисление 2 2 8 6 2" xfId="8722"/>
    <cellStyle name="Вычисление 2 2 8 6 2 2" xfId="19649"/>
    <cellStyle name="Вычисление 2 2 8 6 2 3" xfId="35010"/>
    <cellStyle name="Вычисление 2 2 8 6 3" xfId="24610"/>
    <cellStyle name="Вычисление 2 2 8 6 3 2" xfId="39971"/>
    <cellStyle name="Вычисление 2 2 8 6 4" xfId="14086"/>
    <cellStyle name="Вычисление 2 2 8 6 5" xfId="29561"/>
    <cellStyle name="Вычисление 2 2 8 7" xfId="3318"/>
    <cellStyle name="Вычисление 2 2 8 7 2" xfId="8512"/>
    <cellStyle name="Вычисление 2 2 8 7 2 2" xfId="19439"/>
    <cellStyle name="Вычисление 2 2 8 7 2 3" xfId="34800"/>
    <cellStyle name="Вычисление 2 2 8 7 3" xfId="24400"/>
    <cellStyle name="Вычисление 2 2 8 7 3 2" xfId="39761"/>
    <cellStyle name="Вычисление 2 2 8 7 4" xfId="13876"/>
    <cellStyle name="Вычисление 2 2 8 7 5" xfId="29351"/>
    <cellStyle name="Вычисление 2 2 8 8" xfId="4743"/>
    <cellStyle name="Вычисление 2 2 8 8 2" xfId="9930"/>
    <cellStyle name="Вычисление 2 2 8 8 2 2" xfId="20857"/>
    <cellStyle name="Вычисление 2 2 8 8 2 3" xfId="36218"/>
    <cellStyle name="Вычисление 2 2 8 8 3" xfId="25818"/>
    <cellStyle name="Вычисление 2 2 8 8 3 2" xfId="41179"/>
    <cellStyle name="Вычисление 2 2 8 8 4" xfId="15294"/>
    <cellStyle name="Вычисление 2 2 8 8 5" xfId="30769"/>
    <cellStyle name="Вычисление 2 2 8 9" xfId="5756"/>
    <cellStyle name="Вычисление 2 2 8 9 2" xfId="17135"/>
    <cellStyle name="Вычисление 2 2 8 9 3" xfId="32602"/>
    <cellStyle name="Вычисление 2 2 9" xfId="366"/>
    <cellStyle name="Вычисление 2 2 9 10" xfId="17331"/>
    <cellStyle name="Вычисление 2 2 9 10 2" xfId="32798"/>
    <cellStyle name="Вычисление 2 2 9 11" xfId="11052"/>
    <cellStyle name="Вычисление 2 2 9 12" xfId="10856"/>
    <cellStyle name="Вычисление 2 2 9 2" xfId="829"/>
    <cellStyle name="Вычисление 2 2 9 2 10" xfId="11413"/>
    <cellStyle name="Вычисление 2 2 9 2 11" xfId="26930"/>
    <cellStyle name="Вычисление 2 2 9 2 2" xfId="1601"/>
    <cellStyle name="Вычисление 2 2 9 2 2 2" xfId="1134"/>
    <cellStyle name="Вычисление 2 2 9 2 2 2 2" xfId="6389"/>
    <cellStyle name="Вычисление 2 2 9 2 2 2 2 2" xfId="16474"/>
    <cellStyle name="Вычисление 2 2 9 2 2 2 2 3" xfId="31941"/>
    <cellStyle name="Вычисление 2 2 9 2 2 2 3" xfId="22277"/>
    <cellStyle name="Вычисление 2 2 9 2 2 2 3 2" xfId="37638"/>
    <cellStyle name="Вычисление 2 2 9 2 2 2 4" xfId="11715"/>
    <cellStyle name="Вычисление 2 2 9 2 2 2 5" xfId="27228"/>
    <cellStyle name="Вычисление 2 2 9 2 2 3" xfId="5220"/>
    <cellStyle name="Вычисление 2 2 9 2 2 3 2" xfId="10403"/>
    <cellStyle name="Вычисление 2 2 9 2 2 3 2 2" xfId="21329"/>
    <cellStyle name="Вычисление 2 2 9 2 2 3 2 3" xfId="36690"/>
    <cellStyle name="Вычисление 2 2 9 2 2 3 3" xfId="26290"/>
    <cellStyle name="Вычисление 2 2 9 2 2 3 3 2" xfId="41651"/>
    <cellStyle name="Вычисление 2 2 9 2 2 3 4" xfId="15766"/>
    <cellStyle name="Вычисление 2 2 9 2 2 3 5" xfId="31241"/>
    <cellStyle name="Вычисление 2 2 9 2 2 4" xfId="6848"/>
    <cellStyle name="Вычисление 2 2 9 2 2 4 2" xfId="17743"/>
    <cellStyle name="Вычисление 2 2 9 2 2 4 3" xfId="33104"/>
    <cellStyle name="Вычисление 2 2 9 2 2 5" xfId="22736"/>
    <cellStyle name="Вычисление 2 2 9 2 2 5 2" xfId="38097"/>
    <cellStyle name="Вычисление 2 2 9 2 2 6" xfId="12179"/>
    <cellStyle name="Вычисление 2 2 9 2 2 7" xfId="27687"/>
    <cellStyle name="Вычисление 2 2 9 2 3" xfId="2235"/>
    <cellStyle name="Вычисление 2 2 9 2 3 2" xfId="7471"/>
    <cellStyle name="Вычисление 2 2 9 2 3 2 2" xfId="18373"/>
    <cellStyle name="Вычисление 2 2 9 2 3 2 3" xfId="33734"/>
    <cellStyle name="Вычисление 2 2 9 2 3 3" xfId="23359"/>
    <cellStyle name="Вычисление 2 2 9 2 3 3 2" xfId="38720"/>
    <cellStyle name="Вычисление 2 2 9 2 3 4" xfId="12810"/>
    <cellStyle name="Вычисление 2 2 9 2 3 5" xfId="28310"/>
    <cellStyle name="Вычисление 2 2 9 2 4" xfId="2806"/>
    <cellStyle name="Вычисление 2 2 9 2 4 2" xfId="8025"/>
    <cellStyle name="Вычисление 2 2 9 2 4 2 2" xfId="18936"/>
    <cellStyle name="Вычисление 2 2 9 2 4 2 3" xfId="34297"/>
    <cellStyle name="Вычисление 2 2 9 2 4 3" xfId="23913"/>
    <cellStyle name="Вычисление 2 2 9 2 4 3 2" xfId="39274"/>
    <cellStyle name="Вычисление 2 2 9 2 4 4" xfId="13373"/>
    <cellStyle name="Вычисление 2 2 9 2 4 5" xfId="28864"/>
    <cellStyle name="Вычисление 2 2 9 2 5" xfId="3782"/>
    <cellStyle name="Вычисление 2 2 9 2 5 2" xfId="8969"/>
    <cellStyle name="Вычисление 2 2 9 2 5 2 2" xfId="19896"/>
    <cellStyle name="Вычисление 2 2 9 2 5 2 3" xfId="35257"/>
    <cellStyle name="Вычисление 2 2 9 2 5 3" xfId="24857"/>
    <cellStyle name="Вычисление 2 2 9 2 5 3 2" xfId="40218"/>
    <cellStyle name="Вычисление 2 2 9 2 5 4" xfId="14333"/>
    <cellStyle name="Вычисление 2 2 9 2 5 5" xfId="29808"/>
    <cellStyle name="Вычисление 2 2 9 2 6" xfId="4283"/>
    <cellStyle name="Вычисление 2 2 9 2 6 2" xfId="9470"/>
    <cellStyle name="Вычисление 2 2 9 2 6 2 2" xfId="20397"/>
    <cellStyle name="Вычисление 2 2 9 2 6 2 3" xfId="35758"/>
    <cellStyle name="Вычисление 2 2 9 2 6 3" xfId="25358"/>
    <cellStyle name="Вычисление 2 2 9 2 6 3 2" xfId="40719"/>
    <cellStyle name="Вычисление 2 2 9 2 6 4" xfId="14834"/>
    <cellStyle name="Вычисление 2 2 9 2 6 5" xfId="30309"/>
    <cellStyle name="Вычисление 2 2 9 2 7" xfId="4546"/>
    <cellStyle name="Вычисление 2 2 9 2 7 2" xfId="9733"/>
    <cellStyle name="Вычисление 2 2 9 2 7 2 2" xfId="20660"/>
    <cellStyle name="Вычисление 2 2 9 2 7 2 3" xfId="36021"/>
    <cellStyle name="Вычисление 2 2 9 2 7 3" xfId="25621"/>
    <cellStyle name="Вычисление 2 2 9 2 7 3 2" xfId="40982"/>
    <cellStyle name="Вычисление 2 2 9 2 7 4" xfId="15097"/>
    <cellStyle name="Вычисление 2 2 9 2 7 5" xfId="30572"/>
    <cellStyle name="Вычисление 2 2 9 2 8" xfId="6091"/>
    <cellStyle name="Вычисление 2 2 9 2 8 2" xfId="16776"/>
    <cellStyle name="Вычисление 2 2 9 2 8 3" xfId="32243"/>
    <cellStyle name="Вычисление 2 2 9 2 9" xfId="21979"/>
    <cellStyle name="Вычисление 2 2 9 2 9 2" xfId="37340"/>
    <cellStyle name="Вычисление 2 2 9 3" xfId="1110"/>
    <cellStyle name="Вычисление 2 2 9 3 2" xfId="2712"/>
    <cellStyle name="Вычисление 2 2 9 3 2 2" xfId="7941"/>
    <cellStyle name="Вычисление 2 2 9 3 2 2 2" xfId="18845"/>
    <cellStyle name="Вычисление 2 2 9 3 2 2 3" xfId="34206"/>
    <cellStyle name="Вычисление 2 2 9 3 2 3" xfId="23829"/>
    <cellStyle name="Вычисление 2 2 9 3 2 3 2" xfId="39190"/>
    <cellStyle name="Вычисление 2 2 9 3 2 4" xfId="13282"/>
    <cellStyle name="Вычисление 2 2 9 3 2 5" xfId="28780"/>
    <cellStyle name="Вычисление 2 2 9 3 3" xfId="5221"/>
    <cellStyle name="Вычисление 2 2 9 3 3 2" xfId="10404"/>
    <cellStyle name="Вычисление 2 2 9 3 3 2 2" xfId="21330"/>
    <cellStyle name="Вычисление 2 2 9 3 3 2 3" xfId="36691"/>
    <cellStyle name="Вычисление 2 2 9 3 3 3" xfId="26291"/>
    <cellStyle name="Вычисление 2 2 9 3 3 3 2" xfId="41652"/>
    <cellStyle name="Вычисление 2 2 9 3 3 4" xfId="15767"/>
    <cellStyle name="Вычисление 2 2 9 3 3 5" xfId="31242"/>
    <cellStyle name="Вычисление 2 2 9 3 4" xfId="6365"/>
    <cellStyle name="Вычисление 2 2 9 3 4 2" xfId="16498"/>
    <cellStyle name="Вычисление 2 2 9 3 4 3" xfId="31965"/>
    <cellStyle name="Вычисление 2 2 9 3 5" xfId="22253"/>
    <cellStyle name="Вычисление 2 2 9 3 5 2" xfId="37614"/>
    <cellStyle name="Вычисление 2 2 9 3 6" xfId="11691"/>
    <cellStyle name="Вычисление 2 2 9 3 7" xfId="27204"/>
    <cellStyle name="Вычисление 2 2 9 4" xfId="1691"/>
    <cellStyle name="Вычисление 2 2 9 4 2" xfId="6935"/>
    <cellStyle name="Вычисление 2 2 9 4 2 2" xfId="17833"/>
    <cellStyle name="Вычисление 2 2 9 4 2 3" xfId="33194"/>
    <cellStyle name="Вычисление 2 2 9 4 3" xfId="22823"/>
    <cellStyle name="Вычисление 2 2 9 4 3 2" xfId="38184"/>
    <cellStyle name="Вычисление 2 2 9 4 4" xfId="12269"/>
    <cellStyle name="Вычисление 2 2 9 4 5" xfId="27774"/>
    <cellStyle name="Вычисление 2 2 9 5" xfId="2955"/>
    <cellStyle name="Вычисление 2 2 9 5 2" xfId="8156"/>
    <cellStyle name="Вычисление 2 2 9 5 2 2" xfId="19076"/>
    <cellStyle name="Вычисление 2 2 9 5 2 3" xfId="34437"/>
    <cellStyle name="Вычисление 2 2 9 5 3" xfId="24044"/>
    <cellStyle name="Вычисление 2 2 9 5 3 2" xfId="39405"/>
    <cellStyle name="Вычисление 2 2 9 5 4" xfId="13513"/>
    <cellStyle name="Вычисление 2 2 9 5 5" xfId="28995"/>
    <cellStyle name="Вычисление 2 2 9 6" xfId="3848"/>
    <cellStyle name="Вычисление 2 2 9 6 2" xfId="9035"/>
    <cellStyle name="Вычисление 2 2 9 6 2 2" xfId="19962"/>
    <cellStyle name="Вычисление 2 2 9 6 2 3" xfId="35323"/>
    <cellStyle name="Вычисление 2 2 9 6 3" xfId="24923"/>
    <cellStyle name="Вычисление 2 2 9 6 3 2" xfId="40284"/>
    <cellStyle name="Вычисление 2 2 9 6 4" xfId="14399"/>
    <cellStyle name="Вычисление 2 2 9 6 5" xfId="29874"/>
    <cellStyle name="Вычисление 2 2 9 7" xfId="3447"/>
    <cellStyle name="Вычисление 2 2 9 7 2" xfId="8636"/>
    <cellStyle name="Вычисление 2 2 9 7 2 2" xfId="19563"/>
    <cellStyle name="Вычисление 2 2 9 7 2 3" xfId="34924"/>
    <cellStyle name="Вычисление 2 2 9 7 3" xfId="24524"/>
    <cellStyle name="Вычисление 2 2 9 7 3 2" xfId="39885"/>
    <cellStyle name="Вычисление 2 2 9 7 4" xfId="14000"/>
    <cellStyle name="Вычисление 2 2 9 7 5" xfId="29475"/>
    <cellStyle name="Вычисление 2 2 9 8" xfId="4744"/>
    <cellStyle name="Вычисление 2 2 9 8 2" xfId="9931"/>
    <cellStyle name="Вычисление 2 2 9 8 2 2" xfId="20858"/>
    <cellStyle name="Вычисление 2 2 9 8 2 3" xfId="36219"/>
    <cellStyle name="Вычисление 2 2 9 8 3" xfId="25819"/>
    <cellStyle name="Вычисление 2 2 9 8 3 2" xfId="41180"/>
    <cellStyle name="Вычисление 2 2 9 8 4" xfId="15295"/>
    <cellStyle name="Вычисление 2 2 9 8 5" xfId="30770"/>
    <cellStyle name="Вычисление 2 2 9 9" xfId="5757"/>
    <cellStyle name="Вычисление 2 2 9 9 2" xfId="17134"/>
    <cellStyle name="Вычисление 2 2 9 9 3" xfId="32601"/>
    <cellStyle name="Вычисление 2 20" xfId="367"/>
    <cellStyle name="Вычисление 2 20 10" xfId="17332"/>
    <cellStyle name="Вычисление 2 20 10 2" xfId="32799"/>
    <cellStyle name="Вычисление 2 20 11" xfId="11053"/>
    <cellStyle name="Вычисление 2 20 12" xfId="10855"/>
    <cellStyle name="Вычисление 2 20 2" xfId="828"/>
    <cellStyle name="Вычисление 2 20 2 10" xfId="11412"/>
    <cellStyle name="Вычисление 2 20 2 11" xfId="26929"/>
    <cellStyle name="Вычисление 2 20 2 2" xfId="1628"/>
    <cellStyle name="Вычисление 2 20 2 2 2" xfId="1884"/>
    <cellStyle name="Вычисление 2 20 2 2 2 2" xfId="7123"/>
    <cellStyle name="Вычисление 2 20 2 2 2 2 2" xfId="18025"/>
    <cellStyle name="Вычисление 2 20 2 2 2 2 3" xfId="33386"/>
    <cellStyle name="Вычисление 2 20 2 2 2 3" xfId="23011"/>
    <cellStyle name="Вычисление 2 20 2 2 2 3 2" xfId="38372"/>
    <cellStyle name="Вычисление 2 20 2 2 2 4" xfId="12462"/>
    <cellStyle name="Вычисление 2 20 2 2 2 5" xfId="27962"/>
    <cellStyle name="Вычисление 2 20 2 2 3" xfId="5222"/>
    <cellStyle name="Вычисление 2 20 2 2 3 2" xfId="10405"/>
    <cellStyle name="Вычисление 2 20 2 2 3 2 2" xfId="21331"/>
    <cellStyle name="Вычисление 2 20 2 2 3 2 3" xfId="36692"/>
    <cellStyle name="Вычисление 2 20 2 2 3 3" xfId="26292"/>
    <cellStyle name="Вычисление 2 20 2 2 3 3 2" xfId="41653"/>
    <cellStyle name="Вычисление 2 20 2 2 3 4" xfId="15768"/>
    <cellStyle name="Вычисление 2 20 2 2 3 5" xfId="31243"/>
    <cellStyle name="Вычисление 2 20 2 2 4" xfId="6874"/>
    <cellStyle name="Вычисление 2 20 2 2 4 2" xfId="17770"/>
    <cellStyle name="Вычисление 2 20 2 2 4 3" xfId="33131"/>
    <cellStyle name="Вычисление 2 20 2 2 5" xfId="22762"/>
    <cellStyle name="Вычисление 2 20 2 2 5 2" xfId="38123"/>
    <cellStyle name="Вычисление 2 20 2 2 6" xfId="12206"/>
    <cellStyle name="Вычисление 2 20 2 2 7" xfId="27713"/>
    <cellStyle name="Вычисление 2 20 2 3" xfId="2234"/>
    <cellStyle name="Вычисление 2 20 2 3 2" xfId="7470"/>
    <cellStyle name="Вычисление 2 20 2 3 2 2" xfId="18372"/>
    <cellStyle name="Вычисление 2 20 2 3 2 3" xfId="33733"/>
    <cellStyle name="Вычисление 2 20 2 3 3" xfId="23358"/>
    <cellStyle name="Вычисление 2 20 2 3 3 2" xfId="38719"/>
    <cellStyle name="Вычисление 2 20 2 3 4" xfId="12809"/>
    <cellStyle name="Вычисление 2 20 2 3 5" xfId="28309"/>
    <cellStyle name="Вычисление 2 20 2 4" xfId="1383"/>
    <cellStyle name="Вычисление 2 20 2 4 2" xfId="6633"/>
    <cellStyle name="Вычисление 2 20 2 4 2 2" xfId="16226"/>
    <cellStyle name="Вычисление 2 20 2 4 2 3" xfId="31693"/>
    <cellStyle name="Вычисление 2 20 2 4 3" xfId="22521"/>
    <cellStyle name="Вычисление 2 20 2 4 3 2" xfId="37882"/>
    <cellStyle name="Вычисление 2 20 2 4 4" xfId="11963"/>
    <cellStyle name="Вычисление 2 20 2 4 5" xfId="27472"/>
    <cellStyle name="Вычисление 2 20 2 5" xfId="3640"/>
    <cellStyle name="Вычисление 2 20 2 5 2" xfId="8827"/>
    <cellStyle name="Вычисление 2 20 2 5 2 2" xfId="19754"/>
    <cellStyle name="Вычисление 2 20 2 5 2 3" xfId="35115"/>
    <cellStyle name="Вычисление 2 20 2 5 3" xfId="24715"/>
    <cellStyle name="Вычисление 2 20 2 5 3 2" xfId="40076"/>
    <cellStyle name="Вычисление 2 20 2 5 4" xfId="14191"/>
    <cellStyle name="Вычисление 2 20 2 5 5" xfId="29666"/>
    <cellStyle name="Вычисление 2 20 2 6" xfId="4282"/>
    <cellStyle name="Вычисление 2 20 2 6 2" xfId="9469"/>
    <cellStyle name="Вычисление 2 20 2 6 2 2" xfId="20396"/>
    <cellStyle name="Вычисление 2 20 2 6 2 3" xfId="35757"/>
    <cellStyle name="Вычисление 2 20 2 6 3" xfId="25357"/>
    <cellStyle name="Вычисление 2 20 2 6 3 2" xfId="40718"/>
    <cellStyle name="Вычисление 2 20 2 6 4" xfId="14833"/>
    <cellStyle name="Вычисление 2 20 2 6 5" xfId="30308"/>
    <cellStyle name="Вычисление 2 20 2 7" xfId="4547"/>
    <cellStyle name="Вычисление 2 20 2 7 2" xfId="9734"/>
    <cellStyle name="Вычисление 2 20 2 7 2 2" xfId="20661"/>
    <cellStyle name="Вычисление 2 20 2 7 2 3" xfId="36022"/>
    <cellStyle name="Вычисление 2 20 2 7 3" xfId="25622"/>
    <cellStyle name="Вычисление 2 20 2 7 3 2" xfId="40983"/>
    <cellStyle name="Вычисление 2 20 2 7 4" xfId="15098"/>
    <cellStyle name="Вычисление 2 20 2 7 5" xfId="30573"/>
    <cellStyle name="Вычисление 2 20 2 8" xfId="6090"/>
    <cellStyle name="Вычисление 2 20 2 8 2" xfId="16777"/>
    <cellStyle name="Вычисление 2 20 2 8 3" xfId="32244"/>
    <cellStyle name="Вычисление 2 20 2 9" xfId="21978"/>
    <cellStyle name="Вычисление 2 20 2 9 2" xfId="37339"/>
    <cellStyle name="Вычисление 2 20 3" xfId="998"/>
    <cellStyle name="Вычисление 2 20 3 2" xfId="2711"/>
    <cellStyle name="Вычисление 2 20 3 2 2" xfId="7940"/>
    <cellStyle name="Вычисление 2 20 3 2 2 2" xfId="18844"/>
    <cellStyle name="Вычисление 2 20 3 2 2 3" xfId="34205"/>
    <cellStyle name="Вычисление 2 20 3 2 3" xfId="23828"/>
    <cellStyle name="Вычисление 2 20 3 2 3 2" xfId="39189"/>
    <cellStyle name="Вычисление 2 20 3 2 4" xfId="13281"/>
    <cellStyle name="Вычисление 2 20 3 2 5" xfId="28779"/>
    <cellStyle name="Вычисление 2 20 3 3" xfId="5223"/>
    <cellStyle name="Вычисление 2 20 3 3 2" xfId="10406"/>
    <cellStyle name="Вычисление 2 20 3 3 2 2" xfId="21332"/>
    <cellStyle name="Вычисление 2 20 3 3 2 3" xfId="36693"/>
    <cellStyle name="Вычисление 2 20 3 3 3" xfId="26293"/>
    <cellStyle name="Вычисление 2 20 3 3 3 2" xfId="41654"/>
    <cellStyle name="Вычисление 2 20 3 3 4" xfId="15769"/>
    <cellStyle name="Вычисление 2 20 3 3 5" xfId="31244"/>
    <cellStyle name="Вычисление 2 20 3 4" xfId="6257"/>
    <cellStyle name="Вычисление 2 20 3 4 2" xfId="16608"/>
    <cellStyle name="Вычисление 2 20 3 4 3" xfId="32075"/>
    <cellStyle name="Вычисление 2 20 3 5" xfId="22145"/>
    <cellStyle name="Вычисление 2 20 3 5 2" xfId="37506"/>
    <cellStyle name="Вычисление 2 20 3 6" xfId="11581"/>
    <cellStyle name="Вычисление 2 20 3 7" xfId="27096"/>
    <cellStyle name="Вычисление 2 20 4" xfId="1251"/>
    <cellStyle name="Вычисление 2 20 4 2" xfId="6504"/>
    <cellStyle name="Вычисление 2 20 4 2 2" xfId="16357"/>
    <cellStyle name="Вычисление 2 20 4 2 3" xfId="31824"/>
    <cellStyle name="Вычисление 2 20 4 3" xfId="22392"/>
    <cellStyle name="Вычисление 2 20 4 3 2" xfId="37753"/>
    <cellStyle name="Вычисление 2 20 4 4" xfId="11832"/>
    <cellStyle name="Вычисление 2 20 4 5" xfId="27343"/>
    <cellStyle name="Вычисление 2 20 5" xfId="2954"/>
    <cellStyle name="Вычисление 2 20 5 2" xfId="8155"/>
    <cellStyle name="Вычисление 2 20 5 2 2" xfId="19075"/>
    <cellStyle name="Вычисление 2 20 5 2 3" xfId="34436"/>
    <cellStyle name="Вычисление 2 20 5 3" xfId="24043"/>
    <cellStyle name="Вычисление 2 20 5 3 2" xfId="39404"/>
    <cellStyle name="Вычисление 2 20 5 4" xfId="13512"/>
    <cellStyle name="Вычисление 2 20 5 5" xfId="28994"/>
    <cellStyle name="Вычисление 2 20 6" xfId="3696"/>
    <cellStyle name="Вычисление 2 20 6 2" xfId="8883"/>
    <cellStyle name="Вычисление 2 20 6 2 2" xfId="19810"/>
    <cellStyle name="Вычисление 2 20 6 2 3" xfId="35171"/>
    <cellStyle name="Вычисление 2 20 6 3" xfId="24771"/>
    <cellStyle name="Вычисление 2 20 6 3 2" xfId="40132"/>
    <cellStyle name="Вычисление 2 20 6 4" xfId="14247"/>
    <cellStyle name="Вычисление 2 20 6 5" xfId="29722"/>
    <cellStyle name="Вычисление 2 20 7" xfId="3895"/>
    <cellStyle name="Вычисление 2 20 7 2" xfId="9082"/>
    <cellStyle name="Вычисление 2 20 7 2 2" xfId="20009"/>
    <cellStyle name="Вычисление 2 20 7 2 3" xfId="35370"/>
    <cellStyle name="Вычисление 2 20 7 3" xfId="24970"/>
    <cellStyle name="Вычисление 2 20 7 3 2" xfId="40331"/>
    <cellStyle name="Вычисление 2 20 7 4" xfId="14446"/>
    <cellStyle name="Вычисление 2 20 7 5" xfId="29921"/>
    <cellStyle name="Вычисление 2 20 8" xfId="4432"/>
    <cellStyle name="Вычисление 2 20 8 2" xfId="9619"/>
    <cellStyle name="Вычисление 2 20 8 2 2" xfId="20546"/>
    <cellStyle name="Вычисление 2 20 8 2 3" xfId="35907"/>
    <cellStyle name="Вычисление 2 20 8 3" xfId="25507"/>
    <cellStyle name="Вычисление 2 20 8 3 2" xfId="40868"/>
    <cellStyle name="Вычисление 2 20 8 4" xfId="14983"/>
    <cellStyle name="Вычисление 2 20 8 5" xfId="30458"/>
    <cellStyle name="Вычисление 2 20 9" xfId="5758"/>
    <cellStyle name="Вычисление 2 20 9 2" xfId="17133"/>
    <cellStyle name="Вычисление 2 20 9 3" xfId="32600"/>
    <cellStyle name="Вычисление 2 21" xfId="368"/>
    <cellStyle name="Вычисление 2 21 10" xfId="17333"/>
    <cellStyle name="Вычисление 2 21 10 2" xfId="32800"/>
    <cellStyle name="Вычисление 2 21 11" xfId="11054"/>
    <cellStyle name="Вычисление 2 21 12" xfId="10854"/>
    <cellStyle name="Вычисление 2 21 2" xfId="827"/>
    <cellStyle name="Вычисление 2 21 2 10" xfId="11411"/>
    <cellStyle name="Вычисление 2 21 2 11" xfId="26928"/>
    <cellStyle name="Вычисление 2 21 2 2" xfId="1443"/>
    <cellStyle name="Вычисление 2 21 2 2 2" xfId="1886"/>
    <cellStyle name="Вычисление 2 21 2 2 2 2" xfId="7125"/>
    <cellStyle name="Вычисление 2 21 2 2 2 2 2" xfId="18027"/>
    <cellStyle name="Вычисление 2 21 2 2 2 2 3" xfId="33388"/>
    <cellStyle name="Вычисление 2 21 2 2 2 3" xfId="23013"/>
    <cellStyle name="Вычисление 2 21 2 2 2 3 2" xfId="38374"/>
    <cellStyle name="Вычисление 2 21 2 2 2 4" xfId="12464"/>
    <cellStyle name="Вычисление 2 21 2 2 2 5" xfId="27964"/>
    <cellStyle name="Вычисление 2 21 2 2 3" xfId="5224"/>
    <cellStyle name="Вычисление 2 21 2 2 3 2" xfId="10407"/>
    <cellStyle name="Вычисление 2 21 2 2 3 2 2" xfId="21333"/>
    <cellStyle name="Вычисление 2 21 2 2 3 2 3" xfId="36694"/>
    <cellStyle name="Вычисление 2 21 2 2 3 3" xfId="26294"/>
    <cellStyle name="Вычисление 2 21 2 2 3 3 2" xfId="41655"/>
    <cellStyle name="Вычисление 2 21 2 2 3 4" xfId="15770"/>
    <cellStyle name="Вычисление 2 21 2 2 3 5" xfId="31245"/>
    <cellStyle name="Вычисление 2 21 2 2 4" xfId="6690"/>
    <cellStyle name="Вычисление 2 21 2 2 4 2" xfId="16168"/>
    <cellStyle name="Вычисление 2 21 2 2 4 3" xfId="31635"/>
    <cellStyle name="Вычисление 2 21 2 2 5" xfId="22578"/>
    <cellStyle name="Вычисление 2 21 2 2 5 2" xfId="37939"/>
    <cellStyle name="Вычисление 2 21 2 2 6" xfId="12021"/>
    <cellStyle name="Вычисление 2 21 2 2 7" xfId="27529"/>
    <cellStyle name="Вычисление 2 21 2 3" xfId="2233"/>
    <cellStyle name="Вычисление 2 21 2 3 2" xfId="7469"/>
    <cellStyle name="Вычисление 2 21 2 3 2 2" xfId="18371"/>
    <cellStyle name="Вычисление 2 21 2 3 2 3" xfId="33732"/>
    <cellStyle name="Вычисление 2 21 2 3 3" xfId="23357"/>
    <cellStyle name="Вычисление 2 21 2 3 3 2" xfId="38718"/>
    <cellStyle name="Вычисление 2 21 2 3 4" xfId="12808"/>
    <cellStyle name="Вычисление 2 21 2 3 5" xfId="28308"/>
    <cellStyle name="Вычисление 2 21 2 4" xfId="2805"/>
    <cellStyle name="Вычисление 2 21 2 4 2" xfId="8024"/>
    <cellStyle name="Вычисление 2 21 2 4 2 2" xfId="18935"/>
    <cellStyle name="Вычисление 2 21 2 4 2 3" xfId="34296"/>
    <cellStyle name="Вычисление 2 21 2 4 3" xfId="23912"/>
    <cellStyle name="Вычисление 2 21 2 4 3 2" xfId="39273"/>
    <cellStyle name="Вычисление 2 21 2 4 4" xfId="13372"/>
    <cellStyle name="Вычисление 2 21 2 4 5" xfId="28863"/>
    <cellStyle name="Вычисление 2 21 2 5" xfId="3783"/>
    <cellStyle name="Вычисление 2 21 2 5 2" xfId="8970"/>
    <cellStyle name="Вычисление 2 21 2 5 2 2" xfId="19897"/>
    <cellStyle name="Вычисление 2 21 2 5 2 3" xfId="35258"/>
    <cellStyle name="Вычисление 2 21 2 5 3" xfId="24858"/>
    <cellStyle name="Вычисление 2 21 2 5 3 2" xfId="40219"/>
    <cellStyle name="Вычисление 2 21 2 5 4" xfId="14334"/>
    <cellStyle name="Вычисление 2 21 2 5 5" xfId="29809"/>
    <cellStyle name="Вычисление 2 21 2 6" xfId="4281"/>
    <cellStyle name="Вычисление 2 21 2 6 2" xfId="9468"/>
    <cellStyle name="Вычисление 2 21 2 6 2 2" xfId="20395"/>
    <cellStyle name="Вычисление 2 21 2 6 2 3" xfId="35756"/>
    <cellStyle name="Вычисление 2 21 2 6 3" xfId="25356"/>
    <cellStyle name="Вычисление 2 21 2 6 3 2" xfId="40717"/>
    <cellStyle name="Вычисление 2 21 2 6 4" xfId="14832"/>
    <cellStyle name="Вычисление 2 21 2 6 5" xfId="30307"/>
    <cellStyle name="Вычисление 2 21 2 7" xfId="4548"/>
    <cellStyle name="Вычисление 2 21 2 7 2" xfId="9735"/>
    <cellStyle name="Вычисление 2 21 2 7 2 2" xfId="20662"/>
    <cellStyle name="Вычисление 2 21 2 7 2 3" xfId="36023"/>
    <cellStyle name="Вычисление 2 21 2 7 3" xfId="25623"/>
    <cellStyle name="Вычисление 2 21 2 7 3 2" xfId="40984"/>
    <cellStyle name="Вычисление 2 21 2 7 4" xfId="15099"/>
    <cellStyle name="Вычисление 2 21 2 7 5" xfId="30574"/>
    <cellStyle name="Вычисление 2 21 2 8" xfId="6089"/>
    <cellStyle name="Вычисление 2 21 2 8 2" xfId="16778"/>
    <cellStyle name="Вычисление 2 21 2 8 3" xfId="32245"/>
    <cellStyle name="Вычисление 2 21 2 9" xfId="21977"/>
    <cellStyle name="Вычисление 2 21 2 9 2" xfId="37338"/>
    <cellStyle name="Вычисление 2 21 3" xfId="1419"/>
    <cellStyle name="Вычисление 2 21 3 2" xfId="2710"/>
    <cellStyle name="Вычисление 2 21 3 2 2" xfId="7939"/>
    <cellStyle name="Вычисление 2 21 3 2 2 2" xfId="18843"/>
    <cellStyle name="Вычисление 2 21 3 2 2 3" xfId="34204"/>
    <cellStyle name="Вычисление 2 21 3 2 3" xfId="23827"/>
    <cellStyle name="Вычисление 2 21 3 2 3 2" xfId="39188"/>
    <cellStyle name="Вычисление 2 21 3 2 4" xfId="13280"/>
    <cellStyle name="Вычисление 2 21 3 2 5" xfId="28778"/>
    <cellStyle name="Вычисление 2 21 3 3" xfId="5225"/>
    <cellStyle name="Вычисление 2 21 3 3 2" xfId="10408"/>
    <cellStyle name="Вычисление 2 21 3 3 2 2" xfId="21334"/>
    <cellStyle name="Вычисление 2 21 3 3 2 3" xfId="36695"/>
    <cellStyle name="Вычисление 2 21 3 3 3" xfId="26295"/>
    <cellStyle name="Вычисление 2 21 3 3 3 2" xfId="41656"/>
    <cellStyle name="Вычисление 2 21 3 3 4" xfId="15771"/>
    <cellStyle name="Вычисление 2 21 3 3 5" xfId="31246"/>
    <cellStyle name="Вычисление 2 21 3 4" xfId="6667"/>
    <cellStyle name="Вычисление 2 21 3 4 2" xfId="16191"/>
    <cellStyle name="Вычисление 2 21 3 4 3" xfId="31658"/>
    <cellStyle name="Вычисление 2 21 3 5" xfId="22555"/>
    <cellStyle name="Вычисление 2 21 3 5 2" xfId="37916"/>
    <cellStyle name="Вычисление 2 21 3 6" xfId="11998"/>
    <cellStyle name="Вычисление 2 21 3 7" xfId="27506"/>
    <cellStyle name="Вычисление 2 21 4" xfId="1501"/>
    <cellStyle name="Вычисление 2 21 4 2" xfId="6748"/>
    <cellStyle name="Вычисление 2 21 4 2 2" xfId="17643"/>
    <cellStyle name="Вычисление 2 21 4 2 3" xfId="33004"/>
    <cellStyle name="Вычисление 2 21 4 3" xfId="22636"/>
    <cellStyle name="Вычисление 2 21 4 3 2" xfId="37997"/>
    <cellStyle name="Вычисление 2 21 4 4" xfId="12079"/>
    <cellStyle name="Вычисление 2 21 4 5" xfId="27587"/>
    <cellStyle name="Вычисление 2 21 5" xfId="2953"/>
    <cellStyle name="Вычисление 2 21 5 2" xfId="8154"/>
    <cellStyle name="Вычисление 2 21 5 2 2" xfId="19074"/>
    <cellStyle name="Вычисление 2 21 5 2 3" xfId="34435"/>
    <cellStyle name="Вычисление 2 21 5 3" xfId="24042"/>
    <cellStyle name="Вычисление 2 21 5 3 2" xfId="39403"/>
    <cellStyle name="Вычисление 2 21 5 4" xfId="13511"/>
    <cellStyle name="Вычисление 2 21 5 5" xfId="28993"/>
    <cellStyle name="Вычисление 2 21 6" xfId="3418"/>
    <cellStyle name="Вычисление 2 21 6 2" xfId="8611"/>
    <cellStyle name="Вычисление 2 21 6 2 2" xfId="19538"/>
    <cellStyle name="Вычисление 2 21 6 2 3" xfId="34899"/>
    <cellStyle name="Вычисление 2 21 6 3" xfId="24499"/>
    <cellStyle name="Вычисление 2 21 6 3 2" xfId="39860"/>
    <cellStyle name="Вычисление 2 21 6 4" xfId="13975"/>
    <cellStyle name="Вычисление 2 21 6 5" xfId="29450"/>
    <cellStyle name="Вычисление 2 21 7" xfId="3902"/>
    <cellStyle name="Вычисление 2 21 7 2" xfId="9089"/>
    <cellStyle name="Вычисление 2 21 7 2 2" xfId="20016"/>
    <cellStyle name="Вычисление 2 21 7 2 3" xfId="35377"/>
    <cellStyle name="Вычисление 2 21 7 3" xfId="24977"/>
    <cellStyle name="Вычисление 2 21 7 3 2" xfId="40338"/>
    <cellStyle name="Вычисление 2 21 7 4" xfId="14453"/>
    <cellStyle name="Вычисление 2 21 7 5" xfId="29928"/>
    <cellStyle name="Вычисление 2 21 8" xfId="4418"/>
    <cellStyle name="Вычисление 2 21 8 2" xfId="9605"/>
    <cellStyle name="Вычисление 2 21 8 2 2" xfId="20532"/>
    <cellStyle name="Вычисление 2 21 8 2 3" xfId="35893"/>
    <cellStyle name="Вычисление 2 21 8 3" xfId="25493"/>
    <cellStyle name="Вычисление 2 21 8 3 2" xfId="40854"/>
    <cellStyle name="Вычисление 2 21 8 4" xfId="14969"/>
    <cellStyle name="Вычисление 2 21 8 5" xfId="30444"/>
    <cellStyle name="Вычисление 2 21 9" xfId="5759"/>
    <cellStyle name="Вычисление 2 21 9 2" xfId="17132"/>
    <cellStyle name="Вычисление 2 21 9 3" xfId="32599"/>
    <cellStyle name="Вычисление 2 22" xfId="369"/>
    <cellStyle name="Вычисление 2 22 10" xfId="17334"/>
    <cellStyle name="Вычисление 2 22 10 2" xfId="32801"/>
    <cellStyle name="Вычисление 2 22 11" xfId="11055"/>
    <cellStyle name="Вычисление 2 22 12" xfId="10853"/>
    <cellStyle name="Вычисление 2 22 2" xfId="826"/>
    <cellStyle name="Вычисление 2 22 2 10" xfId="11410"/>
    <cellStyle name="Вычисление 2 22 2 11" xfId="26927"/>
    <cellStyle name="Вычисление 2 22 2 2" xfId="1055"/>
    <cellStyle name="Вычисление 2 22 2 2 2" xfId="2709"/>
    <cellStyle name="Вычисление 2 22 2 2 2 2" xfId="7938"/>
    <cellStyle name="Вычисление 2 22 2 2 2 2 2" xfId="18842"/>
    <cellStyle name="Вычисление 2 22 2 2 2 2 3" xfId="34203"/>
    <cellStyle name="Вычисление 2 22 2 2 2 3" xfId="23826"/>
    <cellStyle name="Вычисление 2 22 2 2 2 3 2" xfId="39187"/>
    <cellStyle name="Вычисление 2 22 2 2 2 4" xfId="13279"/>
    <cellStyle name="Вычисление 2 22 2 2 2 5" xfId="28777"/>
    <cellStyle name="Вычисление 2 22 2 2 3" xfId="5226"/>
    <cellStyle name="Вычисление 2 22 2 2 3 2" xfId="10409"/>
    <cellStyle name="Вычисление 2 22 2 2 3 2 2" xfId="21335"/>
    <cellStyle name="Вычисление 2 22 2 2 3 2 3" xfId="36696"/>
    <cellStyle name="Вычисление 2 22 2 2 3 3" xfId="26296"/>
    <cellStyle name="Вычисление 2 22 2 2 3 3 2" xfId="41657"/>
    <cellStyle name="Вычисление 2 22 2 2 3 4" xfId="15772"/>
    <cellStyle name="Вычисление 2 22 2 2 3 5" xfId="31247"/>
    <cellStyle name="Вычисление 2 22 2 2 4" xfId="6312"/>
    <cellStyle name="Вычисление 2 22 2 2 4 2" xfId="16552"/>
    <cellStyle name="Вычисление 2 22 2 2 4 3" xfId="32019"/>
    <cellStyle name="Вычисление 2 22 2 2 5" xfId="22200"/>
    <cellStyle name="Вычисление 2 22 2 2 5 2" xfId="37561"/>
    <cellStyle name="Вычисление 2 22 2 2 6" xfId="11637"/>
    <cellStyle name="Вычисление 2 22 2 2 7" xfId="27151"/>
    <cellStyle name="Вычисление 2 22 2 3" xfId="2232"/>
    <cellStyle name="Вычисление 2 22 2 3 2" xfId="7468"/>
    <cellStyle name="Вычисление 2 22 2 3 2 2" xfId="18370"/>
    <cellStyle name="Вычисление 2 22 2 3 2 3" xfId="33731"/>
    <cellStyle name="Вычисление 2 22 2 3 3" xfId="23356"/>
    <cellStyle name="Вычисление 2 22 2 3 3 2" xfId="38717"/>
    <cellStyle name="Вычисление 2 22 2 3 4" xfId="12807"/>
    <cellStyle name="Вычисление 2 22 2 3 5" xfId="28307"/>
    <cellStyle name="Вычисление 2 22 2 4" xfId="1548"/>
    <cellStyle name="Вычисление 2 22 2 4 2" xfId="6795"/>
    <cellStyle name="Вычисление 2 22 2 4 2 2" xfId="17690"/>
    <cellStyle name="Вычисление 2 22 2 4 2 3" xfId="33051"/>
    <cellStyle name="Вычисление 2 22 2 4 3" xfId="22683"/>
    <cellStyle name="Вычисление 2 22 2 4 3 2" xfId="38044"/>
    <cellStyle name="Вычисление 2 22 2 4 4" xfId="12126"/>
    <cellStyle name="Вычисление 2 22 2 4 5" xfId="27634"/>
    <cellStyle name="Вычисление 2 22 2 5" xfId="3639"/>
    <cellStyle name="Вычисление 2 22 2 5 2" xfId="8826"/>
    <cellStyle name="Вычисление 2 22 2 5 2 2" xfId="19753"/>
    <cellStyle name="Вычисление 2 22 2 5 2 3" xfId="35114"/>
    <cellStyle name="Вычисление 2 22 2 5 3" xfId="24714"/>
    <cellStyle name="Вычисление 2 22 2 5 3 2" xfId="40075"/>
    <cellStyle name="Вычисление 2 22 2 5 4" xfId="14190"/>
    <cellStyle name="Вычисление 2 22 2 5 5" xfId="29665"/>
    <cellStyle name="Вычисление 2 22 2 6" xfId="4280"/>
    <cellStyle name="Вычисление 2 22 2 6 2" xfId="9467"/>
    <cellStyle name="Вычисление 2 22 2 6 2 2" xfId="20394"/>
    <cellStyle name="Вычисление 2 22 2 6 2 3" xfId="35755"/>
    <cellStyle name="Вычисление 2 22 2 6 3" xfId="25355"/>
    <cellStyle name="Вычисление 2 22 2 6 3 2" xfId="40716"/>
    <cellStyle name="Вычисление 2 22 2 6 4" xfId="14831"/>
    <cellStyle name="Вычисление 2 22 2 6 5" xfId="30306"/>
    <cellStyle name="Вычисление 2 22 2 7" xfId="4549"/>
    <cellStyle name="Вычисление 2 22 2 7 2" xfId="9736"/>
    <cellStyle name="Вычисление 2 22 2 7 2 2" xfId="20663"/>
    <cellStyle name="Вычисление 2 22 2 7 2 3" xfId="36024"/>
    <cellStyle name="Вычисление 2 22 2 7 3" xfId="25624"/>
    <cellStyle name="Вычисление 2 22 2 7 3 2" xfId="40985"/>
    <cellStyle name="Вычисление 2 22 2 7 4" xfId="15100"/>
    <cellStyle name="Вычисление 2 22 2 7 5" xfId="30575"/>
    <cellStyle name="Вычисление 2 22 2 8" xfId="6088"/>
    <cellStyle name="Вычисление 2 22 2 8 2" xfId="16779"/>
    <cellStyle name="Вычисление 2 22 2 8 3" xfId="32246"/>
    <cellStyle name="Вычисление 2 22 2 9" xfId="21976"/>
    <cellStyle name="Вычисление 2 22 2 9 2" xfId="37337"/>
    <cellStyle name="Вычисление 2 22 3" xfId="1545"/>
    <cellStyle name="Вычисление 2 22 3 2" xfId="1889"/>
    <cellStyle name="Вычисление 2 22 3 2 2" xfId="7128"/>
    <cellStyle name="Вычисление 2 22 3 2 2 2" xfId="18030"/>
    <cellStyle name="Вычисление 2 22 3 2 2 3" xfId="33391"/>
    <cellStyle name="Вычисление 2 22 3 2 3" xfId="23016"/>
    <cellStyle name="Вычисление 2 22 3 2 3 2" xfId="38377"/>
    <cellStyle name="Вычисление 2 22 3 2 4" xfId="12467"/>
    <cellStyle name="Вычисление 2 22 3 2 5" xfId="27967"/>
    <cellStyle name="Вычисление 2 22 3 3" xfId="5227"/>
    <cellStyle name="Вычисление 2 22 3 3 2" xfId="10410"/>
    <cellStyle name="Вычисление 2 22 3 3 2 2" xfId="21336"/>
    <cellStyle name="Вычисление 2 22 3 3 2 3" xfId="36697"/>
    <cellStyle name="Вычисление 2 22 3 3 3" xfId="26297"/>
    <cellStyle name="Вычисление 2 22 3 3 3 2" xfId="41658"/>
    <cellStyle name="Вычисление 2 22 3 3 4" xfId="15773"/>
    <cellStyle name="Вычисление 2 22 3 3 5" xfId="31248"/>
    <cellStyle name="Вычисление 2 22 3 4" xfId="6792"/>
    <cellStyle name="Вычисление 2 22 3 4 2" xfId="17687"/>
    <cellStyle name="Вычисление 2 22 3 4 3" xfId="33048"/>
    <cellStyle name="Вычисление 2 22 3 5" xfId="22680"/>
    <cellStyle name="Вычисление 2 22 3 5 2" xfId="38041"/>
    <cellStyle name="Вычисление 2 22 3 6" xfId="12123"/>
    <cellStyle name="Вычисление 2 22 3 7" xfId="27631"/>
    <cellStyle name="Вычисление 2 22 4" xfId="1345"/>
    <cellStyle name="Вычисление 2 22 4 2" xfId="6598"/>
    <cellStyle name="Вычисление 2 22 4 2 2" xfId="16263"/>
    <cellStyle name="Вычисление 2 22 4 2 3" xfId="31730"/>
    <cellStyle name="Вычисление 2 22 4 3" xfId="22486"/>
    <cellStyle name="Вычисление 2 22 4 3 2" xfId="37847"/>
    <cellStyle name="Вычисление 2 22 4 4" xfId="11926"/>
    <cellStyle name="Вычисление 2 22 4 5" xfId="27437"/>
    <cellStyle name="Вычисление 2 22 5" xfId="2952"/>
    <cellStyle name="Вычисление 2 22 5 2" xfId="8153"/>
    <cellStyle name="Вычисление 2 22 5 2 2" xfId="19073"/>
    <cellStyle name="Вычисление 2 22 5 2 3" xfId="34434"/>
    <cellStyle name="Вычисление 2 22 5 3" xfId="24041"/>
    <cellStyle name="Вычисление 2 22 5 3 2" xfId="39402"/>
    <cellStyle name="Вычисление 2 22 5 4" xfId="13510"/>
    <cellStyle name="Вычисление 2 22 5 5" xfId="28992"/>
    <cellStyle name="Вычисление 2 22 6" xfId="3847"/>
    <cellStyle name="Вычисление 2 22 6 2" xfId="9034"/>
    <cellStyle name="Вычисление 2 22 6 2 2" xfId="19961"/>
    <cellStyle name="Вычисление 2 22 6 2 3" xfId="35322"/>
    <cellStyle name="Вычисление 2 22 6 3" xfId="24922"/>
    <cellStyle name="Вычисление 2 22 6 3 2" xfId="40283"/>
    <cellStyle name="Вычисление 2 22 6 4" xfId="14398"/>
    <cellStyle name="Вычисление 2 22 6 5" xfId="29873"/>
    <cellStyle name="Вычисление 2 22 7" xfId="3315"/>
    <cellStyle name="Вычисление 2 22 7 2" xfId="8509"/>
    <cellStyle name="Вычисление 2 22 7 2 2" xfId="19436"/>
    <cellStyle name="Вычисление 2 22 7 2 3" xfId="34797"/>
    <cellStyle name="Вычисление 2 22 7 3" xfId="24397"/>
    <cellStyle name="Вычисление 2 22 7 3 2" xfId="39758"/>
    <cellStyle name="Вычисление 2 22 7 4" xfId="13873"/>
    <cellStyle name="Вычисление 2 22 7 5" xfId="29348"/>
    <cellStyle name="Вычисление 2 22 8" xfId="4742"/>
    <cellStyle name="Вычисление 2 22 8 2" xfId="9929"/>
    <cellStyle name="Вычисление 2 22 8 2 2" xfId="20856"/>
    <cellStyle name="Вычисление 2 22 8 2 3" xfId="36217"/>
    <cellStyle name="Вычисление 2 22 8 3" xfId="25817"/>
    <cellStyle name="Вычисление 2 22 8 3 2" xfId="41178"/>
    <cellStyle name="Вычисление 2 22 8 4" xfId="15293"/>
    <cellStyle name="Вычисление 2 22 8 5" xfId="30768"/>
    <cellStyle name="Вычисление 2 22 9" xfId="5760"/>
    <cellStyle name="Вычисление 2 22 9 2" xfId="17131"/>
    <cellStyle name="Вычисление 2 22 9 3" xfId="32598"/>
    <cellStyle name="Вычисление 2 23" xfId="370"/>
    <cellStyle name="Вычисление 2 23 10" xfId="17335"/>
    <cellStyle name="Вычисление 2 23 10 2" xfId="32802"/>
    <cellStyle name="Вычисление 2 23 11" xfId="11056"/>
    <cellStyle name="Вычисление 2 23 12" xfId="10852"/>
    <cellStyle name="Вычисление 2 23 2" xfId="825"/>
    <cellStyle name="Вычисление 2 23 2 10" xfId="11409"/>
    <cellStyle name="Вычисление 2 23 2 11" xfId="26926"/>
    <cellStyle name="Вычисление 2 23 2 2" xfId="1333"/>
    <cellStyle name="Вычисление 2 23 2 2 2" xfId="2708"/>
    <cellStyle name="Вычисление 2 23 2 2 2 2" xfId="7937"/>
    <cellStyle name="Вычисление 2 23 2 2 2 2 2" xfId="18841"/>
    <cellStyle name="Вычисление 2 23 2 2 2 2 3" xfId="34202"/>
    <cellStyle name="Вычисление 2 23 2 2 2 3" xfId="23825"/>
    <cellStyle name="Вычисление 2 23 2 2 2 3 2" xfId="39186"/>
    <cellStyle name="Вычисление 2 23 2 2 2 4" xfId="13278"/>
    <cellStyle name="Вычисление 2 23 2 2 2 5" xfId="28776"/>
    <cellStyle name="Вычисление 2 23 2 2 3" xfId="5228"/>
    <cellStyle name="Вычисление 2 23 2 2 3 2" xfId="10411"/>
    <cellStyle name="Вычисление 2 23 2 2 3 2 2" xfId="21337"/>
    <cellStyle name="Вычисление 2 23 2 2 3 2 3" xfId="36698"/>
    <cellStyle name="Вычисление 2 23 2 2 3 3" xfId="26298"/>
    <cellStyle name="Вычисление 2 23 2 2 3 3 2" xfId="41659"/>
    <cellStyle name="Вычисление 2 23 2 2 3 4" xfId="15774"/>
    <cellStyle name="Вычисление 2 23 2 2 3 5" xfId="31249"/>
    <cellStyle name="Вычисление 2 23 2 2 4" xfId="6586"/>
    <cellStyle name="Вычисление 2 23 2 2 4 2" xfId="16275"/>
    <cellStyle name="Вычисление 2 23 2 2 4 3" xfId="31742"/>
    <cellStyle name="Вычисление 2 23 2 2 5" xfId="22474"/>
    <cellStyle name="Вычисление 2 23 2 2 5 2" xfId="37835"/>
    <cellStyle name="Вычисление 2 23 2 2 6" xfId="11914"/>
    <cellStyle name="Вычисление 2 23 2 2 7" xfId="27425"/>
    <cellStyle name="Вычисление 2 23 2 3" xfId="2231"/>
    <cellStyle name="Вычисление 2 23 2 3 2" xfId="7467"/>
    <cellStyle name="Вычисление 2 23 2 3 2 2" xfId="18369"/>
    <cellStyle name="Вычисление 2 23 2 3 2 3" xfId="33730"/>
    <cellStyle name="Вычисление 2 23 2 3 3" xfId="23355"/>
    <cellStyle name="Вычисление 2 23 2 3 3 2" xfId="38716"/>
    <cellStyle name="Вычисление 2 23 2 3 4" xfId="12806"/>
    <cellStyle name="Вычисление 2 23 2 3 5" xfId="28306"/>
    <cellStyle name="Вычисление 2 23 2 4" xfId="2834"/>
    <cellStyle name="Вычисление 2 23 2 4 2" xfId="8051"/>
    <cellStyle name="Вычисление 2 23 2 4 2 2" xfId="18964"/>
    <cellStyle name="Вычисление 2 23 2 4 2 3" xfId="34325"/>
    <cellStyle name="Вычисление 2 23 2 4 3" xfId="23939"/>
    <cellStyle name="Вычисление 2 23 2 4 3 2" xfId="39300"/>
    <cellStyle name="Вычисление 2 23 2 4 4" xfId="13401"/>
    <cellStyle name="Вычисление 2 23 2 4 5" xfId="28890"/>
    <cellStyle name="Вычисление 2 23 2 5" xfId="3784"/>
    <cellStyle name="Вычисление 2 23 2 5 2" xfId="8971"/>
    <cellStyle name="Вычисление 2 23 2 5 2 2" xfId="19898"/>
    <cellStyle name="Вычисление 2 23 2 5 2 3" xfId="35259"/>
    <cellStyle name="Вычисление 2 23 2 5 3" xfId="24859"/>
    <cellStyle name="Вычисление 2 23 2 5 3 2" xfId="40220"/>
    <cellStyle name="Вычисление 2 23 2 5 4" xfId="14335"/>
    <cellStyle name="Вычисление 2 23 2 5 5" xfId="29810"/>
    <cellStyle name="Вычисление 2 23 2 6" xfId="4279"/>
    <cellStyle name="Вычисление 2 23 2 6 2" xfId="9466"/>
    <cellStyle name="Вычисление 2 23 2 6 2 2" xfId="20393"/>
    <cellStyle name="Вычисление 2 23 2 6 2 3" xfId="35754"/>
    <cellStyle name="Вычисление 2 23 2 6 3" xfId="25354"/>
    <cellStyle name="Вычисление 2 23 2 6 3 2" xfId="40715"/>
    <cellStyle name="Вычисление 2 23 2 6 4" xfId="14830"/>
    <cellStyle name="Вычисление 2 23 2 6 5" xfId="30305"/>
    <cellStyle name="Вычисление 2 23 2 7" xfId="4550"/>
    <cellStyle name="Вычисление 2 23 2 7 2" xfId="9737"/>
    <cellStyle name="Вычисление 2 23 2 7 2 2" xfId="20664"/>
    <cellStyle name="Вычисление 2 23 2 7 2 3" xfId="36025"/>
    <cellStyle name="Вычисление 2 23 2 7 3" xfId="25625"/>
    <cellStyle name="Вычисление 2 23 2 7 3 2" xfId="40986"/>
    <cellStyle name="Вычисление 2 23 2 7 4" xfId="15101"/>
    <cellStyle name="Вычисление 2 23 2 7 5" xfId="30576"/>
    <cellStyle name="Вычисление 2 23 2 8" xfId="6087"/>
    <cellStyle name="Вычисление 2 23 2 8 2" xfId="16780"/>
    <cellStyle name="Вычисление 2 23 2 8 3" xfId="32247"/>
    <cellStyle name="Вычисление 2 23 2 9" xfId="21975"/>
    <cellStyle name="Вычисление 2 23 2 9 2" xfId="37336"/>
    <cellStyle name="Вычисление 2 23 3" xfId="110"/>
    <cellStyle name="Вычисление 2 23 3 2" xfId="1648"/>
    <cellStyle name="Вычисление 2 23 3 2 2" xfId="6894"/>
    <cellStyle name="Вычисление 2 23 3 2 2 2" xfId="17790"/>
    <cellStyle name="Вычисление 2 23 3 2 2 3" xfId="33151"/>
    <cellStyle name="Вычисление 2 23 3 2 3" xfId="22782"/>
    <cellStyle name="Вычисление 2 23 3 2 3 2" xfId="38143"/>
    <cellStyle name="Вычисление 2 23 3 2 4" xfId="12226"/>
    <cellStyle name="Вычисление 2 23 3 2 5" xfId="27733"/>
    <cellStyle name="Вычисление 2 23 3 3" xfId="5229"/>
    <cellStyle name="Вычисление 2 23 3 3 2" xfId="10412"/>
    <cellStyle name="Вычисление 2 23 3 3 2 2" xfId="21338"/>
    <cellStyle name="Вычисление 2 23 3 3 2 3" xfId="36699"/>
    <cellStyle name="Вычисление 2 23 3 3 3" xfId="26299"/>
    <cellStyle name="Вычисление 2 23 3 3 3 2" xfId="41660"/>
    <cellStyle name="Вычисление 2 23 3 3 4" xfId="15775"/>
    <cellStyle name="Вычисление 2 23 3 3 5" xfId="31250"/>
    <cellStyle name="Вычисление 2 23 3 4" xfId="5636"/>
    <cellStyle name="Вычисление 2 23 3 4 2" xfId="17361"/>
    <cellStyle name="Вычисление 2 23 3 4 3" xfId="32828"/>
    <cellStyle name="Вычисление 2 23 3 5" xfId="17078"/>
    <cellStyle name="Вычисление 2 23 3 5 2" xfId="32545"/>
    <cellStyle name="Вычисление 2 23 3 6" xfId="10824"/>
    <cellStyle name="Вычисление 2 23 3 7" xfId="11108"/>
    <cellStyle name="Вычисление 2 23 4" xfId="1615"/>
    <cellStyle name="Вычисление 2 23 4 2" xfId="6861"/>
    <cellStyle name="Вычисление 2 23 4 2 2" xfId="17757"/>
    <cellStyle name="Вычисление 2 23 4 2 3" xfId="33118"/>
    <cellStyle name="Вычисление 2 23 4 3" xfId="22749"/>
    <cellStyle name="Вычисление 2 23 4 3 2" xfId="38110"/>
    <cellStyle name="Вычисление 2 23 4 4" xfId="12193"/>
    <cellStyle name="Вычисление 2 23 4 5" xfId="27700"/>
    <cellStyle name="Вычисление 2 23 5" xfId="2951"/>
    <cellStyle name="Вычисление 2 23 5 2" xfId="8152"/>
    <cellStyle name="Вычисление 2 23 5 2 2" xfId="19072"/>
    <cellStyle name="Вычисление 2 23 5 2 3" xfId="34433"/>
    <cellStyle name="Вычисление 2 23 5 3" xfId="24040"/>
    <cellStyle name="Вычисление 2 23 5 3 2" xfId="39401"/>
    <cellStyle name="Вычисление 2 23 5 4" xfId="13509"/>
    <cellStyle name="Вычисление 2 23 5 5" xfId="28991"/>
    <cellStyle name="Вычисление 2 23 6" xfId="3698"/>
    <cellStyle name="Вычисление 2 23 6 2" xfId="8885"/>
    <cellStyle name="Вычисление 2 23 6 2 2" xfId="19812"/>
    <cellStyle name="Вычисление 2 23 6 2 3" xfId="35173"/>
    <cellStyle name="Вычисление 2 23 6 3" xfId="24773"/>
    <cellStyle name="Вычисление 2 23 6 3 2" xfId="40134"/>
    <cellStyle name="Вычисление 2 23 6 4" xfId="14249"/>
    <cellStyle name="Вычисление 2 23 6 5" xfId="29724"/>
    <cellStyle name="Вычисление 2 23 7" xfId="3289"/>
    <cellStyle name="Вычисление 2 23 7 2" xfId="8483"/>
    <cellStyle name="Вычисление 2 23 7 2 2" xfId="19410"/>
    <cellStyle name="Вычисление 2 23 7 2 3" xfId="34771"/>
    <cellStyle name="Вычисление 2 23 7 3" xfId="24371"/>
    <cellStyle name="Вычисление 2 23 7 3 2" xfId="39732"/>
    <cellStyle name="Вычисление 2 23 7 4" xfId="13847"/>
    <cellStyle name="Вычисление 2 23 7 5" xfId="29322"/>
    <cellStyle name="Вычисление 2 23 8" xfId="4430"/>
    <cellStyle name="Вычисление 2 23 8 2" xfId="9617"/>
    <cellStyle name="Вычисление 2 23 8 2 2" xfId="20544"/>
    <cellStyle name="Вычисление 2 23 8 2 3" xfId="35905"/>
    <cellStyle name="Вычисление 2 23 8 3" xfId="25505"/>
    <cellStyle name="Вычисление 2 23 8 3 2" xfId="40866"/>
    <cellStyle name="Вычисление 2 23 8 4" xfId="14981"/>
    <cellStyle name="Вычисление 2 23 8 5" xfId="30456"/>
    <cellStyle name="Вычисление 2 23 9" xfId="5761"/>
    <cellStyle name="Вычисление 2 23 9 2" xfId="17130"/>
    <cellStyle name="Вычисление 2 23 9 3" xfId="32597"/>
    <cellStyle name="Вычисление 2 24" xfId="858"/>
    <cellStyle name="Вычисление 2 24 10" xfId="11442"/>
    <cellStyle name="Вычисление 2 24 11" xfId="26959"/>
    <cellStyle name="Вычисление 2 24 2" xfId="1444"/>
    <cellStyle name="Вычисление 2 24 2 2" xfId="1687"/>
    <cellStyle name="Вычисление 2 24 2 2 2" xfId="6931"/>
    <cellStyle name="Вычисление 2 24 2 2 2 2" xfId="17829"/>
    <cellStyle name="Вычисление 2 24 2 2 2 3" xfId="33190"/>
    <cellStyle name="Вычисление 2 24 2 2 3" xfId="22819"/>
    <cellStyle name="Вычисление 2 24 2 2 3 2" xfId="38180"/>
    <cellStyle name="Вычисление 2 24 2 2 4" xfId="12265"/>
    <cellStyle name="Вычисление 2 24 2 2 5" xfId="27770"/>
    <cellStyle name="Вычисление 2 24 2 3" xfId="5230"/>
    <cellStyle name="Вычисление 2 24 2 3 2" xfId="10413"/>
    <cellStyle name="Вычисление 2 24 2 3 2 2" xfId="21339"/>
    <cellStyle name="Вычисление 2 24 2 3 2 3" xfId="36700"/>
    <cellStyle name="Вычисление 2 24 2 3 3" xfId="26300"/>
    <cellStyle name="Вычисление 2 24 2 3 3 2" xfId="41661"/>
    <cellStyle name="Вычисление 2 24 2 3 4" xfId="15776"/>
    <cellStyle name="Вычисление 2 24 2 3 5" xfId="31251"/>
    <cellStyle name="Вычисление 2 24 2 4" xfId="6691"/>
    <cellStyle name="Вычисление 2 24 2 4 2" xfId="16167"/>
    <cellStyle name="Вычисление 2 24 2 4 3" xfId="31634"/>
    <cellStyle name="Вычисление 2 24 2 5" xfId="22579"/>
    <cellStyle name="Вычисление 2 24 2 5 2" xfId="37940"/>
    <cellStyle name="Вычисление 2 24 2 6" xfId="12022"/>
    <cellStyle name="Вычисление 2 24 2 7" xfId="27530"/>
    <cellStyle name="Вычисление 2 24 3" xfId="2264"/>
    <cellStyle name="Вычисление 2 24 3 2" xfId="7500"/>
    <cellStyle name="Вычисление 2 24 3 2 2" xfId="18402"/>
    <cellStyle name="Вычисление 2 24 3 2 3" xfId="33763"/>
    <cellStyle name="Вычисление 2 24 3 3" xfId="23388"/>
    <cellStyle name="Вычисление 2 24 3 3 2" xfId="38749"/>
    <cellStyle name="Вычисление 2 24 3 4" xfId="12839"/>
    <cellStyle name="Вычисление 2 24 3 5" xfId="28339"/>
    <cellStyle name="Вычисление 2 24 4" xfId="2816"/>
    <cellStyle name="Вычисление 2 24 4 2" xfId="8034"/>
    <cellStyle name="Вычисление 2 24 4 2 2" xfId="18946"/>
    <cellStyle name="Вычисление 2 24 4 2 3" xfId="34307"/>
    <cellStyle name="Вычисление 2 24 4 3" xfId="23922"/>
    <cellStyle name="Вычисление 2 24 4 3 2" xfId="39283"/>
    <cellStyle name="Вычисление 2 24 4 4" xfId="13383"/>
    <cellStyle name="Вычисление 2 24 4 5" xfId="28873"/>
    <cellStyle name="Вычисление 2 24 5" xfId="3768"/>
    <cellStyle name="Вычисление 2 24 5 2" xfId="8955"/>
    <cellStyle name="Вычисление 2 24 5 2 2" xfId="19882"/>
    <cellStyle name="Вычисление 2 24 5 2 3" xfId="35243"/>
    <cellStyle name="Вычисление 2 24 5 3" xfId="24843"/>
    <cellStyle name="Вычисление 2 24 5 3 2" xfId="40204"/>
    <cellStyle name="Вычисление 2 24 5 4" xfId="14319"/>
    <cellStyle name="Вычисление 2 24 5 5" xfId="29794"/>
    <cellStyle name="Вычисление 2 24 6" xfId="4312"/>
    <cellStyle name="Вычисление 2 24 6 2" xfId="9499"/>
    <cellStyle name="Вычисление 2 24 6 2 2" xfId="20426"/>
    <cellStyle name="Вычисление 2 24 6 2 3" xfId="35787"/>
    <cellStyle name="Вычисление 2 24 6 3" xfId="25387"/>
    <cellStyle name="Вычисление 2 24 6 3 2" xfId="40748"/>
    <cellStyle name="Вычисление 2 24 6 4" xfId="14863"/>
    <cellStyle name="Вычисление 2 24 6 5" xfId="30338"/>
    <cellStyle name="Вычисление 2 24 7" xfId="4517"/>
    <cellStyle name="Вычисление 2 24 7 2" xfId="9704"/>
    <cellStyle name="Вычисление 2 24 7 2 2" xfId="20631"/>
    <cellStyle name="Вычисление 2 24 7 2 3" xfId="35992"/>
    <cellStyle name="Вычисление 2 24 7 3" xfId="25592"/>
    <cellStyle name="Вычисление 2 24 7 3 2" xfId="40953"/>
    <cellStyle name="Вычисление 2 24 7 4" xfId="15068"/>
    <cellStyle name="Вычисление 2 24 7 5" xfId="30543"/>
    <cellStyle name="Вычисление 2 24 8" xfId="6120"/>
    <cellStyle name="Вычисление 2 24 8 2" xfId="16747"/>
    <cellStyle name="Вычисление 2 24 8 3" xfId="32214"/>
    <cellStyle name="Вычисление 2 24 9" xfId="22008"/>
    <cellStyle name="Вычисление 2 24 9 2" xfId="37369"/>
    <cellStyle name="Вычисление 2 25" xfId="1120"/>
    <cellStyle name="Вычисление 2 25 2" xfId="2707"/>
    <cellStyle name="Вычисление 2 25 2 2" xfId="7936"/>
    <cellStyle name="Вычисление 2 25 2 2 2" xfId="18840"/>
    <cellStyle name="Вычисление 2 25 2 2 3" xfId="34201"/>
    <cellStyle name="Вычисление 2 25 2 3" xfId="23824"/>
    <cellStyle name="Вычисление 2 25 2 3 2" xfId="39185"/>
    <cellStyle name="Вычисление 2 25 2 4" xfId="13277"/>
    <cellStyle name="Вычисление 2 25 2 5" xfId="28775"/>
    <cellStyle name="Вычисление 2 25 3" xfId="5231"/>
    <cellStyle name="Вычисление 2 25 3 2" xfId="10414"/>
    <cellStyle name="Вычисление 2 25 3 2 2" xfId="21340"/>
    <cellStyle name="Вычисление 2 25 3 2 3" xfId="36701"/>
    <cellStyle name="Вычисление 2 25 3 3" xfId="26301"/>
    <cellStyle name="Вычисление 2 25 3 3 2" xfId="41662"/>
    <cellStyle name="Вычисление 2 25 3 4" xfId="15777"/>
    <cellStyle name="Вычисление 2 25 3 5" xfId="31252"/>
    <cellStyle name="Вычисление 2 25 4" xfId="6375"/>
    <cellStyle name="Вычисление 2 25 4 2" xfId="16488"/>
    <cellStyle name="Вычисление 2 25 4 3" xfId="31955"/>
    <cellStyle name="Вычисление 2 25 5" xfId="22263"/>
    <cellStyle name="Вычисление 2 25 5 2" xfId="37624"/>
    <cellStyle name="Вычисление 2 25 6" xfId="11701"/>
    <cellStyle name="Вычисление 2 25 7" xfId="27214"/>
    <cellStyle name="Вычисление 2 26" xfId="1236"/>
    <cellStyle name="Вычисление 2 26 2" xfId="5232"/>
    <cellStyle name="Вычисление 2 26 2 2" xfId="10415"/>
    <cellStyle name="Вычисление 2 26 2 2 2" xfId="21341"/>
    <cellStyle name="Вычисление 2 26 2 2 3" xfId="36702"/>
    <cellStyle name="Вычисление 2 26 2 3" xfId="26302"/>
    <cellStyle name="Вычисление 2 26 2 3 2" xfId="41663"/>
    <cellStyle name="Вычисление 2 26 2 4" xfId="15778"/>
    <cellStyle name="Вычисление 2 26 2 5" xfId="31253"/>
    <cellStyle name="Вычисление 2 26 3" xfId="6489"/>
    <cellStyle name="Вычисление 2 26 3 2" xfId="16372"/>
    <cellStyle name="Вычисление 2 26 3 3" xfId="31839"/>
    <cellStyle name="Вычисление 2 26 4" xfId="22377"/>
    <cellStyle name="Вычисление 2 26 4 2" xfId="37738"/>
    <cellStyle name="Вычисление 2 26 5" xfId="11817"/>
    <cellStyle name="Вычисление 2 26 6" xfId="27328"/>
    <cellStyle name="Вычисление 2 27" xfId="1802"/>
    <cellStyle name="Вычисление 2 27 2" xfId="7041"/>
    <cellStyle name="Вычисление 2 27 2 2" xfId="17943"/>
    <cellStyle name="Вычисление 2 27 2 3" xfId="33304"/>
    <cellStyle name="Вычисление 2 27 3" xfId="22929"/>
    <cellStyle name="Вычисление 2 27 3 2" xfId="38290"/>
    <cellStyle name="Вычисление 2 27 4" xfId="12380"/>
    <cellStyle name="Вычисление 2 27 5" xfId="27880"/>
    <cellStyle name="Вычисление 2 27 6" xfId="44023"/>
    <cellStyle name="Вычисление 2 28" xfId="2987"/>
    <cellStyle name="Вычисление 2 28 2" xfId="8188"/>
    <cellStyle name="Вычисление 2 28 2 2" xfId="19108"/>
    <cellStyle name="Вычисление 2 28 2 3" xfId="34469"/>
    <cellStyle name="Вычисление 2 28 3" xfId="24076"/>
    <cellStyle name="Вычисление 2 28 3 2" xfId="39437"/>
    <cellStyle name="Вычисление 2 28 4" xfId="13545"/>
    <cellStyle name="Вычисление 2 28 5" xfId="29027"/>
    <cellStyle name="Вычисление 2 29" xfId="3524"/>
    <cellStyle name="Вычисление 2 29 2" xfId="8711"/>
    <cellStyle name="Вычисление 2 29 2 2" xfId="19638"/>
    <cellStyle name="Вычисление 2 29 2 3" xfId="34999"/>
    <cellStyle name="Вычисление 2 29 3" xfId="24599"/>
    <cellStyle name="Вычисление 2 29 3 2" xfId="39960"/>
    <cellStyle name="Вычисление 2 29 4" xfId="14075"/>
    <cellStyle name="Вычисление 2 29 5" xfId="29550"/>
    <cellStyle name="Вычисление 2 3" xfId="371"/>
    <cellStyle name="Вычисление 2 3 10" xfId="17336"/>
    <cellStyle name="Вычисление 2 3 10 2" xfId="32803"/>
    <cellStyle name="Вычисление 2 3 11" xfId="11057"/>
    <cellStyle name="Вычисление 2 3 12" xfId="10851"/>
    <cellStyle name="Вычисление 2 3 2" xfId="824"/>
    <cellStyle name="Вычисление 2 3 2 10" xfId="11408"/>
    <cellStyle name="Вычисление 2 3 2 11" xfId="26925"/>
    <cellStyle name="Вычисление 2 3 2 2" xfId="1571"/>
    <cellStyle name="Вычисление 2 3 2 2 2" xfId="2499"/>
    <cellStyle name="Вычисление 2 3 2 2 2 2" xfId="7735"/>
    <cellStyle name="Вычисление 2 3 2 2 2 2 2" xfId="18637"/>
    <cellStyle name="Вычисление 2 3 2 2 2 2 3" xfId="33998"/>
    <cellStyle name="Вычисление 2 3 2 2 2 3" xfId="23623"/>
    <cellStyle name="Вычисление 2 3 2 2 2 3 2" xfId="38984"/>
    <cellStyle name="Вычисление 2 3 2 2 2 4" xfId="13074"/>
    <cellStyle name="Вычисление 2 3 2 2 2 5" xfId="28574"/>
    <cellStyle name="Вычисление 2 3 2 2 3" xfId="5233"/>
    <cellStyle name="Вычисление 2 3 2 2 3 2" xfId="10416"/>
    <cellStyle name="Вычисление 2 3 2 2 3 2 2" xfId="21342"/>
    <cellStyle name="Вычисление 2 3 2 2 3 2 3" xfId="36703"/>
    <cellStyle name="Вычисление 2 3 2 2 3 3" xfId="26303"/>
    <cellStyle name="Вычисление 2 3 2 2 3 3 2" xfId="41664"/>
    <cellStyle name="Вычисление 2 3 2 2 3 4" xfId="15779"/>
    <cellStyle name="Вычисление 2 3 2 2 3 5" xfId="31254"/>
    <cellStyle name="Вычисление 2 3 2 2 4" xfId="6818"/>
    <cellStyle name="Вычисление 2 3 2 2 4 2" xfId="17713"/>
    <cellStyle name="Вычисление 2 3 2 2 4 3" xfId="33074"/>
    <cellStyle name="Вычисление 2 3 2 2 5" xfId="22706"/>
    <cellStyle name="Вычисление 2 3 2 2 5 2" xfId="38067"/>
    <cellStyle name="Вычисление 2 3 2 2 6" xfId="12149"/>
    <cellStyle name="Вычисление 2 3 2 2 7" xfId="27657"/>
    <cellStyle name="Вычисление 2 3 2 3" xfId="2230"/>
    <cellStyle name="Вычисление 2 3 2 3 2" xfId="7466"/>
    <cellStyle name="Вычисление 2 3 2 3 2 2" xfId="18368"/>
    <cellStyle name="Вычисление 2 3 2 3 2 3" xfId="33729"/>
    <cellStyle name="Вычисление 2 3 2 3 3" xfId="23354"/>
    <cellStyle name="Вычисление 2 3 2 3 3 2" xfId="38715"/>
    <cellStyle name="Вычисление 2 3 2 3 4" xfId="12805"/>
    <cellStyle name="Вычисление 2 3 2 3 5" xfId="28305"/>
    <cellStyle name="Вычисление 2 3 2 4" xfId="1136"/>
    <cellStyle name="Вычисление 2 3 2 4 2" xfId="6391"/>
    <cellStyle name="Вычисление 2 3 2 4 2 2" xfId="16472"/>
    <cellStyle name="Вычисление 2 3 2 4 2 3" xfId="31939"/>
    <cellStyle name="Вычисление 2 3 2 4 3" xfId="22279"/>
    <cellStyle name="Вычисление 2 3 2 4 3 2" xfId="37640"/>
    <cellStyle name="Вычисление 2 3 2 4 4" xfId="11717"/>
    <cellStyle name="Вычисление 2 3 2 4 5" xfId="27230"/>
    <cellStyle name="Вычисление 2 3 2 5" xfId="3638"/>
    <cellStyle name="Вычисление 2 3 2 5 2" xfId="8825"/>
    <cellStyle name="Вычисление 2 3 2 5 2 2" xfId="19752"/>
    <cellStyle name="Вычисление 2 3 2 5 2 3" xfId="35113"/>
    <cellStyle name="Вычисление 2 3 2 5 3" xfId="24713"/>
    <cellStyle name="Вычисление 2 3 2 5 3 2" xfId="40074"/>
    <cellStyle name="Вычисление 2 3 2 5 4" xfId="14189"/>
    <cellStyle name="Вычисление 2 3 2 5 5" xfId="29664"/>
    <cellStyle name="Вычисление 2 3 2 6" xfId="4278"/>
    <cellStyle name="Вычисление 2 3 2 6 2" xfId="9465"/>
    <cellStyle name="Вычисление 2 3 2 6 2 2" xfId="20392"/>
    <cellStyle name="Вычисление 2 3 2 6 2 3" xfId="35753"/>
    <cellStyle name="Вычисление 2 3 2 6 3" xfId="25353"/>
    <cellStyle name="Вычисление 2 3 2 6 3 2" xfId="40714"/>
    <cellStyle name="Вычисление 2 3 2 6 4" xfId="14829"/>
    <cellStyle name="Вычисление 2 3 2 6 5" xfId="30304"/>
    <cellStyle name="Вычисление 2 3 2 6 6" xfId="44377"/>
    <cellStyle name="Вычисление 2 3 2 7" xfId="4551"/>
    <cellStyle name="Вычисление 2 3 2 7 2" xfId="9738"/>
    <cellStyle name="Вычисление 2 3 2 7 2 2" xfId="20665"/>
    <cellStyle name="Вычисление 2 3 2 7 2 3" xfId="36026"/>
    <cellStyle name="Вычисление 2 3 2 7 3" xfId="25626"/>
    <cellStyle name="Вычисление 2 3 2 7 3 2" xfId="40987"/>
    <cellStyle name="Вычисление 2 3 2 7 4" xfId="15102"/>
    <cellStyle name="Вычисление 2 3 2 7 5" xfId="30577"/>
    <cellStyle name="Вычисление 2 3 2 8" xfId="6086"/>
    <cellStyle name="Вычисление 2 3 2 8 2" xfId="16781"/>
    <cellStyle name="Вычисление 2 3 2 8 3" xfId="32248"/>
    <cellStyle name="Вычисление 2 3 2 8 4" xfId="46246"/>
    <cellStyle name="Вычисление 2 3 2 9" xfId="21974"/>
    <cellStyle name="Вычисление 2 3 2 9 2" xfId="37335"/>
    <cellStyle name="Вычисление 2 3 3" xfId="1578"/>
    <cellStyle name="Вычисление 2 3 3 2" xfId="1913"/>
    <cellStyle name="Вычисление 2 3 3 2 2" xfId="7149"/>
    <cellStyle name="Вычисление 2 3 3 2 2 2" xfId="18051"/>
    <cellStyle name="Вычисление 2 3 3 2 2 3" xfId="33412"/>
    <cellStyle name="Вычисление 2 3 3 2 3" xfId="23037"/>
    <cellStyle name="Вычисление 2 3 3 2 3 2" xfId="38398"/>
    <cellStyle name="Вычисление 2 3 3 2 4" xfId="12488"/>
    <cellStyle name="Вычисление 2 3 3 2 5" xfId="27988"/>
    <cellStyle name="Вычисление 2 3 3 3" xfId="5234"/>
    <cellStyle name="Вычисление 2 3 3 3 2" xfId="10417"/>
    <cellStyle name="Вычисление 2 3 3 3 2 2" xfId="21343"/>
    <cellStyle name="Вычисление 2 3 3 3 2 3" xfId="36704"/>
    <cellStyle name="Вычисление 2 3 3 3 3" xfId="26304"/>
    <cellStyle name="Вычисление 2 3 3 3 3 2" xfId="41665"/>
    <cellStyle name="Вычисление 2 3 3 3 4" xfId="15780"/>
    <cellStyle name="Вычисление 2 3 3 3 5" xfId="31255"/>
    <cellStyle name="Вычисление 2 3 3 4" xfId="6825"/>
    <cellStyle name="Вычисление 2 3 3 4 2" xfId="17720"/>
    <cellStyle name="Вычисление 2 3 3 4 3" xfId="33081"/>
    <cellStyle name="Вычисление 2 3 3 5" xfId="22713"/>
    <cellStyle name="Вычисление 2 3 3 5 2" xfId="38074"/>
    <cellStyle name="Вычисление 2 3 3 6" xfId="12156"/>
    <cellStyle name="Вычисление 2 3 3 7" xfId="27664"/>
    <cellStyle name="Вычисление 2 3 4" xfId="1225"/>
    <cellStyle name="Вычисление 2 3 4 2" xfId="6478"/>
    <cellStyle name="Вычисление 2 3 4 2 2" xfId="16383"/>
    <cellStyle name="Вычисление 2 3 4 2 3" xfId="31850"/>
    <cellStyle name="Вычисление 2 3 4 3" xfId="22366"/>
    <cellStyle name="Вычисление 2 3 4 3 2" xfId="37727"/>
    <cellStyle name="Вычисление 2 3 4 4" xfId="11806"/>
    <cellStyle name="Вычисление 2 3 4 5" xfId="27317"/>
    <cellStyle name="Вычисление 2 3 5" xfId="2950"/>
    <cellStyle name="Вычисление 2 3 5 2" xfId="8151"/>
    <cellStyle name="Вычисление 2 3 5 2 2" xfId="19071"/>
    <cellStyle name="Вычисление 2 3 5 2 3" xfId="34432"/>
    <cellStyle name="Вычисление 2 3 5 3" xfId="24039"/>
    <cellStyle name="Вычисление 2 3 5 3 2" xfId="39400"/>
    <cellStyle name="Вычисление 2 3 5 4" xfId="13508"/>
    <cellStyle name="Вычисление 2 3 5 5" xfId="28990"/>
    <cellStyle name="Вычисление 2 3 6" xfId="3536"/>
    <cellStyle name="Вычисление 2 3 6 2" xfId="8723"/>
    <cellStyle name="Вычисление 2 3 6 2 2" xfId="19650"/>
    <cellStyle name="Вычисление 2 3 6 2 3" xfId="35011"/>
    <cellStyle name="Вычисление 2 3 6 3" xfId="24611"/>
    <cellStyle name="Вычисление 2 3 6 3 2" xfId="39972"/>
    <cellStyle name="Вычисление 2 3 6 4" xfId="14087"/>
    <cellStyle name="Вычисление 2 3 6 5" xfId="29562"/>
    <cellStyle name="Вычисление 2 3 6 6" xfId="44378"/>
    <cellStyle name="Вычисление 2 3 7" xfId="3896"/>
    <cellStyle name="Вычисление 2 3 7 2" xfId="9083"/>
    <cellStyle name="Вычисление 2 3 7 2 2" xfId="20010"/>
    <cellStyle name="Вычисление 2 3 7 2 3" xfId="35371"/>
    <cellStyle name="Вычисление 2 3 7 3" xfId="24971"/>
    <cellStyle name="Вычисление 2 3 7 3 2" xfId="40332"/>
    <cellStyle name="Вычисление 2 3 7 4" xfId="14447"/>
    <cellStyle name="Вычисление 2 3 7 5" xfId="29922"/>
    <cellStyle name="Вычисление 2 3 8" xfId="4741"/>
    <cellStyle name="Вычисление 2 3 8 2" xfId="9928"/>
    <cellStyle name="Вычисление 2 3 8 2 2" xfId="20855"/>
    <cellStyle name="Вычисление 2 3 8 2 3" xfId="36216"/>
    <cellStyle name="Вычисление 2 3 8 3" xfId="25816"/>
    <cellStyle name="Вычисление 2 3 8 3 2" xfId="41177"/>
    <cellStyle name="Вычисление 2 3 8 4" xfId="15292"/>
    <cellStyle name="Вычисление 2 3 8 5" xfId="30767"/>
    <cellStyle name="Вычисление 2 3 8 6" xfId="46245"/>
    <cellStyle name="Вычисление 2 3 9" xfId="5762"/>
    <cellStyle name="Вычисление 2 3 9 2" xfId="17129"/>
    <cellStyle name="Вычисление 2 3 9 3" xfId="32596"/>
    <cellStyle name="Вычисление 2 30" xfId="3910"/>
    <cellStyle name="Вычисление 2 30 2" xfId="9097"/>
    <cellStyle name="Вычисление 2 30 2 2" xfId="20024"/>
    <cellStyle name="Вычисление 2 30 2 3" xfId="35385"/>
    <cellStyle name="Вычисление 2 30 3" xfId="24985"/>
    <cellStyle name="Вычисление 2 30 3 2" xfId="40346"/>
    <cellStyle name="Вычисление 2 30 4" xfId="14461"/>
    <cellStyle name="Вычисление 2 30 5" xfId="29936"/>
    <cellStyle name="Вычисление 2 31" xfId="4764"/>
    <cellStyle name="Вычисление 2 31 2" xfId="9951"/>
    <cellStyle name="Вычисление 2 31 2 2" xfId="20878"/>
    <cellStyle name="Вычисление 2 31 2 3" xfId="36239"/>
    <cellStyle name="Вычисление 2 31 3" xfId="25839"/>
    <cellStyle name="Вычисление 2 31 3 2" xfId="41200"/>
    <cellStyle name="Вычисление 2 31 4" xfId="15315"/>
    <cellStyle name="Вычисление 2 31 5" xfId="30790"/>
    <cellStyle name="Вычисление 2 32" xfId="5157"/>
    <cellStyle name="Вычисление 2 32 2" xfId="10340"/>
    <cellStyle name="Вычисление 2 32 2 2" xfId="21266"/>
    <cellStyle name="Вычисление 2 32 2 3" xfId="36627"/>
    <cellStyle name="Вычисление 2 32 3" xfId="26227"/>
    <cellStyle name="Вычисление 2 32 3 2" xfId="41588"/>
    <cellStyle name="Вычисление 2 32 4" xfId="15703"/>
    <cellStyle name="Вычисление 2 32 5" xfId="31178"/>
    <cellStyle name="Вычисление 2 33" xfId="5725"/>
    <cellStyle name="Вычисление 2 33 2" xfId="17166"/>
    <cellStyle name="Вычисление 2 33 3" xfId="32633"/>
    <cellStyle name="Вычисление 2 34" xfId="17311"/>
    <cellStyle name="Вычисление 2 34 2" xfId="32778"/>
    <cellStyle name="Вычисление 2 35" xfId="11020"/>
    <cellStyle name="Вычисление 2 36" xfId="10876"/>
    <cellStyle name="Вычисление 2 4" xfId="372"/>
    <cellStyle name="Вычисление 2 4 10" xfId="17337"/>
    <cellStyle name="Вычисление 2 4 10 2" xfId="32804"/>
    <cellStyle name="Вычисление 2 4 11" xfId="11058"/>
    <cellStyle name="Вычисление 2 4 12" xfId="10850"/>
    <cellStyle name="Вычисление 2 4 2" xfId="823"/>
    <cellStyle name="Вычисление 2 4 2 10" xfId="11407"/>
    <cellStyle name="Вычисление 2 4 2 11" xfId="26924"/>
    <cellStyle name="Вычисление 2 4 2 2" xfId="1260"/>
    <cellStyle name="Вычисление 2 4 2 2 2" xfId="1047"/>
    <cellStyle name="Вычисление 2 4 2 2 2 2" xfId="6305"/>
    <cellStyle name="Вычисление 2 4 2 2 2 2 2" xfId="16559"/>
    <cellStyle name="Вычисление 2 4 2 2 2 2 3" xfId="32026"/>
    <cellStyle name="Вычисление 2 4 2 2 2 3" xfId="22193"/>
    <cellStyle name="Вычисление 2 4 2 2 2 3 2" xfId="37554"/>
    <cellStyle name="Вычисление 2 4 2 2 2 4" xfId="11630"/>
    <cellStyle name="Вычисление 2 4 2 2 2 5" xfId="27144"/>
    <cellStyle name="Вычисление 2 4 2 2 3" xfId="5235"/>
    <cellStyle name="Вычисление 2 4 2 2 3 2" xfId="10418"/>
    <cellStyle name="Вычисление 2 4 2 2 3 2 2" xfId="21344"/>
    <cellStyle name="Вычисление 2 4 2 2 3 2 3" xfId="36705"/>
    <cellStyle name="Вычисление 2 4 2 2 3 3" xfId="26305"/>
    <cellStyle name="Вычисление 2 4 2 2 3 3 2" xfId="41666"/>
    <cellStyle name="Вычисление 2 4 2 2 3 4" xfId="15781"/>
    <cellStyle name="Вычисление 2 4 2 2 3 5" xfId="31256"/>
    <cellStyle name="Вычисление 2 4 2 2 4" xfId="6513"/>
    <cellStyle name="Вычисление 2 4 2 2 4 2" xfId="16348"/>
    <cellStyle name="Вычисление 2 4 2 2 4 3" xfId="31815"/>
    <cellStyle name="Вычисление 2 4 2 2 5" xfId="22401"/>
    <cellStyle name="Вычисление 2 4 2 2 5 2" xfId="37762"/>
    <cellStyle name="Вычисление 2 4 2 2 6" xfId="11841"/>
    <cellStyle name="Вычисление 2 4 2 2 7" xfId="27352"/>
    <cellStyle name="Вычисление 2 4 2 3" xfId="2229"/>
    <cellStyle name="Вычисление 2 4 2 3 2" xfId="7465"/>
    <cellStyle name="Вычисление 2 4 2 3 2 2" xfId="18367"/>
    <cellStyle name="Вычисление 2 4 2 3 2 3" xfId="33728"/>
    <cellStyle name="Вычисление 2 4 2 3 3" xfId="23353"/>
    <cellStyle name="Вычисление 2 4 2 3 3 2" xfId="38714"/>
    <cellStyle name="Вычисление 2 4 2 3 4" xfId="12804"/>
    <cellStyle name="Вычисление 2 4 2 3 5" xfId="28304"/>
    <cellStyle name="Вычисление 2 4 2 4" xfId="983"/>
    <cellStyle name="Вычисление 2 4 2 4 2" xfId="6242"/>
    <cellStyle name="Вычисление 2 4 2 4 2 2" xfId="16623"/>
    <cellStyle name="Вычисление 2 4 2 4 2 3" xfId="32090"/>
    <cellStyle name="Вычисление 2 4 2 4 3" xfId="22130"/>
    <cellStyle name="Вычисление 2 4 2 4 3 2" xfId="37491"/>
    <cellStyle name="Вычисление 2 4 2 4 4" xfId="11566"/>
    <cellStyle name="Вычисление 2 4 2 4 5" xfId="27081"/>
    <cellStyle name="Вычисление 2 4 2 5" xfId="3785"/>
    <cellStyle name="Вычисление 2 4 2 5 2" xfId="8972"/>
    <cellStyle name="Вычисление 2 4 2 5 2 2" xfId="19899"/>
    <cellStyle name="Вычисление 2 4 2 5 2 3" xfId="35260"/>
    <cellStyle name="Вычисление 2 4 2 5 3" xfId="24860"/>
    <cellStyle name="Вычисление 2 4 2 5 3 2" xfId="40221"/>
    <cellStyle name="Вычисление 2 4 2 5 4" xfId="14336"/>
    <cellStyle name="Вычисление 2 4 2 5 5" xfId="29811"/>
    <cellStyle name="Вычисление 2 4 2 6" xfId="4277"/>
    <cellStyle name="Вычисление 2 4 2 6 2" xfId="9464"/>
    <cellStyle name="Вычисление 2 4 2 6 2 2" xfId="20391"/>
    <cellStyle name="Вычисление 2 4 2 6 2 3" xfId="35752"/>
    <cellStyle name="Вычисление 2 4 2 6 3" xfId="25352"/>
    <cellStyle name="Вычисление 2 4 2 6 3 2" xfId="40713"/>
    <cellStyle name="Вычисление 2 4 2 6 4" xfId="14828"/>
    <cellStyle name="Вычисление 2 4 2 6 5" xfId="30303"/>
    <cellStyle name="Вычисление 2 4 2 7" xfId="4552"/>
    <cellStyle name="Вычисление 2 4 2 7 2" xfId="9739"/>
    <cellStyle name="Вычисление 2 4 2 7 2 2" xfId="20666"/>
    <cellStyle name="Вычисление 2 4 2 7 2 3" xfId="36027"/>
    <cellStyle name="Вычисление 2 4 2 7 3" xfId="25627"/>
    <cellStyle name="Вычисление 2 4 2 7 3 2" xfId="40988"/>
    <cellStyle name="Вычисление 2 4 2 7 4" xfId="15103"/>
    <cellStyle name="Вычисление 2 4 2 7 5" xfId="30578"/>
    <cellStyle name="Вычисление 2 4 2 8" xfId="6085"/>
    <cellStyle name="Вычисление 2 4 2 8 2" xfId="16782"/>
    <cellStyle name="Вычисление 2 4 2 8 3" xfId="32249"/>
    <cellStyle name="Вычисление 2 4 2 9" xfId="21973"/>
    <cellStyle name="Вычисление 2 4 2 9 2" xfId="37334"/>
    <cellStyle name="Вычисление 2 4 3" xfId="996"/>
    <cellStyle name="Вычисление 2 4 3 2" xfId="2500"/>
    <cellStyle name="Вычисление 2 4 3 2 2" xfId="7736"/>
    <cellStyle name="Вычисление 2 4 3 2 2 2" xfId="18638"/>
    <cellStyle name="Вычисление 2 4 3 2 2 3" xfId="33999"/>
    <cellStyle name="Вычисление 2 4 3 2 3" xfId="23624"/>
    <cellStyle name="Вычисление 2 4 3 2 3 2" xfId="38985"/>
    <cellStyle name="Вычисление 2 4 3 2 4" xfId="13075"/>
    <cellStyle name="Вычисление 2 4 3 2 5" xfId="28575"/>
    <cellStyle name="Вычисление 2 4 3 3" xfId="5236"/>
    <cellStyle name="Вычисление 2 4 3 3 2" xfId="10419"/>
    <cellStyle name="Вычисление 2 4 3 3 2 2" xfId="21345"/>
    <cellStyle name="Вычисление 2 4 3 3 2 3" xfId="36706"/>
    <cellStyle name="Вычисление 2 4 3 3 3" xfId="26306"/>
    <cellStyle name="Вычисление 2 4 3 3 3 2" xfId="41667"/>
    <cellStyle name="Вычисление 2 4 3 3 4" xfId="15782"/>
    <cellStyle name="Вычисление 2 4 3 3 5" xfId="31257"/>
    <cellStyle name="Вычисление 2 4 3 4" xfId="6255"/>
    <cellStyle name="Вычисление 2 4 3 4 2" xfId="16610"/>
    <cellStyle name="Вычисление 2 4 3 4 3" xfId="32077"/>
    <cellStyle name="Вычисление 2 4 3 5" xfId="22143"/>
    <cellStyle name="Вычисление 2 4 3 5 2" xfId="37504"/>
    <cellStyle name="Вычисление 2 4 3 6" xfId="11579"/>
    <cellStyle name="Вычисление 2 4 3 7" xfId="27094"/>
    <cellStyle name="Вычисление 2 4 4" xfId="1553"/>
    <cellStyle name="Вычисление 2 4 4 2" xfId="6800"/>
    <cellStyle name="Вычисление 2 4 4 2 2" xfId="17695"/>
    <cellStyle name="Вычисление 2 4 4 2 3" xfId="33056"/>
    <cellStyle name="Вычисление 2 4 4 3" xfId="22688"/>
    <cellStyle name="Вычисление 2 4 4 3 2" xfId="38049"/>
    <cellStyle name="Вычисление 2 4 4 4" xfId="12131"/>
    <cellStyle name="Вычисление 2 4 4 5" xfId="27639"/>
    <cellStyle name="Вычисление 2 4 5" xfId="2949"/>
    <cellStyle name="Вычисление 2 4 5 2" xfId="8150"/>
    <cellStyle name="Вычисление 2 4 5 2 2" xfId="19070"/>
    <cellStyle name="Вычисление 2 4 5 2 3" xfId="34431"/>
    <cellStyle name="Вычисление 2 4 5 3" xfId="24038"/>
    <cellStyle name="Вычисление 2 4 5 3 2" xfId="39399"/>
    <cellStyle name="Вычисление 2 4 5 4" xfId="13507"/>
    <cellStyle name="Вычисление 2 4 5 5" xfId="28989"/>
    <cellStyle name="Вычисление 2 4 6" xfId="3697"/>
    <cellStyle name="Вычисление 2 4 6 2" xfId="8884"/>
    <cellStyle name="Вычисление 2 4 6 2 2" xfId="19811"/>
    <cellStyle name="Вычисление 2 4 6 2 3" xfId="35172"/>
    <cellStyle name="Вычисление 2 4 6 3" xfId="24772"/>
    <cellStyle name="Вычисление 2 4 6 3 2" xfId="40133"/>
    <cellStyle name="Вычисление 2 4 6 4" xfId="14248"/>
    <cellStyle name="Вычисление 2 4 6 5" xfId="29723"/>
    <cellStyle name="Вычисление 2 4 7" xfId="3901"/>
    <cellStyle name="Вычисление 2 4 7 2" xfId="9088"/>
    <cellStyle name="Вычисление 2 4 7 2 2" xfId="20015"/>
    <cellStyle name="Вычисление 2 4 7 2 3" xfId="35376"/>
    <cellStyle name="Вычисление 2 4 7 3" xfId="24976"/>
    <cellStyle name="Вычисление 2 4 7 3 2" xfId="40337"/>
    <cellStyle name="Вычисление 2 4 7 4" xfId="14452"/>
    <cellStyle name="Вычисление 2 4 7 5" xfId="29927"/>
    <cellStyle name="Вычисление 2 4 8" xfId="4431"/>
    <cellStyle name="Вычисление 2 4 8 2" xfId="9618"/>
    <cellStyle name="Вычисление 2 4 8 2 2" xfId="20545"/>
    <cellStyle name="Вычисление 2 4 8 2 3" xfId="35906"/>
    <cellStyle name="Вычисление 2 4 8 3" xfId="25506"/>
    <cellStyle name="Вычисление 2 4 8 3 2" xfId="40867"/>
    <cellStyle name="Вычисление 2 4 8 4" xfId="14982"/>
    <cellStyle name="Вычисление 2 4 8 5" xfId="30457"/>
    <cellStyle name="Вычисление 2 4 9" xfId="5763"/>
    <cellStyle name="Вычисление 2 4 9 2" xfId="17128"/>
    <cellStyle name="Вычисление 2 4 9 3" xfId="32595"/>
    <cellStyle name="Вычисление 2 5" xfId="373"/>
    <cellStyle name="Вычисление 2 5 10" xfId="17338"/>
    <cellStyle name="Вычисление 2 5 10 2" xfId="32805"/>
    <cellStyle name="Вычисление 2 5 11" xfId="11059"/>
    <cellStyle name="Вычисление 2 5 12" xfId="10849"/>
    <cellStyle name="Вычисление 2 5 2" xfId="822"/>
    <cellStyle name="Вычисление 2 5 2 10" xfId="11406"/>
    <cellStyle name="Вычисление 2 5 2 11" xfId="26923"/>
    <cellStyle name="Вычисление 2 5 2 2" xfId="991"/>
    <cellStyle name="Вычисление 2 5 2 2 2" xfId="1893"/>
    <cellStyle name="Вычисление 2 5 2 2 2 2" xfId="7132"/>
    <cellStyle name="Вычисление 2 5 2 2 2 2 2" xfId="18034"/>
    <cellStyle name="Вычисление 2 5 2 2 2 2 3" xfId="33395"/>
    <cellStyle name="Вычисление 2 5 2 2 2 3" xfId="23020"/>
    <cellStyle name="Вычисление 2 5 2 2 2 3 2" xfId="38381"/>
    <cellStyle name="Вычисление 2 5 2 2 2 4" xfId="12471"/>
    <cellStyle name="Вычисление 2 5 2 2 2 5" xfId="27971"/>
    <cellStyle name="Вычисление 2 5 2 2 3" xfId="5237"/>
    <cellStyle name="Вычисление 2 5 2 2 3 2" xfId="10420"/>
    <cellStyle name="Вычисление 2 5 2 2 3 2 2" xfId="21346"/>
    <cellStyle name="Вычисление 2 5 2 2 3 2 3" xfId="36707"/>
    <cellStyle name="Вычисление 2 5 2 2 3 3" xfId="26307"/>
    <cellStyle name="Вычисление 2 5 2 2 3 3 2" xfId="41668"/>
    <cellStyle name="Вычисление 2 5 2 2 3 4" xfId="15783"/>
    <cellStyle name="Вычисление 2 5 2 2 3 5" xfId="31258"/>
    <cellStyle name="Вычисление 2 5 2 2 4" xfId="6250"/>
    <cellStyle name="Вычисление 2 5 2 2 4 2" xfId="16615"/>
    <cellStyle name="Вычисление 2 5 2 2 4 3" xfId="32082"/>
    <cellStyle name="Вычисление 2 5 2 2 5" xfId="22138"/>
    <cellStyle name="Вычисление 2 5 2 2 5 2" xfId="37499"/>
    <cellStyle name="Вычисление 2 5 2 2 6" xfId="11574"/>
    <cellStyle name="Вычисление 2 5 2 2 7" xfId="27089"/>
    <cellStyle name="Вычисление 2 5 2 3" xfId="2228"/>
    <cellStyle name="Вычисление 2 5 2 3 2" xfId="7464"/>
    <cellStyle name="Вычисление 2 5 2 3 2 2" xfId="18366"/>
    <cellStyle name="Вычисление 2 5 2 3 2 3" xfId="33727"/>
    <cellStyle name="Вычисление 2 5 2 3 3" xfId="23352"/>
    <cellStyle name="Вычисление 2 5 2 3 3 2" xfId="38713"/>
    <cellStyle name="Вычисление 2 5 2 3 4" xfId="12803"/>
    <cellStyle name="Вычисление 2 5 2 3 5" xfId="28303"/>
    <cellStyle name="Вычисление 2 5 2 4" xfId="2835"/>
    <cellStyle name="Вычисление 2 5 2 4 2" xfId="8052"/>
    <cellStyle name="Вычисление 2 5 2 4 2 2" xfId="18965"/>
    <cellStyle name="Вычисление 2 5 2 4 2 3" xfId="34326"/>
    <cellStyle name="Вычисление 2 5 2 4 3" xfId="23940"/>
    <cellStyle name="Вычисление 2 5 2 4 3 2" xfId="39301"/>
    <cellStyle name="Вычисление 2 5 2 4 4" xfId="13402"/>
    <cellStyle name="Вычисление 2 5 2 4 5" xfId="28891"/>
    <cellStyle name="Вычисление 2 5 2 5" xfId="3637"/>
    <cellStyle name="Вычисление 2 5 2 5 2" xfId="8824"/>
    <cellStyle name="Вычисление 2 5 2 5 2 2" xfId="19751"/>
    <cellStyle name="Вычисление 2 5 2 5 2 3" xfId="35112"/>
    <cellStyle name="Вычисление 2 5 2 5 3" xfId="24712"/>
    <cellStyle name="Вычисление 2 5 2 5 3 2" xfId="40073"/>
    <cellStyle name="Вычисление 2 5 2 5 4" xfId="14188"/>
    <cellStyle name="Вычисление 2 5 2 5 5" xfId="29663"/>
    <cellStyle name="Вычисление 2 5 2 6" xfId="4276"/>
    <cellStyle name="Вычисление 2 5 2 6 2" xfId="9463"/>
    <cellStyle name="Вычисление 2 5 2 6 2 2" xfId="20390"/>
    <cellStyle name="Вычисление 2 5 2 6 2 3" xfId="35751"/>
    <cellStyle name="Вычисление 2 5 2 6 3" xfId="25351"/>
    <cellStyle name="Вычисление 2 5 2 6 3 2" xfId="40712"/>
    <cellStyle name="Вычисление 2 5 2 6 4" xfId="14827"/>
    <cellStyle name="Вычисление 2 5 2 6 5" xfId="30302"/>
    <cellStyle name="Вычисление 2 5 2 7" xfId="4553"/>
    <cellStyle name="Вычисление 2 5 2 7 2" xfId="9740"/>
    <cellStyle name="Вычисление 2 5 2 7 2 2" xfId="20667"/>
    <cellStyle name="Вычисление 2 5 2 7 2 3" xfId="36028"/>
    <cellStyle name="Вычисление 2 5 2 7 3" xfId="25628"/>
    <cellStyle name="Вычисление 2 5 2 7 3 2" xfId="40989"/>
    <cellStyle name="Вычисление 2 5 2 7 4" xfId="15104"/>
    <cellStyle name="Вычисление 2 5 2 7 5" xfId="30579"/>
    <cellStyle name="Вычисление 2 5 2 8" xfId="6084"/>
    <cellStyle name="Вычисление 2 5 2 8 2" xfId="16783"/>
    <cellStyle name="Вычисление 2 5 2 8 3" xfId="32250"/>
    <cellStyle name="Вычисление 2 5 2 9" xfId="21972"/>
    <cellStyle name="Вычисление 2 5 2 9 2" xfId="37333"/>
    <cellStyle name="Вычисление 2 5 3" xfId="1196"/>
    <cellStyle name="Вычисление 2 5 3 2" xfId="2501"/>
    <cellStyle name="Вычисление 2 5 3 2 2" xfId="7737"/>
    <cellStyle name="Вычисление 2 5 3 2 2 2" xfId="18639"/>
    <cellStyle name="Вычисление 2 5 3 2 2 3" xfId="34000"/>
    <cellStyle name="Вычисление 2 5 3 2 3" xfId="23625"/>
    <cellStyle name="Вычисление 2 5 3 2 3 2" xfId="38986"/>
    <cellStyle name="Вычисление 2 5 3 2 4" xfId="13076"/>
    <cellStyle name="Вычисление 2 5 3 2 5" xfId="28576"/>
    <cellStyle name="Вычисление 2 5 3 3" xfId="5238"/>
    <cellStyle name="Вычисление 2 5 3 3 2" xfId="10421"/>
    <cellStyle name="Вычисление 2 5 3 3 2 2" xfId="21347"/>
    <cellStyle name="Вычисление 2 5 3 3 2 3" xfId="36708"/>
    <cellStyle name="Вычисление 2 5 3 3 3" xfId="26308"/>
    <cellStyle name="Вычисление 2 5 3 3 3 2" xfId="41669"/>
    <cellStyle name="Вычисление 2 5 3 3 4" xfId="15784"/>
    <cellStyle name="Вычисление 2 5 3 3 5" xfId="31259"/>
    <cellStyle name="Вычисление 2 5 3 4" xfId="6450"/>
    <cellStyle name="Вычисление 2 5 3 4 2" xfId="16412"/>
    <cellStyle name="Вычисление 2 5 3 4 3" xfId="31879"/>
    <cellStyle name="Вычисление 2 5 3 5" xfId="22338"/>
    <cellStyle name="Вычисление 2 5 3 5 2" xfId="37699"/>
    <cellStyle name="Вычисление 2 5 3 6" xfId="11777"/>
    <cellStyle name="Вычисление 2 5 3 7" xfId="27289"/>
    <cellStyle name="Вычисление 2 5 4" xfId="1241"/>
    <cellStyle name="Вычисление 2 5 4 2" xfId="6494"/>
    <cellStyle name="Вычисление 2 5 4 2 2" xfId="16367"/>
    <cellStyle name="Вычисление 2 5 4 2 3" xfId="31834"/>
    <cellStyle name="Вычисление 2 5 4 3" xfId="22382"/>
    <cellStyle name="Вычисление 2 5 4 3 2" xfId="37743"/>
    <cellStyle name="Вычисление 2 5 4 4" xfId="11822"/>
    <cellStyle name="Вычисление 2 5 4 5" xfId="27333"/>
    <cellStyle name="Вычисление 2 5 5" xfId="2948"/>
    <cellStyle name="Вычисление 2 5 5 2" xfId="8149"/>
    <cellStyle name="Вычисление 2 5 5 2 2" xfId="19069"/>
    <cellStyle name="Вычисление 2 5 5 2 3" xfId="34430"/>
    <cellStyle name="Вычисление 2 5 5 3" xfId="24037"/>
    <cellStyle name="Вычисление 2 5 5 3 2" xfId="39398"/>
    <cellStyle name="Вычисление 2 5 5 4" xfId="13506"/>
    <cellStyle name="Вычисление 2 5 5 5" xfId="28988"/>
    <cellStyle name="Вычисление 2 5 6" xfId="2438"/>
    <cellStyle name="Вычисление 2 5 6 2" xfId="7674"/>
    <cellStyle name="Вычисление 2 5 6 2 2" xfId="18576"/>
    <cellStyle name="Вычисление 2 5 6 2 3" xfId="33937"/>
    <cellStyle name="Вычисление 2 5 6 3" xfId="23562"/>
    <cellStyle name="Вычисление 2 5 6 3 2" xfId="38923"/>
    <cellStyle name="Вычисление 2 5 6 4" xfId="13013"/>
    <cellStyle name="Вычисление 2 5 6 5" xfId="28513"/>
    <cellStyle name="Вычисление 2 5 7" xfId="3314"/>
    <cellStyle name="Вычисление 2 5 7 2" xfId="8508"/>
    <cellStyle name="Вычисление 2 5 7 2 2" xfId="19435"/>
    <cellStyle name="Вычисление 2 5 7 2 3" xfId="34796"/>
    <cellStyle name="Вычисление 2 5 7 3" xfId="24396"/>
    <cellStyle name="Вычисление 2 5 7 3 2" xfId="39757"/>
    <cellStyle name="Вычисление 2 5 7 4" xfId="13872"/>
    <cellStyle name="Вычисление 2 5 7 5" xfId="29347"/>
    <cellStyle name="Вычисление 2 5 8" xfId="4417"/>
    <cellStyle name="Вычисление 2 5 8 2" xfId="9604"/>
    <cellStyle name="Вычисление 2 5 8 2 2" xfId="20531"/>
    <cellStyle name="Вычисление 2 5 8 2 3" xfId="35892"/>
    <cellStyle name="Вычисление 2 5 8 3" xfId="25492"/>
    <cellStyle name="Вычисление 2 5 8 3 2" xfId="40853"/>
    <cellStyle name="Вычисление 2 5 8 4" xfId="14968"/>
    <cellStyle name="Вычисление 2 5 8 5" xfId="30443"/>
    <cellStyle name="Вычисление 2 5 9" xfId="5764"/>
    <cellStyle name="Вычисление 2 5 9 2" xfId="17127"/>
    <cellStyle name="Вычисление 2 5 9 3" xfId="32594"/>
    <cellStyle name="Вычисление 2 6" xfId="374"/>
    <cellStyle name="Вычисление 2 6 10" xfId="17339"/>
    <cellStyle name="Вычисление 2 6 10 2" xfId="32806"/>
    <cellStyle name="Вычисление 2 6 11" xfId="11060"/>
    <cellStyle name="Вычисление 2 6 12" xfId="10848"/>
    <cellStyle name="Вычисление 2 6 2" xfId="821"/>
    <cellStyle name="Вычисление 2 6 2 10" xfId="11405"/>
    <cellStyle name="Вычисление 2 6 2 11" xfId="26922"/>
    <cellStyle name="Вычисление 2 6 2 2" xfId="97"/>
    <cellStyle name="Вычисление 2 6 2 2 2" xfId="1894"/>
    <cellStyle name="Вычисление 2 6 2 2 2 2" xfId="7133"/>
    <cellStyle name="Вычисление 2 6 2 2 2 2 2" xfId="18035"/>
    <cellStyle name="Вычисление 2 6 2 2 2 2 3" xfId="33396"/>
    <cellStyle name="Вычисление 2 6 2 2 2 3" xfId="23021"/>
    <cellStyle name="Вычисление 2 6 2 2 2 3 2" xfId="38382"/>
    <cellStyle name="Вычисление 2 6 2 2 2 4" xfId="12472"/>
    <cellStyle name="Вычисление 2 6 2 2 2 5" xfId="27972"/>
    <cellStyle name="Вычисление 2 6 2 2 3" xfId="5239"/>
    <cellStyle name="Вычисление 2 6 2 2 3 2" xfId="10422"/>
    <cellStyle name="Вычисление 2 6 2 2 3 2 2" xfId="21348"/>
    <cellStyle name="Вычисление 2 6 2 2 3 2 3" xfId="36709"/>
    <cellStyle name="Вычисление 2 6 2 2 3 3" xfId="26309"/>
    <cellStyle name="Вычисление 2 6 2 2 3 3 2" xfId="41670"/>
    <cellStyle name="Вычисление 2 6 2 2 3 4" xfId="15785"/>
    <cellStyle name="Вычисление 2 6 2 2 3 5" xfId="31260"/>
    <cellStyle name="Вычисление 2 6 2 2 4" xfId="5623"/>
    <cellStyle name="Вычисление 2 6 2 2 4 2" xfId="17374"/>
    <cellStyle name="Вычисление 2 6 2 2 4 3" xfId="32841"/>
    <cellStyle name="Вычисление 2 6 2 2 5" xfId="21449"/>
    <cellStyle name="Вычисление 2 6 2 2 5 2" xfId="36810"/>
    <cellStyle name="Вычисление 2 6 2 2 6" xfId="10811"/>
    <cellStyle name="Вычисление 2 6 2 2 7" xfId="15886"/>
    <cellStyle name="Вычисление 2 6 2 3" xfId="2227"/>
    <cellStyle name="Вычисление 2 6 2 3 2" xfId="7463"/>
    <cellStyle name="Вычисление 2 6 2 3 2 2" xfId="18365"/>
    <cellStyle name="Вычисление 2 6 2 3 2 3" xfId="33726"/>
    <cellStyle name="Вычисление 2 6 2 3 3" xfId="23351"/>
    <cellStyle name="Вычисление 2 6 2 3 3 2" xfId="38712"/>
    <cellStyle name="Вычисление 2 6 2 3 4" xfId="12802"/>
    <cellStyle name="Вычисление 2 6 2 3 5" xfId="28302"/>
    <cellStyle name="Вычисление 2 6 2 4" xfId="2803"/>
    <cellStyle name="Вычисление 2 6 2 4 2" xfId="8023"/>
    <cellStyle name="Вычисление 2 6 2 4 2 2" xfId="18933"/>
    <cellStyle name="Вычисление 2 6 2 4 2 3" xfId="34294"/>
    <cellStyle name="Вычисление 2 6 2 4 3" xfId="23911"/>
    <cellStyle name="Вычисление 2 6 2 4 3 2" xfId="39272"/>
    <cellStyle name="Вычисление 2 6 2 4 4" xfId="13370"/>
    <cellStyle name="Вычисление 2 6 2 4 5" xfId="28862"/>
    <cellStyle name="Вычисление 2 6 2 5" xfId="3786"/>
    <cellStyle name="Вычисление 2 6 2 5 2" xfId="8973"/>
    <cellStyle name="Вычисление 2 6 2 5 2 2" xfId="19900"/>
    <cellStyle name="Вычисление 2 6 2 5 2 3" xfId="35261"/>
    <cellStyle name="Вычисление 2 6 2 5 3" xfId="24861"/>
    <cellStyle name="Вычисление 2 6 2 5 3 2" xfId="40222"/>
    <cellStyle name="Вычисление 2 6 2 5 4" xfId="14337"/>
    <cellStyle name="Вычисление 2 6 2 5 5" xfId="29812"/>
    <cellStyle name="Вычисление 2 6 2 6" xfId="4275"/>
    <cellStyle name="Вычисление 2 6 2 6 2" xfId="9462"/>
    <cellStyle name="Вычисление 2 6 2 6 2 2" xfId="20389"/>
    <cellStyle name="Вычисление 2 6 2 6 2 3" xfId="35750"/>
    <cellStyle name="Вычисление 2 6 2 6 3" xfId="25350"/>
    <cellStyle name="Вычисление 2 6 2 6 3 2" xfId="40711"/>
    <cellStyle name="Вычисление 2 6 2 6 4" xfId="14826"/>
    <cellStyle name="Вычисление 2 6 2 6 5" xfId="30301"/>
    <cellStyle name="Вычисление 2 6 2 7" xfId="4554"/>
    <cellStyle name="Вычисление 2 6 2 7 2" xfId="9741"/>
    <cellStyle name="Вычисление 2 6 2 7 2 2" xfId="20668"/>
    <cellStyle name="Вычисление 2 6 2 7 2 3" xfId="36029"/>
    <cellStyle name="Вычисление 2 6 2 7 3" xfId="25629"/>
    <cellStyle name="Вычисление 2 6 2 7 3 2" xfId="40990"/>
    <cellStyle name="Вычисление 2 6 2 7 4" xfId="15105"/>
    <cellStyle name="Вычисление 2 6 2 7 5" xfId="30580"/>
    <cellStyle name="Вычисление 2 6 2 8" xfId="6083"/>
    <cellStyle name="Вычисление 2 6 2 8 2" xfId="16784"/>
    <cellStyle name="Вычисление 2 6 2 8 3" xfId="32251"/>
    <cellStyle name="Вычисление 2 6 2 9" xfId="21971"/>
    <cellStyle name="Вычисление 2 6 2 9 2" xfId="37332"/>
    <cellStyle name="Вычисление 2 6 3" xfId="1489"/>
    <cellStyle name="Вычисление 2 6 3 2" xfId="2502"/>
    <cellStyle name="Вычисление 2 6 3 2 2" xfId="7738"/>
    <cellStyle name="Вычисление 2 6 3 2 2 2" xfId="18640"/>
    <cellStyle name="Вычисление 2 6 3 2 2 3" xfId="34001"/>
    <cellStyle name="Вычисление 2 6 3 2 3" xfId="23626"/>
    <cellStyle name="Вычисление 2 6 3 2 3 2" xfId="38987"/>
    <cellStyle name="Вычисление 2 6 3 2 4" xfId="13077"/>
    <cellStyle name="Вычисление 2 6 3 2 5" xfId="28577"/>
    <cellStyle name="Вычисление 2 6 3 3" xfId="5240"/>
    <cellStyle name="Вычисление 2 6 3 3 2" xfId="10423"/>
    <cellStyle name="Вычисление 2 6 3 3 2 2" xfId="21349"/>
    <cellStyle name="Вычисление 2 6 3 3 2 3" xfId="36710"/>
    <cellStyle name="Вычисление 2 6 3 3 3" xfId="26310"/>
    <cellStyle name="Вычисление 2 6 3 3 3 2" xfId="41671"/>
    <cellStyle name="Вычисление 2 6 3 3 4" xfId="15786"/>
    <cellStyle name="Вычисление 2 6 3 3 5" xfId="31261"/>
    <cellStyle name="Вычисление 2 6 3 4" xfId="6736"/>
    <cellStyle name="Вычисление 2 6 3 4 2" xfId="16122"/>
    <cellStyle name="Вычисление 2 6 3 4 3" xfId="31589"/>
    <cellStyle name="Вычисление 2 6 3 5" xfId="22624"/>
    <cellStyle name="Вычисление 2 6 3 5 2" xfId="37985"/>
    <cellStyle name="Вычисление 2 6 3 6" xfId="12067"/>
    <cellStyle name="Вычисление 2 6 3 7" xfId="27575"/>
    <cellStyle name="Вычисление 2 6 4" xfId="1066"/>
    <cellStyle name="Вычисление 2 6 4 2" xfId="6323"/>
    <cellStyle name="Вычисление 2 6 4 2 2" xfId="16541"/>
    <cellStyle name="Вычисление 2 6 4 2 3" xfId="32008"/>
    <cellStyle name="Вычисление 2 6 4 3" xfId="22211"/>
    <cellStyle name="Вычисление 2 6 4 3 2" xfId="37572"/>
    <cellStyle name="Вычисление 2 6 4 4" xfId="11648"/>
    <cellStyle name="Вычисление 2 6 4 5" xfId="27162"/>
    <cellStyle name="Вычисление 2 6 5" xfId="2947"/>
    <cellStyle name="Вычисление 2 6 5 2" xfId="8148"/>
    <cellStyle name="Вычисление 2 6 5 2 2" xfId="19068"/>
    <cellStyle name="Вычисление 2 6 5 2 3" xfId="34429"/>
    <cellStyle name="Вычисление 2 6 5 3" xfId="24036"/>
    <cellStyle name="Вычисление 2 6 5 3 2" xfId="39397"/>
    <cellStyle name="Вычисление 2 6 5 4" xfId="13505"/>
    <cellStyle name="Вычисление 2 6 5 5" xfId="28987"/>
    <cellStyle name="Вычисление 2 6 6" xfId="3711"/>
    <cellStyle name="Вычисление 2 6 6 2" xfId="8898"/>
    <cellStyle name="Вычисление 2 6 6 2 2" xfId="19825"/>
    <cellStyle name="Вычисление 2 6 6 2 3" xfId="35186"/>
    <cellStyle name="Вычисление 2 6 6 3" xfId="24786"/>
    <cellStyle name="Вычисление 2 6 6 3 2" xfId="40147"/>
    <cellStyle name="Вычисление 2 6 6 4" xfId="14262"/>
    <cellStyle name="Вычисление 2 6 6 5" xfId="29737"/>
    <cellStyle name="Вычисление 2 6 7" xfId="3290"/>
    <cellStyle name="Вычисление 2 6 7 2" xfId="8484"/>
    <cellStyle name="Вычисление 2 6 7 2 2" xfId="19411"/>
    <cellStyle name="Вычисление 2 6 7 2 3" xfId="34772"/>
    <cellStyle name="Вычисление 2 6 7 3" xfId="24372"/>
    <cellStyle name="Вычисление 2 6 7 3 2" xfId="39733"/>
    <cellStyle name="Вычисление 2 6 7 4" xfId="13848"/>
    <cellStyle name="Вычисление 2 6 7 5" xfId="29323"/>
    <cellStyle name="Вычисление 2 6 8" xfId="4416"/>
    <cellStyle name="Вычисление 2 6 8 2" xfId="9603"/>
    <cellStyle name="Вычисление 2 6 8 2 2" xfId="20530"/>
    <cellStyle name="Вычисление 2 6 8 2 3" xfId="35891"/>
    <cellStyle name="Вычисление 2 6 8 3" xfId="25491"/>
    <cellStyle name="Вычисление 2 6 8 3 2" xfId="40852"/>
    <cellStyle name="Вычисление 2 6 8 4" xfId="14967"/>
    <cellStyle name="Вычисление 2 6 8 5" xfId="30442"/>
    <cellStyle name="Вычисление 2 6 9" xfId="5765"/>
    <cellStyle name="Вычисление 2 6 9 2" xfId="17126"/>
    <cellStyle name="Вычисление 2 6 9 3" xfId="32593"/>
    <cellStyle name="Вычисление 2 7" xfId="375"/>
    <cellStyle name="Вычисление 2 7 10" xfId="17340"/>
    <cellStyle name="Вычисление 2 7 10 2" xfId="32807"/>
    <cellStyle name="Вычисление 2 7 11" xfId="11061"/>
    <cellStyle name="Вычисление 2 7 12" xfId="10847"/>
    <cellStyle name="Вычисление 2 7 2" xfId="820"/>
    <cellStyle name="Вычисление 2 7 2 10" xfId="11404"/>
    <cellStyle name="Вычисление 2 7 2 11" xfId="26921"/>
    <cellStyle name="Вычисление 2 7 2 2" xfId="1030"/>
    <cellStyle name="Вычисление 2 7 2 2 2" xfId="1896"/>
    <cellStyle name="Вычисление 2 7 2 2 2 2" xfId="7135"/>
    <cellStyle name="Вычисление 2 7 2 2 2 2 2" xfId="18037"/>
    <cellStyle name="Вычисление 2 7 2 2 2 2 3" xfId="33398"/>
    <cellStyle name="Вычисление 2 7 2 2 2 3" xfId="23023"/>
    <cellStyle name="Вычисление 2 7 2 2 2 3 2" xfId="38384"/>
    <cellStyle name="Вычисление 2 7 2 2 2 4" xfId="12474"/>
    <cellStyle name="Вычисление 2 7 2 2 2 5" xfId="27974"/>
    <cellStyle name="Вычисление 2 7 2 2 3" xfId="5241"/>
    <cellStyle name="Вычисление 2 7 2 2 3 2" xfId="10424"/>
    <cellStyle name="Вычисление 2 7 2 2 3 2 2" xfId="21350"/>
    <cellStyle name="Вычисление 2 7 2 2 3 2 3" xfId="36711"/>
    <cellStyle name="Вычисление 2 7 2 2 3 3" xfId="26311"/>
    <cellStyle name="Вычисление 2 7 2 2 3 3 2" xfId="41672"/>
    <cellStyle name="Вычисление 2 7 2 2 3 4" xfId="15787"/>
    <cellStyle name="Вычисление 2 7 2 2 3 5" xfId="31262"/>
    <cellStyle name="Вычисление 2 7 2 2 4" xfId="6288"/>
    <cellStyle name="Вычисление 2 7 2 2 4 2" xfId="16576"/>
    <cellStyle name="Вычисление 2 7 2 2 4 3" xfId="32043"/>
    <cellStyle name="Вычисление 2 7 2 2 5" xfId="22176"/>
    <cellStyle name="Вычисление 2 7 2 2 5 2" xfId="37537"/>
    <cellStyle name="Вычисление 2 7 2 2 6" xfId="11613"/>
    <cellStyle name="Вычисление 2 7 2 2 7" xfId="27127"/>
    <cellStyle name="Вычисление 2 7 2 3" xfId="2226"/>
    <cellStyle name="Вычисление 2 7 2 3 2" xfId="7462"/>
    <cellStyle name="Вычисление 2 7 2 3 2 2" xfId="18364"/>
    <cellStyle name="Вычисление 2 7 2 3 2 3" xfId="33725"/>
    <cellStyle name="Вычисление 2 7 2 3 3" xfId="23350"/>
    <cellStyle name="Вычисление 2 7 2 3 3 2" xfId="38711"/>
    <cellStyle name="Вычисление 2 7 2 3 4" xfId="12801"/>
    <cellStyle name="Вычисление 2 7 2 3 5" xfId="28301"/>
    <cellStyle name="Вычисление 2 7 2 4" xfId="1512"/>
    <cellStyle name="Вычисление 2 7 2 4 2" xfId="6759"/>
    <cellStyle name="Вычисление 2 7 2 4 2 2" xfId="17654"/>
    <cellStyle name="Вычисление 2 7 2 4 2 3" xfId="33015"/>
    <cellStyle name="Вычисление 2 7 2 4 3" xfId="22647"/>
    <cellStyle name="Вычисление 2 7 2 4 3 2" xfId="38008"/>
    <cellStyle name="Вычисление 2 7 2 4 4" xfId="12090"/>
    <cellStyle name="Вычисление 2 7 2 4 5" xfId="27598"/>
    <cellStyle name="Вычисление 2 7 2 5" xfId="3636"/>
    <cellStyle name="Вычисление 2 7 2 5 2" xfId="8823"/>
    <cellStyle name="Вычисление 2 7 2 5 2 2" xfId="19750"/>
    <cellStyle name="Вычисление 2 7 2 5 2 3" xfId="35111"/>
    <cellStyle name="Вычисление 2 7 2 5 3" xfId="24711"/>
    <cellStyle name="Вычисление 2 7 2 5 3 2" xfId="40072"/>
    <cellStyle name="Вычисление 2 7 2 5 4" xfId="14187"/>
    <cellStyle name="Вычисление 2 7 2 5 5" xfId="29662"/>
    <cellStyle name="Вычисление 2 7 2 6" xfId="4274"/>
    <cellStyle name="Вычисление 2 7 2 6 2" xfId="9461"/>
    <cellStyle name="Вычисление 2 7 2 6 2 2" xfId="20388"/>
    <cellStyle name="Вычисление 2 7 2 6 2 3" xfId="35749"/>
    <cellStyle name="Вычисление 2 7 2 6 3" xfId="25349"/>
    <cellStyle name="Вычисление 2 7 2 6 3 2" xfId="40710"/>
    <cellStyle name="Вычисление 2 7 2 6 4" xfId="14825"/>
    <cellStyle name="Вычисление 2 7 2 6 5" xfId="30300"/>
    <cellStyle name="Вычисление 2 7 2 7" xfId="4555"/>
    <cellStyle name="Вычисление 2 7 2 7 2" xfId="9742"/>
    <cellStyle name="Вычисление 2 7 2 7 2 2" xfId="20669"/>
    <cellStyle name="Вычисление 2 7 2 7 2 3" xfId="36030"/>
    <cellStyle name="Вычисление 2 7 2 7 3" xfId="25630"/>
    <cellStyle name="Вычисление 2 7 2 7 3 2" xfId="40991"/>
    <cellStyle name="Вычисление 2 7 2 7 4" xfId="15106"/>
    <cellStyle name="Вычисление 2 7 2 7 5" xfId="30581"/>
    <cellStyle name="Вычисление 2 7 2 8" xfId="6082"/>
    <cellStyle name="Вычисление 2 7 2 8 2" xfId="16785"/>
    <cellStyle name="Вычисление 2 7 2 8 3" xfId="32252"/>
    <cellStyle name="Вычисление 2 7 2 9" xfId="21970"/>
    <cellStyle name="Вычисление 2 7 2 9 2" xfId="37331"/>
    <cellStyle name="Вычисление 2 7 3" xfId="1523"/>
    <cellStyle name="Вычисление 2 7 3 2" xfId="2503"/>
    <cellStyle name="Вычисление 2 7 3 2 2" xfId="7739"/>
    <cellStyle name="Вычисление 2 7 3 2 2 2" xfId="18641"/>
    <cellStyle name="Вычисление 2 7 3 2 2 3" xfId="34002"/>
    <cellStyle name="Вычисление 2 7 3 2 3" xfId="23627"/>
    <cellStyle name="Вычисление 2 7 3 2 3 2" xfId="38988"/>
    <cellStyle name="Вычисление 2 7 3 2 4" xfId="13078"/>
    <cellStyle name="Вычисление 2 7 3 2 5" xfId="28578"/>
    <cellStyle name="Вычисление 2 7 3 3" xfId="5242"/>
    <cellStyle name="Вычисление 2 7 3 3 2" xfId="10425"/>
    <cellStyle name="Вычисление 2 7 3 3 2 2" xfId="21351"/>
    <cellStyle name="Вычисление 2 7 3 3 2 3" xfId="36712"/>
    <cellStyle name="Вычисление 2 7 3 3 3" xfId="26312"/>
    <cellStyle name="Вычисление 2 7 3 3 3 2" xfId="41673"/>
    <cellStyle name="Вычисление 2 7 3 3 4" xfId="15788"/>
    <cellStyle name="Вычисление 2 7 3 3 5" xfId="31263"/>
    <cellStyle name="Вычисление 2 7 3 4" xfId="6770"/>
    <cellStyle name="Вычисление 2 7 3 4 2" xfId="17665"/>
    <cellStyle name="Вычисление 2 7 3 4 3" xfId="33026"/>
    <cellStyle name="Вычисление 2 7 3 5" xfId="22658"/>
    <cellStyle name="Вычисление 2 7 3 5 2" xfId="38019"/>
    <cellStyle name="Вычисление 2 7 3 6" xfId="12101"/>
    <cellStyle name="Вычисление 2 7 3 7" xfId="27609"/>
    <cellStyle name="Вычисление 2 7 4" xfId="1405"/>
    <cellStyle name="Вычисление 2 7 4 2" xfId="6654"/>
    <cellStyle name="Вычисление 2 7 4 2 2" xfId="16205"/>
    <cellStyle name="Вычисление 2 7 4 2 3" xfId="31672"/>
    <cellStyle name="Вычисление 2 7 4 3" xfId="22542"/>
    <cellStyle name="Вычисление 2 7 4 3 2" xfId="37903"/>
    <cellStyle name="Вычисление 2 7 4 4" xfId="11984"/>
    <cellStyle name="Вычисление 2 7 4 5" xfId="27493"/>
    <cellStyle name="Вычисление 2 7 5" xfId="2946"/>
    <cellStyle name="Вычисление 2 7 5 2" xfId="8147"/>
    <cellStyle name="Вычисление 2 7 5 2 2" xfId="19067"/>
    <cellStyle name="Вычисление 2 7 5 2 3" xfId="34428"/>
    <cellStyle name="Вычисление 2 7 5 3" xfId="24035"/>
    <cellStyle name="Вычисление 2 7 5 3 2" xfId="39396"/>
    <cellStyle name="Вычисление 2 7 5 4" xfId="13504"/>
    <cellStyle name="Вычисление 2 7 5 5" xfId="28986"/>
    <cellStyle name="Вычисление 2 7 6" xfId="3846"/>
    <cellStyle name="Вычисление 2 7 6 2" xfId="9033"/>
    <cellStyle name="Вычисление 2 7 6 2 2" xfId="19960"/>
    <cellStyle name="Вычисление 2 7 6 2 3" xfId="35321"/>
    <cellStyle name="Вычисление 2 7 6 3" xfId="24921"/>
    <cellStyle name="Вычисление 2 7 6 3 2" xfId="40282"/>
    <cellStyle name="Вычисление 2 7 6 4" xfId="14397"/>
    <cellStyle name="Вычисление 2 7 6 5" xfId="29872"/>
    <cellStyle name="Вычисление 2 7 7" xfId="3897"/>
    <cellStyle name="Вычисление 2 7 7 2" xfId="9084"/>
    <cellStyle name="Вычисление 2 7 7 2 2" xfId="20011"/>
    <cellStyle name="Вычисление 2 7 7 2 3" xfId="35372"/>
    <cellStyle name="Вычисление 2 7 7 3" xfId="24972"/>
    <cellStyle name="Вычисление 2 7 7 3 2" xfId="40333"/>
    <cellStyle name="Вычисление 2 7 7 4" xfId="14448"/>
    <cellStyle name="Вычисление 2 7 7 5" xfId="29923"/>
    <cellStyle name="Вычисление 2 7 8" xfId="4740"/>
    <cellStyle name="Вычисление 2 7 8 2" xfId="9927"/>
    <cellStyle name="Вычисление 2 7 8 2 2" xfId="20854"/>
    <cellStyle name="Вычисление 2 7 8 2 3" xfId="36215"/>
    <cellStyle name="Вычисление 2 7 8 3" xfId="25815"/>
    <cellStyle name="Вычисление 2 7 8 3 2" xfId="41176"/>
    <cellStyle name="Вычисление 2 7 8 4" xfId="15291"/>
    <cellStyle name="Вычисление 2 7 8 5" xfId="30766"/>
    <cellStyle name="Вычисление 2 7 9" xfId="5766"/>
    <cellStyle name="Вычисление 2 7 9 2" xfId="17125"/>
    <cellStyle name="Вычисление 2 7 9 3" xfId="32592"/>
    <cellStyle name="Вычисление 2 8" xfId="376"/>
    <cellStyle name="Вычисление 2 8 10" xfId="17341"/>
    <cellStyle name="Вычисление 2 8 10 2" xfId="32808"/>
    <cellStyle name="Вычисление 2 8 11" xfId="11062"/>
    <cellStyle name="Вычисление 2 8 12" xfId="10846"/>
    <cellStyle name="Вычисление 2 8 2" xfId="819"/>
    <cellStyle name="Вычисление 2 8 2 10" xfId="11403"/>
    <cellStyle name="Вычисление 2 8 2 11" xfId="26920"/>
    <cellStyle name="Вычисление 2 8 2 2" xfId="1457"/>
    <cellStyle name="Вычисление 2 8 2 2 2" xfId="1898"/>
    <cellStyle name="Вычисление 2 8 2 2 2 2" xfId="7137"/>
    <cellStyle name="Вычисление 2 8 2 2 2 2 2" xfId="18039"/>
    <cellStyle name="Вычисление 2 8 2 2 2 2 3" xfId="33400"/>
    <cellStyle name="Вычисление 2 8 2 2 2 3" xfId="23025"/>
    <cellStyle name="Вычисление 2 8 2 2 2 3 2" xfId="38386"/>
    <cellStyle name="Вычисление 2 8 2 2 2 4" xfId="12476"/>
    <cellStyle name="Вычисление 2 8 2 2 2 5" xfId="27976"/>
    <cellStyle name="Вычисление 2 8 2 2 3" xfId="5243"/>
    <cellStyle name="Вычисление 2 8 2 2 3 2" xfId="10426"/>
    <cellStyle name="Вычисление 2 8 2 2 3 2 2" xfId="21352"/>
    <cellStyle name="Вычисление 2 8 2 2 3 2 3" xfId="36713"/>
    <cellStyle name="Вычисление 2 8 2 2 3 3" xfId="26313"/>
    <cellStyle name="Вычисление 2 8 2 2 3 3 2" xfId="41674"/>
    <cellStyle name="Вычисление 2 8 2 2 3 4" xfId="15789"/>
    <cellStyle name="Вычисление 2 8 2 2 3 5" xfId="31264"/>
    <cellStyle name="Вычисление 2 8 2 2 4" xfId="6704"/>
    <cellStyle name="Вычисление 2 8 2 2 4 2" xfId="16154"/>
    <cellStyle name="Вычисление 2 8 2 2 4 3" xfId="31621"/>
    <cellStyle name="Вычисление 2 8 2 2 5" xfId="22592"/>
    <cellStyle name="Вычисление 2 8 2 2 5 2" xfId="37953"/>
    <cellStyle name="Вычисление 2 8 2 2 6" xfId="12035"/>
    <cellStyle name="Вычисление 2 8 2 2 7" xfId="27543"/>
    <cellStyle name="Вычисление 2 8 2 3" xfId="2225"/>
    <cellStyle name="Вычисление 2 8 2 3 2" xfId="7461"/>
    <cellStyle name="Вычисление 2 8 2 3 2 2" xfId="18363"/>
    <cellStyle name="Вычисление 2 8 2 3 2 3" xfId="33724"/>
    <cellStyle name="Вычисление 2 8 2 3 3" xfId="23349"/>
    <cellStyle name="Вычисление 2 8 2 3 3 2" xfId="38710"/>
    <cellStyle name="Вычисление 2 8 2 3 4" xfId="12800"/>
    <cellStyle name="Вычисление 2 8 2 3 5" xfId="28300"/>
    <cellStyle name="Вычисление 2 8 2 4" xfId="1157"/>
    <cellStyle name="Вычисление 2 8 2 4 2" xfId="6411"/>
    <cellStyle name="Вычисление 2 8 2 4 2 2" xfId="16451"/>
    <cellStyle name="Вычисление 2 8 2 4 2 3" xfId="31918"/>
    <cellStyle name="Вычисление 2 8 2 4 3" xfId="22299"/>
    <cellStyle name="Вычисление 2 8 2 4 3 2" xfId="37660"/>
    <cellStyle name="Вычисление 2 8 2 4 4" xfId="11738"/>
    <cellStyle name="Вычисление 2 8 2 4 5" xfId="27250"/>
    <cellStyle name="Вычисление 2 8 2 5" xfId="3787"/>
    <cellStyle name="Вычисление 2 8 2 5 2" xfId="8974"/>
    <cellStyle name="Вычисление 2 8 2 5 2 2" xfId="19901"/>
    <cellStyle name="Вычисление 2 8 2 5 2 3" xfId="35262"/>
    <cellStyle name="Вычисление 2 8 2 5 3" xfId="24862"/>
    <cellStyle name="Вычисление 2 8 2 5 3 2" xfId="40223"/>
    <cellStyle name="Вычисление 2 8 2 5 4" xfId="14338"/>
    <cellStyle name="Вычисление 2 8 2 5 5" xfId="29813"/>
    <cellStyle name="Вычисление 2 8 2 6" xfId="4273"/>
    <cellStyle name="Вычисление 2 8 2 6 2" xfId="9460"/>
    <cellStyle name="Вычисление 2 8 2 6 2 2" xfId="20387"/>
    <cellStyle name="Вычисление 2 8 2 6 2 3" xfId="35748"/>
    <cellStyle name="Вычисление 2 8 2 6 3" xfId="25348"/>
    <cellStyle name="Вычисление 2 8 2 6 3 2" xfId="40709"/>
    <cellStyle name="Вычисление 2 8 2 6 4" xfId="14824"/>
    <cellStyle name="Вычисление 2 8 2 6 5" xfId="30299"/>
    <cellStyle name="Вычисление 2 8 2 7" xfId="4556"/>
    <cellStyle name="Вычисление 2 8 2 7 2" xfId="9743"/>
    <cellStyle name="Вычисление 2 8 2 7 2 2" xfId="20670"/>
    <cellStyle name="Вычисление 2 8 2 7 2 3" xfId="36031"/>
    <cellStyle name="Вычисление 2 8 2 7 3" xfId="25631"/>
    <cellStyle name="Вычисление 2 8 2 7 3 2" xfId="40992"/>
    <cellStyle name="Вычисление 2 8 2 7 4" xfId="15107"/>
    <cellStyle name="Вычисление 2 8 2 7 5" xfId="30582"/>
    <cellStyle name="Вычисление 2 8 2 8" xfId="6081"/>
    <cellStyle name="Вычисление 2 8 2 8 2" xfId="16786"/>
    <cellStyle name="Вычисление 2 8 2 8 3" xfId="32253"/>
    <cellStyle name="Вычисление 2 8 2 9" xfId="21969"/>
    <cellStyle name="Вычисление 2 8 2 9 2" xfId="37330"/>
    <cellStyle name="Вычисление 2 8 3" xfId="1764"/>
    <cellStyle name="Вычисление 2 8 3 2" xfId="2504"/>
    <cellStyle name="Вычисление 2 8 3 2 2" xfId="7740"/>
    <cellStyle name="Вычисление 2 8 3 2 2 2" xfId="18642"/>
    <cellStyle name="Вычисление 2 8 3 2 2 3" xfId="34003"/>
    <cellStyle name="Вычисление 2 8 3 2 3" xfId="23628"/>
    <cellStyle name="Вычисление 2 8 3 2 3 2" xfId="38989"/>
    <cellStyle name="Вычисление 2 8 3 2 4" xfId="13079"/>
    <cellStyle name="Вычисление 2 8 3 2 5" xfId="28579"/>
    <cellStyle name="Вычисление 2 8 3 3" xfId="5244"/>
    <cellStyle name="Вычисление 2 8 3 3 2" xfId="10427"/>
    <cellStyle name="Вычисление 2 8 3 3 2 2" xfId="21353"/>
    <cellStyle name="Вычисление 2 8 3 3 2 3" xfId="36714"/>
    <cellStyle name="Вычисление 2 8 3 3 3" xfId="26314"/>
    <cellStyle name="Вычисление 2 8 3 3 3 2" xfId="41675"/>
    <cellStyle name="Вычисление 2 8 3 3 4" xfId="15790"/>
    <cellStyle name="Вычисление 2 8 3 3 5" xfId="31265"/>
    <cellStyle name="Вычисление 2 8 3 4" xfId="7003"/>
    <cellStyle name="Вычисление 2 8 3 4 2" xfId="17905"/>
    <cellStyle name="Вычисление 2 8 3 4 3" xfId="33266"/>
    <cellStyle name="Вычисление 2 8 3 5" xfId="22891"/>
    <cellStyle name="Вычисление 2 8 3 5 2" xfId="38252"/>
    <cellStyle name="Вычисление 2 8 3 6" xfId="12342"/>
    <cellStyle name="Вычисление 2 8 3 7" xfId="27842"/>
    <cellStyle name="Вычисление 2 8 4" xfId="1022"/>
    <cellStyle name="Вычисление 2 8 4 2" xfId="6280"/>
    <cellStyle name="Вычисление 2 8 4 2 2" xfId="16584"/>
    <cellStyle name="Вычисление 2 8 4 2 3" xfId="32051"/>
    <cellStyle name="Вычисление 2 8 4 3" xfId="22168"/>
    <cellStyle name="Вычисление 2 8 4 3 2" xfId="37529"/>
    <cellStyle name="Вычисление 2 8 4 4" xfId="11605"/>
    <cellStyle name="Вычисление 2 8 4 5" xfId="27119"/>
    <cellStyle name="Вычисление 2 8 5" xfId="2945"/>
    <cellStyle name="Вычисление 2 8 5 2" xfId="8146"/>
    <cellStyle name="Вычисление 2 8 5 2 2" xfId="19066"/>
    <cellStyle name="Вычисление 2 8 5 2 3" xfId="34427"/>
    <cellStyle name="Вычисление 2 8 5 3" xfId="24034"/>
    <cellStyle name="Вычисление 2 8 5 3 2" xfId="39395"/>
    <cellStyle name="Вычисление 2 8 5 4" xfId="13503"/>
    <cellStyle name="Вычисление 2 8 5 5" xfId="28985"/>
    <cellStyle name="Вычисление 2 8 6" xfId="3537"/>
    <cellStyle name="Вычисление 2 8 6 2" xfId="8724"/>
    <cellStyle name="Вычисление 2 8 6 2 2" xfId="19651"/>
    <cellStyle name="Вычисление 2 8 6 2 3" xfId="35012"/>
    <cellStyle name="Вычисление 2 8 6 3" xfId="24612"/>
    <cellStyle name="Вычисление 2 8 6 3 2" xfId="39973"/>
    <cellStyle name="Вычисление 2 8 6 4" xfId="14088"/>
    <cellStyle name="Вычисление 2 8 6 5" xfId="29563"/>
    <cellStyle name="Вычисление 2 8 7" xfId="3960"/>
    <cellStyle name="Вычисление 2 8 7 2" xfId="9147"/>
    <cellStyle name="Вычисление 2 8 7 2 2" xfId="20074"/>
    <cellStyle name="Вычисление 2 8 7 2 3" xfId="35435"/>
    <cellStyle name="Вычисление 2 8 7 3" xfId="25035"/>
    <cellStyle name="Вычисление 2 8 7 3 2" xfId="40396"/>
    <cellStyle name="Вычисление 2 8 7 4" xfId="14511"/>
    <cellStyle name="Вычисление 2 8 7 5" xfId="29986"/>
    <cellStyle name="Вычисление 2 8 8" xfId="4739"/>
    <cellStyle name="Вычисление 2 8 8 2" xfId="9926"/>
    <cellStyle name="Вычисление 2 8 8 2 2" xfId="20853"/>
    <cellStyle name="Вычисление 2 8 8 2 3" xfId="36214"/>
    <cellStyle name="Вычисление 2 8 8 3" xfId="25814"/>
    <cellStyle name="Вычисление 2 8 8 3 2" xfId="41175"/>
    <cellStyle name="Вычисление 2 8 8 4" xfId="15290"/>
    <cellStyle name="Вычисление 2 8 8 5" xfId="30765"/>
    <cellStyle name="Вычисление 2 8 9" xfId="5767"/>
    <cellStyle name="Вычисление 2 8 9 2" xfId="17124"/>
    <cellStyle name="Вычисление 2 8 9 3" xfId="32591"/>
    <cellStyle name="Вычисление 2 9" xfId="377"/>
    <cellStyle name="Вычисление 2 9 10" xfId="17342"/>
    <cellStyle name="Вычисление 2 9 10 2" xfId="32809"/>
    <cellStyle name="Вычисление 2 9 11" xfId="11063"/>
    <cellStyle name="Вычисление 2 9 12" xfId="10845"/>
    <cellStyle name="Вычисление 2 9 2" xfId="818"/>
    <cellStyle name="Вычисление 2 9 2 10" xfId="11402"/>
    <cellStyle name="Вычисление 2 9 2 11" xfId="26919"/>
    <cellStyle name="Вычисление 2 9 2 2" xfId="1321"/>
    <cellStyle name="Вычисление 2 9 2 2 2" xfId="1907"/>
    <cellStyle name="Вычисление 2 9 2 2 2 2" xfId="7143"/>
    <cellStyle name="Вычисление 2 9 2 2 2 2 2" xfId="18045"/>
    <cellStyle name="Вычисление 2 9 2 2 2 2 3" xfId="33406"/>
    <cellStyle name="Вычисление 2 9 2 2 2 3" xfId="23031"/>
    <cellStyle name="Вычисление 2 9 2 2 2 3 2" xfId="38392"/>
    <cellStyle name="Вычисление 2 9 2 2 2 4" xfId="12482"/>
    <cellStyle name="Вычисление 2 9 2 2 2 5" xfId="27982"/>
    <cellStyle name="Вычисление 2 9 2 2 3" xfId="5245"/>
    <cellStyle name="Вычисление 2 9 2 2 3 2" xfId="10428"/>
    <cellStyle name="Вычисление 2 9 2 2 3 2 2" xfId="21354"/>
    <cellStyle name="Вычисление 2 9 2 2 3 2 3" xfId="36715"/>
    <cellStyle name="Вычисление 2 9 2 2 3 3" xfId="26315"/>
    <cellStyle name="Вычисление 2 9 2 2 3 3 2" xfId="41676"/>
    <cellStyle name="Вычисление 2 9 2 2 3 4" xfId="15791"/>
    <cellStyle name="Вычисление 2 9 2 2 3 5" xfId="31266"/>
    <cellStyle name="Вычисление 2 9 2 2 4" xfId="6574"/>
    <cellStyle name="Вычисление 2 9 2 2 4 2" xfId="16287"/>
    <cellStyle name="Вычисление 2 9 2 2 4 3" xfId="31754"/>
    <cellStyle name="Вычисление 2 9 2 2 5" xfId="22462"/>
    <cellStyle name="Вычисление 2 9 2 2 5 2" xfId="37823"/>
    <cellStyle name="Вычисление 2 9 2 2 6" xfId="11902"/>
    <cellStyle name="Вычисление 2 9 2 2 7" xfId="27413"/>
    <cellStyle name="Вычисление 2 9 2 3" xfId="2224"/>
    <cellStyle name="Вычисление 2 9 2 3 2" xfId="7460"/>
    <cellStyle name="Вычисление 2 9 2 3 2 2" xfId="18362"/>
    <cellStyle name="Вычисление 2 9 2 3 2 3" xfId="33723"/>
    <cellStyle name="Вычисление 2 9 2 3 3" xfId="23348"/>
    <cellStyle name="Вычисление 2 9 2 3 3 2" xfId="38709"/>
    <cellStyle name="Вычисление 2 9 2 3 4" xfId="12799"/>
    <cellStyle name="Вычисление 2 9 2 3 5" xfId="28299"/>
    <cellStyle name="Вычисление 2 9 2 4" xfId="1318"/>
    <cellStyle name="Вычисление 2 9 2 4 2" xfId="6571"/>
    <cellStyle name="Вычисление 2 9 2 4 2 2" xfId="16290"/>
    <cellStyle name="Вычисление 2 9 2 4 2 3" xfId="31757"/>
    <cellStyle name="Вычисление 2 9 2 4 3" xfId="22459"/>
    <cellStyle name="Вычисление 2 9 2 4 3 2" xfId="37820"/>
    <cellStyle name="Вычисление 2 9 2 4 4" xfId="11899"/>
    <cellStyle name="Вычисление 2 9 2 4 5" xfId="27410"/>
    <cellStyle name="Вычисление 2 9 2 5" xfId="3635"/>
    <cellStyle name="Вычисление 2 9 2 5 2" xfId="8822"/>
    <cellStyle name="Вычисление 2 9 2 5 2 2" xfId="19749"/>
    <cellStyle name="Вычисление 2 9 2 5 2 3" xfId="35110"/>
    <cellStyle name="Вычисление 2 9 2 5 3" xfId="24710"/>
    <cellStyle name="Вычисление 2 9 2 5 3 2" xfId="40071"/>
    <cellStyle name="Вычисление 2 9 2 5 4" xfId="14186"/>
    <cellStyle name="Вычисление 2 9 2 5 5" xfId="29661"/>
    <cellStyle name="Вычисление 2 9 2 6" xfId="4272"/>
    <cellStyle name="Вычисление 2 9 2 6 2" xfId="9459"/>
    <cellStyle name="Вычисление 2 9 2 6 2 2" xfId="20386"/>
    <cellStyle name="Вычисление 2 9 2 6 2 3" xfId="35747"/>
    <cellStyle name="Вычисление 2 9 2 6 3" xfId="25347"/>
    <cellStyle name="Вычисление 2 9 2 6 3 2" xfId="40708"/>
    <cellStyle name="Вычисление 2 9 2 6 4" xfId="14823"/>
    <cellStyle name="Вычисление 2 9 2 6 5" xfId="30298"/>
    <cellStyle name="Вычисление 2 9 2 7" xfId="4557"/>
    <cellStyle name="Вычисление 2 9 2 7 2" xfId="9744"/>
    <cellStyle name="Вычисление 2 9 2 7 2 2" xfId="20671"/>
    <cellStyle name="Вычисление 2 9 2 7 2 3" xfId="36032"/>
    <cellStyle name="Вычисление 2 9 2 7 3" xfId="25632"/>
    <cellStyle name="Вычисление 2 9 2 7 3 2" xfId="40993"/>
    <cellStyle name="Вычисление 2 9 2 7 4" xfId="15108"/>
    <cellStyle name="Вычисление 2 9 2 7 5" xfId="30583"/>
    <cellStyle name="Вычисление 2 9 2 8" xfId="6080"/>
    <cellStyle name="Вычисление 2 9 2 8 2" xfId="16787"/>
    <cellStyle name="Вычисление 2 9 2 8 3" xfId="32254"/>
    <cellStyle name="Вычисление 2 9 2 9" xfId="21968"/>
    <cellStyle name="Вычисление 2 9 2 9 2" xfId="37329"/>
    <cellStyle name="Вычисление 2 9 3" xfId="1256"/>
    <cellStyle name="Вычисление 2 9 3 2" xfId="1767"/>
    <cellStyle name="Вычисление 2 9 3 2 2" xfId="7006"/>
    <cellStyle name="Вычисление 2 9 3 2 2 2" xfId="17908"/>
    <cellStyle name="Вычисление 2 9 3 2 2 3" xfId="33269"/>
    <cellStyle name="Вычисление 2 9 3 2 3" xfId="22894"/>
    <cellStyle name="Вычисление 2 9 3 2 3 2" xfId="38255"/>
    <cellStyle name="Вычисление 2 9 3 2 4" xfId="12345"/>
    <cellStyle name="Вычисление 2 9 3 2 5" xfId="27845"/>
    <cellStyle name="Вычисление 2 9 3 3" xfId="5246"/>
    <cellStyle name="Вычисление 2 9 3 3 2" xfId="10429"/>
    <cellStyle name="Вычисление 2 9 3 3 2 2" xfId="21355"/>
    <cellStyle name="Вычисление 2 9 3 3 2 3" xfId="36716"/>
    <cellStyle name="Вычисление 2 9 3 3 3" xfId="26316"/>
    <cellStyle name="Вычисление 2 9 3 3 3 2" xfId="41677"/>
    <cellStyle name="Вычисление 2 9 3 3 4" xfId="15792"/>
    <cellStyle name="Вычисление 2 9 3 3 5" xfId="31267"/>
    <cellStyle name="Вычисление 2 9 3 4" xfId="6509"/>
    <cellStyle name="Вычисление 2 9 3 4 2" xfId="16352"/>
    <cellStyle name="Вычисление 2 9 3 4 3" xfId="31819"/>
    <cellStyle name="Вычисление 2 9 3 5" xfId="22397"/>
    <cellStyle name="Вычисление 2 9 3 5 2" xfId="37758"/>
    <cellStyle name="Вычисление 2 9 3 6" xfId="11837"/>
    <cellStyle name="Вычисление 2 9 3 7" xfId="27348"/>
    <cellStyle name="Вычисление 2 9 4" xfId="1000"/>
    <cellStyle name="Вычисление 2 9 4 2" xfId="6259"/>
    <cellStyle name="Вычисление 2 9 4 2 2" xfId="16606"/>
    <cellStyle name="Вычисление 2 9 4 2 3" xfId="32073"/>
    <cellStyle name="Вычисление 2 9 4 3" xfId="22147"/>
    <cellStyle name="Вычисление 2 9 4 3 2" xfId="37508"/>
    <cellStyle name="Вычисление 2 9 4 4" xfId="11583"/>
    <cellStyle name="Вычисление 2 9 4 5" xfId="27098"/>
    <cellStyle name="Вычисление 2 9 5" xfId="2944"/>
    <cellStyle name="Вычисление 2 9 5 2" xfId="8145"/>
    <cellStyle name="Вычисление 2 9 5 2 2" xfId="19065"/>
    <cellStyle name="Вычисление 2 9 5 2 3" xfId="34426"/>
    <cellStyle name="Вычисление 2 9 5 3" xfId="24033"/>
    <cellStyle name="Вычисление 2 9 5 3 2" xfId="39394"/>
    <cellStyle name="Вычисление 2 9 5 4" xfId="13502"/>
    <cellStyle name="Вычисление 2 9 5 5" xfId="28984"/>
    <cellStyle name="Вычисление 2 9 6" xfId="3845"/>
    <cellStyle name="Вычисление 2 9 6 2" xfId="9032"/>
    <cellStyle name="Вычисление 2 9 6 2 2" xfId="19959"/>
    <cellStyle name="Вычисление 2 9 6 2 3" xfId="35320"/>
    <cellStyle name="Вычисление 2 9 6 3" xfId="24920"/>
    <cellStyle name="Вычисление 2 9 6 3 2" xfId="40281"/>
    <cellStyle name="Вычисление 2 9 6 4" xfId="14396"/>
    <cellStyle name="Вычисление 2 9 6 5" xfId="29871"/>
    <cellStyle name="Вычисление 2 9 7" xfId="3701"/>
    <cellStyle name="Вычисление 2 9 7 2" xfId="8888"/>
    <cellStyle name="Вычисление 2 9 7 2 2" xfId="19815"/>
    <cellStyle name="Вычисление 2 9 7 2 3" xfId="35176"/>
    <cellStyle name="Вычисление 2 9 7 3" xfId="24776"/>
    <cellStyle name="Вычисление 2 9 7 3 2" xfId="40137"/>
    <cellStyle name="Вычисление 2 9 7 4" xfId="14252"/>
    <cellStyle name="Вычисление 2 9 7 5" xfId="29727"/>
    <cellStyle name="Вычисление 2 9 8" xfId="4738"/>
    <cellStyle name="Вычисление 2 9 8 2" xfId="9925"/>
    <cellStyle name="Вычисление 2 9 8 2 2" xfId="20852"/>
    <cellStyle name="Вычисление 2 9 8 2 3" xfId="36213"/>
    <cellStyle name="Вычисление 2 9 8 3" xfId="25813"/>
    <cellStyle name="Вычисление 2 9 8 3 2" xfId="41174"/>
    <cellStyle name="Вычисление 2 9 8 4" xfId="15289"/>
    <cellStyle name="Вычисление 2 9 8 5" xfId="30764"/>
    <cellStyle name="Вычисление 2 9 9" xfId="5768"/>
    <cellStyle name="Вычисление 2 9 9 2" xfId="17123"/>
    <cellStyle name="Вычисление 2 9 9 3" xfId="32590"/>
    <cellStyle name="Вычисление 2_46EE.2011(v1.0)" xfId="42845"/>
    <cellStyle name="Вычисление 3" xfId="42846"/>
    <cellStyle name="Вычисление 3 2" xfId="42847"/>
    <cellStyle name="Вычисление 3 2 2" xfId="44379"/>
    <cellStyle name="Вычисление 3 2 2 2" xfId="46247"/>
    <cellStyle name="Вычисление 3 2 3" xfId="44380"/>
    <cellStyle name="Вычисление 3 3" xfId="44381"/>
    <cellStyle name="Вычисление 3 3 2" xfId="46249"/>
    <cellStyle name="Вычисление 3 3 3" xfId="46248"/>
    <cellStyle name="Вычисление 3 4" xfId="44382"/>
    <cellStyle name="Вычисление 3_46EE.2011(v1.0)" xfId="42848"/>
    <cellStyle name="Вычисление 4" xfId="42849"/>
    <cellStyle name="Вычисление 4 2" xfId="42850"/>
    <cellStyle name="Вычисление 4 2 2" xfId="46250"/>
    <cellStyle name="Вычисление 4 3" xfId="46251"/>
    <cellStyle name="Вычисление 4 3 2" xfId="46252"/>
    <cellStyle name="Вычисление 4 4" xfId="46253"/>
    <cellStyle name="Вычисление 4_46EE.2011(v1.0)" xfId="42851"/>
    <cellStyle name="Вычисление 5" xfId="42852"/>
    <cellStyle name="Вычисление 5 2" xfId="42853"/>
    <cellStyle name="Вычисление 5 2 2" xfId="46254"/>
    <cellStyle name="Вычисление 5 3" xfId="46255"/>
    <cellStyle name="Вычисление 5 3 2" xfId="46256"/>
    <cellStyle name="Вычисление 5 4" xfId="46257"/>
    <cellStyle name="Вычисление 5_46EE.2011(v1.0)" xfId="42854"/>
    <cellStyle name="Вычисление 6" xfId="42855"/>
    <cellStyle name="Вычисление 6 2" xfId="42856"/>
    <cellStyle name="Вычисление 6 2 2" xfId="46260"/>
    <cellStyle name="Вычисление 6 2 2 2" xfId="46261"/>
    <cellStyle name="Вычисление 6 2 3" xfId="46262"/>
    <cellStyle name="Вычисление 6 2 3 2" xfId="46263"/>
    <cellStyle name="Вычисление 6 2 4" xfId="46264"/>
    <cellStyle name="Вычисление 6 2 5" xfId="46259"/>
    <cellStyle name="Вычисление 6 3" xfId="46258"/>
    <cellStyle name="Вычисление 6_46EE.2011(v1.0)" xfId="42857"/>
    <cellStyle name="Вычисление 7" xfId="42858"/>
    <cellStyle name="Вычисление 7 2" xfId="42859"/>
    <cellStyle name="Вычисление 7 2 2" xfId="46265"/>
    <cellStyle name="Вычисление 7 3" xfId="46266"/>
    <cellStyle name="Вычисление 7 3 2" xfId="46267"/>
    <cellStyle name="Вычисление 7 4" xfId="46268"/>
    <cellStyle name="Вычисление 7_46EE.2011(v1.0)" xfId="42860"/>
    <cellStyle name="Вычисление 8" xfId="42861"/>
    <cellStyle name="Вычисление 8 2" xfId="42862"/>
    <cellStyle name="Вычисление 8_46EE.2011(v1.0)" xfId="42863"/>
    <cellStyle name="Вычисление 9" xfId="42864"/>
    <cellStyle name="Вычисление 9 2" xfId="42865"/>
    <cellStyle name="Вычисление 9_46EE.2011(v1.0)" xfId="42866"/>
    <cellStyle name="Гиперссылка" xfId="46926" builtinId="8"/>
    <cellStyle name="Гиперссылка 2" xfId="2505"/>
    <cellStyle name="Гиперссылка 2 2" xfId="42867"/>
    <cellStyle name="Гиперссылка 2 2 2" xfId="46269"/>
    <cellStyle name="Гиперссылка 2 3" xfId="42868"/>
    <cellStyle name="Гиперссылка 3" xfId="1900"/>
    <cellStyle name="Гиперссылка 3 2" xfId="46270"/>
    <cellStyle name="Гиперссылка 4" xfId="42869"/>
    <cellStyle name="Гиперссылка 5" xfId="42870"/>
    <cellStyle name="ДАТА" xfId="42871"/>
    <cellStyle name="ДАТА 2" xfId="42872"/>
    <cellStyle name="ДАТА 3" xfId="42873"/>
    <cellStyle name="ДАТА 4" xfId="42874"/>
    <cellStyle name="ДАТА 5" xfId="42875"/>
    <cellStyle name="ДАТА 6" xfId="42876"/>
    <cellStyle name="ДАТА 7" xfId="42877"/>
    <cellStyle name="ДАТА 8" xfId="42878"/>
    <cellStyle name="ДАТА_1" xfId="42879"/>
    <cellStyle name="Денежный 2" xfId="42880"/>
    <cellStyle name="Денежный 2 2" xfId="42881"/>
    <cellStyle name="Денежный 5" xfId="42882"/>
    <cellStyle name="Заголовок" xfId="378"/>
    <cellStyle name="Заголовок 1 2" xfId="379"/>
    <cellStyle name="Заголовок 1 2 2" xfId="2506"/>
    <cellStyle name="Заголовок 1 2 2 2" xfId="42883"/>
    <cellStyle name="Заголовок 1 2 2 2 2" xfId="46271"/>
    <cellStyle name="Заголовок 1 2 3" xfId="1440"/>
    <cellStyle name="Заголовок 1 2 3 2" xfId="46272"/>
    <cellStyle name="Заголовок 1 2 3 3" xfId="44383"/>
    <cellStyle name="Заголовок 1 2_46EE.2011(v1.0)" xfId="42884"/>
    <cellStyle name="Заголовок 1 3" xfId="42885"/>
    <cellStyle name="Заголовок 1 3 2" xfId="42886"/>
    <cellStyle name="Заголовок 1 3_46EE.2011(v1.0)" xfId="42887"/>
    <cellStyle name="Заголовок 1 4" xfId="42888"/>
    <cellStyle name="Заголовок 1 4 2" xfId="42889"/>
    <cellStyle name="Заголовок 1 4_46EE.2011(v1.0)" xfId="42890"/>
    <cellStyle name="Заголовок 1 5" xfId="42891"/>
    <cellStyle name="Заголовок 1 5 2" xfId="42892"/>
    <cellStyle name="Заголовок 1 5_46EE.2011(v1.0)" xfId="42893"/>
    <cellStyle name="Заголовок 1 6" xfId="42894"/>
    <cellStyle name="Заголовок 1 6 2" xfId="42895"/>
    <cellStyle name="Заголовок 1 6 2 2" xfId="46274"/>
    <cellStyle name="Заголовок 1 6 3" xfId="46273"/>
    <cellStyle name="Заголовок 1 6_46EE.2011(v1.0)" xfId="42896"/>
    <cellStyle name="Заголовок 1 7" xfId="42897"/>
    <cellStyle name="Заголовок 1 7 2" xfId="42898"/>
    <cellStyle name="Заголовок 1 7_46EE.2011(v1.0)" xfId="42899"/>
    <cellStyle name="Заголовок 1 8" xfId="42900"/>
    <cellStyle name="Заголовок 1 8 2" xfId="42901"/>
    <cellStyle name="Заголовок 1 8_46EE.2011(v1.0)" xfId="42902"/>
    <cellStyle name="Заголовок 1 9" xfId="42903"/>
    <cellStyle name="Заголовок 1 9 2" xfId="42904"/>
    <cellStyle name="Заголовок 1 9_46EE.2011(v1.0)" xfId="42905"/>
    <cellStyle name="Заголовок 2 2" xfId="380"/>
    <cellStyle name="Заголовок 2 2 2" xfId="2698"/>
    <cellStyle name="Заголовок 2 2 2 2" xfId="42906"/>
    <cellStyle name="Заголовок 2 2 2 2 2" xfId="46275"/>
    <cellStyle name="Заголовок 2 2 3" xfId="1048"/>
    <cellStyle name="Заголовок 2 2 3 2" xfId="46276"/>
    <cellStyle name="Заголовок 2 2 3 3" xfId="44384"/>
    <cellStyle name="Заголовок 2 2_46EE.2011(v1.0)" xfId="42907"/>
    <cellStyle name="Заголовок 2 3" xfId="42908"/>
    <cellStyle name="Заголовок 2 3 2" xfId="42909"/>
    <cellStyle name="Заголовок 2 3_46EE.2011(v1.0)" xfId="42910"/>
    <cellStyle name="Заголовок 2 4" xfId="42911"/>
    <cellStyle name="Заголовок 2 4 2" xfId="42912"/>
    <cellStyle name="Заголовок 2 4_46EE.2011(v1.0)" xfId="42913"/>
    <cellStyle name="Заголовок 2 5" xfId="42914"/>
    <cellStyle name="Заголовок 2 5 2" xfId="42915"/>
    <cellStyle name="Заголовок 2 5_46EE.2011(v1.0)" xfId="42916"/>
    <cellStyle name="Заголовок 2 6" xfId="42917"/>
    <cellStyle name="Заголовок 2 6 2" xfId="42918"/>
    <cellStyle name="Заголовок 2 6 2 2" xfId="46278"/>
    <cellStyle name="Заголовок 2 6 3" xfId="46277"/>
    <cellStyle name="Заголовок 2 6_46EE.2011(v1.0)" xfId="42919"/>
    <cellStyle name="Заголовок 2 7" xfId="42920"/>
    <cellStyle name="Заголовок 2 7 2" xfId="42921"/>
    <cellStyle name="Заголовок 2 7_46EE.2011(v1.0)" xfId="42922"/>
    <cellStyle name="Заголовок 2 8" xfId="42923"/>
    <cellStyle name="Заголовок 2 8 2" xfId="42924"/>
    <cellStyle name="Заголовок 2 8_46EE.2011(v1.0)" xfId="42925"/>
    <cellStyle name="Заголовок 2 9" xfId="42926"/>
    <cellStyle name="Заголовок 2 9 2" xfId="42927"/>
    <cellStyle name="Заголовок 2 9_46EE.2011(v1.0)" xfId="42928"/>
    <cellStyle name="Заголовок 3 2" xfId="381"/>
    <cellStyle name="Заголовок 3 2 2" xfId="2507"/>
    <cellStyle name="Заголовок 3 2 2 2" xfId="42929"/>
    <cellStyle name="Заголовок 3 2 2 2 2" xfId="46279"/>
    <cellStyle name="Заголовок 3 2 3" xfId="1901"/>
    <cellStyle name="Заголовок 3 2 3 2" xfId="46280"/>
    <cellStyle name="Заголовок 3 2 3 3" xfId="44385"/>
    <cellStyle name="Заголовок 3 2_46EE.2011(v1.0)" xfId="42930"/>
    <cellStyle name="Заголовок 3 3" xfId="42931"/>
    <cellStyle name="Заголовок 3 3 2" xfId="42932"/>
    <cellStyle name="Заголовок 3 3_46EE.2011(v1.0)" xfId="42933"/>
    <cellStyle name="Заголовок 3 4" xfId="42934"/>
    <cellStyle name="Заголовок 3 4 2" xfId="42935"/>
    <cellStyle name="Заголовок 3 4_46EE.2011(v1.0)" xfId="42936"/>
    <cellStyle name="Заголовок 3 5" xfId="42937"/>
    <cellStyle name="Заголовок 3 5 2" xfId="42938"/>
    <cellStyle name="Заголовок 3 5_46EE.2011(v1.0)" xfId="42939"/>
    <cellStyle name="Заголовок 3 6" xfId="42940"/>
    <cellStyle name="Заголовок 3 6 2" xfId="42941"/>
    <cellStyle name="Заголовок 3 6 2 2" xfId="46282"/>
    <cellStyle name="Заголовок 3 6 3" xfId="46281"/>
    <cellStyle name="Заголовок 3 6_46EE.2011(v1.0)" xfId="42942"/>
    <cellStyle name="Заголовок 3 7" xfId="42943"/>
    <cellStyle name="Заголовок 3 7 2" xfId="42944"/>
    <cellStyle name="Заголовок 3 7_46EE.2011(v1.0)" xfId="42945"/>
    <cellStyle name="Заголовок 3 8" xfId="42946"/>
    <cellStyle name="Заголовок 3 8 2" xfId="42947"/>
    <cellStyle name="Заголовок 3 8_46EE.2011(v1.0)" xfId="42948"/>
    <cellStyle name="Заголовок 3 9" xfId="42949"/>
    <cellStyle name="Заголовок 3 9 2" xfId="42950"/>
    <cellStyle name="Заголовок 3 9_46EE.2011(v1.0)" xfId="42951"/>
    <cellStyle name="Заголовок 4 2" xfId="382"/>
    <cellStyle name="Заголовок 4 2 2" xfId="2697"/>
    <cellStyle name="Заголовок 4 2 2 2" xfId="42952"/>
    <cellStyle name="Заголовок 4 2 2 2 2" xfId="46283"/>
    <cellStyle name="Заголовок 4 2 3" xfId="1902"/>
    <cellStyle name="Заголовок 4 2 3 2" xfId="46284"/>
    <cellStyle name="Заголовок 4 2 3 3" xfId="44386"/>
    <cellStyle name="Заголовок 4 3" xfId="42953"/>
    <cellStyle name="Заголовок 4 3 2" xfId="42954"/>
    <cellStyle name="Заголовок 4 4" xfId="42955"/>
    <cellStyle name="Заголовок 4 4 2" xfId="42956"/>
    <cellStyle name="Заголовок 4 5" xfId="42957"/>
    <cellStyle name="Заголовок 4 5 2" xfId="42958"/>
    <cellStyle name="Заголовок 4 6" xfId="42959"/>
    <cellStyle name="Заголовок 4 6 2" xfId="42960"/>
    <cellStyle name="Заголовок 4 6 2 2" xfId="46286"/>
    <cellStyle name="Заголовок 4 6 3" xfId="46285"/>
    <cellStyle name="Заголовок 4 7" xfId="42961"/>
    <cellStyle name="Заголовок 4 7 2" xfId="42962"/>
    <cellStyle name="Заголовок 4 8" xfId="42963"/>
    <cellStyle name="Заголовок 4 8 2" xfId="42964"/>
    <cellStyle name="Заголовок 4 9" xfId="42965"/>
    <cellStyle name="Заголовок 4 9 2" xfId="42966"/>
    <cellStyle name="Заголовок 5" xfId="44387"/>
    <cellStyle name="Заголовок 6" xfId="44388"/>
    <cellStyle name="Заголовок таблицы" xfId="43821"/>
    <cellStyle name="Заголовок таблицы 2" xfId="43996"/>
    <cellStyle name="Заголовок таблицы 2 2" xfId="44389"/>
    <cellStyle name="Заголовок таблицы 2 2 2" xfId="46288"/>
    <cellStyle name="Заголовок таблицы 2 3" xfId="44390"/>
    <cellStyle name="Заголовок таблицы 2 4" xfId="46287"/>
    <cellStyle name="Заголовок таблицы 3" xfId="44391"/>
    <cellStyle name="Заголовок таблицы 3 2" xfId="46290"/>
    <cellStyle name="Заголовок таблицы 3 3" xfId="46289"/>
    <cellStyle name="Заголовок таблицы 4" xfId="44392"/>
    <cellStyle name="Заголовок таблицы 4 2" xfId="46291"/>
    <cellStyle name="Заголовок таблицы 5" xfId="45425"/>
    <cellStyle name="ЗАГОЛОВОК1" xfId="42967"/>
    <cellStyle name="ЗАГОЛОВОК2" xfId="42968"/>
    <cellStyle name="ЗаголовокСтолбца" xfId="383"/>
    <cellStyle name="ЗаголовокСтолбца 2" xfId="44393"/>
    <cellStyle name="ЗаголовокСтолбца 3" xfId="44394"/>
    <cellStyle name="Защитный" xfId="12"/>
    <cellStyle name="Защитный 2" xfId="43822"/>
    <cellStyle name="Защитный 2 2" xfId="44395"/>
    <cellStyle name="Защитный 3" xfId="44396"/>
    <cellStyle name="Защитный 4" xfId="44397"/>
    <cellStyle name="Значение" xfId="384"/>
    <cellStyle name="Значение 10" xfId="385"/>
    <cellStyle name="Значение 11" xfId="386"/>
    <cellStyle name="Значение 12" xfId="387"/>
    <cellStyle name="Значение 13" xfId="388"/>
    <cellStyle name="Значение 14" xfId="389"/>
    <cellStyle name="Значение 15" xfId="390"/>
    <cellStyle name="Значение 16" xfId="391"/>
    <cellStyle name="Значение 17" xfId="392"/>
    <cellStyle name="Значение 2" xfId="393"/>
    <cellStyle name="Значение 2 2" xfId="42969"/>
    <cellStyle name="Значение 2 2 2" xfId="44398"/>
    <cellStyle name="Значение 2 3" xfId="44399"/>
    <cellStyle name="Значение 3" xfId="394"/>
    <cellStyle name="Значение 4" xfId="395"/>
    <cellStyle name="Значение 5" xfId="396"/>
    <cellStyle name="Значение 6" xfId="397"/>
    <cellStyle name="Значение 7" xfId="398"/>
    <cellStyle name="Значение 8" xfId="399"/>
    <cellStyle name="Значение 9" xfId="400"/>
    <cellStyle name="Зоголовок" xfId="42970"/>
    <cellStyle name="Итог 2" xfId="401"/>
    <cellStyle name="Итог 2 10" xfId="402"/>
    <cellStyle name="Итог 2 10 10" xfId="17344"/>
    <cellStyle name="Итог 2 10 10 2" xfId="32811"/>
    <cellStyle name="Итог 2 10 11" xfId="11065"/>
    <cellStyle name="Итог 2 10 12" xfId="10843"/>
    <cellStyle name="Итог 2 10 2" xfId="816"/>
    <cellStyle name="Итог 2 10 2 10" xfId="11400"/>
    <cellStyle name="Итог 2 10 2 11" xfId="26917"/>
    <cellStyle name="Итог 2 10 2 2" xfId="1606"/>
    <cellStyle name="Итог 2 10 2 2 2" xfId="2513"/>
    <cellStyle name="Итог 2 10 2 2 2 2" xfId="7746"/>
    <cellStyle name="Итог 2 10 2 2 2 2 2" xfId="18648"/>
    <cellStyle name="Итог 2 10 2 2 2 2 3" xfId="34009"/>
    <cellStyle name="Итог 2 10 2 2 2 3" xfId="23634"/>
    <cellStyle name="Итог 2 10 2 2 2 3 2" xfId="38995"/>
    <cellStyle name="Итог 2 10 2 2 2 4" xfId="13085"/>
    <cellStyle name="Итог 2 10 2 2 2 5" xfId="28585"/>
    <cellStyle name="Итог 2 10 2 2 3" xfId="5247"/>
    <cellStyle name="Итог 2 10 2 2 3 2" xfId="10430"/>
    <cellStyle name="Итог 2 10 2 2 3 2 2" xfId="21356"/>
    <cellStyle name="Итог 2 10 2 2 3 2 3" xfId="36717"/>
    <cellStyle name="Итог 2 10 2 2 3 3" xfId="26317"/>
    <cellStyle name="Итог 2 10 2 2 3 3 2" xfId="41678"/>
    <cellStyle name="Итог 2 10 2 2 3 4" xfId="15793"/>
    <cellStyle name="Итог 2 10 2 2 3 5" xfId="31268"/>
    <cellStyle name="Итог 2 10 2 2 4" xfId="6853"/>
    <cellStyle name="Итог 2 10 2 2 4 2" xfId="17748"/>
    <cellStyle name="Итог 2 10 2 2 4 3" xfId="33109"/>
    <cellStyle name="Итог 2 10 2 2 5" xfId="22741"/>
    <cellStyle name="Итог 2 10 2 2 5 2" xfId="38102"/>
    <cellStyle name="Итог 2 10 2 2 6" xfId="12184"/>
    <cellStyle name="Итог 2 10 2 2 7" xfId="27692"/>
    <cellStyle name="Итог 2 10 2 3" xfId="2222"/>
    <cellStyle name="Итог 2 10 2 3 2" xfId="7458"/>
    <cellStyle name="Итог 2 10 2 3 2 2" xfId="18360"/>
    <cellStyle name="Итог 2 10 2 3 2 3" xfId="33721"/>
    <cellStyle name="Итог 2 10 2 3 3" xfId="23346"/>
    <cellStyle name="Итог 2 10 2 3 3 2" xfId="38707"/>
    <cellStyle name="Итог 2 10 2 3 4" xfId="12797"/>
    <cellStyle name="Итог 2 10 2 3 5" xfId="28297"/>
    <cellStyle name="Итог 2 10 2 4" xfId="1234"/>
    <cellStyle name="Итог 2 10 2 4 2" xfId="6487"/>
    <cellStyle name="Итог 2 10 2 4 2 2" xfId="16374"/>
    <cellStyle name="Итог 2 10 2 4 2 3" xfId="31841"/>
    <cellStyle name="Итог 2 10 2 4 3" xfId="22375"/>
    <cellStyle name="Итог 2 10 2 4 3 2" xfId="37736"/>
    <cellStyle name="Итог 2 10 2 4 4" xfId="11815"/>
    <cellStyle name="Итог 2 10 2 4 5" xfId="27326"/>
    <cellStyle name="Итог 2 10 2 5" xfId="3719"/>
    <cellStyle name="Итог 2 10 2 5 2" xfId="8906"/>
    <cellStyle name="Итог 2 10 2 5 2 2" xfId="19833"/>
    <cellStyle name="Итог 2 10 2 5 2 3" xfId="35194"/>
    <cellStyle name="Итог 2 10 2 5 3" xfId="24794"/>
    <cellStyle name="Итог 2 10 2 5 3 2" xfId="40155"/>
    <cellStyle name="Итог 2 10 2 5 4" xfId="14270"/>
    <cellStyle name="Итог 2 10 2 5 5" xfId="29745"/>
    <cellStyle name="Итог 2 10 2 6" xfId="4270"/>
    <cellStyle name="Итог 2 10 2 6 2" xfId="9457"/>
    <cellStyle name="Итог 2 10 2 6 2 2" xfId="20384"/>
    <cellStyle name="Итог 2 10 2 6 2 3" xfId="35745"/>
    <cellStyle name="Итог 2 10 2 6 3" xfId="25345"/>
    <cellStyle name="Итог 2 10 2 6 3 2" xfId="40706"/>
    <cellStyle name="Итог 2 10 2 6 4" xfId="14821"/>
    <cellStyle name="Итог 2 10 2 6 5" xfId="30296"/>
    <cellStyle name="Итог 2 10 2 7" xfId="4408"/>
    <cellStyle name="Итог 2 10 2 7 2" xfId="9595"/>
    <cellStyle name="Итог 2 10 2 7 2 2" xfId="20522"/>
    <cellStyle name="Итог 2 10 2 7 2 3" xfId="35883"/>
    <cellStyle name="Итог 2 10 2 7 3" xfId="25483"/>
    <cellStyle name="Итог 2 10 2 7 3 2" xfId="40844"/>
    <cellStyle name="Итог 2 10 2 7 4" xfId="14959"/>
    <cellStyle name="Итог 2 10 2 7 5" xfId="30434"/>
    <cellStyle name="Итог 2 10 2 8" xfId="6078"/>
    <cellStyle name="Итог 2 10 2 8 2" xfId="16789"/>
    <cellStyle name="Итог 2 10 2 8 3" xfId="32256"/>
    <cellStyle name="Итог 2 10 2 9" xfId="21966"/>
    <cellStyle name="Итог 2 10 2 9 2" xfId="37327"/>
    <cellStyle name="Итог 2 10 3" xfId="77"/>
    <cellStyle name="Итог 2 10 3 2" xfId="1911"/>
    <cellStyle name="Итог 2 10 3 2 2" xfId="7147"/>
    <cellStyle name="Итог 2 10 3 2 2 2" xfId="18049"/>
    <cellStyle name="Итог 2 10 3 2 2 3" xfId="33410"/>
    <cellStyle name="Итог 2 10 3 2 3" xfId="23035"/>
    <cellStyle name="Итог 2 10 3 2 3 2" xfId="38396"/>
    <cellStyle name="Итог 2 10 3 2 4" xfId="12486"/>
    <cellStyle name="Итог 2 10 3 2 5" xfId="27986"/>
    <cellStyle name="Итог 2 10 3 3" xfId="5248"/>
    <cellStyle name="Итог 2 10 3 3 2" xfId="10431"/>
    <cellStyle name="Итог 2 10 3 3 2 2" xfId="21357"/>
    <cellStyle name="Итог 2 10 3 3 2 3" xfId="36718"/>
    <cellStyle name="Итог 2 10 3 3 3" xfId="26318"/>
    <cellStyle name="Итог 2 10 3 3 3 2" xfId="41679"/>
    <cellStyle name="Итог 2 10 3 3 4" xfId="15794"/>
    <cellStyle name="Итог 2 10 3 3 5" xfId="31269"/>
    <cellStyle name="Итог 2 10 3 4" xfId="5603"/>
    <cellStyle name="Итог 2 10 3 4 2" xfId="17394"/>
    <cellStyle name="Итог 2 10 3 4 3" xfId="32861"/>
    <cellStyle name="Итог 2 10 3 5" xfId="19117"/>
    <cellStyle name="Итог 2 10 3 5 2" xfId="34478"/>
    <cellStyle name="Итог 2 10 3 6" xfId="10791"/>
    <cellStyle name="Итог 2 10 3 7" xfId="13554"/>
    <cellStyle name="Итог 2 10 4" xfId="1811"/>
    <cellStyle name="Итог 2 10 4 2" xfId="7050"/>
    <cellStyle name="Итог 2 10 4 2 2" xfId="17952"/>
    <cellStyle name="Итог 2 10 4 2 3" xfId="33313"/>
    <cellStyle name="Итог 2 10 4 3" xfId="22938"/>
    <cellStyle name="Итог 2 10 4 3 2" xfId="38299"/>
    <cellStyle name="Итог 2 10 4 4" xfId="12389"/>
    <cellStyle name="Итог 2 10 4 5" xfId="27889"/>
    <cellStyle name="Итог 2 10 5" xfId="2919"/>
    <cellStyle name="Итог 2 10 5 2" xfId="8120"/>
    <cellStyle name="Итог 2 10 5 2 2" xfId="19040"/>
    <cellStyle name="Итог 2 10 5 2 3" xfId="34401"/>
    <cellStyle name="Итог 2 10 5 3" xfId="24008"/>
    <cellStyle name="Итог 2 10 5 3 2" xfId="39369"/>
    <cellStyle name="Итог 2 10 5 4" xfId="13477"/>
    <cellStyle name="Итог 2 10 5 5" xfId="28959"/>
    <cellStyle name="Итог 2 10 6" xfId="3844"/>
    <cellStyle name="Итог 2 10 6 2" xfId="9031"/>
    <cellStyle name="Итог 2 10 6 2 2" xfId="19958"/>
    <cellStyle name="Итог 2 10 6 2 3" xfId="35319"/>
    <cellStyle name="Итог 2 10 6 3" xfId="24919"/>
    <cellStyle name="Итог 2 10 6 3 2" xfId="40280"/>
    <cellStyle name="Итог 2 10 6 4" xfId="14395"/>
    <cellStyle name="Итог 2 10 6 5" xfId="29870"/>
    <cellStyle name="Итог 2 10 7" xfId="3962"/>
    <cellStyle name="Итог 2 10 7 2" xfId="9149"/>
    <cellStyle name="Итог 2 10 7 2 2" xfId="20076"/>
    <cellStyle name="Итог 2 10 7 2 3" xfId="35437"/>
    <cellStyle name="Итог 2 10 7 3" xfId="25037"/>
    <cellStyle name="Итог 2 10 7 3 2" xfId="40398"/>
    <cellStyle name="Итог 2 10 7 4" xfId="14513"/>
    <cellStyle name="Итог 2 10 7 5" xfId="29988"/>
    <cellStyle name="Итог 2 10 8" xfId="4737"/>
    <cellStyle name="Итог 2 10 8 2" xfId="9924"/>
    <cellStyle name="Итог 2 10 8 2 2" xfId="20851"/>
    <cellStyle name="Итог 2 10 8 2 3" xfId="36212"/>
    <cellStyle name="Итог 2 10 8 3" xfId="25812"/>
    <cellStyle name="Итог 2 10 8 3 2" xfId="41173"/>
    <cellStyle name="Итог 2 10 8 4" xfId="15288"/>
    <cellStyle name="Итог 2 10 8 5" xfId="30763"/>
    <cellStyle name="Итог 2 10 9" xfId="5770"/>
    <cellStyle name="Итог 2 10 9 2" xfId="17121"/>
    <cellStyle name="Итог 2 10 9 3" xfId="32588"/>
    <cellStyle name="Итог 2 11" xfId="403"/>
    <cellStyle name="Итог 2 11 10" xfId="17345"/>
    <cellStyle name="Итог 2 11 10 2" xfId="32812"/>
    <cellStyle name="Итог 2 11 11" xfId="11066"/>
    <cellStyle name="Итог 2 11 12" xfId="10842"/>
    <cellStyle name="Итог 2 11 2" xfId="815"/>
    <cellStyle name="Итог 2 11 2 10" xfId="11399"/>
    <cellStyle name="Итог 2 11 2 11" xfId="26916"/>
    <cellStyle name="Итог 2 11 2 2" xfId="1471"/>
    <cellStyle name="Итог 2 11 2 2 2" xfId="2514"/>
    <cellStyle name="Итог 2 11 2 2 2 2" xfId="7747"/>
    <cellStyle name="Итог 2 11 2 2 2 2 2" xfId="18649"/>
    <cellStyle name="Итог 2 11 2 2 2 2 3" xfId="34010"/>
    <cellStyle name="Итог 2 11 2 2 2 3" xfId="23635"/>
    <cellStyle name="Итог 2 11 2 2 2 3 2" xfId="38996"/>
    <cellStyle name="Итог 2 11 2 2 2 4" xfId="13086"/>
    <cellStyle name="Итог 2 11 2 2 2 5" xfId="28586"/>
    <cellStyle name="Итог 2 11 2 2 3" xfId="5249"/>
    <cellStyle name="Итог 2 11 2 2 3 2" xfId="10432"/>
    <cellStyle name="Итог 2 11 2 2 3 2 2" xfId="21358"/>
    <cellStyle name="Итог 2 11 2 2 3 2 3" xfId="36719"/>
    <cellStyle name="Итог 2 11 2 2 3 3" xfId="26319"/>
    <cellStyle name="Итог 2 11 2 2 3 3 2" xfId="41680"/>
    <cellStyle name="Итог 2 11 2 2 3 4" xfId="15795"/>
    <cellStyle name="Итог 2 11 2 2 3 5" xfId="31270"/>
    <cellStyle name="Итог 2 11 2 2 4" xfId="6718"/>
    <cellStyle name="Итог 2 11 2 2 4 2" xfId="16140"/>
    <cellStyle name="Итог 2 11 2 2 4 3" xfId="31607"/>
    <cellStyle name="Итог 2 11 2 2 5" xfId="22606"/>
    <cellStyle name="Итог 2 11 2 2 5 2" xfId="37967"/>
    <cellStyle name="Итог 2 11 2 2 6" xfId="12049"/>
    <cellStyle name="Итог 2 11 2 2 7" xfId="27557"/>
    <cellStyle name="Итог 2 11 2 3" xfId="2221"/>
    <cellStyle name="Итог 2 11 2 3 2" xfId="7457"/>
    <cellStyle name="Итог 2 11 2 3 2 2" xfId="18359"/>
    <cellStyle name="Итог 2 11 2 3 2 3" xfId="33720"/>
    <cellStyle name="Итог 2 11 2 3 3" xfId="23345"/>
    <cellStyle name="Итог 2 11 2 3 3 2" xfId="38706"/>
    <cellStyle name="Итог 2 11 2 3 4" xfId="12796"/>
    <cellStyle name="Итог 2 11 2 3 5" xfId="28296"/>
    <cellStyle name="Итог 2 11 2 4" xfId="981"/>
    <cellStyle name="Итог 2 11 2 4 2" xfId="6240"/>
    <cellStyle name="Итог 2 11 2 4 2 2" xfId="16625"/>
    <cellStyle name="Итог 2 11 2 4 2 3" xfId="32092"/>
    <cellStyle name="Итог 2 11 2 4 3" xfId="22128"/>
    <cellStyle name="Итог 2 11 2 4 3 2" xfId="37489"/>
    <cellStyle name="Итог 2 11 2 4 4" xfId="11564"/>
    <cellStyle name="Итог 2 11 2 4 5" xfId="27079"/>
    <cellStyle name="Итог 2 11 2 5" xfId="3634"/>
    <cellStyle name="Итог 2 11 2 5 2" xfId="8821"/>
    <cellStyle name="Итог 2 11 2 5 2 2" xfId="19748"/>
    <cellStyle name="Итог 2 11 2 5 2 3" xfId="35109"/>
    <cellStyle name="Итог 2 11 2 5 3" xfId="24709"/>
    <cellStyle name="Итог 2 11 2 5 3 2" xfId="40070"/>
    <cellStyle name="Итог 2 11 2 5 4" xfId="14185"/>
    <cellStyle name="Итог 2 11 2 5 5" xfId="29660"/>
    <cellStyle name="Итог 2 11 2 6" xfId="4269"/>
    <cellStyle name="Итог 2 11 2 6 2" xfId="9456"/>
    <cellStyle name="Итог 2 11 2 6 2 2" xfId="20383"/>
    <cellStyle name="Итог 2 11 2 6 2 3" xfId="35744"/>
    <cellStyle name="Итог 2 11 2 6 3" xfId="25344"/>
    <cellStyle name="Итог 2 11 2 6 3 2" xfId="40705"/>
    <cellStyle name="Итог 2 11 2 6 4" xfId="14820"/>
    <cellStyle name="Итог 2 11 2 6 5" xfId="30295"/>
    <cellStyle name="Итог 2 11 2 7" xfId="4559"/>
    <cellStyle name="Итог 2 11 2 7 2" xfId="9746"/>
    <cellStyle name="Итог 2 11 2 7 2 2" xfId="20673"/>
    <cellStyle name="Итог 2 11 2 7 2 3" xfId="36034"/>
    <cellStyle name="Итог 2 11 2 7 3" xfId="25634"/>
    <cellStyle name="Итог 2 11 2 7 3 2" xfId="40995"/>
    <cellStyle name="Итог 2 11 2 7 4" xfId="15110"/>
    <cellStyle name="Итог 2 11 2 7 5" xfId="30585"/>
    <cellStyle name="Итог 2 11 2 8" xfId="6077"/>
    <cellStyle name="Итог 2 11 2 8 2" xfId="16790"/>
    <cellStyle name="Итог 2 11 2 8 3" xfId="32257"/>
    <cellStyle name="Итог 2 11 2 9" xfId="21965"/>
    <cellStyle name="Итог 2 11 2 9 2" xfId="37326"/>
    <cellStyle name="Итог 2 11 3" xfId="1588"/>
    <cellStyle name="Итог 2 11 3 2" xfId="954"/>
    <cellStyle name="Итог 2 11 3 2 2" xfId="6216"/>
    <cellStyle name="Итог 2 11 3 2 2 2" xfId="16651"/>
    <cellStyle name="Итог 2 11 3 2 2 3" xfId="32118"/>
    <cellStyle name="Итог 2 11 3 2 3" xfId="22104"/>
    <cellStyle name="Итог 2 11 3 2 3 2" xfId="37465"/>
    <cellStyle name="Итог 2 11 3 2 4" xfId="11538"/>
    <cellStyle name="Итог 2 11 3 2 5" xfId="27055"/>
    <cellStyle name="Итог 2 11 3 3" xfId="5250"/>
    <cellStyle name="Итог 2 11 3 3 2" xfId="10433"/>
    <cellStyle name="Итог 2 11 3 3 2 2" xfId="21359"/>
    <cellStyle name="Итог 2 11 3 3 2 3" xfId="36720"/>
    <cellStyle name="Итог 2 11 3 3 3" xfId="26320"/>
    <cellStyle name="Итог 2 11 3 3 3 2" xfId="41681"/>
    <cellStyle name="Итог 2 11 3 3 4" xfId="15796"/>
    <cellStyle name="Итог 2 11 3 3 5" xfId="31271"/>
    <cellStyle name="Итог 2 11 3 4" xfId="6835"/>
    <cellStyle name="Итог 2 11 3 4 2" xfId="17730"/>
    <cellStyle name="Итог 2 11 3 4 3" xfId="33091"/>
    <cellStyle name="Итог 2 11 3 5" xfId="22723"/>
    <cellStyle name="Итог 2 11 3 5 2" xfId="38084"/>
    <cellStyle name="Итог 2 11 3 6" xfId="12166"/>
    <cellStyle name="Итог 2 11 3 7" xfId="27674"/>
    <cellStyle name="Итог 2 11 4" xfId="1812"/>
    <cellStyle name="Итог 2 11 4 2" xfId="7051"/>
    <cellStyle name="Итог 2 11 4 2 2" xfId="17953"/>
    <cellStyle name="Итог 2 11 4 2 3" xfId="33314"/>
    <cellStyle name="Итог 2 11 4 3" xfId="22939"/>
    <cellStyle name="Итог 2 11 4 3 2" xfId="38300"/>
    <cellStyle name="Итог 2 11 4 4" xfId="12390"/>
    <cellStyle name="Итог 2 11 4 5" xfId="27890"/>
    <cellStyle name="Итог 2 11 5" xfId="2918"/>
    <cellStyle name="Итог 2 11 5 2" xfId="8119"/>
    <cellStyle name="Итог 2 11 5 2 2" xfId="19039"/>
    <cellStyle name="Итог 2 11 5 2 3" xfId="34400"/>
    <cellStyle name="Итог 2 11 5 3" xfId="24007"/>
    <cellStyle name="Итог 2 11 5 3 2" xfId="39368"/>
    <cellStyle name="Итог 2 11 5 4" xfId="13476"/>
    <cellStyle name="Итог 2 11 5 5" xfId="28958"/>
    <cellStyle name="Итог 2 11 6" xfId="3538"/>
    <cellStyle name="Итог 2 11 6 2" xfId="8725"/>
    <cellStyle name="Итог 2 11 6 2 2" xfId="19652"/>
    <cellStyle name="Итог 2 11 6 2 3" xfId="35013"/>
    <cellStyle name="Итог 2 11 6 3" xfId="24613"/>
    <cellStyle name="Итог 2 11 6 3 2" xfId="39974"/>
    <cellStyle name="Итог 2 11 6 4" xfId="14089"/>
    <cellStyle name="Итог 2 11 6 5" xfId="29564"/>
    <cellStyle name="Итог 2 11 7" xfId="3963"/>
    <cellStyle name="Итог 2 11 7 2" xfId="9150"/>
    <cellStyle name="Итог 2 11 7 2 2" xfId="20077"/>
    <cellStyle name="Итог 2 11 7 2 3" xfId="35438"/>
    <cellStyle name="Итог 2 11 7 3" xfId="25038"/>
    <cellStyle name="Итог 2 11 7 3 2" xfId="40399"/>
    <cellStyle name="Итог 2 11 7 4" xfId="14514"/>
    <cellStyle name="Итог 2 11 7 5" xfId="29989"/>
    <cellStyle name="Итог 2 11 8" xfId="4736"/>
    <cellStyle name="Итог 2 11 8 2" xfId="9923"/>
    <cellStyle name="Итог 2 11 8 2 2" xfId="20850"/>
    <cellStyle name="Итог 2 11 8 2 3" xfId="36211"/>
    <cellStyle name="Итог 2 11 8 3" xfId="25811"/>
    <cellStyle name="Итог 2 11 8 3 2" xfId="41172"/>
    <cellStyle name="Итог 2 11 8 4" xfId="15287"/>
    <cellStyle name="Итог 2 11 8 5" xfId="30762"/>
    <cellStyle name="Итог 2 11 9" xfId="5771"/>
    <cellStyle name="Итог 2 11 9 2" xfId="17120"/>
    <cellStyle name="Итог 2 11 9 3" xfId="32587"/>
    <cellStyle name="Итог 2 12" xfId="404"/>
    <cellStyle name="Итог 2 12 10" xfId="17346"/>
    <cellStyle name="Итог 2 12 10 2" xfId="32813"/>
    <cellStyle name="Итог 2 12 11" xfId="11067"/>
    <cellStyle name="Итог 2 12 12" xfId="10841"/>
    <cellStyle name="Итог 2 12 2" xfId="814"/>
    <cellStyle name="Итог 2 12 2 10" xfId="11398"/>
    <cellStyle name="Итог 2 12 2 11" xfId="26915"/>
    <cellStyle name="Итог 2 12 2 2" xfId="1264"/>
    <cellStyle name="Итог 2 12 2 2 2" xfId="2515"/>
    <cellStyle name="Итог 2 12 2 2 2 2" xfId="7748"/>
    <cellStyle name="Итог 2 12 2 2 2 2 2" xfId="18650"/>
    <cellStyle name="Итог 2 12 2 2 2 2 3" xfId="34011"/>
    <cellStyle name="Итог 2 12 2 2 2 3" xfId="23636"/>
    <cellStyle name="Итог 2 12 2 2 2 3 2" xfId="38997"/>
    <cellStyle name="Итог 2 12 2 2 2 4" xfId="13087"/>
    <cellStyle name="Итог 2 12 2 2 2 5" xfId="28587"/>
    <cellStyle name="Итог 2 12 2 2 3" xfId="5251"/>
    <cellStyle name="Итог 2 12 2 2 3 2" xfId="10434"/>
    <cellStyle name="Итог 2 12 2 2 3 2 2" xfId="21360"/>
    <cellStyle name="Итог 2 12 2 2 3 2 3" xfId="36721"/>
    <cellStyle name="Итог 2 12 2 2 3 3" xfId="26321"/>
    <cellStyle name="Итог 2 12 2 2 3 3 2" xfId="41682"/>
    <cellStyle name="Итог 2 12 2 2 3 4" xfId="15797"/>
    <cellStyle name="Итог 2 12 2 2 3 5" xfId="31272"/>
    <cellStyle name="Итог 2 12 2 2 4" xfId="6517"/>
    <cellStyle name="Итог 2 12 2 2 4 2" xfId="16344"/>
    <cellStyle name="Итог 2 12 2 2 4 3" xfId="31811"/>
    <cellStyle name="Итог 2 12 2 2 5" xfId="22405"/>
    <cellStyle name="Итог 2 12 2 2 5 2" xfId="37766"/>
    <cellStyle name="Итог 2 12 2 2 6" xfId="11845"/>
    <cellStyle name="Итог 2 12 2 2 7" xfId="27356"/>
    <cellStyle name="Итог 2 12 2 3" xfId="2220"/>
    <cellStyle name="Итог 2 12 2 3 2" xfId="7456"/>
    <cellStyle name="Итог 2 12 2 3 2 2" xfId="18358"/>
    <cellStyle name="Итог 2 12 2 3 2 3" xfId="33719"/>
    <cellStyle name="Итог 2 12 2 3 3" xfId="23344"/>
    <cellStyle name="Итог 2 12 2 3 3 2" xfId="38705"/>
    <cellStyle name="Итог 2 12 2 3 4" xfId="12795"/>
    <cellStyle name="Итог 2 12 2 3 5" xfId="28295"/>
    <cellStyle name="Итог 2 12 2 4" xfId="2603"/>
    <cellStyle name="Итог 2 12 2 4 2" xfId="7836"/>
    <cellStyle name="Итог 2 12 2 4 2 2" xfId="18738"/>
    <cellStyle name="Итог 2 12 2 4 2 3" xfId="34099"/>
    <cellStyle name="Итог 2 12 2 4 3" xfId="23724"/>
    <cellStyle name="Итог 2 12 2 4 3 2" xfId="39085"/>
    <cellStyle name="Итог 2 12 2 4 4" xfId="13175"/>
    <cellStyle name="Итог 2 12 2 4 5" xfId="28675"/>
    <cellStyle name="Итог 2 12 2 5" xfId="3718"/>
    <cellStyle name="Итог 2 12 2 5 2" xfId="8905"/>
    <cellStyle name="Итог 2 12 2 5 2 2" xfId="19832"/>
    <cellStyle name="Итог 2 12 2 5 2 3" xfId="35193"/>
    <cellStyle name="Итог 2 12 2 5 3" xfId="24793"/>
    <cellStyle name="Итог 2 12 2 5 3 2" xfId="40154"/>
    <cellStyle name="Итог 2 12 2 5 4" xfId="14269"/>
    <cellStyle name="Итог 2 12 2 5 5" xfId="29744"/>
    <cellStyle name="Итог 2 12 2 6" xfId="4268"/>
    <cellStyle name="Итог 2 12 2 6 2" xfId="9455"/>
    <cellStyle name="Итог 2 12 2 6 2 2" xfId="20382"/>
    <cellStyle name="Итог 2 12 2 6 2 3" xfId="35743"/>
    <cellStyle name="Итог 2 12 2 6 3" xfId="25343"/>
    <cellStyle name="Итог 2 12 2 6 3 2" xfId="40704"/>
    <cellStyle name="Итог 2 12 2 6 4" xfId="14819"/>
    <cellStyle name="Итог 2 12 2 6 5" xfId="30294"/>
    <cellStyle name="Итог 2 12 2 7" xfId="4409"/>
    <cellStyle name="Итог 2 12 2 7 2" xfId="9596"/>
    <cellStyle name="Итог 2 12 2 7 2 2" xfId="20523"/>
    <cellStyle name="Итог 2 12 2 7 2 3" xfId="35884"/>
    <cellStyle name="Итог 2 12 2 7 3" xfId="25484"/>
    <cellStyle name="Итог 2 12 2 7 3 2" xfId="40845"/>
    <cellStyle name="Итог 2 12 2 7 4" xfId="14960"/>
    <cellStyle name="Итог 2 12 2 7 5" xfId="30435"/>
    <cellStyle name="Итог 2 12 2 8" xfId="6076"/>
    <cellStyle name="Итог 2 12 2 8 2" xfId="16791"/>
    <cellStyle name="Итог 2 12 2 8 3" xfId="32258"/>
    <cellStyle name="Итог 2 12 2 9" xfId="21964"/>
    <cellStyle name="Итог 2 12 2 9 2" xfId="37325"/>
    <cellStyle name="Итог 2 12 3" xfId="1756"/>
    <cellStyle name="Итог 2 12 3 2" xfId="1738"/>
    <cellStyle name="Итог 2 12 3 2 2" xfId="6978"/>
    <cellStyle name="Итог 2 12 3 2 2 2" xfId="17879"/>
    <cellStyle name="Итог 2 12 3 2 2 3" xfId="33240"/>
    <cellStyle name="Итог 2 12 3 2 3" xfId="22866"/>
    <cellStyle name="Итог 2 12 3 2 3 2" xfId="38227"/>
    <cellStyle name="Итог 2 12 3 2 4" xfId="12316"/>
    <cellStyle name="Итог 2 12 3 2 5" xfId="27817"/>
    <cellStyle name="Итог 2 12 3 3" xfId="5252"/>
    <cellStyle name="Итог 2 12 3 3 2" xfId="10435"/>
    <cellStyle name="Итог 2 12 3 3 2 2" xfId="21361"/>
    <cellStyle name="Итог 2 12 3 3 2 3" xfId="36722"/>
    <cellStyle name="Итог 2 12 3 3 3" xfId="26322"/>
    <cellStyle name="Итог 2 12 3 3 3 2" xfId="41683"/>
    <cellStyle name="Итог 2 12 3 3 4" xfId="15798"/>
    <cellStyle name="Итог 2 12 3 3 5" xfId="31273"/>
    <cellStyle name="Итог 2 12 3 4" xfId="6995"/>
    <cellStyle name="Итог 2 12 3 4 2" xfId="17897"/>
    <cellStyle name="Итог 2 12 3 4 3" xfId="33258"/>
    <cellStyle name="Итог 2 12 3 5" xfId="22883"/>
    <cellStyle name="Итог 2 12 3 5 2" xfId="38244"/>
    <cellStyle name="Итог 2 12 3 6" xfId="12334"/>
    <cellStyle name="Итог 2 12 3 7" xfId="27834"/>
    <cellStyle name="Итог 2 12 4" xfId="1813"/>
    <cellStyle name="Итог 2 12 4 2" xfId="7052"/>
    <cellStyle name="Итог 2 12 4 2 2" xfId="17954"/>
    <cellStyle name="Итог 2 12 4 2 3" xfId="33315"/>
    <cellStyle name="Итог 2 12 4 3" xfId="22940"/>
    <cellStyle name="Итог 2 12 4 3 2" xfId="38301"/>
    <cellStyle name="Итог 2 12 4 4" xfId="12391"/>
    <cellStyle name="Итог 2 12 4 5" xfId="27891"/>
    <cellStyle name="Итог 2 12 5" xfId="1647"/>
    <cellStyle name="Итог 2 12 5 2" xfId="6893"/>
    <cellStyle name="Итог 2 12 5 2 2" xfId="17789"/>
    <cellStyle name="Итог 2 12 5 2 3" xfId="33150"/>
    <cellStyle name="Итог 2 12 5 3" xfId="22781"/>
    <cellStyle name="Итог 2 12 5 3 2" xfId="38142"/>
    <cellStyle name="Итог 2 12 5 4" xfId="12225"/>
    <cellStyle name="Итог 2 12 5 5" xfId="27732"/>
    <cellStyle name="Итог 2 12 6" xfId="3843"/>
    <cellStyle name="Итог 2 12 6 2" xfId="9030"/>
    <cellStyle name="Итог 2 12 6 2 2" xfId="19957"/>
    <cellStyle name="Итог 2 12 6 2 3" xfId="35318"/>
    <cellStyle name="Итог 2 12 6 3" xfId="24918"/>
    <cellStyle name="Итог 2 12 6 3 2" xfId="40279"/>
    <cellStyle name="Итог 2 12 6 4" xfId="14394"/>
    <cellStyle name="Итог 2 12 6 5" xfId="29869"/>
    <cellStyle name="Итог 2 12 7" xfId="3964"/>
    <cellStyle name="Итог 2 12 7 2" xfId="9151"/>
    <cellStyle name="Итог 2 12 7 2 2" xfId="20078"/>
    <cellStyle name="Итог 2 12 7 2 3" xfId="35439"/>
    <cellStyle name="Итог 2 12 7 3" xfId="25039"/>
    <cellStyle name="Итог 2 12 7 3 2" xfId="40400"/>
    <cellStyle name="Итог 2 12 7 4" xfId="14515"/>
    <cellStyle name="Итог 2 12 7 5" xfId="29990"/>
    <cellStyle name="Итог 2 12 8" xfId="4735"/>
    <cellStyle name="Итог 2 12 8 2" xfId="9922"/>
    <cellStyle name="Итог 2 12 8 2 2" xfId="20849"/>
    <cellStyle name="Итог 2 12 8 2 3" xfId="36210"/>
    <cellStyle name="Итог 2 12 8 3" xfId="25810"/>
    <cellStyle name="Итог 2 12 8 3 2" xfId="41171"/>
    <cellStyle name="Итог 2 12 8 4" xfId="15286"/>
    <cellStyle name="Итог 2 12 8 5" xfId="30761"/>
    <cellStyle name="Итог 2 12 9" xfId="5772"/>
    <cellStyle name="Итог 2 12 9 2" xfId="17119"/>
    <cellStyle name="Итог 2 12 9 3" xfId="32586"/>
    <cellStyle name="Итог 2 13" xfId="405"/>
    <cellStyle name="Итог 2 13 10" xfId="17347"/>
    <cellStyle name="Итог 2 13 10 2" xfId="32814"/>
    <cellStyle name="Итог 2 13 11" xfId="11068"/>
    <cellStyle name="Итог 2 13 12" xfId="10840"/>
    <cellStyle name="Итог 2 13 2" xfId="813"/>
    <cellStyle name="Итог 2 13 2 10" xfId="11397"/>
    <cellStyle name="Итог 2 13 2 11" xfId="26914"/>
    <cellStyle name="Итог 2 13 2 2" xfId="95"/>
    <cellStyle name="Итог 2 13 2 2 2" xfId="2516"/>
    <cellStyle name="Итог 2 13 2 2 2 2" xfId="7749"/>
    <cellStyle name="Итог 2 13 2 2 2 2 2" xfId="18651"/>
    <cellStyle name="Итог 2 13 2 2 2 2 3" xfId="34012"/>
    <cellStyle name="Итог 2 13 2 2 2 3" xfId="23637"/>
    <cellStyle name="Итог 2 13 2 2 2 3 2" xfId="38998"/>
    <cellStyle name="Итог 2 13 2 2 2 4" xfId="13088"/>
    <cellStyle name="Итог 2 13 2 2 2 5" xfId="28588"/>
    <cellStyle name="Итог 2 13 2 2 3" xfId="5253"/>
    <cellStyle name="Итог 2 13 2 2 3 2" xfId="10436"/>
    <cellStyle name="Итог 2 13 2 2 3 2 2" xfId="21362"/>
    <cellStyle name="Итог 2 13 2 2 3 2 3" xfId="36723"/>
    <cellStyle name="Итог 2 13 2 2 3 3" xfId="26323"/>
    <cellStyle name="Итог 2 13 2 2 3 3 2" xfId="41684"/>
    <cellStyle name="Итог 2 13 2 2 3 4" xfId="15799"/>
    <cellStyle name="Итог 2 13 2 2 3 5" xfId="31274"/>
    <cellStyle name="Итог 2 13 2 2 4" xfId="5621"/>
    <cellStyle name="Итог 2 13 2 2 4 2" xfId="17376"/>
    <cellStyle name="Итог 2 13 2 2 4 3" xfId="32843"/>
    <cellStyle name="Итог 2 13 2 2 5" xfId="17071"/>
    <cellStyle name="Итог 2 13 2 2 5 2" xfId="32538"/>
    <cellStyle name="Итог 2 13 2 2 6" xfId="10809"/>
    <cellStyle name="Итог 2 13 2 2 7" xfId="11115"/>
    <cellStyle name="Итог 2 13 2 3" xfId="2219"/>
    <cellStyle name="Итог 2 13 2 3 2" xfId="7455"/>
    <cellStyle name="Итог 2 13 2 3 2 2" xfId="18357"/>
    <cellStyle name="Итог 2 13 2 3 2 3" xfId="33718"/>
    <cellStyle name="Итог 2 13 2 3 3" xfId="23343"/>
    <cellStyle name="Итог 2 13 2 3 3 2" xfId="38704"/>
    <cellStyle name="Итог 2 13 2 3 4" xfId="12794"/>
    <cellStyle name="Итог 2 13 2 3 5" xfId="28294"/>
    <cellStyle name="Итог 2 13 2 4" xfId="2839"/>
    <cellStyle name="Итог 2 13 2 4 2" xfId="8054"/>
    <cellStyle name="Итог 2 13 2 4 2 2" xfId="18969"/>
    <cellStyle name="Итог 2 13 2 4 2 3" xfId="34330"/>
    <cellStyle name="Итог 2 13 2 4 3" xfId="23942"/>
    <cellStyle name="Итог 2 13 2 4 3 2" xfId="39303"/>
    <cellStyle name="Итог 2 13 2 4 4" xfId="13406"/>
    <cellStyle name="Итог 2 13 2 4 5" xfId="28893"/>
    <cellStyle name="Итог 2 13 2 5" xfId="3717"/>
    <cellStyle name="Итог 2 13 2 5 2" xfId="8904"/>
    <cellStyle name="Итог 2 13 2 5 2 2" xfId="19831"/>
    <cellStyle name="Итог 2 13 2 5 2 3" xfId="35192"/>
    <cellStyle name="Итог 2 13 2 5 3" xfId="24792"/>
    <cellStyle name="Итог 2 13 2 5 3 2" xfId="40153"/>
    <cellStyle name="Итог 2 13 2 5 4" xfId="14268"/>
    <cellStyle name="Итог 2 13 2 5 5" xfId="29743"/>
    <cellStyle name="Итог 2 13 2 6" xfId="4267"/>
    <cellStyle name="Итог 2 13 2 6 2" xfId="9454"/>
    <cellStyle name="Итог 2 13 2 6 2 2" xfId="20381"/>
    <cellStyle name="Итог 2 13 2 6 2 3" xfId="35742"/>
    <cellStyle name="Итог 2 13 2 6 3" xfId="25342"/>
    <cellStyle name="Итог 2 13 2 6 3 2" xfId="40703"/>
    <cellStyle name="Итог 2 13 2 6 4" xfId="14818"/>
    <cellStyle name="Итог 2 13 2 6 5" xfId="30293"/>
    <cellStyle name="Итог 2 13 2 7" xfId="4410"/>
    <cellStyle name="Итог 2 13 2 7 2" xfId="9597"/>
    <cellStyle name="Итог 2 13 2 7 2 2" xfId="20524"/>
    <cellStyle name="Итог 2 13 2 7 2 3" xfId="35885"/>
    <cellStyle name="Итог 2 13 2 7 3" xfId="25485"/>
    <cellStyle name="Итог 2 13 2 7 3 2" xfId="40846"/>
    <cellStyle name="Итог 2 13 2 7 4" xfId="14961"/>
    <cellStyle name="Итог 2 13 2 7 5" xfId="30436"/>
    <cellStyle name="Итог 2 13 2 8" xfId="6075"/>
    <cellStyle name="Итог 2 13 2 8 2" xfId="16792"/>
    <cellStyle name="Итог 2 13 2 8 3" xfId="32259"/>
    <cellStyle name="Итог 2 13 2 9" xfId="21963"/>
    <cellStyle name="Итог 2 13 2 9 2" xfId="37324"/>
    <cellStyle name="Итог 2 13 3" xfId="1220"/>
    <cellStyle name="Итог 2 13 3 2" xfId="1912"/>
    <cellStyle name="Итог 2 13 3 2 2" xfId="7148"/>
    <cellStyle name="Итог 2 13 3 2 2 2" xfId="18050"/>
    <cellStyle name="Итог 2 13 3 2 2 3" xfId="33411"/>
    <cellStyle name="Итог 2 13 3 2 3" xfId="23036"/>
    <cellStyle name="Итог 2 13 3 2 3 2" xfId="38397"/>
    <cellStyle name="Итог 2 13 3 2 4" xfId="12487"/>
    <cellStyle name="Итог 2 13 3 2 5" xfId="27987"/>
    <cellStyle name="Итог 2 13 3 3" xfId="5254"/>
    <cellStyle name="Итог 2 13 3 3 2" xfId="10437"/>
    <cellStyle name="Итог 2 13 3 3 2 2" xfId="21363"/>
    <cellStyle name="Итог 2 13 3 3 2 3" xfId="36724"/>
    <cellStyle name="Итог 2 13 3 3 3" xfId="26324"/>
    <cellStyle name="Итог 2 13 3 3 3 2" xfId="41685"/>
    <cellStyle name="Итог 2 13 3 3 4" xfId="15800"/>
    <cellStyle name="Итог 2 13 3 3 5" xfId="31275"/>
    <cellStyle name="Итог 2 13 3 4" xfId="6473"/>
    <cellStyle name="Итог 2 13 3 4 2" xfId="16388"/>
    <cellStyle name="Итог 2 13 3 4 3" xfId="31855"/>
    <cellStyle name="Итог 2 13 3 5" xfId="22361"/>
    <cellStyle name="Итог 2 13 3 5 2" xfId="37722"/>
    <cellStyle name="Итог 2 13 3 6" xfId="11801"/>
    <cellStyle name="Итог 2 13 3 7" xfId="27312"/>
    <cellStyle name="Итог 2 13 4" xfId="1814"/>
    <cellStyle name="Итог 2 13 4 2" xfId="7053"/>
    <cellStyle name="Итог 2 13 4 2 2" xfId="17955"/>
    <cellStyle name="Итог 2 13 4 2 3" xfId="33316"/>
    <cellStyle name="Итог 2 13 4 3" xfId="22941"/>
    <cellStyle name="Итог 2 13 4 3 2" xfId="38302"/>
    <cellStyle name="Итог 2 13 4 4" xfId="12392"/>
    <cellStyle name="Итог 2 13 4 5" xfId="27892"/>
    <cellStyle name="Итог 2 13 5" xfId="2916"/>
    <cellStyle name="Итог 2 13 5 2" xfId="8118"/>
    <cellStyle name="Итог 2 13 5 2 2" xfId="19038"/>
    <cellStyle name="Итог 2 13 5 2 3" xfId="34399"/>
    <cellStyle name="Итог 2 13 5 3" xfId="24006"/>
    <cellStyle name="Итог 2 13 5 3 2" xfId="39367"/>
    <cellStyle name="Итог 2 13 5 4" xfId="13475"/>
    <cellStyle name="Итог 2 13 5 5" xfId="28957"/>
    <cellStyle name="Итог 2 13 6" xfId="3851"/>
    <cellStyle name="Итог 2 13 6 2" xfId="9038"/>
    <cellStyle name="Итог 2 13 6 2 2" xfId="19965"/>
    <cellStyle name="Итог 2 13 6 2 3" xfId="35326"/>
    <cellStyle name="Итог 2 13 6 3" xfId="24926"/>
    <cellStyle name="Итог 2 13 6 3 2" xfId="40287"/>
    <cellStyle name="Итог 2 13 6 4" xfId="14402"/>
    <cellStyle name="Итог 2 13 6 5" xfId="29877"/>
    <cellStyle name="Итог 2 13 7" xfId="3965"/>
    <cellStyle name="Итог 2 13 7 2" xfId="9152"/>
    <cellStyle name="Итог 2 13 7 2 2" xfId="20079"/>
    <cellStyle name="Итог 2 13 7 2 3" xfId="35440"/>
    <cellStyle name="Итог 2 13 7 3" xfId="25040"/>
    <cellStyle name="Итог 2 13 7 3 2" xfId="40401"/>
    <cellStyle name="Итог 2 13 7 4" xfId="14516"/>
    <cellStyle name="Итог 2 13 7 5" xfId="29991"/>
    <cellStyle name="Итог 2 13 8" xfId="4734"/>
    <cellStyle name="Итог 2 13 8 2" xfId="9921"/>
    <cellStyle name="Итог 2 13 8 2 2" xfId="20848"/>
    <cellStyle name="Итог 2 13 8 2 3" xfId="36209"/>
    <cellStyle name="Итог 2 13 8 3" xfId="25809"/>
    <cellStyle name="Итог 2 13 8 3 2" xfId="41170"/>
    <cellStyle name="Итог 2 13 8 4" xfId="15285"/>
    <cellStyle name="Итог 2 13 8 5" xfId="30760"/>
    <cellStyle name="Итог 2 13 9" xfId="5773"/>
    <cellStyle name="Итог 2 13 9 2" xfId="17118"/>
    <cellStyle name="Итог 2 13 9 3" xfId="32585"/>
    <cellStyle name="Итог 2 14" xfId="406"/>
    <cellStyle name="Итог 2 14 10" xfId="17348"/>
    <cellStyle name="Итог 2 14 10 2" xfId="32815"/>
    <cellStyle name="Итог 2 14 11" xfId="11069"/>
    <cellStyle name="Итог 2 14 12" xfId="10839"/>
    <cellStyle name="Итог 2 14 2" xfId="812"/>
    <cellStyle name="Итог 2 14 2 10" xfId="11396"/>
    <cellStyle name="Итог 2 14 2 11" xfId="26913"/>
    <cellStyle name="Итог 2 14 2 2" xfId="1709"/>
    <cellStyle name="Итог 2 14 2 2 2" xfId="2616"/>
    <cellStyle name="Итог 2 14 2 2 2 2" xfId="7848"/>
    <cellStyle name="Итог 2 14 2 2 2 2 2" xfId="18751"/>
    <cellStyle name="Итог 2 14 2 2 2 2 3" xfId="34112"/>
    <cellStyle name="Итог 2 14 2 2 2 3" xfId="23736"/>
    <cellStyle name="Итог 2 14 2 2 2 3 2" xfId="39097"/>
    <cellStyle name="Итог 2 14 2 2 2 4" xfId="13188"/>
    <cellStyle name="Итог 2 14 2 2 2 5" xfId="28687"/>
    <cellStyle name="Итог 2 14 2 2 3" xfId="5255"/>
    <cellStyle name="Итог 2 14 2 2 3 2" xfId="10438"/>
    <cellStyle name="Итог 2 14 2 2 3 2 2" xfId="21364"/>
    <cellStyle name="Итог 2 14 2 2 3 2 3" xfId="36725"/>
    <cellStyle name="Итог 2 14 2 2 3 3" xfId="26325"/>
    <cellStyle name="Итог 2 14 2 2 3 3 2" xfId="41686"/>
    <cellStyle name="Итог 2 14 2 2 3 4" xfId="15801"/>
    <cellStyle name="Итог 2 14 2 2 3 5" xfId="31276"/>
    <cellStyle name="Итог 2 14 2 2 4" xfId="6951"/>
    <cellStyle name="Итог 2 14 2 2 4 2" xfId="17851"/>
    <cellStyle name="Итог 2 14 2 2 4 3" xfId="33212"/>
    <cellStyle name="Итог 2 14 2 2 5" xfId="22839"/>
    <cellStyle name="Итог 2 14 2 2 5 2" xfId="38200"/>
    <cellStyle name="Итог 2 14 2 2 6" xfId="12287"/>
    <cellStyle name="Итог 2 14 2 2 7" xfId="27790"/>
    <cellStyle name="Итог 2 14 2 3" xfId="2218"/>
    <cellStyle name="Итог 2 14 2 3 2" xfId="7454"/>
    <cellStyle name="Итог 2 14 2 3 2 2" xfId="18356"/>
    <cellStyle name="Итог 2 14 2 3 2 3" xfId="33717"/>
    <cellStyle name="Итог 2 14 2 3 3" xfId="23342"/>
    <cellStyle name="Итог 2 14 2 3 3 2" xfId="38703"/>
    <cellStyle name="Итог 2 14 2 3 4" xfId="12793"/>
    <cellStyle name="Итог 2 14 2 3 5" xfId="28293"/>
    <cellStyle name="Итог 2 14 2 4" xfId="1227"/>
    <cellStyle name="Итог 2 14 2 4 2" xfId="6480"/>
    <cellStyle name="Итог 2 14 2 4 2 2" xfId="16381"/>
    <cellStyle name="Итог 2 14 2 4 2 3" xfId="31848"/>
    <cellStyle name="Итог 2 14 2 4 3" xfId="22368"/>
    <cellStyle name="Итог 2 14 2 4 3 2" xfId="37729"/>
    <cellStyle name="Итог 2 14 2 4 4" xfId="11808"/>
    <cellStyle name="Итог 2 14 2 4 5" xfId="27319"/>
    <cellStyle name="Итог 2 14 2 5" xfId="3789"/>
    <cellStyle name="Итог 2 14 2 5 2" xfId="8976"/>
    <cellStyle name="Итог 2 14 2 5 2 2" xfId="19903"/>
    <cellStyle name="Итог 2 14 2 5 2 3" xfId="35264"/>
    <cellStyle name="Итог 2 14 2 5 3" xfId="24864"/>
    <cellStyle name="Итог 2 14 2 5 3 2" xfId="40225"/>
    <cellStyle name="Итог 2 14 2 5 4" xfId="14340"/>
    <cellStyle name="Итог 2 14 2 5 5" xfId="29815"/>
    <cellStyle name="Итог 2 14 2 6" xfId="4266"/>
    <cellStyle name="Итог 2 14 2 6 2" xfId="9453"/>
    <cellStyle name="Итог 2 14 2 6 2 2" xfId="20380"/>
    <cellStyle name="Итог 2 14 2 6 2 3" xfId="35741"/>
    <cellStyle name="Итог 2 14 2 6 3" xfId="25341"/>
    <cellStyle name="Итог 2 14 2 6 3 2" xfId="40702"/>
    <cellStyle name="Итог 2 14 2 6 4" xfId="14817"/>
    <cellStyle name="Итог 2 14 2 6 5" xfId="30292"/>
    <cellStyle name="Итог 2 14 2 7" xfId="4560"/>
    <cellStyle name="Итог 2 14 2 7 2" xfId="9747"/>
    <cellStyle name="Итог 2 14 2 7 2 2" xfId="20674"/>
    <cellStyle name="Итог 2 14 2 7 2 3" xfId="36035"/>
    <cellStyle name="Итог 2 14 2 7 3" xfId="25635"/>
    <cellStyle name="Итог 2 14 2 7 3 2" xfId="40996"/>
    <cellStyle name="Итог 2 14 2 7 4" xfId="15111"/>
    <cellStyle name="Итог 2 14 2 7 5" xfId="30586"/>
    <cellStyle name="Итог 2 14 2 8" xfId="6074"/>
    <cellStyle name="Итог 2 14 2 8 2" xfId="16793"/>
    <cellStyle name="Итог 2 14 2 8 3" xfId="32260"/>
    <cellStyle name="Итог 2 14 2 9" xfId="21962"/>
    <cellStyle name="Итог 2 14 2 9 2" xfId="37323"/>
    <cellStyle name="Итог 2 14 3" xfId="1511"/>
    <cellStyle name="Итог 2 14 3 2" xfId="2688"/>
    <cellStyle name="Итог 2 14 3 2 2" xfId="7919"/>
    <cellStyle name="Итог 2 14 3 2 2 2" xfId="18823"/>
    <cellStyle name="Итог 2 14 3 2 2 3" xfId="34184"/>
    <cellStyle name="Итог 2 14 3 2 3" xfId="23807"/>
    <cellStyle name="Итог 2 14 3 2 3 2" xfId="39168"/>
    <cellStyle name="Итог 2 14 3 2 4" xfId="13260"/>
    <cellStyle name="Итог 2 14 3 2 5" xfId="28758"/>
    <cellStyle name="Итог 2 14 3 3" xfId="5256"/>
    <cellStyle name="Итог 2 14 3 3 2" xfId="10439"/>
    <cellStyle name="Итог 2 14 3 3 2 2" xfId="21365"/>
    <cellStyle name="Итог 2 14 3 3 2 3" xfId="36726"/>
    <cellStyle name="Итог 2 14 3 3 3" xfId="26326"/>
    <cellStyle name="Итог 2 14 3 3 3 2" xfId="41687"/>
    <cellStyle name="Итог 2 14 3 3 4" xfId="15802"/>
    <cellStyle name="Итог 2 14 3 3 5" xfId="31277"/>
    <cellStyle name="Итог 2 14 3 4" xfId="6758"/>
    <cellStyle name="Итог 2 14 3 4 2" xfId="17653"/>
    <cellStyle name="Итог 2 14 3 4 3" xfId="33014"/>
    <cellStyle name="Итог 2 14 3 5" xfId="22646"/>
    <cellStyle name="Итог 2 14 3 5 2" xfId="38007"/>
    <cellStyle name="Итог 2 14 3 6" xfId="12089"/>
    <cellStyle name="Итог 2 14 3 7" xfId="27597"/>
    <cellStyle name="Итог 2 14 4" xfId="1815"/>
    <cellStyle name="Итог 2 14 4 2" xfId="7054"/>
    <cellStyle name="Итог 2 14 4 2 2" xfId="17956"/>
    <cellStyle name="Итог 2 14 4 2 3" xfId="33317"/>
    <cellStyle name="Итог 2 14 4 3" xfId="22942"/>
    <cellStyle name="Итог 2 14 4 3 2" xfId="38303"/>
    <cellStyle name="Итог 2 14 4 4" xfId="12393"/>
    <cellStyle name="Итог 2 14 4 5" xfId="27893"/>
    <cellStyle name="Итог 2 14 5" xfId="2911"/>
    <cellStyle name="Итог 2 14 5 2" xfId="8117"/>
    <cellStyle name="Итог 2 14 5 2 2" xfId="19037"/>
    <cellStyle name="Итог 2 14 5 2 3" xfId="34398"/>
    <cellStyle name="Итог 2 14 5 3" xfId="24005"/>
    <cellStyle name="Итог 2 14 5 3 2" xfId="39366"/>
    <cellStyle name="Итог 2 14 5 4" xfId="13474"/>
    <cellStyle name="Итог 2 14 5 5" xfId="28956"/>
    <cellStyle name="Итог 2 14 6" xfId="3539"/>
    <cellStyle name="Итог 2 14 6 2" xfId="8726"/>
    <cellStyle name="Итог 2 14 6 2 2" xfId="19653"/>
    <cellStyle name="Итог 2 14 6 2 3" xfId="35014"/>
    <cellStyle name="Итог 2 14 6 3" xfId="24614"/>
    <cellStyle name="Итог 2 14 6 3 2" xfId="39975"/>
    <cellStyle name="Итог 2 14 6 4" xfId="14090"/>
    <cellStyle name="Итог 2 14 6 5" xfId="29565"/>
    <cellStyle name="Итог 2 14 7" xfId="3966"/>
    <cellStyle name="Итог 2 14 7 2" xfId="9153"/>
    <cellStyle name="Итог 2 14 7 2 2" xfId="20080"/>
    <cellStyle name="Итог 2 14 7 2 3" xfId="35441"/>
    <cellStyle name="Итог 2 14 7 3" xfId="25041"/>
    <cellStyle name="Итог 2 14 7 3 2" xfId="40402"/>
    <cellStyle name="Итог 2 14 7 4" xfId="14517"/>
    <cellStyle name="Итог 2 14 7 5" xfId="29992"/>
    <cellStyle name="Итог 2 14 8" xfId="4733"/>
    <cellStyle name="Итог 2 14 8 2" xfId="9920"/>
    <cellStyle name="Итог 2 14 8 2 2" xfId="20847"/>
    <cellStyle name="Итог 2 14 8 2 3" xfId="36208"/>
    <cellStyle name="Итог 2 14 8 3" xfId="25808"/>
    <cellStyle name="Итог 2 14 8 3 2" xfId="41169"/>
    <cellStyle name="Итог 2 14 8 4" xfId="15284"/>
    <cellStyle name="Итог 2 14 8 5" xfId="30759"/>
    <cellStyle name="Итог 2 14 9" xfId="5774"/>
    <cellStyle name="Итог 2 14 9 2" xfId="17117"/>
    <cellStyle name="Итог 2 14 9 3" xfId="32584"/>
    <cellStyle name="Итог 2 15" xfId="407"/>
    <cellStyle name="Итог 2 15 10" xfId="17349"/>
    <cellStyle name="Итог 2 15 10 2" xfId="32816"/>
    <cellStyle name="Итог 2 15 11" xfId="11070"/>
    <cellStyle name="Итог 2 15 12" xfId="10838"/>
    <cellStyle name="Итог 2 15 2" xfId="811"/>
    <cellStyle name="Итог 2 15 2 10" xfId="11395"/>
    <cellStyle name="Итог 2 15 2 11" xfId="26912"/>
    <cellStyle name="Итог 2 15 2 2" xfId="1593"/>
    <cellStyle name="Итог 2 15 2 2 2" xfId="2519"/>
    <cellStyle name="Итог 2 15 2 2 2 2" xfId="7752"/>
    <cellStyle name="Итог 2 15 2 2 2 2 2" xfId="18654"/>
    <cellStyle name="Итог 2 15 2 2 2 2 3" xfId="34015"/>
    <cellStyle name="Итог 2 15 2 2 2 3" xfId="23640"/>
    <cellStyle name="Итог 2 15 2 2 2 3 2" xfId="39001"/>
    <cellStyle name="Итог 2 15 2 2 2 4" xfId="13091"/>
    <cellStyle name="Итог 2 15 2 2 2 5" xfId="28591"/>
    <cellStyle name="Итог 2 15 2 2 3" xfId="5257"/>
    <cellStyle name="Итог 2 15 2 2 3 2" xfId="10440"/>
    <cellStyle name="Итог 2 15 2 2 3 2 2" xfId="21366"/>
    <cellStyle name="Итог 2 15 2 2 3 2 3" xfId="36727"/>
    <cellStyle name="Итог 2 15 2 2 3 3" xfId="26327"/>
    <cellStyle name="Итог 2 15 2 2 3 3 2" xfId="41688"/>
    <cellStyle name="Итог 2 15 2 2 3 4" xfId="15803"/>
    <cellStyle name="Итог 2 15 2 2 3 5" xfId="31278"/>
    <cellStyle name="Итог 2 15 2 2 4" xfId="6840"/>
    <cellStyle name="Итог 2 15 2 2 4 2" xfId="17735"/>
    <cellStyle name="Итог 2 15 2 2 4 3" xfId="33096"/>
    <cellStyle name="Итог 2 15 2 2 5" xfId="22728"/>
    <cellStyle name="Итог 2 15 2 2 5 2" xfId="38089"/>
    <cellStyle name="Итог 2 15 2 2 6" xfId="12171"/>
    <cellStyle name="Итог 2 15 2 2 7" xfId="27679"/>
    <cellStyle name="Итог 2 15 2 3" xfId="2217"/>
    <cellStyle name="Итог 2 15 2 3 2" xfId="7453"/>
    <cellStyle name="Итог 2 15 2 3 2 2" xfId="18355"/>
    <cellStyle name="Итог 2 15 2 3 2 3" xfId="33716"/>
    <cellStyle name="Итог 2 15 2 3 3" xfId="23341"/>
    <cellStyle name="Итог 2 15 2 3 3 2" xfId="38702"/>
    <cellStyle name="Итог 2 15 2 3 4" xfId="12792"/>
    <cellStyle name="Итог 2 15 2 3 5" xfId="28292"/>
    <cellStyle name="Итог 2 15 2 4" xfId="1175"/>
    <cellStyle name="Итог 2 15 2 4 2" xfId="6429"/>
    <cellStyle name="Итог 2 15 2 4 2 2" xfId="16433"/>
    <cellStyle name="Итог 2 15 2 4 2 3" xfId="31900"/>
    <cellStyle name="Итог 2 15 2 4 3" xfId="22317"/>
    <cellStyle name="Итог 2 15 2 4 3 2" xfId="37678"/>
    <cellStyle name="Итог 2 15 2 4 4" xfId="11756"/>
    <cellStyle name="Итог 2 15 2 4 5" xfId="27268"/>
    <cellStyle name="Итог 2 15 2 5" xfId="3633"/>
    <cellStyle name="Итог 2 15 2 5 2" xfId="8820"/>
    <cellStyle name="Итог 2 15 2 5 2 2" xfId="19747"/>
    <cellStyle name="Итог 2 15 2 5 2 3" xfId="35108"/>
    <cellStyle name="Итог 2 15 2 5 3" xfId="24708"/>
    <cellStyle name="Итог 2 15 2 5 3 2" xfId="40069"/>
    <cellStyle name="Итог 2 15 2 5 4" xfId="14184"/>
    <cellStyle name="Итог 2 15 2 5 5" xfId="29659"/>
    <cellStyle name="Итог 2 15 2 6" xfId="4265"/>
    <cellStyle name="Итог 2 15 2 6 2" xfId="9452"/>
    <cellStyle name="Итог 2 15 2 6 2 2" xfId="20379"/>
    <cellStyle name="Итог 2 15 2 6 2 3" xfId="35740"/>
    <cellStyle name="Итог 2 15 2 6 3" xfId="25340"/>
    <cellStyle name="Итог 2 15 2 6 3 2" xfId="40701"/>
    <cellStyle name="Итог 2 15 2 6 4" xfId="14816"/>
    <cellStyle name="Итог 2 15 2 6 5" xfId="30291"/>
    <cellStyle name="Итог 2 15 2 7" xfId="4561"/>
    <cellStyle name="Итог 2 15 2 7 2" xfId="9748"/>
    <cellStyle name="Итог 2 15 2 7 2 2" xfId="20675"/>
    <cellStyle name="Итог 2 15 2 7 2 3" xfId="36036"/>
    <cellStyle name="Итог 2 15 2 7 3" xfId="25636"/>
    <cellStyle name="Итог 2 15 2 7 3 2" xfId="40997"/>
    <cellStyle name="Итог 2 15 2 7 4" xfId="15112"/>
    <cellStyle name="Итог 2 15 2 7 5" xfId="30587"/>
    <cellStyle name="Итог 2 15 2 8" xfId="6073"/>
    <cellStyle name="Итог 2 15 2 8 2" xfId="16794"/>
    <cellStyle name="Итог 2 15 2 8 3" xfId="32261"/>
    <cellStyle name="Итог 2 15 2 9" xfId="21961"/>
    <cellStyle name="Итог 2 15 2 9 2" xfId="37322"/>
    <cellStyle name="Итог 2 15 3" xfId="1011"/>
    <cellStyle name="Итог 2 15 3 2" xfId="2686"/>
    <cellStyle name="Итог 2 15 3 2 2" xfId="7917"/>
    <cellStyle name="Итог 2 15 3 2 2 2" xfId="18821"/>
    <cellStyle name="Итог 2 15 3 2 2 3" xfId="34182"/>
    <cellStyle name="Итог 2 15 3 2 3" xfId="23805"/>
    <cellStyle name="Итог 2 15 3 2 3 2" xfId="39166"/>
    <cellStyle name="Итог 2 15 3 2 4" xfId="13258"/>
    <cellStyle name="Итог 2 15 3 2 5" xfId="28756"/>
    <cellStyle name="Итог 2 15 3 3" xfId="5258"/>
    <cellStyle name="Итог 2 15 3 3 2" xfId="10441"/>
    <cellStyle name="Итог 2 15 3 3 2 2" xfId="21367"/>
    <cellStyle name="Итог 2 15 3 3 2 3" xfId="36728"/>
    <cellStyle name="Итог 2 15 3 3 3" xfId="26328"/>
    <cellStyle name="Итог 2 15 3 3 3 2" xfId="41689"/>
    <cellStyle name="Итог 2 15 3 3 4" xfId="15804"/>
    <cellStyle name="Итог 2 15 3 3 5" xfId="31279"/>
    <cellStyle name="Итог 2 15 3 4" xfId="6269"/>
    <cellStyle name="Итог 2 15 3 4 2" xfId="16595"/>
    <cellStyle name="Итог 2 15 3 4 3" xfId="32062"/>
    <cellStyle name="Итог 2 15 3 5" xfId="22157"/>
    <cellStyle name="Итог 2 15 3 5 2" xfId="37518"/>
    <cellStyle name="Итог 2 15 3 6" xfId="11594"/>
    <cellStyle name="Итог 2 15 3 7" xfId="27108"/>
    <cellStyle name="Итог 2 15 4" xfId="1816"/>
    <cellStyle name="Итог 2 15 4 2" xfId="7055"/>
    <cellStyle name="Итог 2 15 4 2 2" xfId="17957"/>
    <cellStyle name="Итог 2 15 4 2 3" xfId="33318"/>
    <cellStyle name="Итог 2 15 4 3" xfId="22943"/>
    <cellStyle name="Итог 2 15 4 3 2" xfId="38304"/>
    <cellStyle name="Итог 2 15 4 4" xfId="12394"/>
    <cellStyle name="Итог 2 15 4 5" xfId="27894"/>
    <cellStyle name="Итог 2 15 5" xfId="2907"/>
    <cellStyle name="Итог 2 15 5 2" xfId="8114"/>
    <cellStyle name="Итог 2 15 5 2 2" xfId="19034"/>
    <cellStyle name="Итог 2 15 5 2 3" xfId="34395"/>
    <cellStyle name="Итог 2 15 5 3" xfId="24002"/>
    <cellStyle name="Итог 2 15 5 3 2" xfId="39363"/>
    <cellStyle name="Итог 2 15 5 4" xfId="13471"/>
    <cellStyle name="Итог 2 15 5 5" xfId="28953"/>
    <cellStyle name="Итог 2 15 6" xfId="3842"/>
    <cellStyle name="Итог 2 15 6 2" xfId="9029"/>
    <cellStyle name="Итог 2 15 6 2 2" xfId="19956"/>
    <cellStyle name="Итог 2 15 6 2 3" xfId="35317"/>
    <cellStyle name="Итог 2 15 6 3" xfId="24917"/>
    <cellStyle name="Итог 2 15 6 3 2" xfId="40278"/>
    <cellStyle name="Итог 2 15 6 4" xfId="14393"/>
    <cellStyle name="Итог 2 15 6 5" xfId="29868"/>
    <cellStyle name="Итог 2 15 7" xfId="3967"/>
    <cellStyle name="Итог 2 15 7 2" xfId="9154"/>
    <cellStyle name="Итог 2 15 7 2 2" xfId="20081"/>
    <cellStyle name="Итог 2 15 7 2 3" xfId="35442"/>
    <cellStyle name="Итог 2 15 7 3" xfId="25042"/>
    <cellStyle name="Итог 2 15 7 3 2" xfId="40403"/>
    <cellStyle name="Итог 2 15 7 4" xfId="14518"/>
    <cellStyle name="Итог 2 15 7 5" xfId="29993"/>
    <cellStyle name="Итог 2 15 8" xfId="4732"/>
    <cellStyle name="Итог 2 15 8 2" xfId="9919"/>
    <cellStyle name="Итог 2 15 8 2 2" xfId="20846"/>
    <cellStyle name="Итог 2 15 8 2 3" xfId="36207"/>
    <cellStyle name="Итог 2 15 8 3" xfId="25807"/>
    <cellStyle name="Итог 2 15 8 3 2" xfId="41168"/>
    <cellStyle name="Итог 2 15 8 4" xfId="15283"/>
    <cellStyle name="Итог 2 15 8 5" xfId="30758"/>
    <cellStyle name="Итог 2 15 9" xfId="5775"/>
    <cellStyle name="Итог 2 15 9 2" xfId="17116"/>
    <cellStyle name="Итог 2 15 9 3" xfId="32583"/>
    <cellStyle name="Итог 2 16" xfId="408"/>
    <cellStyle name="Итог 2 16 10" xfId="17350"/>
    <cellStyle name="Итог 2 16 10 2" xfId="32817"/>
    <cellStyle name="Итог 2 16 11" xfId="11071"/>
    <cellStyle name="Итог 2 16 12" xfId="10837"/>
    <cellStyle name="Итог 2 16 2" xfId="810"/>
    <cellStyle name="Итог 2 16 2 10" xfId="11394"/>
    <cellStyle name="Итог 2 16 2 11" xfId="26911"/>
    <cellStyle name="Итог 2 16 2 2" xfId="1519"/>
    <cellStyle name="Итог 2 16 2 2 2" xfId="2684"/>
    <cellStyle name="Итог 2 16 2 2 2 2" xfId="7915"/>
    <cellStyle name="Итог 2 16 2 2 2 2 2" xfId="18819"/>
    <cellStyle name="Итог 2 16 2 2 2 2 3" xfId="34180"/>
    <cellStyle name="Итог 2 16 2 2 2 3" xfId="23803"/>
    <cellStyle name="Итог 2 16 2 2 2 3 2" xfId="39164"/>
    <cellStyle name="Итог 2 16 2 2 2 4" xfId="13256"/>
    <cellStyle name="Итог 2 16 2 2 2 5" xfId="28754"/>
    <cellStyle name="Итог 2 16 2 2 3" xfId="5259"/>
    <cellStyle name="Итог 2 16 2 2 3 2" xfId="10442"/>
    <cellStyle name="Итог 2 16 2 2 3 2 2" xfId="21368"/>
    <cellStyle name="Итог 2 16 2 2 3 2 3" xfId="36729"/>
    <cellStyle name="Итог 2 16 2 2 3 3" xfId="26329"/>
    <cellStyle name="Итог 2 16 2 2 3 3 2" xfId="41690"/>
    <cellStyle name="Итог 2 16 2 2 3 4" xfId="15805"/>
    <cellStyle name="Итог 2 16 2 2 3 5" xfId="31280"/>
    <cellStyle name="Итог 2 16 2 2 4" xfId="6766"/>
    <cellStyle name="Итог 2 16 2 2 4 2" xfId="17661"/>
    <cellStyle name="Итог 2 16 2 2 4 3" xfId="33022"/>
    <cellStyle name="Итог 2 16 2 2 5" xfId="22654"/>
    <cellStyle name="Итог 2 16 2 2 5 2" xfId="38015"/>
    <cellStyle name="Итог 2 16 2 2 6" xfId="12097"/>
    <cellStyle name="Итог 2 16 2 2 7" xfId="27605"/>
    <cellStyle name="Итог 2 16 2 3" xfId="2216"/>
    <cellStyle name="Итог 2 16 2 3 2" xfId="7452"/>
    <cellStyle name="Итог 2 16 2 3 2 2" xfId="18354"/>
    <cellStyle name="Итог 2 16 2 3 2 3" xfId="33715"/>
    <cellStyle name="Итог 2 16 2 3 3" xfId="23340"/>
    <cellStyle name="Итог 2 16 2 3 3 2" xfId="38701"/>
    <cellStyle name="Итог 2 16 2 3 4" xfId="12791"/>
    <cellStyle name="Итог 2 16 2 3 5" xfId="28291"/>
    <cellStyle name="Итог 2 16 2 4" xfId="1694"/>
    <cellStyle name="Итог 2 16 2 4 2" xfId="6938"/>
    <cellStyle name="Итог 2 16 2 4 2 2" xfId="17836"/>
    <cellStyle name="Итог 2 16 2 4 2 3" xfId="33197"/>
    <cellStyle name="Итог 2 16 2 4 3" xfId="22826"/>
    <cellStyle name="Итог 2 16 2 4 3 2" xfId="38187"/>
    <cellStyle name="Итог 2 16 2 4 4" xfId="12272"/>
    <cellStyle name="Итог 2 16 2 4 5" xfId="27777"/>
    <cellStyle name="Итог 2 16 2 5" xfId="3790"/>
    <cellStyle name="Итог 2 16 2 5 2" xfId="8977"/>
    <cellStyle name="Итог 2 16 2 5 2 2" xfId="19904"/>
    <cellStyle name="Итог 2 16 2 5 2 3" xfId="35265"/>
    <cellStyle name="Итог 2 16 2 5 3" xfId="24865"/>
    <cellStyle name="Итог 2 16 2 5 3 2" xfId="40226"/>
    <cellStyle name="Итог 2 16 2 5 4" xfId="14341"/>
    <cellStyle name="Итог 2 16 2 5 5" xfId="29816"/>
    <cellStyle name="Итог 2 16 2 6" xfId="4264"/>
    <cellStyle name="Итог 2 16 2 6 2" xfId="9451"/>
    <cellStyle name="Итог 2 16 2 6 2 2" xfId="20378"/>
    <cellStyle name="Итог 2 16 2 6 2 3" xfId="35739"/>
    <cellStyle name="Итог 2 16 2 6 3" xfId="25339"/>
    <cellStyle name="Итог 2 16 2 6 3 2" xfId="40700"/>
    <cellStyle name="Итог 2 16 2 6 4" xfId="14815"/>
    <cellStyle name="Итог 2 16 2 6 5" xfId="30290"/>
    <cellStyle name="Итог 2 16 2 7" xfId="4562"/>
    <cellStyle name="Итог 2 16 2 7 2" xfId="9749"/>
    <cellStyle name="Итог 2 16 2 7 2 2" xfId="20676"/>
    <cellStyle name="Итог 2 16 2 7 2 3" xfId="36037"/>
    <cellStyle name="Итог 2 16 2 7 3" xfId="25637"/>
    <cellStyle name="Итог 2 16 2 7 3 2" xfId="40998"/>
    <cellStyle name="Итог 2 16 2 7 4" xfId="15113"/>
    <cellStyle name="Итог 2 16 2 7 5" xfId="30588"/>
    <cellStyle name="Итог 2 16 2 8" xfId="6072"/>
    <cellStyle name="Итог 2 16 2 8 2" xfId="16795"/>
    <cellStyle name="Итог 2 16 2 8 3" xfId="32262"/>
    <cellStyle name="Итог 2 16 2 9" xfId="21960"/>
    <cellStyle name="Итог 2 16 2 9 2" xfId="37321"/>
    <cellStyle name="Итог 2 16 3" xfId="82"/>
    <cellStyle name="Итог 2 16 3 2" xfId="2522"/>
    <cellStyle name="Итог 2 16 3 2 2" xfId="7755"/>
    <cellStyle name="Итог 2 16 3 2 2 2" xfId="18657"/>
    <cellStyle name="Итог 2 16 3 2 2 3" xfId="34018"/>
    <cellStyle name="Итог 2 16 3 2 3" xfId="23643"/>
    <cellStyle name="Итог 2 16 3 2 3 2" xfId="39004"/>
    <cellStyle name="Итог 2 16 3 2 4" xfId="13094"/>
    <cellStyle name="Итог 2 16 3 2 5" xfId="28594"/>
    <cellStyle name="Итог 2 16 3 3" xfId="5260"/>
    <cellStyle name="Итог 2 16 3 3 2" xfId="10443"/>
    <cellStyle name="Итог 2 16 3 3 2 2" xfId="21369"/>
    <cellStyle name="Итог 2 16 3 3 2 3" xfId="36730"/>
    <cellStyle name="Итог 2 16 3 3 3" xfId="26330"/>
    <cellStyle name="Итог 2 16 3 3 3 2" xfId="41691"/>
    <cellStyle name="Итог 2 16 3 3 4" xfId="15806"/>
    <cellStyle name="Итог 2 16 3 3 5" xfId="31281"/>
    <cellStyle name="Итог 2 16 3 4" xfId="5608"/>
    <cellStyle name="Итог 2 16 3 4 2" xfId="17389"/>
    <cellStyle name="Итог 2 16 3 4 3" xfId="32856"/>
    <cellStyle name="Итог 2 16 3 5" xfId="17063"/>
    <cellStyle name="Итог 2 16 3 5 2" xfId="32530"/>
    <cellStyle name="Итог 2 16 3 6" xfId="10796"/>
    <cellStyle name="Итог 2 16 3 7" xfId="11123"/>
    <cellStyle name="Итог 2 16 4" xfId="1817"/>
    <cellStyle name="Итог 2 16 4 2" xfId="7056"/>
    <cellStyle name="Итог 2 16 4 2 2" xfId="17958"/>
    <cellStyle name="Итог 2 16 4 2 3" xfId="33319"/>
    <cellStyle name="Итог 2 16 4 3" xfId="22944"/>
    <cellStyle name="Итог 2 16 4 3 2" xfId="38305"/>
    <cellStyle name="Итог 2 16 4 4" xfId="12395"/>
    <cellStyle name="Итог 2 16 4 5" xfId="27895"/>
    <cellStyle name="Итог 2 16 5" xfId="2906"/>
    <cellStyle name="Итог 2 16 5 2" xfId="8113"/>
    <cellStyle name="Итог 2 16 5 2 2" xfId="19033"/>
    <cellStyle name="Итог 2 16 5 2 3" xfId="34394"/>
    <cellStyle name="Итог 2 16 5 3" xfId="24001"/>
    <cellStyle name="Итог 2 16 5 3 2" xfId="39362"/>
    <cellStyle name="Итог 2 16 5 4" xfId="13470"/>
    <cellStyle name="Итог 2 16 5 5" xfId="28952"/>
    <cellStyle name="Итог 2 16 6" xfId="3540"/>
    <cellStyle name="Итог 2 16 6 2" xfId="8727"/>
    <cellStyle name="Итог 2 16 6 2 2" xfId="19654"/>
    <cellStyle name="Итог 2 16 6 2 3" xfId="35015"/>
    <cellStyle name="Итог 2 16 6 3" xfId="24615"/>
    <cellStyle name="Итог 2 16 6 3 2" xfId="39976"/>
    <cellStyle name="Итог 2 16 6 4" xfId="14091"/>
    <cellStyle name="Итог 2 16 6 5" xfId="29566"/>
    <cellStyle name="Итог 2 16 7" xfId="3968"/>
    <cellStyle name="Итог 2 16 7 2" xfId="9155"/>
    <cellStyle name="Итог 2 16 7 2 2" xfId="20082"/>
    <cellStyle name="Итог 2 16 7 2 3" xfId="35443"/>
    <cellStyle name="Итог 2 16 7 3" xfId="25043"/>
    <cellStyle name="Итог 2 16 7 3 2" xfId="40404"/>
    <cellStyle name="Итог 2 16 7 4" xfId="14519"/>
    <cellStyle name="Итог 2 16 7 5" xfId="29994"/>
    <cellStyle name="Итог 2 16 8" xfId="4731"/>
    <cellStyle name="Итог 2 16 8 2" xfId="9918"/>
    <cellStyle name="Итог 2 16 8 2 2" xfId="20845"/>
    <cellStyle name="Итог 2 16 8 2 3" xfId="36206"/>
    <cellStyle name="Итог 2 16 8 3" xfId="25806"/>
    <cellStyle name="Итог 2 16 8 3 2" xfId="41167"/>
    <cellStyle name="Итог 2 16 8 4" xfId="15282"/>
    <cellStyle name="Итог 2 16 8 5" xfId="30757"/>
    <cellStyle name="Итог 2 16 9" xfId="5776"/>
    <cellStyle name="Итог 2 16 9 2" xfId="17115"/>
    <cellStyle name="Итог 2 16 9 3" xfId="32582"/>
    <cellStyle name="Итог 2 17" xfId="409"/>
    <cellStyle name="Итог 2 17 10" xfId="17351"/>
    <cellStyle name="Итог 2 17 10 2" xfId="32818"/>
    <cellStyle name="Итог 2 17 11" xfId="11072"/>
    <cellStyle name="Итог 2 17 12" xfId="10836"/>
    <cellStyle name="Итог 2 17 2" xfId="809"/>
    <cellStyle name="Итог 2 17 2 10" xfId="11393"/>
    <cellStyle name="Итог 2 17 2 11" xfId="26910"/>
    <cellStyle name="Итог 2 17 2 2" xfId="1389"/>
    <cellStyle name="Итог 2 17 2 2 2" xfId="2682"/>
    <cellStyle name="Итог 2 17 2 2 2 2" xfId="7913"/>
    <cellStyle name="Итог 2 17 2 2 2 2 2" xfId="18817"/>
    <cellStyle name="Итог 2 17 2 2 2 2 3" xfId="34178"/>
    <cellStyle name="Итог 2 17 2 2 2 3" xfId="23801"/>
    <cellStyle name="Итог 2 17 2 2 2 3 2" xfId="39162"/>
    <cellStyle name="Итог 2 17 2 2 2 4" xfId="13254"/>
    <cellStyle name="Итог 2 17 2 2 2 5" xfId="28752"/>
    <cellStyle name="Итог 2 17 2 2 3" xfId="5261"/>
    <cellStyle name="Итог 2 17 2 2 3 2" xfId="10444"/>
    <cellStyle name="Итог 2 17 2 2 3 2 2" xfId="21370"/>
    <cellStyle name="Итог 2 17 2 2 3 2 3" xfId="36731"/>
    <cellStyle name="Итог 2 17 2 2 3 3" xfId="26331"/>
    <cellStyle name="Итог 2 17 2 2 3 3 2" xfId="41692"/>
    <cellStyle name="Итог 2 17 2 2 3 4" xfId="15807"/>
    <cellStyle name="Итог 2 17 2 2 3 5" xfId="31282"/>
    <cellStyle name="Итог 2 17 2 2 4" xfId="6639"/>
    <cellStyle name="Итог 2 17 2 2 4 2" xfId="16220"/>
    <cellStyle name="Итог 2 17 2 2 4 3" xfId="31687"/>
    <cellStyle name="Итог 2 17 2 2 5" xfId="22527"/>
    <cellStyle name="Итог 2 17 2 2 5 2" xfId="37888"/>
    <cellStyle name="Итог 2 17 2 2 6" xfId="11969"/>
    <cellStyle name="Итог 2 17 2 2 7" xfId="27478"/>
    <cellStyle name="Итог 2 17 2 3" xfId="2215"/>
    <cellStyle name="Итог 2 17 2 3 2" xfId="7451"/>
    <cellStyle name="Итог 2 17 2 3 2 2" xfId="18353"/>
    <cellStyle name="Итог 2 17 2 3 2 3" xfId="33714"/>
    <cellStyle name="Итог 2 17 2 3 3" xfId="23339"/>
    <cellStyle name="Итог 2 17 2 3 3 2" xfId="38700"/>
    <cellStyle name="Итог 2 17 2 3 4" xfId="12790"/>
    <cellStyle name="Итог 2 17 2 3 5" xfId="28290"/>
    <cellStyle name="Итог 2 17 2 4" xfId="2800"/>
    <cellStyle name="Итог 2 17 2 4 2" xfId="8021"/>
    <cellStyle name="Итог 2 17 2 4 2 2" xfId="18930"/>
    <cellStyle name="Итог 2 17 2 4 2 3" xfId="34291"/>
    <cellStyle name="Итог 2 17 2 4 3" xfId="23909"/>
    <cellStyle name="Итог 2 17 2 4 3 2" xfId="39270"/>
    <cellStyle name="Итог 2 17 2 4 4" xfId="13367"/>
    <cellStyle name="Итог 2 17 2 4 5" xfId="28860"/>
    <cellStyle name="Итог 2 17 2 5" xfId="3632"/>
    <cellStyle name="Итог 2 17 2 5 2" xfId="8819"/>
    <cellStyle name="Итог 2 17 2 5 2 2" xfId="19746"/>
    <cellStyle name="Итог 2 17 2 5 2 3" xfId="35107"/>
    <cellStyle name="Итог 2 17 2 5 3" xfId="24707"/>
    <cellStyle name="Итог 2 17 2 5 3 2" xfId="40068"/>
    <cellStyle name="Итог 2 17 2 5 4" xfId="14183"/>
    <cellStyle name="Итог 2 17 2 5 5" xfId="29658"/>
    <cellStyle name="Итог 2 17 2 6" xfId="4263"/>
    <cellStyle name="Итог 2 17 2 6 2" xfId="9450"/>
    <cellStyle name="Итог 2 17 2 6 2 2" xfId="20377"/>
    <cellStyle name="Итог 2 17 2 6 2 3" xfId="35738"/>
    <cellStyle name="Итог 2 17 2 6 3" xfId="25338"/>
    <cellStyle name="Итог 2 17 2 6 3 2" xfId="40699"/>
    <cellStyle name="Итог 2 17 2 6 4" xfId="14814"/>
    <cellStyle name="Итог 2 17 2 6 5" xfId="30289"/>
    <cellStyle name="Итог 2 17 2 7" xfId="4563"/>
    <cellStyle name="Итог 2 17 2 7 2" xfId="9750"/>
    <cellStyle name="Итог 2 17 2 7 2 2" xfId="20677"/>
    <cellStyle name="Итог 2 17 2 7 2 3" xfId="36038"/>
    <cellStyle name="Итог 2 17 2 7 3" xfId="25638"/>
    <cellStyle name="Итог 2 17 2 7 3 2" xfId="40999"/>
    <cellStyle name="Итог 2 17 2 7 4" xfId="15114"/>
    <cellStyle name="Итог 2 17 2 7 5" xfId="30589"/>
    <cellStyle name="Итог 2 17 2 8" xfId="6071"/>
    <cellStyle name="Итог 2 17 2 8 2" xfId="16796"/>
    <cellStyle name="Итог 2 17 2 8 3" xfId="32263"/>
    <cellStyle name="Итог 2 17 2 9" xfId="21959"/>
    <cellStyle name="Итог 2 17 2 9 2" xfId="37320"/>
    <cellStyle name="Итог 2 17 3" xfId="1562"/>
    <cellStyle name="Итог 2 17 3 2" xfId="2524"/>
    <cellStyle name="Итог 2 17 3 2 2" xfId="7757"/>
    <cellStyle name="Итог 2 17 3 2 2 2" xfId="18659"/>
    <cellStyle name="Итог 2 17 3 2 2 3" xfId="34020"/>
    <cellStyle name="Итог 2 17 3 2 3" xfId="23645"/>
    <cellStyle name="Итог 2 17 3 2 3 2" xfId="39006"/>
    <cellStyle name="Итог 2 17 3 2 4" xfId="13096"/>
    <cellStyle name="Итог 2 17 3 2 5" xfId="28596"/>
    <cellStyle name="Итог 2 17 3 3" xfId="5262"/>
    <cellStyle name="Итог 2 17 3 3 2" xfId="10445"/>
    <cellStyle name="Итог 2 17 3 3 2 2" xfId="21371"/>
    <cellStyle name="Итог 2 17 3 3 2 3" xfId="36732"/>
    <cellStyle name="Итог 2 17 3 3 3" xfId="26332"/>
    <cellStyle name="Итог 2 17 3 3 3 2" xfId="41693"/>
    <cellStyle name="Итог 2 17 3 3 4" xfId="15808"/>
    <cellStyle name="Итог 2 17 3 3 5" xfId="31283"/>
    <cellStyle name="Итог 2 17 3 4" xfId="6809"/>
    <cellStyle name="Итог 2 17 3 4 2" xfId="17704"/>
    <cellStyle name="Итог 2 17 3 4 3" xfId="33065"/>
    <cellStyle name="Итог 2 17 3 5" xfId="22697"/>
    <cellStyle name="Итог 2 17 3 5 2" xfId="38058"/>
    <cellStyle name="Итог 2 17 3 6" xfId="12140"/>
    <cellStyle name="Итог 2 17 3 7" xfId="27648"/>
    <cellStyle name="Итог 2 17 4" xfId="1818"/>
    <cellStyle name="Итог 2 17 4 2" xfId="7057"/>
    <cellStyle name="Итог 2 17 4 2 2" xfId="17959"/>
    <cellStyle name="Итог 2 17 4 2 3" xfId="33320"/>
    <cellStyle name="Итог 2 17 4 3" xfId="22945"/>
    <cellStyle name="Итог 2 17 4 3 2" xfId="38306"/>
    <cellStyle name="Итог 2 17 4 4" xfId="12396"/>
    <cellStyle name="Итог 2 17 4 5" xfId="27896"/>
    <cellStyle name="Итог 2 17 5" xfId="2903"/>
    <cellStyle name="Итог 2 17 5 2" xfId="8110"/>
    <cellStyle name="Итог 2 17 5 2 2" xfId="19030"/>
    <cellStyle name="Итог 2 17 5 2 3" xfId="34391"/>
    <cellStyle name="Итог 2 17 5 3" xfId="23998"/>
    <cellStyle name="Итог 2 17 5 3 2" xfId="39359"/>
    <cellStyle name="Итог 2 17 5 4" xfId="13467"/>
    <cellStyle name="Итог 2 17 5 5" xfId="28949"/>
    <cellStyle name="Итог 2 17 6" xfId="3841"/>
    <cellStyle name="Итог 2 17 6 2" xfId="9028"/>
    <cellStyle name="Итог 2 17 6 2 2" xfId="19955"/>
    <cellStyle name="Итог 2 17 6 2 3" xfId="35316"/>
    <cellStyle name="Итог 2 17 6 3" xfId="24916"/>
    <cellStyle name="Итог 2 17 6 3 2" xfId="40277"/>
    <cellStyle name="Итог 2 17 6 4" xfId="14392"/>
    <cellStyle name="Итог 2 17 6 5" xfId="29867"/>
    <cellStyle name="Итог 2 17 7" xfId="3969"/>
    <cellStyle name="Итог 2 17 7 2" xfId="9156"/>
    <cellStyle name="Итог 2 17 7 2 2" xfId="20083"/>
    <cellStyle name="Итог 2 17 7 2 3" xfId="35444"/>
    <cellStyle name="Итог 2 17 7 3" xfId="25044"/>
    <cellStyle name="Итог 2 17 7 3 2" xfId="40405"/>
    <cellStyle name="Итог 2 17 7 4" xfId="14520"/>
    <cellStyle name="Итог 2 17 7 5" xfId="29995"/>
    <cellStyle name="Итог 2 17 8" xfId="4730"/>
    <cellStyle name="Итог 2 17 8 2" xfId="9917"/>
    <cellStyle name="Итог 2 17 8 2 2" xfId="20844"/>
    <cellStyle name="Итог 2 17 8 2 3" xfId="36205"/>
    <cellStyle name="Итог 2 17 8 3" xfId="25805"/>
    <cellStyle name="Итог 2 17 8 3 2" xfId="41166"/>
    <cellStyle name="Итог 2 17 8 4" xfId="15281"/>
    <cellStyle name="Итог 2 17 8 5" xfId="30756"/>
    <cellStyle name="Итог 2 17 9" xfId="5777"/>
    <cellStyle name="Итог 2 17 9 2" xfId="17114"/>
    <cellStyle name="Итог 2 17 9 3" xfId="32581"/>
    <cellStyle name="Итог 2 18" xfId="410"/>
    <cellStyle name="Итог 2 18 10" xfId="17352"/>
    <cellStyle name="Итог 2 18 10 2" xfId="32819"/>
    <cellStyle name="Итог 2 18 11" xfId="11073"/>
    <cellStyle name="Итог 2 18 12" xfId="10835"/>
    <cellStyle name="Итог 2 18 2" xfId="808"/>
    <cellStyle name="Итог 2 18 2 10" xfId="11392"/>
    <cellStyle name="Итог 2 18 2 11" xfId="26909"/>
    <cellStyle name="Итог 2 18 2 2" xfId="1359"/>
    <cellStyle name="Итог 2 18 2 2 2" xfId="2618"/>
    <cellStyle name="Итог 2 18 2 2 2 2" xfId="7850"/>
    <cellStyle name="Итог 2 18 2 2 2 2 2" xfId="18753"/>
    <cellStyle name="Итог 2 18 2 2 2 2 3" xfId="34114"/>
    <cellStyle name="Итог 2 18 2 2 2 3" xfId="23738"/>
    <cellStyle name="Итог 2 18 2 2 2 3 2" xfId="39099"/>
    <cellStyle name="Итог 2 18 2 2 2 4" xfId="13190"/>
    <cellStyle name="Итог 2 18 2 2 2 5" xfId="28689"/>
    <cellStyle name="Итог 2 18 2 2 3" xfId="5263"/>
    <cellStyle name="Итог 2 18 2 2 3 2" xfId="10446"/>
    <cellStyle name="Итог 2 18 2 2 3 2 2" xfId="21372"/>
    <cellStyle name="Итог 2 18 2 2 3 2 3" xfId="36733"/>
    <cellStyle name="Итог 2 18 2 2 3 3" xfId="26333"/>
    <cellStyle name="Итог 2 18 2 2 3 3 2" xfId="41694"/>
    <cellStyle name="Итог 2 18 2 2 3 4" xfId="15809"/>
    <cellStyle name="Итог 2 18 2 2 3 5" xfId="31284"/>
    <cellStyle name="Итог 2 18 2 2 4" xfId="6610"/>
    <cellStyle name="Итог 2 18 2 2 4 2" xfId="16250"/>
    <cellStyle name="Итог 2 18 2 2 4 3" xfId="31717"/>
    <cellStyle name="Итог 2 18 2 2 5" xfId="22498"/>
    <cellStyle name="Итог 2 18 2 2 5 2" xfId="37859"/>
    <cellStyle name="Итог 2 18 2 2 6" xfId="11939"/>
    <cellStyle name="Итог 2 18 2 2 7" xfId="27449"/>
    <cellStyle name="Итог 2 18 2 3" xfId="2214"/>
    <cellStyle name="Итог 2 18 2 3 2" xfId="7450"/>
    <cellStyle name="Итог 2 18 2 3 2 2" xfId="18352"/>
    <cellStyle name="Итог 2 18 2 3 2 3" xfId="33713"/>
    <cellStyle name="Итог 2 18 2 3 3" xfId="23338"/>
    <cellStyle name="Итог 2 18 2 3 3 2" xfId="38699"/>
    <cellStyle name="Итог 2 18 2 3 4" xfId="12789"/>
    <cellStyle name="Итог 2 18 2 3 5" xfId="28289"/>
    <cellStyle name="Итог 2 18 2 4" xfId="2842"/>
    <cellStyle name="Итог 2 18 2 4 2" xfId="8056"/>
    <cellStyle name="Итог 2 18 2 4 2 2" xfId="18972"/>
    <cellStyle name="Итог 2 18 2 4 2 3" xfId="34333"/>
    <cellStyle name="Итог 2 18 2 4 3" xfId="23944"/>
    <cellStyle name="Итог 2 18 2 4 3 2" xfId="39305"/>
    <cellStyle name="Итог 2 18 2 4 4" xfId="13409"/>
    <cellStyle name="Итог 2 18 2 4 5" xfId="28895"/>
    <cellStyle name="Итог 2 18 2 5" xfId="3791"/>
    <cellStyle name="Итог 2 18 2 5 2" xfId="8978"/>
    <cellStyle name="Итог 2 18 2 5 2 2" xfId="19905"/>
    <cellStyle name="Итог 2 18 2 5 2 3" xfId="35266"/>
    <cellStyle name="Итог 2 18 2 5 3" xfId="24866"/>
    <cellStyle name="Итог 2 18 2 5 3 2" xfId="40227"/>
    <cellStyle name="Итог 2 18 2 5 4" xfId="14342"/>
    <cellStyle name="Итог 2 18 2 5 5" xfId="29817"/>
    <cellStyle name="Итог 2 18 2 6" xfId="4262"/>
    <cellStyle name="Итог 2 18 2 6 2" xfId="9449"/>
    <cellStyle name="Итог 2 18 2 6 2 2" xfId="20376"/>
    <cellStyle name="Итог 2 18 2 6 2 3" xfId="35737"/>
    <cellStyle name="Итог 2 18 2 6 3" xfId="25337"/>
    <cellStyle name="Итог 2 18 2 6 3 2" xfId="40698"/>
    <cellStyle name="Итог 2 18 2 6 4" xfId="14813"/>
    <cellStyle name="Итог 2 18 2 6 5" xfId="30288"/>
    <cellStyle name="Итог 2 18 2 7" xfId="4564"/>
    <cellStyle name="Итог 2 18 2 7 2" xfId="9751"/>
    <cellStyle name="Итог 2 18 2 7 2 2" xfId="20678"/>
    <cellStyle name="Итог 2 18 2 7 2 3" xfId="36039"/>
    <cellStyle name="Итог 2 18 2 7 3" xfId="25639"/>
    <cellStyle name="Итог 2 18 2 7 3 2" xfId="41000"/>
    <cellStyle name="Итог 2 18 2 7 4" xfId="15115"/>
    <cellStyle name="Итог 2 18 2 7 5" xfId="30590"/>
    <cellStyle name="Итог 2 18 2 8" xfId="6070"/>
    <cellStyle name="Итог 2 18 2 8 2" xfId="16797"/>
    <cellStyle name="Итог 2 18 2 8 3" xfId="32264"/>
    <cellStyle name="Итог 2 18 2 9" xfId="21958"/>
    <cellStyle name="Итог 2 18 2 9 2" xfId="37319"/>
    <cellStyle name="Итог 2 18 3" xfId="1592"/>
    <cellStyle name="Итог 2 18 3 2" xfId="2525"/>
    <cellStyle name="Итог 2 18 3 2 2" xfId="7758"/>
    <cellStyle name="Итог 2 18 3 2 2 2" xfId="18660"/>
    <cellStyle name="Итог 2 18 3 2 2 3" xfId="34021"/>
    <cellStyle name="Итог 2 18 3 2 3" xfId="23646"/>
    <cellStyle name="Итог 2 18 3 2 3 2" xfId="39007"/>
    <cellStyle name="Итог 2 18 3 2 4" xfId="13097"/>
    <cellStyle name="Итог 2 18 3 2 5" xfId="28597"/>
    <cellStyle name="Итог 2 18 3 3" xfId="5264"/>
    <cellStyle name="Итог 2 18 3 3 2" xfId="10447"/>
    <cellStyle name="Итог 2 18 3 3 2 2" xfId="21373"/>
    <cellStyle name="Итог 2 18 3 3 2 3" xfId="36734"/>
    <cellStyle name="Итог 2 18 3 3 3" xfId="26334"/>
    <cellStyle name="Итог 2 18 3 3 3 2" xfId="41695"/>
    <cellStyle name="Итог 2 18 3 3 4" xfId="15810"/>
    <cellStyle name="Итог 2 18 3 3 5" xfId="31285"/>
    <cellStyle name="Итог 2 18 3 4" xfId="6839"/>
    <cellStyle name="Итог 2 18 3 4 2" xfId="17734"/>
    <cellStyle name="Итог 2 18 3 4 3" xfId="33095"/>
    <cellStyle name="Итог 2 18 3 5" xfId="22727"/>
    <cellStyle name="Итог 2 18 3 5 2" xfId="38088"/>
    <cellStyle name="Итог 2 18 3 6" xfId="12170"/>
    <cellStyle name="Итог 2 18 3 7" xfId="27678"/>
    <cellStyle name="Итог 2 18 4" xfId="1819"/>
    <cellStyle name="Итог 2 18 4 2" xfId="7058"/>
    <cellStyle name="Итог 2 18 4 2 2" xfId="17960"/>
    <cellStyle name="Итог 2 18 4 2 3" xfId="33321"/>
    <cellStyle name="Итог 2 18 4 3" xfId="22946"/>
    <cellStyle name="Итог 2 18 4 3 2" xfId="38307"/>
    <cellStyle name="Итог 2 18 4 4" xfId="12397"/>
    <cellStyle name="Итог 2 18 4 5" xfId="27897"/>
    <cellStyle name="Итог 2 18 5" xfId="2902"/>
    <cellStyle name="Итог 2 18 5 2" xfId="8109"/>
    <cellStyle name="Итог 2 18 5 2 2" xfId="19029"/>
    <cellStyle name="Итог 2 18 5 2 3" xfId="34390"/>
    <cellStyle name="Итог 2 18 5 3" xfId="23997"/>
    <cellStyle name="Итог 2 18 5 3 2" xfId="39358"/>
    <cellStyle name="Итог 2 18 5 4" xfId="13466"/>
    <cellStyle name="Итог 2 18 5 5" xfId="28948"/>
    <cellStyle name="Итог 2 18 6" xfId="3541"/>
    <cellStyle name="Итог 2 18 6 2" xfId="8728"/>
    <cellStyle name="Итог 2 18 6 2 2" xfId="19655"/>
    <cellStyle name="Итог 2 18 6 2 3" xfId="35016"/>
    <cellStyle name="Итог 2 18 6 3" xfId="24616"/>
    <cellStyle name="Итог 2 18 6 3 2" xfId="39977"/>
    <cellStyle name="Итог 2 18 6 4" xfId="14092"/>
    <cellStyle name="Итог 2 18 6 5" xfId="29567"/>
    <cellStyle name="Итог 2 18 7" xfId="3970"/>
    <cellStyle name="Итог 2 18 7 2" xfId="9157"/>
    <cellStyle name="Итог 2 18 7 2 2" xfId="20084"/>
    <cellStyle name="Итог 2 18 7 2 3" xfId="35445"/>
    <cellStyle name="Итог 2 18 7 3" xfId="25045"/>
    <cellStyle name="Итог 2 18 7 3 2" xfId="40406"/>
    <cellStyle name="Итог 2 18 7 4" xfId="14521"/>
    <cellStyle name="Итог 2 18 7 5" xfId="29996"/>
    <cellStyle name="Итог 2 18 8" xfId="4729"/>
    <cellStyle name="Итог 2 18 8 2" xfId="9916"/>
    <cellStyle name="Итог 2 18 8 2 2" xfId="20843"/>
    <cellStyle name="Итог 2 18 8 2 3" xfId="36204"/>
    <cellStyle name="Итог 2 18 8 3" xfId="25804"/>
    <cellStyle name="Итог 2 18 8 3 2" xfId="41165"/>
    <cellStyle name="Итог 2 18 8 4" xfId="15280"/>
    <cellStyle name="Итог 2 18 8 5" xfId="30755"/>
    <cellStyle name="Итог 2 18 9" xfId="5778"/>
    <cellStyle name="Итог 2 18 9 2" xfId="17113"/>
    <cellStyle name="Итог 2 18 9 3" xfId="32580"/>
    <cellStyle name="Итог 2 19" xfId="411"/>
    <cellStyle name="Итог 2 19 10" xfId="17353"/>
    <cellStyle name="Итог 2 19 10 2" xfId="32820"/>
    <cellStyle name="Итог 2 19 11" xfId="11074"/>
    <cellStyle name="Итог 2 19 12" xfId="10834"/>
    <cellStyle name="Итог 2 19 2" xfId="807"/>
    <cellStyle name="Итог 2 19 2 10" xfId="11391"/>
    <cellStyle name="Итог 2 19 2 11" xfId="26908"/>
    <cellStyle name="Итог 2 19 2 2" xfId="1056"/>
    <cellStyle name="Итог 2 19 2 2 2" xfId="2526"/>
    <cellStyle name="Итог 2 19 2 2 2 2" xfId="7759"/>
    <cellStyle name="Итог 2 19 2 2 2 2 2" xfId="18661"/>
    <cellStyle name="Итог 2 19 2 2 2 2 3" xfId="34022"/>
    <cellStyle name="Итог 2 19 2 2 2 3" xfId="23647"/>
    <cellStyle name="Итог 2 19 2 2 2 3 2" xfId="39008"/>
    <cellStyle name="Итог 2 19 2 2 2 4" xfId="13098"/>
    <cellStyle name="Итог 2 19 2 2 2 5" xfId="28598"/>
    <cellStyle name="Итог 2 19 2 2 3" xfId="5265"/>
    <cellStyle name="Итог 2 19 2 2 3 2" xfId="10448"/>
    <cellStyle name="Итог 2 19 2 2 3 2 2" xfId="21374"/>
    <cellStyle name="Итог 2 19 2 2 3 2 3" xfId="36735"/>
    <cellStyle name="Итог 2 19 2 2 3 3" xfId="26335"/>
    <cellStyle name="Итог 2 19 2 2 3 3 2" xfId="41696"/>
    <cellStyle name="Итог 2 19 2 2 3 4" xfId="15811"/>
    <cellStyle name="Итог 2 19 2 2 3 5" xfId="31286"/>
    <cellStyle name="Итог 2 19 2 2 4" xfId="6313"/>
    <cellStyle name="Итог 2 19 2 2 4 2" xfId="16551"/>
    <cellStyle name="Итог 2 19 2 2 4 3" xfId="32018"/>
    <cellStyle name="Итог 2 19 2 2 5" xfId="22201"/>
    <cellStyle name="Итог 2 19 2 2 5 2" xfId="37562"/>
    <cellStyle name="Итог 2 19 2 2 6" xfId="11638"/>
    <cellStyle name="Итог 2 19 2 2 7" xfId="27152"/>
    <cellStyle name="Итог 2 19 2 3" xfId="2213"/>
    <cellStyle name="Итог 2 19 2 3 2" xfId="7449"/>
    <cellStyle name="Итог 2 19 2 3 2 2" xfId="18351"/>
    <cellStyle name="Итог 2 19 2 3 2 3" xfId="33712"/>
    <cellStyle name="Итог 2 19 2 3 3" xfId="23337"/>
    <cellStyle name="Итог 2 19 2 3 3 2" xfId="38698"/>
    <cellStyle name="Итог 2 19 2 3 4" xfId="12788"/>
    <cellStyle name="Итог 2 19 2 3 5" xfId="28288"/>
    <cellStyle name="Итог 2 19 2 4" xfId="1712"/>
    <cellStyle name="Итог 2 19 2 4 2" xfId="6954"/>
    <cellStyle name="Итог 2 19 2 4 2 2" xfId="17854"/>
    <cellStyle name="Итог 2 19 2 4 2 3" xfId="33215"/>
    <cellStyle name="Итог 2 19 2 4 3" xfId="22842"/>
    <cellStyle name="Итог 2 19 2 4 3 2" xfId="38203"/>
    <cellStyle name="Итог 2 19 2 4 4" xfId="12290"/>
    <cellStyle name="Итог 2 19 2 4 5" xfId="27793"/>
    <cellStyle name="Итог 2 19 2 5" xfId="3631"/>
    <cellStyle name="Итог 2 19 2 5 2" xfId="8818"/>
    <cellStyle name="Итог 2 19 2 5 2 2" xfId="19745"/>
    <cellStyle name="Итог 2 19 2 5 2 3" xfId="35106"/>
    <cellStyle name="Итог 2 19 2 5 3" xfId="24706"/>
    <cellStyle name="Итог 2 19 2 5 3 2" xfId="40067"/>
    <cellStyle name="Итог 2 19 2 5 4" xfId="14182"/>
    <cellStyle name="Итог 2 19 2 5 5" xfId="29657"/>
    <cellStyle name="Итог 2 19 2 6" xfId="4261"/>
    <cellStyle name="Итог 2 19 2 6 2" xfId="9448"/>
    <cellStyle name="Итог 2 19 2 6 2 2" xfId="20375"/>
    <cellStyle name="Итог 2 19 2 6 2 3" xfId="35736"/>
    <cellStyle name="Итог 2 19 2 6 3" xfId="25336"/>
    <cellStyle name="Итог 2 19 2 6 3 2" xfId="40697"/>
    <cellStyle name="Итог 2 19 2 6 4" xfId="14812"/>
    <cellStyle name="Итог 2 19 2 6 5" xfId="30287"/>
    <cellStyle name="Итог 2 19 2 7" xfId="4565"/>
    <cellStyle name="Итог 2 19 2 7 2" xfId="9752"/>
    <cellStyle name="Итог 2 19 2 7 2 2" xfId="20679"/>
    <cellStyle name="Итог 2 19 2 7 2 3" xfId="36040"/>
    <cellStyle name="Итог 2 19 2 7 3" xfId="25640"/>
    <cellStyle name="Итог 2 19 2 7 3 2" xfId="41001"/>
    <cellStyle name="Итог 2 19 2 7 4" xfId="15116"/>
    <cellStyle name="Итог 2 19 2 7 5" xfId="30591"/>
    <cellStyle name="Итог 2 19 2 8" xfId="6069"/>
    <cellStyle name="Итог 2 19 2 8 2" xfId="16798"/>
    <cellStyle name="Итог 2 19 2 8 3" xfId="32265"/>
    <cellStyle name="Итог 2 19 2 9" xfId="21957"/>
    <cellStyle name="Итог 2 19 2 9 2" xfId="37318"/>
    <cellStyle name="Итог 2 19 3" xfId="1033"/>
    <cellStyle name="Итог 2 19 3 2" xfId="2680"/>
    <cellStyle name="Итог 2 19 3 2 2" xfId="7911"/>
    <cellStyle name="Итог 2 19 3 2 2 2" xfId="18815"/>
    <cellStyle name="Итог 2 19 3 2 2 3" xfId="34176"/>
    <cellStyle name="Итог 2 19 3 2 3" xfId="23799"/>
    <cellStyle name="Итог 2 19 3 2 3 2" xfId="39160"/>
    <cellStyle name="Итог 2 19 3 2 4" xfId="13252"/>
    <cellStyle name="Итог 2 19 3 2 5" xfId="28750"/>
    <cellStyle name="Итог 2 19 3 3" xfId="5266"/>
    <cellStyle name="Итог 2 19 3 3 2" xfId="10449"/>
    <cellStyle name="Итог 2 19 3 3 2 2" xfId="21375"/>
    <cellStyle name="Итог 2 19 3 3 2 3" xfId="36736"/>
    <cellStyle name="Итог 2 19 3 3 3" xfId="26336"/>
    <cellStyle name="Итог 2 19 3 3 3 2" xfId="41697"/>
    <cellStyle name="Итог 2 19 3 3 4" xfId="15812"/>
    <cellStyle name="Итог 2 19 3 3 5" xfId="31287"/>
    <cellStyle name="Итог 2 19 3 4" xfId="6291"/>
    <cellStyle name="Итог 2 19 3 4 2" xfId="16573"/>
    <cellStyle name="Итог 2 19 3 4 3" xfId="32040"/>
    <cellStyle name="Итог 2 19 3 5" xfId="22179"/>
    <cellStyle name="Итог 2 19 3 5 2" xfId="37540"/>
    <cellStyle name="Итог 2 19 3 6" xfId="11616"/>
    <cellStyle name="Итог 2 19 3 7" xfId="27130"/>
    <cellStyle name="Итог 2 19 4" xfId="1820"/>
    <cellStyle name="Итог 2 19 4 2" xfId="7059"/>
    <cellStyle name="Итог 2 19 4 2 2" xfId="17961"/>
    <cellStyle name="Итог 2 19 4 2 3" xfId="33322"/>
    <cellStyle name="Итог 2 19 4 3" xfId="22947"/>
    <cellStyle name="Итог 2 19 4 3 2" xfId="38308"/>
    <cellStyle name="Итог 2 19 4 4" xfId="12398"/>
    <cellStyle name="Итог 2 19 4 5" xfId="27898"/>
    <cellStyle name="Итог 2 19 5" xfId="2628"/>
    <cellStyle name="Итог 2 19 5 2" xfId="7859"/>
    <cellStyle name="Итог 2 19 5 2 2" xfId="18763"/>
    <cellStyle name="Итог 2 19 5 2 3" xfId="34124"/>
    <cellStyle name="Итог 2 19 5 3" xfId="23747"/>
    <cellStyle name="Итог 2 19 5 3 2" xfId="39108"/>
    <cellStyle name="Итог 2 19 5 4" xfId="13200"/>
    <cellStyle name="Итог 2 19 5 5" xfId="28698"/>
    <cellStyle name="Итог 2 19 6" xfId="3840"/>
    <cellStyle name="Итог 2 19 6 2" xfId="9027"/>
    <cellStyle name="Итог 2 19 6 2 2" xfId="19954"/>
    <cellStyle name="Итог 2 19 6 2 3" xfId="35315"/>
    <cellStyle name="Итог 2 19 6 3" xfId="24915"/>
    <cellStyle name="Итог 2 19 6 3 2" xfId="40276"/>
    <cellStyle name="Итог 2 19 6 4" xfId="14391"/>
    <cellStyle name="Итог 2 19 6 5" xfId="29866"/>
    <cellStyle name="Итог 2 19 7" xfId="3971"/>
    <cellStyle name="Итог 2 19 7 2" xfId="9158"/>
    <cellStyle name="Итог 2 19 7 2 2" xfId="20085"/>
    <cellStyle name="Итог 2 19 7 2 3" xfId="35446"/>
    <cellStyle name="Итог 2 19 7 3" xfId="25046"/>
    <cellStyle name="Итог 2 19 7 3 2" xfId="40407"/>
    <cellStyle name="Итог 2 19 7 4" xfId="14522"/>
    <cellStyle name="Итог 2 19 7 5" xfId="29997"/>
    <cellStyle name="Итог 2 19 8" xfId="4728"/>
    <cellStyle name="Итог 2 19 8 2" xfId="9915"/>
    <cellStyle name="Итог 2 19 8 2 2" xfId="20842"/>
    <cellStyle name="Итог 2 19 8 2 3" xfId="36203"/>
    <cellStyle name="Итог 2 19 8 3" xfId="25803"/>
    <cellStyle name="Итог 2 19 8 3 2" xfId="41164"/>
    <cellStyle name="Итог 2 19 8 4" xfId="15279"/>
    <cellStyle name="Итог 2 19 8 5" xfId="30754"/>
    <cellStyle name="Итог 2 19 9" xfId="5779"/>
    <cellStyle name="Итог 2 19 9 2" xfId="17112"/>
    <cellStyle name="Итог 2 19 9 3" xfId="32579"/>
    <cellStyle name="Итог 2 2" xfId="412"/>
    <cellStyle name="Итог 2 2 10" xfId="413"/>
    <cellStyle name="Итог 2 2 10 10" xfId="17355"/>
    <cellStyle name="Итог 2 2 10 10 2" xfId="32822"/>
    <cellStyle name="Итог 2 2 10 11" xfId="11076"/>
    <cellStyle name="Итог 2 2 10 12" xfId="10832"/>
    <cellStyle name="Итог 2 2 10 2" xfId="805"/>
    <cellStyle name="Итог 2 2 10 2 10" xfId="11389"/>
    <cellStyle name="Итог 2 2 10 2 11" xfId="26906"/>
    <cellStyle name="Итог 2 2 10 2 2" xfId="1029"/>
    <cellStyle name="Итог 2 2 10 2 2 2" xfId="2678"/>
    <cellStyle name="Итог 2 2 10 2 2 2 2" xfId="7909"/>
    <cellStyle name="Итог 2 2 10 2 2 2 2 2" xfId="18813"/>
    <cellStyle name="Итог 2 2 10 2 2 2 2 3" xfId="34174"/>
    <cellStyle name="Итог 2 2 10 2 2 2 3" xfId="23797"/>
    <cellStyle name="Итог 2 2 10 2 2 2 3 2" xfId="39158"/>
    <cellStyle name="Итог 2 2 10 2 2 2 4" xfId="13250"/>
    <cellStyle name="Итог 2 2 10 2 2 2 5" xfId="28748"/>
    <cellStyle name="Итог 2 2 10 2 2 3" xfId="5267"/>
    <cellStyle name="Итог 2 2 10 2 2 3 2" xfId="10450"/>
    <cellStyle name="Итог 2 2 10 2 2 3 2 2" xfId="21376"/>
    <cellStyle name="Итог 2 2 10 2 2 3 2 3" xfId="36737"/>
    <cellStyle name="Итог 2 2 10 2 2 3 3" xfId="26337"/>
    <cellStyle name="Итог 2 2 10 2 2 3 3 2" xfId="41698"/>
    <cellStyle name="Итог 2 2 10 2 2 3 4" xfId="15813"/>
    <cellStyle name="Итог 2 2 10 2 2 3 5" xfId="31288"/>
    <cellStyle name="Итог 2 2 10 2 2 4" xfId="6287"/>
    <cellStyle name="Итог 2 2 10 2 2 4 2" xfId="16577"/>
    <cellStyle name="Итог 2 2 10 2 2 4 3" xfId="32044"/>
    <cellStyle name="Итог 2 2 10 2 2 5" xfId="22175"/>
    <cellStyle name="Итог 2 2 10 2 2 5 2" xfId="37536"/>
    <cellStyle name="Итог 2 2 10 2 2 6" xfId="11612"/>
    <cellStyle name="Итог 2 2 10 2 2 7" xfId="27126"/>
    <cellStyle name="Итог 2 2 10 2 3" xfId="2211"/>
    <cellStyle name="Итог 2 2 10 2 3 2" xfId="7447"/>
    <cellStyle name="Итог 2 2 10 2 3 2 2" xfId="18349"/>
    <cellStyle name="Итог 2 2 10 2 3 2 3" xfId="33710"/>
    <cellStyle name="Итог 2 2 10 2 3 3" xfId="23335"/>
    <cellStyle name="Итог 2 2 10 2 3 3 2" xfId="38696"/>
    <cellStyle name="Итог 2 2 10 2 3 4" xfId="12786"/>
    <cellStyle name="Итог 2 2 10 2 3 5" xfId="28286"/>
    <cellStyle name="Итог 2 2 10 2 4" xfId="2798"/>
    <cellStyle name="Итог 2 2 10 2 4 2" xfId="8020"/>
    <cellStyle name="Итог 2 2 10 2 4 2 2" xfId="18928"/>
    <cellStyle name="Итог 2 2 10 2 4 2 3" xfId="34289"/>
    <cellStyle name="Итог 2 2 10 2 4 3" xfId="23908"/>
    <cellStyle name="Итог 2 2 10 2 4 3 2" xfId="39269"/>
    <cellStyle name="Итог 2 2 10 2 4 4" xfId="13365"/>
    <cellStyle name="Итог 2 2 10 2 4 5" xfId="28859"/>
    <cellStyle name="Итог 2 2 10 2 5" xfId="3630"/>
    <cellStyle name="Итог 2 2 10 2 5 2" xfId="8817"/>
    <cellStyle name="Итог 2 2 10 2 5 2 2" xfId="19744"/>
    <cellStyle name="Итог 2 2 10 2 5 2 3" xfId="35105"/>
    <cellStyle name="Итог 2 2 10 2 5 3" xfId="24705"/>
    <cellStyle name="Итог 2 2 10 2 5 3 2" xfId="40066"/>
    <cellStyle name="Итог 2 2 10 2 5 4" xfId="14181"/>
    <cellStyle name="Итог 2 2 10 2 5 5" xfId="29656"/>
    <cellStyle name="Итог 2 2 10 2 6" xfId="4259"/>
    <cellStyle name="Итог 2 2 10 2 6 2" xfId="9446"/>
    <cellStyle name="Итог 2 2 10 2 6 2 2" xfId="20373"/>
    <cellStyle name="Итог 2 2 10 2 6 2 3" xfId="35734"/>
    <cellStyle name="Итог 2 2 10 2 6 3" xfId="25334"/>
    <cellStyle name="Итог 2 2 10 2 6 3 2" xfId="40695"/>
    <cellStyle name="Итог 2 2 10 2 6 4" xfId="14810"/>
    <cellStyle name="Итог 2 2 10 2 6 5" xfId="30285"/>
    <cellStyle name="Итог 2 2 10 2 7" xfId="4567"/>
    <cellStyle name="Итог 2 2 10 2 7 2" xfId="9754"/>
    <cellStyle name="Итог 2 2 10 2 7 2 2" xfId="20681"/>
    <cellStyle name="Итог 2 2 10 2 7 2 3" xfId="36042"/>
    <cellStyle name="Итог 2 2 10 2 7 3" xfId="25642"/>
    <cellStyle name="Итог 2 2 10 2 7 3 2" xfId="41003"/>
    <cellStyle name="Итог 2 2 10 2 7 4" xfId="15118"/>
    <cellStyle name="Итог 2 2 10 2 7 5" xfId="30593"/>
    <cellStyle name="Итог 2 2 10 2 8" xfId="6067"/>
    <cellStyle name="Итог 2 2 10 2 8 2" xfId="16800"/>
    <cellStyle name="Итог 2 2 10 2 8 3" xfId="32267"/>
    <cellStyle name="Итог 2 2 10 2 9" xfId="21955"/>
    <cellStyle name="Итог 2 2 10 2 9 2" xfId="37316"/>
    <cellStyle name="Итог 2 2 10 3" xfId="1439"/>
    <cellStyle name="Итог 2 2 10 3 2" xfId="2529"/>
    <cellStyle name="Итог 2 2 10 3 2 2" xfId="7762"/>
    <cellStyle name="Итог 2 2 10 3 2 2 2" xfId="18664"/>
    <cellStyle name="Итог 2 2 10 3 2 2 3" xfId="34025"/>
    <cellStyle name="Итог 2 2 10 3 2 3" xfId="23650"/>
    <cellStyle name="Итог 2 2 10 3 2 3 2" xfId="39011"/>
    <cellStyle name="Итог 2 2 10 3 2 4" xfId="13101"/>
    <cellStyle name="Итог 2 2 10 3 2 5" xfId="28601"/>
    <cellStyle name="Итог 2 2 10 3 3" xfId="5268"/>
    <cellStyle name="Итог 2 2 10 3 3 2" xfId="10451"/>
    <cellStyle name="Итог 2 2 10 3 3 2 2" xfId="21377"/>
    <cellStyle name="Итог 2 2 10 3 3 2 3" xfId="36738"/>
    <cellStyle name="Итог 2 2 10 3 3 3" xfId="26338"/>
    <cellStyle name="Итог 2 2 10 3 3 3 2" xfId="41699"/>
    <cellStyle name="Итог 2 2 10 3 3 4" xfId="15814"/>
    <cellStyle name="Итог 2 2 10 3 3 5" xfId="31289"/>
    <cellStyle name="Итог 2 2 10 3 4" xfId="6687"/>
    <cellStyle name="Итог 2 2 10 3 4 2" xfId="16171"/>
    <cellStyle name="Итог 2 2 10 3 4 3" xfId="31638"/>
    <cellStyle name="Итог 2 2 10 3 5" xfId="22575"/>
    <cellStyle name="Итог 2 2 10 3 5 2" xfId="37936"/>
    <cellStyle name="Итог 2 2 10 3 6" xfId="12018"/>
    <cellStyle name="Итог 2 2 10 3 7" xfId="27526"/>
    <cellStyle name="Итог 2 2 10 4" xfId="1822"/>
    <cellStyle name="Итог 2 2 10 4 2" xfId="7061"/>
    <cellStyle name="Итог 2 2 10 4 2 2" xfId="17963"/>
    <cellStyle name="Итог 2 2 10 4 2 3" xfId="33324"/>
    <cellStyle name="Итог 2 2 10 4 3" xfId="22949"/>
    <cellStyle name="Итог 2 2 10 4 3 2" xfId="38310"/>
    <cellStyle name="Итог 2 2 10 4 4" xfId="12400"/>
    <cellStyle name="Итог 2 2 10 4 5" xfId="27900"/>
    <cellStyle name="Итог 2 2 10 5" xfId="2630"/>
    <cellStyle name="Итог 2 2 10 5 2" xfId="7861"/>
    <cellStyle name="Итог 2 2 10 5 2 2" xfId="18765"/>
    <cellStyle name="Итог 2 2 10 5 2 3" xfId="34126"/>
    <cellStyle name="Итог 2 2 10 5 3" xfId="23749"/>
    <cellStyle name="Итог 2 2 10 5 3 2" xfId="39110"/>
    <cellStyle name="Итог 2 2 10 5 4" xfId="13202"/>
    <cellStyle name="Итог 2 2 10 5 5" xfId="28700"/>
    <cellStyle name="Итог 2 2 10 6" xfId="3839"/>
    <cellStyle name="Итог 2 2 10 6 2" xfId="9026"/>
    <cellStyle name="Итог 2 2 10 6 2 2" xfId="19953"/>
    <cellStyle name="Итог 2 2 10 6 2 3" xfId="35314"/>
    <cellStyle name="Итог 2 2 10 6 3" xfId="24914"/>
    <cellStyle name="Итог 2 2 10 6 3 2" xfId="40275"/>
    <cellStyle name="Итог 2 2 10 6 4" xfId="14390"/>
    <cellStyle name="Итог 2 2 10 6 5" xfId="29865"/>
    <cellStyle name="Итог 2 2 10 7" xfId="3973"/>
    <cellStyle name="Итог 2 2 10 7 2" xfId="9160"/>
    <cellStyle name="Итог 2 2 10 7 2 2" xfId="20087"/>
    <cellStyle name="Итог 2 2 10 7 2 3" xfId="35448"/>
    <cellStyle name="Итог 2 2 10 7 3" xfId="25048"/>
    <cellStyle name="Итог 2 2 10 7 3 2" xfId="40409"/>
    <cellStyle name="Итог 2 2 10 7 4" xfId="14524"/>
    <cellStyle name="Итог 2 2 10 7 5" xfId="29999"/>
    <cellStyle name="Итог 2 2 10 8" xfId="4726"/>
    <cellStyle name="Итог 2 2 10 8 2" xfId="9913"/>
    <cellStyle name="Итог 2 2 10 8 2 2" xfId="20840"/>
    <cellStyle name="Итог 2 2 10 8 2 3" xfId="36201"/>
    <cellStyle name="Итог 2 2 10 8 3" xfId="25801"/>
    <cellStyle name="Итог 2 2 10 8 3 2" xfId="41162"/>
    <cellStyle name="Итог 2 2 10 8 4" xfId="15277"/>
    <cellStyle name="Итог 2 2 10 8 5" xfId="30752"/>
    <cellStyle name="Итог 2 2 10 9" xfId="5781"/>
    <cellStyle name="Итог 2 2 10 9 2" xfId="17110"/>
    <cellStyle name="Итог 2 2 10 9 3" xfId="32577"/>
    <cellStyle name="Итог 2 2 11" xfId="414"/>
    <cellStyle name="Итог 2 2 11 10" xfId="17356"/>
    <cellStyle name="Итог 2 2 11 10 2" xfId="32823"/>
    <cellStyle name="Итог 2 2 11 11" xfId="11077"/>
    <cellStyle name="Итог 2 2 11 12" xfId="10831"/>
    <cellStyle name="Итог 2 2 11 2" xfId="804"/>
    <cellStyle name="Итог 2 2 11 2 10" xfId="11388"/>
    <cellStyle name="Итог 2 2 11 2 11" xfId="26905"/>
    <cellStyle name="Итог 2 2 11 2 2" xfId="990"/>
    <cellStyle name="Итог 2 2 11 2 2 2" xfId="2676"/>
    <cellStyle name="Итог 2 2 11 2 2 2 2" xfId="7907"/>
    <cellStyle name="Итог 2 2 11 2 2 2 2 2" xfId="18811"/>
    <cellStyle name="Итог 2 2 11 2 2 2 2 3" xfId="34172"/>
    <cellStyle name="Итог 2 2 11 2 2 2 3" xfId="23795"/>
    <cellStyle name="Итог 2 2 11 2 2 2 3 2" xfId="39156"/>
    <cellStyle name="Итог 2 2 11 2 2 2 4" xfId="13248"/>
    <cellStyle name="Итог 2 2 11 2 2 2 5" xfId="28746"/>
    <cellStyle name="Итог 2 2 11 2 2 3" xfId="5269"/>
    <cellStyle name="Итог 2 2 11 2 2 3 2" xfId="10452"/>
    <cellStyle name="Итог 2 2 11 2 2 3 2 2" xfId="21378"/>
    <cellStyle name="Итог 2 2 11 2 2 3 2 3" xfId="36739"/>
    <cellStyle name="Итог 2 2 11 2 2 3 3" xfId="26339"/>
    <cellStyle name="Итог 2 2 11 2 2 3 3 2" xfId="41700"/>
    <cellStyle name="Итог 2 2 11 2 2 3 4" xfId="15815"/>
    <cellStyle name="Итог 2 2 11 2 2 3 5" xfId="31290"/>
    <cellStyle name="Итог 2 2 11 2 2 4" xfId="6249"/>
    <cellStyle name="Итог 2 2 11 2 2 4 2" xfId="16616"/>
    <cellStyle name="Итог 2 2 11 2 2 4 3" xfId="32083"/>
    <cellStyle name="Итог 2 2 11 2 2 5" xfId="22137"/>
    <cellStyle name="Итог 2 2 11 2 2 5 2" xfId="37498"/>
    <cellStyle name="Итог 2 2 11 2 2 6" xfId="11573"/>
    <cellStyle name="Итог 2 2 11 2 2 7" xfId="27088"/>
    <cellStyle name="Итог 2 2 11 2 3" xfId="2210"/>
    <cellStyle name="Итог 2 2 11 2 3 2" xfId="7446"/>
    <cellStyle name="Итог 2 2 11 2 3 2 2" xfId="18348"/>
    <cellStyle name="Итог 2 2 11 2 3 2 3" xfId="33709"/>
    <cellStyle name="Итог 2 2 11 2 3 3" xfId="23334"/>
    <cellStyle name="Итог 2 2 11 2 3 3 2" xfId="38695"/>
    <cellStyle name="Итог 2 2 11 2 3 4" xfId="12785"/>
    <cellStyle name="Итог 2 2 11 2 3 5" xfId="28285"/>
    <cellStyle name="Итог 2 2 11 2 4" xfId="2844"/>
    <cellStyle name="Итог 2 2 11 2 4 2" xfId="8057"/>
    <cellStyle name="Итог 2 2 11 2 4 2 2" xfId="18974"/>
    <cellStyle name="Итог 2 2 11 2 4 2 3" xfId="34335"/>
    <cellStyle name="Итог 2 2 11 2 4 3" xfId="23945"/>
    <cellStyle name="Итог 2 2 11 2 4 3 2" xfId="39306"/>
    <cellStyle name="Итог 2 2 11 2 4 4" xfId="13411"/>
    <cellStyle name="Итог 2 2 11 2 4 5" xfId="28896"/>
    <cellStyle name="Итог 2 2 11 2 5" xfId="3629"/>
    <cellStyle name="Итог 2 2 11 2 5 2" xfId="8816"/>
    <cellStyle name="Итог 2 2 11 2 5 2 2" xfId="19743"/>
    <cellStyle name="Итог 2 2 11 2 5 2 3" xfId="35104"/>
    <cellStyle name="Итог 2 2 11 2 5 3" xfId="24704"/>
    <cellStyle name="Итог 2 2 11 2 5 3 2" xfId="40065"/>
    <cellStyle name="Итог 2 2 11 2 5 4" xfId="14180"/>
    <cellStyle name="Итог 2 2 11 2 5 5" xfId="29655"/>
    <cellStyle name="Итог 2 2 11 2 6" xfId="4258"/>
    <cellStyle name="Итог 2 2 11 2 6 2" xfId="9445"/>
    <cellStyle name="Итог 2 2 11 2 6 2 2" xfId="20372"/>
    <cellStyle name="Итог 2 2 11 2 6 2 3" xfId="35733"/>
    <cellStyle name="Итог 2 2 11 2 6 3" xfId="25333"/>
    <cellStyle name="Итог 2 2 11 2 6 3 2" xfId="40694"/>
    <cellStyle name="Итог 2 2 11 2 6 4" xfId="14809"/>
    <cellStyle name="Итог 2 2 11 2 6 5" xfId="30284"/>
    <cellStyle name="Итог 2 2 11 2 7" xfId="4568"/>
    <cellStyle name="Итог 2 2 11 2 7 2" xfId="9755"/>
    <cellStyle name="Итог 2 2 11 2 7 2 2" xfId="20682"/>
    <cellStyle name="Итог 2 2 11 2 7 2 3" xfId="36043"/>
    <cellStyle name="Итог 2 2 11 2 7 3" xfId="25643"/>
    <cellStyle name="Итог 2 2 11 2 7 3 2" xfId="41004"/>
    <cellStyle name="Итог 2 2 11 2 7 4" xfId="15119"/>
    <cellStyle name="Итог 2 2 11 2 7 5" xfId="30594"/>
    <cellStyle name="Итог 2 2 11 2 8" xfId="6066"/>
    <cellStyle name="Итог 2 2 11 2 8 2" xfId="16801"/>
    <cellStyle name="Итог 2 2 11 2 8 3" xfId="32268"/>
    <cellStyle name="Итог 2 2 11 2 9" xfId="21954"/>
    <cellStyle name="Итог 2 2 11 2 9 2" xfId="37315"/>
    <cellStyle name="Итог 2 2 11 3" xfId="1663"/>
    <cellStyle name="Итог 2 2 11 3 2" xfId="2531"/>
    <cellStyle name="Итог 2 2 11 3 2 2" xfId="7764"/>
    <cellStyle name="Итог 2 2 11 3 2 2 2" xfId="18666"/>
    <cellStyle name="Итог 2 2 11 3 2 2 3" xfId="34027"/>
    <cellStyle name="Итог 2 2 11 3 2 3" xfId="23652"/>
    <cellStyle name="Итог 2 2 11 3 2 3 2" xfId="39013"/>
    <cellStyle name="Итог 2 2 11 3 2 4" xfId="13103"/>
    <cellStyle name="Итог 2 2 11 3 2 5" xfId="28603"/>
    <cellStyle name="Итог 2 2 11 3 3" xfId="5270"/>
    <cellStyle name="Итог 2 2 11 3 3 2" xfId="10453"/>
    <cellStyle name="Итог 2 2 11 3 3 2 2" xfId="21379"/>
    <cellStyle name="Итог 2 2 11 3 3 2 3" xfId="36740"/>
    <cellStyle name="Итог 2 2 11 3 3 3" xfId="26340"/>
    <cellStyle name="Итог 2 2 11 3 3 3 2" xfId="41701"/>
    <cellStyle name="Итог 2 2 11 3 3 4" xfId="15816"/>
    <cellStyle name="Итог 2 2 11 3 3 5" xfId="31291"/>
    <cellStyle name="Итог 2 2 11 3 4" xfId="6909"/>
    <cellStyle name="Итог 2 2 11 3 4 2" xfId="17805"/>
    <cellStyle name="Итог 2 2 11 3 4 3" xfId="33166"/>
    <cellStyle name="Итог 2 2 11 3 5" xfId="22797"/>
    <cellStyle name="Итог 2 2 11 3 5 2" xfId="38158"/>
    <cellStyle name="Итог 2 2 11 3 6" xfId="12241"/>
    <cellStyle name="Итог 2 2 11 3 7" xfId="27748"/>
    <cellStyle name="Итог 2 2 11 4" xfId="1823"/>
    <cellStyle name="Итог 2 2 11 4 2" xfId="7062"/>
    <cellStyle name="Итог 2 2 11 4 2 2" xfId="17964"/>
    <cellStyle name="Итог 2 2 11 4 2 3" xfId="33325"/>
    <cellStyle name="Итог 2 2 11 4 3" xfId="22950"/>
    <cellStyle name="Итог 2 2 11 4 3 2" xfId="38311"/>
    <cellStyle name="Итог 2 2 11 4 4" xfId="12401"/>
    <cellStyle name="Итог 2 2 11 4 5" xfId="27901"/>
    <cellStyle name="Итог 2 2 11 5" xfId="2577"/>
    <cellStyle name="Итог 2 2 11 5 2" xfId="7810"/>
    <cellStyle name="Итог 2 2 11 5 2 2" xfId="18712"/>
    <cellStyle name="Итог 2 2 11 5 2 3" xfId="34073"/>
    <cellStyle name="Итог 2 2 11 5 3" xfId="23698"/>
    <cellStyle name="Итог 2 2 11 5 3 2" xfId="39059"/>
    <cellStyle name="Итог 2 2 11 5 4" xfId="13149"/>
    <cellStyle name="Итог 2 2 11 5 5" xfId="28649"/>
    <cellStyle name="Итог 2 2 11 6" xfId="3543"/>
    <cellStyle name="Итог 2 2 11 6 2" xfId="8730"/>
    <cellStyle name="Итог 2 2 11 6 2 2" xfId="19657"/>
    <cellStyle name="Итог 2 2 11 6 2 3" xfId="35018"/>
    <cellStyle name="Итог 2 2 11 6 3" xfId="24618"/>
    <cellStyle name="Итог 2 2 11 6 3 2" xfId="39979"/>
    <cellStyle name="Итог 2 2 11 6 4" xfId="14094"/>
    <cellStyle name="Итог 2 2 11 6 5" xfId="29569"/>
    <cellStyle name="Итог 2 2 11 7" xfId="3974"/>
    <cellStyle name="Итог 2 2 11 7 2" xfId="9161"/>
    <cellStyle name="Итог 2 2 11 7 2 2" xfId="20088"/>
    <cellStyle name="Итог 2 2 11 7 2 3" xfId="35449"/>
    <cellStyle name="Итог 2 2 11 7 3" xfId="25049"/>
    <cellStyle name="Итог 2 2 11 7 3 2" xfId="40410"/>
    <cellStyle name="Итог 2 2 11 7 4" xfId="14525"/>
    <cellStyle name="Итог 2 2 11 7 5" xfId="30000"/>
    <cellStyle name="Итог 2 2 11 8" xfId="4725"/>
    <cellStyle name="Итог 2 2 11 8 2" xfId="9912"/>
    <cellStyle name="Итог 2 2 11 8 2 2" xfId="20839"/>
    <cellStyle name="Итог 2 2 11 8 2 3" xfId="36200"/>
    <cellStyle name="Итог 2 2 11 8 3" xfId="25800"/>
    <cellStyle name="Итог 2 2 11 8 3 2" xfId="41161"/>
    <cellStyle name="Итог 2 2 11 8 4" xfId="15276"/>
    <cellStyle name="Итог 2 2 11 8 5" xfId="30751"/>
    <cellStyle name="Итог 2 2 11 9" xfId="5782"/>
    <cellStyle name="Итог 2 2 11 9 2" xfId="17109"/>
    <cellStyle name="Итог 2 2 11 9 3" xfId="32576"/>
    <cellStyle name="Итог 2 2 12" xfId="415"/>
    <cellStyle name="Итог 2 2 12 10" xfId="17357"/>
    <cellStyle name="Итог 2 2 12 10 2" xfId="32824"/>
    <cellStyle name="Итог 2 2 12 11" xfId="11078"/>
    <cellStyle name="Итог 2 2 12 12" xfId="10830"/>
    <cellStyle name="Итог 2 2 12 2" xfId="803"/>
    <cellStyle name="Итог 2 2 12 2 10" xfId="11387"/>
    <cellStyle name="Итог 2 2 12 2 11" xfId="26904"/>
    <cellStyle name="Итог 2 2 12 2 2" xfId="1659"/>
    <cellStyle name="Итог 2 2 12 2 2 2" xfId="2674"/>
    <cellStyle name="Итог 2 2 12 2 2 2 2" xfId="7905"/>
    <cellStyle name="Итог 2 2 12 2 2 2 2 2" xfId="18809"/>
    <cellStyle name="Итог 2 2 12 2 2 2 2 3" xfId="34170"/>
    <cellStyle name="Итог 2 2 12 2 2 2 3" xfId="23793"/>
    <cellStyle name="Итог 2 2 12 2 2 2 3 2" xfId="39154"/>
    <cellStyle name="Итог 2 2 12 2 2 2 4" xfId="13246"/>
    <cellStyle name="Итог 2 2 12 2 2 2 5" xfId="28744"/>
    <cellStyle name="Итог 2 2 12 2 2 3" xfId="5271"/>
    <cellStyle name="Итог 2 2 12 2 2 3 2" xfId="10454"/>
    <cellStyle name="Итог 2 2 12 2 2 3 2 2" xfId="21380"/>
    <cellStyle name="Итог 2 2 12 2 2 3 2 3" xfId="36741"/>
    <cellStyle name="Итог 2 2 12 2 2 3 3" xfId="26341"/>
    <cellStyle name="Итог 2 2 12 2 2 3 3 2" xfId="41702"/>
    <cellStyle name="Итог 2 2 12 2 2 3 4" xfId="15817"/>
    <cellStyle name="Итог 2 2 12 2 2 3 5" xfId="31292"/>
    <cellStyle name="Итог 2 2 12 2 2 4" xfId="6905"/>
    <cellStyle name="Итог 2 2 12 2 2 4 2" xfId="17801"/>
    <cellStyle name="Итог 2 2 12 2 2 4 3" xfId="33162"/>
    <cellStyle name="Итог 2 2 12 2 2 5" xfId="22793"/>
    <cellStyle name="Итог 2 2 12 2 2 5 2" xfId="38154"/>
    <cellStyle name="Итог 2 2 12 2 2 6" xfId="12237"/>
    <cellStyle name="Итог 2 2 12 2 2 7" xfId="27744"/>
    <cellStyle name="Итог 2 2 12 2 3" xfId="2209"/>
    <cellStyle name="Итог 2 2 12 2 3 2" xfId="7445"/>
    <cellStyle name="Итог 2 2 12 2 3 2 2" xfId="18347"/>
    <cellStyle name="Итог 2 2 12 2 3 2 3" xfId="33708"/>
    <cellStyle name="Итог 2 2 12 2 3 3" xfId="23333"/>
    <cellStyle name="Итог 2 2 12 2 3 3 2" xfId="38694"/>
    <cellStyle name="Итог 2 2 12 2 3 4" xfId="12784"/>
    <cellStyle name="Итог 2 2 12 2 3 5" xfId="28284"/>
    <cellStyle name="Итог 2 2 12 2 4" xfId="2845"/>
    <cellStyle name="Итог 2 2 12 2 4 2" xfId="8058"/>
    <cellStyle name="Итог 2 2 12 2 4 2 2" xfId="18975"/>
    <cellStyle name="Итог 2 2 12 2 4 2 3" xfId="34336"/>
    <cellStyle name="Итог 2 2 12 2 4 3" xfId="23946"/>
    <cellStyle name="Итог 2 2 12 2 4 3 2" xfId="39307"/>
    <cellStyle name="Итог 2 2 12 2 4 4" xfId="13412"/>
    <cellStyle name="Итог 2 2 12 2 4 5" xfId="28897"/>
    <cellStyle name="Итог 2 2 12 2 5" xfId="3794"/>
    <cellStyle name="Итог 2 2 12 2 5 2" xfId="8981"/>
    <cellStyle name="Итог 2 2 12 2 5 2 2" xfId="19908"/>
    <cellStyle name="Итог 2 2 12 2 5 2 3" xfId="35269"/>
    <cellStyle name="Итог 2 2 12 2 5 3" xfId="24869"/>
    <cellStyle name="Итог 2 2 12 2 5 3 2" xfId="40230"/>
    <cellStyle name="Итог 2 2 12 2 5 4" xfId="14345"/>
    <cellStyle name="Итог 2 2 12 2 5 5" xfId="29820"/>
    <cellStyle name="Итог 2 2 12 2 6" xfId="4257"/>
    <cellStyle name="Итог 2 2 12 2 6 2" xfId="9444"/>
    <cellStyle name="Итог 2 2 12 2 6 2 2" xfId="20371"/>
    <cellStyle name="Итог 2 2 12 2 6 2 3" xfId="35732"/>
    <cellStyle name="Итог 2 2 12 2 6 3" xfId="25332"/>
    <cellStyle name="Итог 2 2 12 2 6 3 2" xfId="40693"/>
    <cellStyle name="Итог 2 2 12 2 6 4" xfId="14808"/>
    <cellStyle name="Итог 2 2 12 2 6 5" xfId="30283"/>
    <cellStyle name="Итог 2 2 12 2 7" xfId="4569"/>
    <cellStyle name="Итог 2 2 12 2 7 2" xfId="9756"/>
    <cellStyle name="Итог 2 2 12 2 7 2 2" xfId="20683"/>
    <cellStyle name="Итог 2 2 12 2 7 2 3" xfId="36044"/>
    <cellStyle name="Итог 2 2 12 2 7 3" xfId="25644"/>
    <cellStyle name="Итог 2 2 12 2 7 3 2" xfId="41005"/>
    <cellStyle name="Итог 2 2 12 2 7 4" xfId="15120"/>
    <cellStyle name="Итог 2 2 12 2 7 5" xfId="30595"/>
    <cellStyle name="Итог 2 2 12 2 8" xfId="6065"/>
    <cellStyle name="Итог 2 2 12 2 8 2" xfId="16802"/>
    <cellStyle name="Итог 2 2 12 2 8 3" xfId="32269"/>
    <cellStyle name="Итог 2 2 12 2 9" xfId="21953"/>
    <cellStyle name="Итог 2 2 12 2 9 2" xfId="37314"/>
    <cellStyle name="Итог 2 2 12 3" xfId="1012"/>
    <cellStyle name="Итог 2 2 12 3 2" xfId="2532"/>
    <cellStyle name="Итог 2 2 12 3 2 2" xfId="7765"/>
    <cellStyle name="Итог 2 2 12 3 2 2 2" xfId="18667"/>
    <cellStyle name="Итог 2 2 12 3 2 2 3" xfId="34028"/>
    <cellStyle name="Итог 2 2 12 3 2 3" xfId="23653"/>
    <cellStyle name="Итог 2 2 12 3 2 3 2" xfId="39014"/>
    <cellStyle name="Итог 2 2 12 3 2 4" xfId="13104"/>
    <cellStyle name="Итог 2 2 12 3 2 5" xfId="28604"/>
    <cellStyle name="Итог 2 2 12 3 3" xfId="5272"/>
    <cellStyle name="Итог 2 2 12 3 3 2" xfId="10455"/>
    <cellStyle name="Итог 2 2 12 3 3 2 2" xfId="21381"/>
    <cellStyle name="Итог 2 2 12 3 3 2 3" xfId="36742"/>
    <cellStyle name="Итог 2 2 12 3 3 3" xfId="26342"/>
    <cellStyle name="Итог 2 2 12 3 3 3 2" xfId="41703"/>
    <cellStyle name="Итог 2 2 12 3 3 4" xfId="15818"/>
    <cellStyle name="Итог 2 2 12 3 3 5" xfId="31293"/>
    <cellStyle name="Итог 2 2 12 3 4" xfId="6270"/>
    <cellStyle name="Итог 2 2 12 3 4 2" xfId="16594"/>
    <cellStyle name="Итог 2 2 12 3 4 3" xfId="32061"/>
    <cellStyle name="Итог 2 2 12 3 5" xfId="22158"/>
    <cellStyle name="Итог 2 2 12 3 5 2" xfId="37519"/>
    <cellStyle name="Итог 2 2 12 3 6" xfId="11595"/>
    <cellStyle name="Итог 2 2 12 3 7" xfId="27109"/>
    <cellStyle name="Итог 2 2 12 4" xfId="1824"/>
    <cellStyle name="Итог 2 2 12 4 2" xfId="7063"/>
    <cellStyle name="Итог 2 2 12 4 2 2" xfId="17965"/>
    <cellStyle name="Итог 2 2 12 4 2 3" xfId="33326"/>
    <cellStyle name="Итог 2 2 12 4 3" xfId="22951"/>
    <cellStyle name="Итог 2 2 12 4 3 2" xfId="38312"/>
    <cellStyle name="Итог 2 2 12 4 4" xfId="12402"/>
    <cellStyle name="Итог 2 2 12 4 5" xfId="27902"/>
    <cellStyle name="Итог 2 2 12 5" xfId="2632"/>
    <cellStyle name="Итог 2 2 12 5 2" xfId="7863"/>
    <cellStyle name="Итог 2 2 12 5 2 2" xfId="18767"/>
    <cellStyle name="Итог 2 2 12 5 2 3" xfId="34128"/>
    <cellStyle name="Итог 2 2 12 5 3" xfId="23751"/>
    <cellStyle name="Итог 2 2 12 5 3 2" xfId="39112"/>
    <cellStyle name="Итог 2 2 12 5 4" xfId="13204"/>
    <cellStyle name="Итог 2 2 12 5 5" xfId="28702"/>
    <cellStyle name="Итог 2 2 12 6" xfId="3713"/>
    <cellStyle name="Итог 2 2 12 6 2" xfId="8900"/>
    <cellStyle name="Итог 2 2 12 6 2 2" xfId="19827"/>
    <cellStyle name="Итог 2 2 12 6 2 3" xfId="35188"/>
    <cellStyle name="Итог 2 2 12 6 3" xfId="24788"/>
    <cellStyle name="Итог 2 2 12 6 3 2" xfId="40149"/>
    <cellStyle name="Итог 2 2 12 6 4" xfId="14264"/>
    <cellStyle name="Итог 2 2 12 6 5" xfId="29739"/>
    <cellStyle name="Итог 2 2 12 7" xfId="3975"/>
    <cellStyle name="Итог 2 2 12 7 2" xfId="9162"/>
    <cellStyle name="Итог 2 2 12 7 2 2" xfId="20089"/>
    <cellStyle name="Итог 2 2 12 7 2 3" xfId="35450"/>
    <cellStyle name="Итог 2 2 12 7 3" xfId="25050"/>
    <cellStyle name="Итог 2 2 12 7 3 2" xfId="40411"/>
    <cellStyle name="Итог 2 2 12 7 4" xfId="14526"/>
    <cellStyle name="Итог 2 2 12 7 5" xfId="30001"/>
    <cellStyle name="Итог 2 2 12 8" xfId="4414"/>
    <cellStyle name="Итог 2 2 12 8 2" xfId="9601"/>
    <cellStyle name="Итог 2 2 12 8 2 2" xfId="20528"/>
    <cellStyle name="Итог 2 2 12 8 2 3" xfId="35889"/>
    <cellStyle name="Итог 2 2 12 8 3" xfId="25489"/>
    <cellStyle name="Итог 2 2 12 8 3 2" xfId="40850"/>
    <cellStyle name="Итог 2 2 12 8 4" xfId="14965"/>
    <cellStyle name="Итог 2 2 12 8 5" xfId="30440"/>
    <cellStyle name="Итог 2 2 12 9" xfId="5783"/>
    <cellStyle name="Итог 2 2 12 9 2" xfId="17108"/>
    <cellStyle name="Итог 2 2 12 9 3" xfId="32575"/>
    <cellStyle name="Итог 2 2 13" xfId="416"/>
    <cellStyle name="Итог 2 2 13 10" xfId="17358"/>
    <cellStyle name="Итог 2 2 13 10 2" xfId="32825"/>
    <cellStyle name="Итог 2 2 13 11" xfId="11079"/>
    <cellStyle name="Итог 2 2 13 12" xfId="10829"/>
    <cellStyle name="Итог 2 2 13 2" xfId="802"/>
    <cellStyle name="Итог 2 2 13 2 10" xfId="11386"/>
    <cellStyle name="Итог 2 2 13 2 11" xfId="26903"/>
    <cellStyle name="Итог 2 2 13 2 2" xfId="1597"/>
    <cellStyle name="Итог 2 2 13 2 2 2" xfId="2673"/>
    <cellStyle name="Итог 2 2 13 2 2 2 2" xfId="7904"/>
    <cellStyle name="Итог 2 2 13 2 2 2 2 2" xfId="18808"/>
    <cellStyle name="Итог 2 2 13 2 2 2 2 3" xfId="34169"/>
    <cellStyle name="Итог 2 2 13 2 2 2 3" xfId="23792"/>
    <cellStyle name="Итог 2 2 13 2 2 2 3 2" xfId="39153"/>
    <cellStyle name="Итог 2 2 13 2 2 2 4" xfId="13245"/>
    <cellStyle name="Итог 2 2 13 2 2 2 5" xfId="28743"/>
    <cellStyle name="Итог 2 2 13 2 2 3" xfId="5273"/>
    <cellStyle name="Итог 2 2 13 2 2 3 2" xfId="10456"/>
    <cellStyle name="Итог 2 2 13 2 2 3 2 2" xfId="21382"/>
    <cellStyle name="Итог 2 2 13 2 2 3 2 3" xfId="36743"/>
    <cellStyle name="Итог 2 2 13 2 2 3 3" xfId="26343"/>
    <cellStyle name="Итог 2 2 13 2 2 3 3 2" xfId="41704"/>
    <cellStyle name="Итог 2 2 13 2 2 3 4" xfId="15819"/>
    <cellStyle name="Итог 2 2 13 2 2 3 5" xfId="31294"/>
    <cellStyle name="Итог 2 2 13 2 2 4" xfId="6844"/>
    <cellStyle name="Итог 2 2 13 2 2 4 2" xfId="17739"/>
    <cellStyle name="Итог 2 2 13 2 2 4 3" xfId="33100"/>
    <cellStyle name="Итог 2 2 13 2 2 5" xfId="22732"/>
    <cellStyle name="Итог 2 2 13 2 2 5 2" xfId="38093"/>
    <cellStyle name="Итог 2 2 13 2 2 6" xfId="12175"/>
    <cellStyle name="Итог 2 2 13 2 2 7" xfId="27683"/>
    <cellStyle name="Итог 2 2 13 2 3" xfId="2208"/>
    <cellStyle name="Итог 2 2 13 2 3 2" xfId="7444"/>
    <cellStyle name="Итог 2 2 13 2 3 2 2" xfId="18346"/>
    <cellStyle name="Итог 2 2 13 2 3 2 3" xfId="33707"/>
    <cellStyle name="Итог 2 2 13 2 3 3" xfId="23332"/>
    <cellStyle name="Итог 2 2 13 2 3 3 2" xfId="38693"/>
    <cellStyle name="Итог 2 2 13 2 3 4" xfId="12783"/>
    <cellStyle name="Итог 2 2 13 2 3 5" xfId="28283"/>
    <cellStyle name="Итог 2 2 13 2 4" xfId="1094"/>
    <cellStyle name="Итог 2 2 13 2 4 2" xfId="6350"/>
    <cellStyle name="Итог 2 2 13 2 4 2 2" xfId="16513"/>
    <cellStyle name="Итог 2 2 13 2 4 2 3" xfId="31980"/>
    <cellStyle name="Итог 2 2 13 2 4 3" xfId="22238"/>
    <cellStyle name="Итог 2 2 13 2 4 3 2" xfId="37599"/>
    <cellStyle name="Итог 2 2 13 2 4 4" xfId="11676"/>
    <cellStyle name="Итог 2 2 13 2 4 5" xfId="27189"/>
    <cellStyle name="Итог 2 2 13 2 5" xfId="3628"/>
    <cellStyle name="Итог 2 2 13 2 5 2" xfId="8815"/>
    <cellStyle name="Итог 2 2 13 2 5 2 2" xfId="19742"/>
    <cellStyle name="Итог 2 2 13 2 5 2 3" xfId="35103"/>
    <cellStyle name="Итог 2 2 13 2 5 3" xfId="24703"/>
    <cellStyle name="Итог 2 2 13 2 5 3 2" xfId="40064"/>
    <cellStyle name="Итог 2 2 13 2 5 4" xfId="14179"/>
    <cellStyle name="Итог 2 2 13 2 5 5" xfId="29654"/>
    <cellStyle name="Итог 2 2 13 2 6" xfId="4256"/>
    <cellStyle name="Итог 2 2 13 2 6 2" xfId="9443"/>
    <cellStyle name="Итог 2 2 13 2 6 2 2" xfId="20370"/>
    <cellStyle name="Итог 2 2 13 2 6 2 3" xfId="35731"/>
    <cellStyle name="Итог 2 2 13 2 6 3" xfId="25331"/>
    <cellStyle name="Итог 2 2 13 2 6 3 2" xfId="40692"/>
    <cellStyle name="Итог 2 2 13 2 6 4" xfId="14807"/>
    <cellStyle name="Итог 2 2 13 2 6 5" xfId="30282"/>
    <cellStyle name="Итог 2 2 13 2 7" xfId="4570"/>
    <cellStyle name="Итог 2 2 13 2 7 2" xfId="9757"/>
    <cellStyle name="Итог 2 2 13 2 7 2 2" xfId="20684"/>
    <cellStyle name="Итог 2 2 13 2 7 2 3" xfId="36045"/>
    <cellStyle name="Итог 2 2 13 2 7 3" xfId="25645"/>
    <cellStyle name="Итог 2 2 13 2 7 3 2" xfId="41006"/>
    <cellStyle name="Итог 2 2 13 2 7 4" xfId="15121"/>
    <cellStyle name="Итог 2 2 13 2 7 5" xfId="30596"/>
    <cellStyle name="Итог 2 2 13 2 8" xfId="6064"/>
    <cellStyle name="Итог 2 2 13 2 8 2" xfId="16803"/>
    <cellStyle name="Итог 2 2 13 2 8 3" xfId="32270"/>
    <cellStyle name="Итог 2 2 13 2 9" xfId="21952"/>
    <cellStyle name="Итог 2 2 13 2 9 2" xfId="37313"/>
    <cellStyle name="Итог 2 2 13 3" xfId="1605"/>
    <cellStyle name="Итог 2 2 13 3 2" xfId="2685"/>
    <cellStyle name="Итог 2 2 13 3 2 2" xfId="7916"/>
    <cellStyle name="Итог 2 2 13 3 2 2 2" xfId="18820"/>
    <cellStyle name="Итог 2 2 13 3 2 2 3" xfId="34181"/>
    <cellStyle name="Итог 2 2 13 3 2 3" xfId="23804"/>
    <cellStyle name="Итог 2 2 13 3 2 3 2" xfId="39165"/>
    <cellStyle name="Итог 2 2 13 3 2 4" xfId="13257"/>
    <cellStyle name="Итог 2 2 13 3 2 5" xfId="28755"/>
    <cellStyle name="Итог 2 2 13 3 3" xfId="5274"/>
    <cellStyle name="Итог 2 2 13 3 3 2" xfId="10457"/>
    <cellStyle name="Итог 2 2 13 3 3 2 2" xfId="21383"/>
    <cellStyle name="Итог 2 2 13 3 3 2 3" xfId="36744"/>
    <cellStyle name="Итог 2 2 13 3 3 3" xfId="26344"/>
    <cellStyle name="Итог 2 2 13 3 3 3 2" xfId="41705"/>
    <cellStyle name="Итог 2 2 13 3 3 4" xfId="15820"/>
    <cellStyle name="Итог 2 2 13 3 3 5" xfId="31295"/>
    <cellStyle name="Итог 2 2 13 3 4" xfId="6852"/>
    <cellStyle name="Итог 2 2 13 3 4 2" xfId="17747"/>
    <cellStyle name="Итог 2 2 13 3 4 3" xfId="33108"/>
    <cellStyle name="Итог 2 2 13 3 5" xfId="22740"/>
    <cellStyle name="Итог 2 2 13 3 5 2" xfId="38101"/>
    <cellStyle name="Итог 2 2 13 3 6" xfId="12183"/>
    <cellStyle name="Итог 2 2 13 3 7" xfId="27691"/>
    <cellStyle name="Итог 2 2 13 4" xfId="1825"/>
    <cellStyle name="Итог 2 2 13 4 2" xfId="7064"/>
    <cellStyle name="Итог 2 2 13 4 2 2" xfId="17966"/>
    <cellStyle name="Итог 2 2 13 4 2 3" xfId="33327"/>
    <cellStyle name="Итог 2 2 13 4 3" xfId="22952"/>
    <cellStyle name="Итог 2 2 13 4 3 2" xfId="38313"/>
    <cellStyle name="Итог 2 2 13 4 4" xfId="12403"/>
    <cellStyle name="Итог 2 2 13 4 5" xfId="27903"/>
    <cellStyle name="Итог 2 2 13 5" xfId="2575"/>
    <cellStyle name="Итог 2 2 13 5 2" xfId="7808"/>
    <cellStyle name="Итог 2 2 13 5 2 2" xfId="18710"/>
    <cellStyle name="Итог 2 2 13 5 2 3" xfId="34071"/>
    <cellStyle name="Итог 2 2 13 5 3" xfId="23696"/>
    <cellStyle name="Итог 2 2 13 5 3 2" xfId="39057"/>
    <cellStyle name="Итог 2 2 13 5 4" xfId="13147"/>
    <cellStyle name="Итог 2 2 13 5 5" xfId="28647"/>
    <cellStyle name="Итог 2 2 13 6" xfId="3838"/>
    <cellStyle name="Итог 2 2 13 6 2" xfId="9025"/>
    <cellStyle name="Итог 2 2 13 6 2 2" xfId="19952"/>
    <cellStyle name="Итог 2 2 13 6 2 3" xfId="35313"/>
    <cellStyle name="Итог 2 2 13 6 3" xfId="24913"/>
    <cellStyle name="Итог 2 2 13 6 3 2" xfId="40274"/>
    <cellStyle name="Итог 2 2 13 6 4" xfId="14389"/>
    <cellStyle name="Итог 2 2 13 6 5" xfId="29864"/>
    <cellStyle name="Итог 2 2 13 7" xfId="3976"/>
    <cellStyle name="Итог 2 2 13 7 2" xfId="9163"/>
    <cellStyle name="Итог 2 2 13 7 2 2" xfId="20090"/>
    <cellStyle name="Итог 2 2 13 7 2 3" xfId="35451"/>
    <cellStyle name="Итог 2 2 13 7 3" xfId="25051"/>
    <cellStyle name="Итог 2 2 13 7 3 2" xfId="40412"/>
    <cellStyle name="Итог 2 2 13 7 4" xfId="14527"/>
    <cellStyle name="Итог 2 2 13 7 5" xfId="30002"/>
    <cellStyle name="Итог 2 2 13 8" xfId="4724"/>
    <cellStyle name="Итог 2 2 13 8 2" xfId="9911"/>
    <cellStyle name="Итог 2 2 13 8 2 2" xfId="20838"/>
    <cellStyle name="Итог 2 2 13 8 2 3" xfId="36199"/>
    <cellStyle name="Итог 2 2 13 8 3" xfId="25799"/>
    <cellStyle name="Итог 2 2 13 8 3 2" xfId="41160"/>
    <cellStyle name="Итог 2 2 13 8 4" xfId="15275"/>
    <cellStyle name="Итог 2 2 13 8 5" xfId="30750"/>
    <cellStyle name="Итог 2 2 13 9" xfId="5784"/>
    <cellStyle name="Итог 2 2 13 9 2" xfId="17107"/>
    <cellStyle name="Итог 2 2 13 9 3" xfId="32574"/>
    <cellStyle name="Итог 2 2 14" xfId="417"/>
    <cellStyle name="Итог 2 2 14 10" xfId="17359"/>
    <cellStyle name="Итог 2 2 14 10 2" xfId="32826"/>
    <cellStyle name="Итог 2 2 14 11" xfId="11080"/>
    <cellStyle name="Итог 2 2 14 12" xfId="10828"/>
    <cellStyle name="Итог 2 2 14 2" xfId="801"/>
    <cellStyle name="Итог 2 2 14 2 10" xfId="11385"/>
    <cellStyle name="Итог 2 2 14 2 11" xfId="26902"/>
    <cellStyle name="Итог 2 2 14 2 2" xfId="1006"/>
    <cellStyle name="Итог 2 2 14 2 2 2" xfId="2533"/>
    <cellStyle name="Итог 2 2 14 2 2 2 2" xfId="7766"/>
    <cellStyle name="Итог 2 2 14 2 2 2 2 2" xfId="18668"/>
    <cellStyle name="Итог 2 2 14 2 2 2 2 3" xfId="34029"/>
    <cellStyle name="Итог 2 2 14 2 2 2 3" xfId="23654"/>
    <cellStyle name="Итог 2 2 14 2 2 2 3 2" xfId="39015"/>
    <cellStyle name="Итог 2 2 14 2 2 2 4" xfId="13105"/>
    <cellStyle name="Итог 2 2 14 2 2 2 5" xfId="28605"/>
    <cellStyle name="Итог 2 2 14 2 2 3" xfId="5275"/>
    <cellStyle name="Итог 2 2 14 2 2 3 2" xfId="10458"/>
    <cellStyle name="Итог 2 2 14 2 2 3 2 2" xfId="21384"/>
    <cellStyle name="Итог 2 2 14 2 2 3 2 3" xfId="36745"/>
    <cellStyle name="Итог 2 2 14 2 2 3 3" xfId="26345"/>
    <cellStyle name="Итог 2 2 14 2 2 3 3 2" xfId="41706"/>
    <cellStyle name="Итог 2 2 14 2 2 3 4" xfId="15821"/>
    <cellStyle name="Итог 2 2 14 2 2 3 5" xfId="31296"/>
    <cellStyle name="Итог 2 2 14 2 2 4" xfId="6265"/>
    <cellStyle name="Итог 2 2 14 2 2 4 2" xfId="16600"/>
    <cellStyle name="Итог 2 2 14 2 2 4 3" xfId="32067"/>
    <cellStyle name="Итог 2 2 14 2 2 5" xfId="22153"/>
    <cellStyle name="Итог 2 2 14 2 2 5 2" xfId="37514"/>
    <cellStyle name="Итог 2 2 14 2 2 6" xfId="11589"/>
    <cellStyle name="Итог 2 2 14 2 2 7" xfId="27104"/>
    <cellStyle name="Итог 2 2 14 2 3" xfId="2207"/>
    <cellStyle name="Итог 2 2 14 2 3 2" xfId="7443"/>
    <cellStyle name="Итог 2 2 14 2 3 2 2" xfId="18345"/>
    <cellStyle name="Итог 2 2 14 2 3 2 3" xfId="33706"/>
    <cellStyle name="Итог 2 2 14 2 3 3" xfId="23331"/>
    <cellStyle name="Итог 2 2 14 2 3 3 2" xfId="38692"/>
    <cellStyle name="Итог 2 2 14 2 3 4" xfId="12782"/>
    <cellStyle name="Итог 2 2 14 2 3 5" xfId="28282"/>
    <cellStyle name="Итог 2 2 14 2 4" xfId="1769"/>
    <cellStyle name="Итог 2 2 14 2 4 2" xfId="7008"/>
    <cellStyle name="Итог 2 2 14 2 4 2 2" xfId="17910"/>
    <cellStyle name="Итог 2 2 14 2 4 2 3" xfId="33271"/>
    <cellStyle name="Итог 2 2 14 2 4 3" xfId="22896"/>
    <cellStyle name="Итог 2 2 14 2 4 3 2" xfId="38257"/>
    <cellStyle name="Итог 2 2 14 2 4 4" xfId="12347"/>
    <cellStyle name="Итог 2 2 14 2 4 5" xfId="27847"/>
    <cellStyle name="Итог 2 2 14 2 5" xfId="3795"/>
    <cellStyle name="Итог 2 2 14 2 5 2" xfId="8982"/>
    <cellStyle name="Итог 2 2 14 2 5 2 2" xfId="19909"/>
    <cellStyle name="Итог 2 2 14 2 5 2 3" xfId="35270"/>
    <cellStyle name="Итог 2 2 14 2 5 3" xfId="24870"/>
    <cellStyle name="Итог 2 2 14 2 5 3 2" xfId="40231"/>
    <cellStyle name="Итог 2 2 14 2 5 4" xfId="14346"/>
    <cellStyle name="Итог 2 2 14 2 5 5" xfId="29821"/>
    <cellStyle name="Итог 2 2 14 2 6" xfId="4255"/>
    <cellStyle name="Итог 2 2 14 2 6 2" xfId="9442"/>
    <cellStyle name="Итог 2 2 14 2 6 2 2" xfId="20369"/>
    <cellStyle name="Итог 2 2 14 2 6 2 3" xfId="35730"/>
    <cellStyle name="Итог 2 2 14 2 6 3" xfId="25330"/>
    <cellStyle name="Итог 2 2 14 2 6 3 2" xfId="40691"/>
    <cellStyle name="Итог 2 2 14 2 6 4" xfId="14806"/>
    <cellStyle name="Итог 2 2 14 2 6 5" xfId="30281"/>
    <cellStyle name="Итог 2 2 14 2 7" xfId="4571"/>
    <cellStyle name="Итог 2 2 14 2 7 2" xfId="9758"/>
    <cellStyle name="Итог 2 2 14 2 7 2 2" xfId="20685"/>
    <cellStyle name="Итог 2 2 14 2 7 2 3" xfId="36046"/>
    <cellStyle name="Итог 2 2 14 2 7 3" xfId="25646"/>
    <cellStyle name="Итог 2 2 14 2 7 3 2" xfId="41007"/>
    <cellStyle name="Итог 2 2 14 2 7 4" xfId="15122"/>
    <cellStyle name="Итог 2 2 14 2 7 5" xfId="30597"/>
    <cellStyle name="Итог 2 2 14 2 8" xfId="6063"/>
    <cellStyle name="Итог 2 2 14 2 8 2" xfId="16804"/>
    <cellStyle name="Итог 2 2 14 2 8 3" xfId="32271"/>
    <cellStyle name="Итог 2 2 14 2 9" xfId="21951"/>
    <cellStyle name="Итог 2 2 14 2 9 2" xfId="37312"/>
    <cellStyle name="Итог 2 2 14 3" xfId="982"/>
    <cellStyle name="Итог 2 2 14 3 2" xfId="2672"/>
    <cellStyle name="Итог 2 2 14 3 2 2" xfId="7903"/>
    <cellStyle name="Итог 2 2 14 3 2 2 2" xfId="18807"/>
    <cellStyle name="Итог 2 2 14 3 2 2 3" xfId="34168"/>
    <cellStyle name="Итог 2 2 14 3 2 3" xfId="23791"/>
    <cellStyle name="Итог 2 2 14 3 2 3 2" xfId="39152"/>
    <cellStyle name="Итог 2 2 14 3 2 4" xfId="13244"/>
    <cellStyle name="Итог 2 2 14 3 2 5" xfId="28742"/>
    <cellStyle name="Итог 2 2 14 3 3" xfId="5276"/>
    <cellStyle name="Итог 2 2 14 3 3 2" xfId="10459"/>
    <cellStyle name="Итог 2 2 14 3 3 2 2" xfId="21385"/>
    <cellStyle name="Итог 2 2 14 3 3 2 3" xfId="36746"/>
    <cellStyle name="Итог 2 2 14 3 3 3" xfId="26346"/>
    <cellStyle name="Итог 2 2 14 3 3 3 2" xfId="41707"/>
    <cellStyle name="Итог 2 2 14 3 3 4" xfId="15822"/>
    <cellStyle name="Итог 2 2 14 3 3 5" xfId="31297"/>
    <cellStyle name="Итог 2 2 14 3 4" xfId="6241"/>
    <cellStyle name="Итог 2 2 14 3 4 2" xfId="16624"/>
    <cellStyle name="Итог 2 2 14 3 4 3" xfId="32091"/>
    <cellStyle name="Итог 2 2 14 3 5" xfId="22129"/>
    <cellStyle name="Итог 2 2 14 3 5 2" xfId="37490"/>
    <cellStyle name="Итог 2 2 14 3 6" xfId="11565"/>
    <cellStyle name="Итог 2 2 14 3 7" xfId="27080"/>
    <cellStyle name="Итог 2 2 14 4" xfId="1826"/>
    <cellStyle name="Итог 2 2 14 4 2" xfId="7065"/>
    <cellStyle name="Итог 2 2 14 4 2 2" xfId="17967"/>
    <cellStyle name="Итог 2 2 14 4 2 3" xfId="33328"/>
    <cellStyle name="Итог 2 2 14 4 3" xfId="22953"/>
    <cellStyle name="Итог 2 2 14 4 3 2" xfId="38314"/>
    <cellStyle name="Итог 2 2 14 4 4" xfId="12404"/>
    <cellStyle name="Итог 2 2 14 4 5" xfId="27904"/>
    <cellStyle name="Итог 2 2 14 5" xfId="2634"/>
    <cellStyle name="Итог 2 2 14 5 2" xfId="7865"/>
    <cellStyle name="Итог 2 2 14 5 2 2" xfId="18769"/>
    <cellStyle name="Итог 2 2 14 5 2 3" xfId="34130"/>
    <cellStyle name="Итог 2 2 14 5 3" xfId="23753"/>
    <cellStyle name="Итог 2 2 14 5 3 2" xfId="39114"/>
    <cellStyle name="Итог 2 2 14 5 4" xfId="13206"/>
    <cellStyle name="Итог 2 2 14 5 5" xfId="28704"/>
    <cellStyle name="Итог 2 2 14 6" xfId="3544"/>
    <cellStyle name="Итог 2 2 14 6 2" xfId="8731"/>
    <cellStyle name="Итог 2 2 14 6 2 2" xfId="19658"/>
    <cellStyle name="Итог 2 2 14 6 2 3" xfId="35019"/>
    <cellStyle name="Итог 2 2 14 6 3" xfId="24619"/>
    <cellStyle name="Итог 2 2 14 6 3 2" xfId="39980"/>
    <cellStyle name="Итог 2 2 14 6 4" xfId="14095"/>
    <cellStyle name="Итог 2 2 14 6 5" xfId="29570"/>
    <cellStyle name="Итог 2 2 14 7" xfId="3977"/>
    <cellStyle name="Итог 2 2 14 7 2" xfId="9164"/>
    <cellStyle name="Итог 2 2 14 7 2 2" xfId="20091"/>
    <cellStyle name="Итог 2 2 14 7 2 3" xfId="35452"/>
    <cellStyle name="Итог 2 2 14 7 3" xfId="25052"/>
    <cellStyle name="Итог 2 2 14 7 3 2" xfId="40413"/>
    <cellStyle name="Итог 2 2 14 7 4" xfId="14528"/>
    <cellStyle name="Итог 2 2 14 7 5" xfId="30003"/>
    <cellStyle name="Итог 2 2 14 8" xfId="4723"/>
    <cellStyle name="Итог 2 2 14 8 2" xfId="9910"/>
    <cellStyle name="Итог 2 2 14 8 2 2" xfId="20837"/>
    <cellStyle name="Итог 2 2 14 8 2 3" xfId="36198"/>
    <cellStyle name="Итог 2 2 14 8 3" xfId="25798"/>
    <cellStyle name="Итог 2 2 14 8 3 2" xfId="41159"/>
    <cellStyle name="Итог 2 2 14 8 4" xfId="15274"/>
    <cellStyle name="Итог 2 2 14 8 5" xfId="30749"/>
    <cellStyle name="Итог 2 2 14 9" xfId="5785"/>
    <cellStyle name="Итог 2 2 14 9 2" xfId="17106"/>
    <cellStyle name="Итог 2 2 14 9 3" xfId="32573"/>
    <cellStyle name="Итог 2 2 15" xfId="418"/>
    <cellStyle name="Итог 2 2 15 10" xfId="17360"/>
    <cellStyle name="Итог 2 2 15 10 2" xfId="32827"/>
    <cellStyle name="Итог 2 2 15 11" xfId="11081"/>
    <cellStyle name="Итог 2 2 15 12" xfId="10827"/>
    <cellStyle name="Итог 2 2 15 2" xfId="800"/>
    <cellStyle name="Итог 2 2 15 2 10" xfId="11384"/>
    <cellStyle name="Итог 2 2 15 2 11" xfId="26901"/>
    <cellStyle name="Итог 2 2 15 2 2" xfId="1271"/>
    <cellStyle name="Итог 2 2 15 2 2 2" xfId="2534"/>
    <cellStyle name="Итог 2 2 15 2 2 2 2" xfId="7767"/>
    <cellStyle name="Итог 2 2 15 2 2 2 2 2" xfId="18669"/>
    <cellStyle name="Итог 2 2 15 2 2 2 2 3" xfId="34030"/>
    <cellStyle name="Итог 2 2 15 2 2 2 3" xfId="23655"/>
    <cellStyle name="Итог 2 2 15 2 2 2 3 2" xfId="39016"/>
    <cellStyle name="Итог 2 2 15 2 2 2 4" xfId="13106"/>
    <cellStyle name="Итог 2 2 15 2 2 2 5" xfId="28606"/>
    <cellStyle name="Итог 2 2 15 2 2 3" xfId="5277"/>
    <cellStyle name="Итог 2 2 15 2 2 3 2" xfId="10460"/>
    <cellStyle name="Итог 2 2 15 2 2 3 2 2" xfId="21386"/>
    <cellStyle name="Итог 2 2 15 2 2 3 2 3" xfId="36747"/>
    <cellStyle name="Итог 2 2 15 2 2 3 3" xfId="26347"/>
    <cellStyle name="Итог 2 2 15 2 2 3 3 2" xfId="41708"/>
    <cellStyle name="Итог 2 2 15 2 2 3 4" xfId="15823"/>
    <cellStyle name="Итог 2 2 15 2 2 3 5" xfId="31298"/>
    <cellStyle name="Итог 2 2 15 2 2 4" xfId="6524"/>
    <cellStyle name="Итог 2 2 15 2 2 4 2" xfId="16337"/>
    <cellStyle name="Итог 2 2 15 2 2 4 3" xfId="31804"/>
    <cellStyle name="Итог 2 2 15 2 2 5" xfId="22412"/>
    <cellStyle name="Итог 2 2 15 2 2 5 2" xfId="37773"/>
    <cellStyle name="Итог 2 2 15 2 2 6" xfId="11852"/>
    <cellStyle name="Итог 2 2 15 2 2 7" xfId="27363"/>
    <cellStyle name="Итог 2 2 15 2 3" xfId="2206"/>
    <cellStyle name="Итог 2 2 15 2 3 2" xfId="7442"/>
    <cellStyle name="Итог 2 2 15 2 3 2 2" xfId="18344"/>
    <cellStyle name="Итог 2 2 15 2 3 2 3" xfId="33705"/>
    <cellStyle name="Итог 2 2 15 2 3 3" xfId="23330"/>
    <cellStyle name="Итог 2 2 15 2 3 3 2" xfId="38691"/>
    <cellStyle name="Итог 2 2 15 2 3 4" xfId="12781"/>
    <cellStyle name="Итог 2 2 15 2 3 5" xfId="28281"/>
    <cellStyle name="Итог 2 2 15 2 4" xfId="2794"/>
    <cellStyle name="Итог 2 2 15 2 4 2" xfId="8019"/>
    <cellStyle name="Итог 2 2 15 2 4 2 2" xfId="18924"/>
    <cellStyle name="Итог 2 2 15 2 4 2 3" xfId="34285"/>
    <cellStyle name="Итог 2 2 15 2 4 3" xfId="23907"/>
    <cellStyle name="Итог 2 2 15 2 4 3 2" xfId="39268"/>
    <cellStyle name="Итог 2 2 15 2 4 4" xfId="13361"/>
    <cellStyle name="Итог 2 2 15 2 4 5" xfId="28858"/>
    <cellStyle name="Итог 2 2 15 2 5" xfId="3627"/>
    <cellStyle name="Итог 2 2 15 2 5 2" xfId="8814"/>
    <cellStyle name="Итог 2 2 15 2 5 2 2" xfId="19741"/>
    <cellStyle name="Итог 2 2 15 2 5 2 3" xfId="35102"/>
    <cellStyle name="Итог 2 2 15 2 5 3" xfId="24702"/>
    <cellStyle name="Итог 2 2 15 2 5 3 2" xfId="40063"/>
    <cellStyle name="Итог 2 2 15 2 5 4" xfId="14178"/>
    <cellStyle name="Итог 2 2 15 2 5 5" xfId="29653"/>
    <cellStyle name="Итог 2 2 15 2 6" xfId="4254"/>
    <cellStyle name="Итог 2 2 15 2 6 2" xfId="9441"/>
    <cellStyle name="Итог 2 2 15 2 6 2 2" xfId="20368"/>
    <cellStyle name="Итог 2 2 15 2 6 2 3" xfId="35729"/>
    <cellStyle name="Итог 2 2 15 2 6 3" xfId="25329"/>
    <cellStyle name="Итог 2 2 15 2 6 3 2" xfId="40690"/>
    <cellStyle name="Итог 2 2 15 2 6 4" xfId="14805"/>
    <cellStyle name="Итог 2 2 15 2 6 5" xfId="30280"/>
    <cellStyle name="Итог 2 2 15 2 7" xfId="4572"/>
    <cellStyle name="Итог 2 2 15 2 7 2" xfId="9759"/>
    <cellStyle name="Итог 2 2 15 2 7 2 2" xfId="20686"/>
    <cellStyle name="Итог 2 2 15 2 7 2 3" xfId="36047"/>
    <cellStyle name="Итог 2 2 15 2 7 3" xfId="25647"/>
    <cellStyle name="Итог 2 2 15 2 7 3 2" xfId="41008"/>
    <cellStyle name="Итог 2 2 15 2 7 4" xfId="15123"/>
    <cellStyle name="Итог 2 2 15 2 7 5" xfId="30598"/>
    <cellStyle name="Итог 2 2 15 2 8" xfId="6062"/>
    <cellStyle name="Итог 2 2 15 2 8 2" xfId="16805"/>
    <cellStyle name="Итог 2 2 15 2 8 3" xfId="32272"/>
    <cellStyle name="Итог 2 2 15 2 9" xfId="21950"/>
    <cellStyle name="Итог 2 2 15 2 9 2" xfId="37311"/>
    <cellStyle name="Итог 2 2 15 3" xfId="1515"/>
    <cellStyle name="Итог 2 2 15 3 2" xfId="2671"/>
    <cellStyle name="Итог 2 2 15 3 2 2" xfId="7902"/>
    <cellStyle name="Итог 2 2 15 3 2 2 2" xfId="18806"/>
    <cellStyle name="Итог 2 2 15 3 2 2 3" xfId="34167"/>
    <cellStyle name="Итог 2 2 15 3 2 3" xfId="23790"/>
    <cellStyle name="Итог 2 2 15 3 2 3 2" xfId="39151"/>
    <cellStyle name="Итог 2 2 15 3 2 4" xfId="13243"/>
    <cellStyle name="Итог 2 2 15 3 2 5" xfId="28741"/>
    <cellStyle name="Итог 2 2 15 3 3" xfId="5278"/>
    <cellStyle name="Итог 2 2 15 3 3 2" xfId="10461"/>
    <cellStyle name="Итог 2 2 15 3 3 2 2" xfId="21387"/>
    <cellStyle name="Итог 2 2 15 3 3 2 3" xfId="36748"/>
    <cellStyle name="Итог 2 2 15 3 3 3" xfId="26348"/>
    <cellStyle name="Итог 2 2 15 3 3 3 2" xfId="41709"/>
    <cellStyle name="Итог 2 2 15 3 3 4" xfId="15824"/>
    <cellStyle name="Итог 2 2 15 3 3 5" xfId="31299"/>
    <cellStyle name="Итог 2 2 15 3 4" xfId="6762"/>
    <cellStyle name="Итог 2 2 15 3 4 2" xfId="17657"/>
    <cellStyle name="Итог 2 2 15 3 4 3" xfId="33018"/>
    <cellStyle name="Итог 2 2 15 3 5" xfId="22650"/>
    <cellStyle name="Итог 2 2 15 3 5 2" xfId="38011"/>
    <cellStyle name="Итог 2 2 15 3 6" xfId="12093"/>
    <cellStyle name="Итог 2 2 15 3 7" xfId="27601"/>
    <cellStyle name="Итог 2 2 15 4" xfId="1827"/>
    <cellStyle name="Итог 2 2 15 4 2" xfId="7066"/>
    <cellStyle name="Итог 2 2 15 4 2 2" xfId="17968"/>
    <cellStyle name="Итог 2 2 15 4 2 3" xfId="33329"/>
    <cellStyle name="Итог 2 2 15 4 3" xfId="22954"/>
    <cellStyle name="Итог 2 2 15 4 3 2" xfId="38315"/>
    <cellStyle name="Итог 2 2 15 4 4" xfId="12405"/>
    <cellStyle name="Итог 2 2 15 4 5" xfId="27905"/>
    <cellStyle name="Итог 2 2 15 5" xfId="2573"/>
    <cellStyle name="Итог 2 2 15 5 2" xfId="7806"/>
    <cellStyle name="Итог 2 2 15 5 2 2" xfId="18708"/>
    <cellStyle name="Итог 2 2 15 5 2 3" xfId="34069"/>
    <cellStyle name="Итог 2 2 15 5 3" xfId="23694"/>
    <cellStyle name="Итог 2 2 15 5 3 2" xfId="39055"/>
    <cellStyle name="Итог 2 2 15 5 4" xfId="13145"/>
    <cellStyle name="Итог 2 2 15 5 5" xfId="28645"/>
    <cellStyle name="Итог 2 2 15 6" xfId="3725"/>
    <cellStyle name="Итог 2 2 15 6 2" xfId="8912"/>
    <cellStyle name="Итог 2 2 15 6 2 2" xfId="19839"/>
    <cellStyle name="Итог 2 2 15 6 2 3" xfId="35200"/>
    <cellStyle name="Итог 2 2 15 6 3" xfId="24800"/>
    <cellStyle name="Итог 2 2 15 6 3 2" xfId="40161"/>
    <cellStyle name="Итог 2 2 15 6 4" xfId="14276"/>
    <cellStyle name="Итог 2 2 15 6 5" xfId="29751"/>
    <cellStyle name="Итог 2 2 15 7" xfId="3978"/>
    <cellStyle name="Итог 2 2 15 7 2" xfId="9165"/>
    <cellStyle name="Итог 2 2 15 7 2 2" xfId="20092"/>
    <cellStyle name="Итог 2 2 15 7 2 3" xfId="35453"/>
    <cellStyle name="Итог 2 2 15 7 3" xfId="25053"/>
    <cellStyle name="Итог 2 2 15 7 3 2" xfId="40414"/>
    <cellStyle name="Итог 2 2 15 7 4" xfId="14529"/>
    <cellStyle name="Итог 2 2 15 7 5" xfId="30004"/>
    <cellStyle name="Итог 2 2 15 8" xfId="4401"/>
    <cellStyle name="Итог 2 2 15 8 2" xfId="9588"/>
    <cellStyle name="Итог 2 2 15 8 2 2" xfId="20515"/>
    <cellStyle name="Итог 2 2 15 8 2 3" xfId="35876"/>
    <cellStyle name="Итог 2 2 15 8 3" xfId="25476"/>
    <cellStyle name="Итог 2 2 15 8 3 2" xfId="40837"/>
    <cellStyle name="Итог 2 2 15 8 4" xfId="14952"/>
    <cellStyle name="Итог 2 2 15 8 5" xfId="30427"/>
    <cellStyle name="Итог 2 2 15 9" xfId="5786"/>
    <cellStyle name="Итог 2 2 15 9 2" xfId="17105"/>
    <cellStyle name="Итог 2 2 15 9 3" xfId="32572"/>
    <cellStyle name="Итог 2 2 16" xfId="419"/>
    <cellStyle name="Итог 2 2 16 10" xfId="21675"/>
    <cellStyle name="Итог 2 2 16 10 2" xfId="37036"/>
    <cellStyle name="Итог 2 2 16 11" xfId="11082"/>
    <cellStyle name="Итог 2 2 16 12" xfId="10826"/>
    <cellStyle name="Итог 2 2 16 2" xfId="799"/>
    <cellStyle name="Итог 2 2 16 2 10" xfId="11383"/>
    <cellStyle name="Итог 2 2 16 2 11" xfId="26900"/>
    <cellStyle name="Итог 2 2 16 2 2" xfId="1259"/>
    <cellStyle name="Итог 2 2 16 2 2 2" xfId="2535"/>
    <cellStyle name="Итог 2 2 16 2 2 2 2" xfId="7768"/>
    <cellStyle name="Итог 2 2 16 2 2 2 2 2" xfId="18670"/>
    <cellStyle name="Итог 2 2 16 2 2 2 2 3" xfId="34031"/>
    <cellStyle name="Итог 2 2 16 2 2 2 3" xfId="23656"/>
    <cellStyle name="Итог 2 2 16 2 2 2 3 2" xfId="39017"/>
    <cellStyle name="Итог 2 2 16 2 2 2 4" xfId="13107"/>
    <cellStyle name="Итог 2 2 16 2 2 2 5" xfId="28607"/>
    <cellStyle name="Итог 2 2 16 2 2 3" xfId="5279"/>
    <cellStyle name="Итог 2 2 16 2 2 3 2" xfId="10462"/>
    <cellStyle name="Итог 2 2 16 2 2 3 2 2" xfId="21388"/>
    <cellStyle name="Итог 2 2 16 2 2 3 2 3" xfId="36749"/>
    <cellStyle name="Итог 2 2 16 2 2 3 3" xfId="26349"/>
    <cellStyle name="Итог 2 2 16 2 2 3 3 2" xfId="41710"/>
    <cellStyle name="Итог 2 2 16 2 2 3 4" xfId="15825"/>
    <cellStyle name="Итог 2 2 16 2 2 3 5" xfId="31300"/>
    <cellStyle name="Итог 2 2 16 2 2 4" xfId="6512"/>
    <cellStyle name="Итог 2 2 16 2 2 4 2" xfId="16349"/>
    <cellStyle name="Итог 2 2 16 2 2 4 3" xfId="31816"/>
    <cellStyle name="Итог 2 2 16 2 2 5" xfId="22400"/>
    <cellStyle name="Итог 2 2 16 2 2 5 2" xfId="37761"/>
    <cellStyle name="Итог 2 2 16 2 2 6" xfId="11840"/>
    <cellStyle name="Итог 2 2 16 2 2 7" xfId="27351"/>
    <cellStyle name="Итог 2 2 16 2 3" xfId="2205"/>
    <cellStyle name="Итог 2 2 16 2 3 2" xfId="7441"/>
    <cellStyle name="Итог 2 2 16 2 3 2 2" xfId="18343"/>
    <cellStyle name="Итог 2 2 16 2 3 2 3" xfId="33704"/>
    <cellStyle name="Итог 2 2 16 2 3 3" xfId="23329"/>
    <cellStyle name="Итог 2 2 16 2 3 3 2" xfId="38690"/>
    <cellStyle name="Итог 2 2 16 2 3 4" xfId="12780"/>
    <cellStyle name="Итог 2 2 16 2 3 5" xfId="28280"/>
    <cellStyle name="Итог 2 2 16 2 4" xfId="1063"/>
    <cellStyle name="Итог 2 2 16 2 4 2" xfId="6320"/>
    <cellStyle name="Итог 2 2 16 2 4 2 2" xfId="16544"/>
    <cellStyle name="Итог 2 2 16 2 4 2 3" xfId="32011"/>
    <cellStyle name="Итог 2 2 16 2 4 3" xfId="22208"/>
    <cellStyle name="Итог 2 2 16 2 4 3 2" xfId="37569"/>
    <cellStyle name="Итог 2 2 16 2 4 4" xfId="11645"/>
    <cellStyle name="Итог 2 2 16 2 4 5" xfId="27159"/>
    <cellStyle name="Итог 2 2 16 2 5" xfId="3796"/>
    <cellStyle name="Итог 2 2 16 2 5 2" xfId="8983"/>
    <cellStyle name="Итог 2 2 16 2 5 2 2" xfId="19910"/>
    <cellStyle name="Итог 2 2 16 2 5 2 3" xfId="35271"/>
    <cellStyle name="Итог 2 2 16 2 5 3" xfId="24871"/>
    <cellStyle name="Итог 2 2 16 2 5 3 2" xfId="40232"/>
    <cellStyle name="Итог 2 2 16 2 5 4" xfId="14347"/>
    <cellStyle name="Итог 2 2 16 2 5 5" xfId="29822"/>
    <cellStyle name="Итог 2 2 16 2 6" xfId="4253"/>
    <cellStyle name="Итог 2 2 16 2 6 2" xfId="9440"/>
    <cellStyle name="Итог 2 2 16 2 6 2 2" xfId="20367"/>
    <cellStyle name="Итог 2 2 16 2 6 2 3" xfId="35728"/>
    <cellStyle name="Итог 2 2 16 2 6 3" xfId="25328"/>
    <cellStyle name="Итог 2 2 16 2 6 3 2" xfId="40689"/>
    <cellStyle name="Итог 2 2 16 2 6 4" xfId="14804"/>
    <cellStyle name="Итог 2 2 16 2 6 5" xfId="30279"/>
    <cellStyle name="Итог 2 2 16 2 7" xfId="4573"/>
    <cellStyle name="Итог 2 2 16 2 7 2" xfId="9760"/>
    <cellStyle name="Итог 2 2 16 2 7 2 2" xfId="20687"/>
    <cellStyle name="Итог 2 2 16 2 7 2 3" xfId="36048"/>
    <cellStyle name="Итог 2 2 16 2 7 3" xfId="25648"/>
    <cellStyle name="Итог 2 2 16 2 7 3 2" xfId="41009"/>
    <cellStyle name="Итог 2 2 16 2 7 4" xfId="15124"/>
    <cellStyle name="Итог 2 2 16 2 7 5" xfId="30599"/>
    <cellStyle name="Итог 2 2 16 2 8" xfId="6061"/>
    <cellStyle name="Итог 2 2 16 2 8 2" xfId="16806"/>
    <cellStyle name="Итог 2 2 16 2 8 3" xfId="32273"/>
    <cellStyle name="Итог 2 2 16 2 9" xfId="21949"/>
    <cellStyle name="Итог 2 2 16 2 9 2" xfId="37310"/>
    <cellStyle name="Итог 2 2 16 3" xfId="65"/>
    <cellStyle name="Итог 2 2 16 3 2" xfId="2670"/>
    <cellStyle name="Итог 2 2 16 3 2 2" xfId="7901"/>
    <cellStyle name="Итог 2 2 16 3 2 2 2" xfId="18805"/>
    <cellStyle name="Итог 2 2 16 3 2 2 3" xfId="34166"/>
    <cellStyle name="Итог 2 2 16 3 2 3" xfId="23789"/>
    <cellStyle name="Итог 2 2 16 3 2 3 2" xfId="39150"/>
    <cellStyle name="Итог 2 2 16 3 2 4" xfId="13242"/>
    <cellStyle name="Итог 2 2 16 3 2 5" xfId="28740"/>
    <cellStyle name="Итог 2 2 16 3 3" xfId="5280"/>
    <cellStyle name="Итог 2 2 16 3 3 2" xfId="10463"/>
    <cellStyle name="Итог 2 2 16 3 3 2 2" xfId="21389"/>
    <cellStyle name="Итог 2 2 16 3 3 2 3" xfId="36750"/>
    <cellStyle name="Итог 2 2 16 3 3 3" xfId="26350"/>
    <cellStyle name="Итог 2 2 16 3 3 3 2" xfId="41711"/>
    <cellStyle name="Итог 2 2 16 3 3 4" xfId="15826"/>
    <cellStyle name="Итог 2 2 16 3 3 5" xfId="31301"/>
    <cellStyle name="Итог 2 2 16 3 4" xfId="5592"/>
    <cellStyle name="Итог 2 2 16 3 4 2" xfId="17406"/>
    <cellStyle name="Итог 2 2 16 3 4 3" xfId="32873"/>
    <cellStyle name="Итог 2 2 16 3 5" xfId="17057"/>
    <cellStyle name="Итог 2 2 16 3 5 2" xfId="32524"/>
    <cellStyle name="Итог 2 2 16 3 6" xfId="10779"/>
    <cellStyle name="Итог 2 2 16 3 7" xfId="11129"/>
    <cellStyle name="Итог 2 2 16 4" xfId="1828"/>
    <cellStyle name="Итог 2 2 16 4 2" xfId="7067"/>
    <cellStyle name="Итог 2 2 16 4 2 2" xfId="17969"/>
    <cellStyle name="Итог 2 2 16 4 2 3" xfId="33330"/>
    <cellStyle name="Итог 2 2 16 4 3" xfId="22955"/>
    <cellStyle name="Итог 2 2 16 4 3 2" xfId="38316"/>
    <cellStyle name="Итог 2 2 16 4 4" xfId="12406"/>
    <cellStyle name="Итог 2 2 16 4 5" xfId="27906"/>
    <cellStyle name="Итог 2 2 16 5" xfId="2572"/>
    <cellStyle name="Итог 2 2 16 5 2" xfId="7805"/>
    <cellStyle name="Итог 2 2 16 5 2 2" xfId="18707"/>
    <cellStyle name="Итог 2 2 16 5 2 3" xfId="34068"/>
    <cellStyle name="Итог 2 2 16 5 3" xfId="23693"/>
    <cellStyle name="Итог 2 2 16 5 3 2" xfId="39054"/>
    <cellStyle name="Итог 2 2 16 5 4" xfId="13144"/>
    <cellStyle name="Итог 2 2 16 5 5" xfId="28644"/>
    <cellStyle name="Итог 2 2 16 6" xfId="3837"/>
    <cellStyle name="Итог 2 2 16 6 2" xfId="9024"/>
    <cellStyle name="Итог 2 2 16 6 2 2" xfId="19951"/>
    <cellStyle name="Итог 2 2 16 6 2 3" xfId="35312"/>
    <cellStyle name="Итог 2 2 16 6 3" xfId="24912"/>
    <cellStyle name="Итог 2 2 16 6 3 2" xfId="40273"/>
    <cellStyle name="Итог 2 2 16 6 4" xfId="14388"/>
    <cellStyle name="Итог 2 2 16 6 5" xfId="29863"/>
    <cellStyle name="Итог 2 2 16 7" xfId="3979"/>
    <cellStyle name="Итог 2 2 16 7 2" xfId="9166"/>
    <cellStyle name="Итог 2 2 16 7 2 2" xfId="20093"/>
    <cellStyle name="Итог 2 2 16 7 2 3" xfId="35454"/>
    <cellStyle name="Итог 2 2 16 7 3" xfId="25054"/>
    <cellStyle name="Итог 2 2 16 7 3 2" xfId="40415"/>
    <cellStyle name="Итог 2 2 16 7 4" xfId="14530"/>
    <cellStyle name="Итог 2 2 16 7 5" xfId="30005"/>
    <cellStyle name="Итог 2 2 16 8" xfId="4722"/>
    <cellStyle name="Итог 2 2 16 8 2" xfId="9909"/>
    <cellStyle name="Итог 2 2 16 8 2 2" xfId="20836"/>
    <cellStyle name="Итог 2 2 16 8 2 3" xfId="36197"/>
    <cellStyle name="Итог 2 2 16 8 3" xfId="25797"/>
    <cellStyle name="Итог 2 2 16 8 3 2" xfId="41158"/>
    <cellStyle name="Итог 2 2 16 8 4" xfId="15273"/>
    <cellStyle name="Итог 2 2 16 8 5" xfId="30748"/>
    <cellStyle name="Итог 2 2 16 9" xfId="5787"/>
    <cellStyle name="Итог 2 2 16 9 2" xfId="17104"/>
    <cellStyle name="Итог 2 2 16 9 3" xfId="32571"/>
    <cellStyle name="Итог 2 2 17" xfId="420"/>
    <cellStyle name="Итог 2 2 17 10" xfId="21676"/>
    <cellStyle name="Итог 2 2 17 10 2" xfId="37037"/>
    <cellStyle name="Итог 2 2 17 11" xfId="11083"/>
    <cellStyle name="Итог 2 2 17 12" xfId="10825"/>
    <cellStyle name="Итог 2 2 17 2" xfId="798"/>
    <cellStyle name="Итог 2 2 17 2 10" xfId="11382"/>
    <cellStyle name="Итог 2 2 17 2 11" xfId="26899"/>
    <cellStyle name="Итог 2 2 17 2 2" xfId="1447"/>
    <cellStyle name="Итог 2 2 17 2 2 2" xfId="2536"/>
    <cellStyle name="Итог 2 2 17 2 2 2 2" xfId="7769"/>
    <cellStyle name="Итог 2 2 17 2 2 2 2 2" xfId="18671"/>
    <cellStyle name="Итог 2 2 17 2 2 2 2 3" xfId="34032"/>
    <cellStyle name="Итог 2 2 17 2 2 2 3" xfId="23657"/>
    <cellStyle name="Итог 2 2 17 2 2 2 3 2" xfId="39018"/>
    <cellStyle name="Итог 2 2 17 2 2 2 4" xfId="13108"/>
    <cellStyle name="Итог 2 2 17 2 2 2 5" xfId="28608"/>
    <cellStyle name="Итог 2 2 17 2 2 3" xfId="5281"/>
    <cellStyle name="Итог 2 2 17 2 2 3 2" xfId="10464"/>
    <cellStyle name="Итог 2 2 17 2 2 3 2 2" xfId="21390"/>
    <cellStyle name="Итог 2 2 17 2 2 3 2 3" xfId="36751"/>
    <cellStyle name="Итог 2 2 17 2 2 3 3" xfId="26351"/>
    <cellStyle name="Итог 2 2 17 2 2 3 3 2" xfId="41712"/>
    <cellStyle name="Итог 2 2 17 2 2 3 4" xfId="15827"/>
    <cellStyle name="Итог 2 2 17 2 2 3 5" xfId="31302"/>
    <cellStyle name="Итог 2 2 17 2 2 4" xfId="6694"/>
    <cellStyle name="Итог 2 2 17 2 2 4 2" xfId="16164"/>
    <cellStyle name="Итог 2 2 17 2 2 4 3" xfId="31631"/>
    <cellStyle name="Итог 2 2 17 2 2 5" xfId="22582"/>
    <cellStyle name="Итог 2 2 17 2 2 5 2" xfId="37943"/>
    <cellStyle name="Итог 2 2 17 2 2 6" xfId="12025"/>
    <cellStyle name="Итог 2 2 17 2 2 7" xfId="27533"/>
    <cellStyle name="Итог 2 2 17 2 3" xfId="2204"/>
    <cellStyle name="Итог 2 2 17 2 3 2" xfId="7440"/>
    <cellStyle name="Итог 2 2 17 2 3 2 2" xfId="18342"/>
    <cellStyle name="Итог 2 2 17 2 3 2 3" xfId="33703"/>
    <cellStyle name="Итог 2 2 17 2 3 3" xfId="23328"/>
    <cellStyle name="Итог 2 2 17 2 3 3 2" xfId="38689"/>
    <cellStyle name="Итог 2 2 17 2 3 4" xfId="12779"/>
    <cellStyle name="Итог 2 2 17 2 3 5" xfId="28279"/>
    <cellStyle name="Итог 2 2 17 2 4" xfId="2848"/>
    <cellStyle name="Итог 2 2 17 2 4 2" xfId="8059"/>
    <cellStyle name="Итог 2 2 17 2 4 2 2" xfId="18978"/>
    <cellStyle name="Итог 2 2 17 2 4 2 3" xfId="34339"/>
    <cellStyle name="Итог 2 2 17 2 4 3" xfId="23947"/>
    <cellStyle name="Итог 2 2 17 2 4 3 2" xfId="39308"/>
    <cellStyle name="Итог 2 2 17 2 4 4" xfId="13415"/>
    <cellStyle name="Итог 2 2 17 2 4 5" xfId="28898"/>
    <cellStyle name="Итог 2 2 17 2 5" xfId="3716"/>
    <cellStyle name="Итог 2 2 17 2 5 2" xfId="8903"/>
    <cellStyle name="Итог 2 2 17 2 5 2 2" xfId="19830"/>
    <cellStyle name="Итог 2 2 17 2 5 2 3" xfId="35191"/>
    <cellStyle name="Итог 2 2 17 2 5 3" xfId="24791"/>
    <cellStyle name="Итог 2 2 17 2 5 3 2" xfId="40152"/>
    <cellStyle name="Итог 2 2 17 2 5 4" xfId="14267"/>
    <cellStyle name="Итог 2 2 17 2 5 5" xfId="29742"/>
    <cellStyle name="Итог 2 2 17 2 6" xfId="4252"/>
    <cellStyle name="Итог 2 2 17 2 6 2" xfId="9439"/>
    <cellStyle name="Итог 2 2 17 2 6 2 2" xfId="20366"/>
    <cellStyle name="Итог 2 2 17 2 6 2 3" xfId="35727"/>
    <cellStyle name="Итог 2 2 17 2 6 3" xfId="25327"/>
    <cellStyle name="Итог 2 2 17 2 6 3 2" xfId="40688"/>
    <cellStyle name="Итог 2 2 17 2 6 4" xfId="14803"/>
    <cellStyle name="Итог 2 2 17 2 6 5" xfId="30278"/>
    <cellStyle name="Итог 2 2 17 2 7" xfId="4411"/>
    <cellStyle name="Итог 2 2 17 2 7 2" xfId="9598"/>
    <cellStyle name="Итог 2 2 17 2 7 2 2" xfId="20525"/>
    <cellStyle name="Итог 2 2 17 2 7 2 3" xfId="35886"/>
    <cellStyle name="Итог 2 2 17 2 7 3" xfId="25486"/>
    <cellStyle name="Итог 2 2 17 2 7 3 2" xfId="40847"/>
    <cellStyle name="Итог 2 2 17 2 7 4" xfId="14962"/>
    <cellStyle name="Итог 2 2 17 2 7 5" xfId="30437"/>
    <cellStyle name="Итог 2 2 17 2 8" xfId="6060"/>
    <cellStyle name="Итог 2 2 17 2 8 2" xfId="16807"/>
    <cellStyle name="Итог 2 2 17 2 8 3" xfId="32274"/>
    <cellStyle name="Итог 2 2 17 2 9" xfId="21948"/>
    <cellStyle name="Итог 2 2 17 2 9 2" xfId="37309"/>
    <cellStyle name="Итог 2 2 17 3" xfId="1069"/>
    <cellStyle name="Итог 2 2 17 3 2" xfId="2537"/>
    <cellStyle name="Итог 2 2 17 3 2 2" xfId="7770"/>
    <cellStyle name="Итог 2 2 17 3 2 2 2" xfId="18672"/>
    <cellStyle name="Итог 2 2 17 3 2 2 3" xfId="34033"/>
    <cellStyle name="Итог 2 2 17 3 2 3" xfId="23658"/>
    <cellStyle name="Итог 2 2 17 3 2 3 2" xfId="39019"/>
    <cellStyle name="Итог 2 2 17 3 2 4" xfId="13109"/>
    <cellStyle name="Итог 2 2 17 3 2 5" xfId="28609"/>
    <cellStyle name="Итог 2 2 17 3 3" xfId="5282"/>
    <cellStyle name="Итог 2 2 17 3 3 2" xfId="10465"/>
    <cellStyle name="Итог 2 2 17 3 3 2 2" xfId="21391"/>
    <cellStyle name="Итог 2 2 17 3 3 2 3" xfId="36752"/>
    <cellStyle name="Итог 2 2 17 3 3 3" xfId="26352"/>
    <cellStyle name="Итог 2 2 17 3 3 3 2" xfId="41713"/>
    <cellStyle name="Итог 2 2 17 3 3 4" xfId="15828"/>
    <cellStyle name="Итог 2 2 17 3 3 5" xfId="31303"/>
    <cellStyle name="Итог 2 2 17 3 4" xfId="6326"/>
    <cellStyle name="Итог 2 2 17 3 4 2" xfId="16538"/>
    <cellStyle name="Итог 2 2 17 3 4 3" xfId="32005"/>
    <cellStyle name="Итог 2 2 17 3 5" xfId="22214"/>
    <cellStyle name="Итог 2 2 17 3 5 2" xfId="37575"/>
    <cellStyle name="Итог 2 2 17 3 6" xfId="11651"/>
    <cellStyle name="Итог 2 2 17 3 7" xfId="27165"/>
    <cellStyle name="Итог 2 2 17 4" xfId="1829"/>
    <cellStyle name="Итог 2 2 17 4 2" xfId="7068"/>
    <cellStyle name="Итог 2 2 17 4 2 2" xfId="17970"/>
    <cellStyle name="Итог 2 2 17 4 2 3" xfId="33331"/>
    <cellStyle name="Итог 2 2 17 4 3" xfId="22956"/>
    <cellStyle name="Итог 2 2 17 4 3 2" xfId="38317"/>
    <cellStyle name="Итог 2 2 17 4 4" xfId="12407"/>
    <cellStyle name="Итог 2 2 17 4 5" xfId="27907"/>
    <cellStyle name="Итог 2 2 17 5" xfId="2636"/>
    <cellStyle name="Итог 2 2 17 5 2" xfId="7867"/>
    <cellStyle name="Итог 2 2 17 5 2 2" xfId="18771"/>
    <cellStyle name="Итог 2 2 17 5 2 3" xfId="34132"/>
    <cellStyle name="Итог 2 2 17 5 3" xfId="23755"/>
    <cellStyle name="Итог 2 2 17 5 3 2" xfId="39116"/>
    <cellStyle name="Итог 2 2 17 5 4" xfId="13208"/>
    <cellStyle name="Итог 2 2 17 5 5" xfId="28706"/>
    <cellStyle name="Итог 2 2 17 6" xfId="3545"/>
    <cellStyle name="Итог 2 2 17 6 2" xfId="8732"/>
    <cellStyle name="Итог 2 2 17 6 2 2" xfId="19659"/>
    <cellStyle name="Итог 2 2 17 6 2 3" xfId="35020"/>
    <cellStyle name="Итог 2 2 17 6 3" xfId="24620"/>
    <cellStyle name="Итог 2 2 17 6 3 2" xfId="39981"/>
    <cellStyle name="Итог 2 2 17 6 4" xfId="14096"/>
    <cellStyle name="Итог 2 2 17 6 5" xfId="29571"/>
    <cellStyle name="Итог 2 2 17 7" xfId="3980"/>
    <cellStyle name="Итог 2 2 17 7 2" xfId="9167"/>
    <cellStyle name="Итог 2 2 17 7 2 2" xfId="20094"/>
    <cellStyle name="Итог 2 2 17 7 2 3" xfId="35455"/>
    <cellStyle name="Итог 2 2 17 7 3" xfId="25055"/>
    <cellStyle name="Итог 2 2 17 7 3 2" xfId="40416"/>
    <cellStyle name="Итог 2 2 17 7 4" xfId="14531"/>
    <cellStyle name="Итог 2 2 17 7 5" xfId="30006"/>
    <cellStyle name="Итог 2 2 17 8" xfId="4721"/>
    <cellStyle name="Итог 2 2 17 8 2" xfId="9908"/>
    <cellStyle name="Итог 2 2 17 8 2 2" xfId="20835"/>
    <cellStyle name="Итог 2 2 17 8 2 3" xfId="36196"/>
    <cellStyle name="Итог 2 2 17 8 3" xfId="25796"/>
    <cellStyle name="Итог 2 2 17 8 3 2" xfId="41157"/>
    <cellStyle name="Итог 2 2 17 8 4" xfId="15272"/>
    <cellStyle name="Итог 2 2 17 8 5" xfId="30747"/>
    <cellStyle name="Итог 2 2 17 9" xfId="5788"/>
    <cellStyle name="Итог 2 2 17 9 2" xfId="17103"/>
    <cellStyle name="Итог 2 2 17 9 3" xfId="32570"/>
    <cellStyle name="Итог 2 2 18" xfId="421"/>
    <cellStyle name="Итог 2 2 18 10" xfId="21677"/>
    <cellStyle name="Итог 2 2 18 10 2" xfId="37038"/>
    <cellStyle name="Итог 2 2 18 11" xfId="11084"/>
    <cellStyle name="Итог 2 2 18 12" xfId="26628"/>
    <cellStyle name="Итог 2 2 18 2" xfId="797"/>
    <cellStyle name="Итог 2 2 18 2 10" xfId="11381"/>
    <cellStyle name="Итог 2 2 18 2 11" xfId="26898"/>
    <cellStyle name="Итог 2 2 18 2 2" xfId="1322"/>
    <cellStyle name="Итог 2 2 18 2 2 2" xfId="2539"/>
    <cellStyle name="Итог 2 2 18 2 2 2 2" xfId="7772"/>
    <cellStyle name="Итог 2 2 18 2 2 2 2 2" xfId="18674"/>
    <cellStyle name="Итог 2 2 18 2 2 2 2 3" xfId="34035"/>
    <cellStyle name="Итог 2 2 18 2 2 2 3" xfId="23660"/>
    <cellStyle name="Итог 2 2 18 2 2 2 3 2" xfId="39021"/>
    <cellStyle name="Итог 2 2 18 2 2 2 4" xfId="13111"/>
    <cellStyle name="Итог 2 2 18 2 2 2 5" xfId="28611"/>
    <cellStyle name="Итог 2 2 18 2 2 3" xfId="5283"/>
    <cellStyle name="Итог 2 2 18 2 2 3 2" xfId="10466"/>
    <cellStyle name="Итог 2 2 18 2 2 3 2 2" xfId="21392"/>
    <cellStyle name="Итог 2 2 18 2 2 3 2 3" xfId="36753"/>
    <cellStyle name="Итог 2 2 18 2 2 3 3" xfId="26353"/>
    <cellStyle name="Итог 2 2 18 2 2 3 3 2" xfId="41714"/>
    <cellStyle name="Итог 2 2 18 2 2 3 4" xfId="15829"/>
    <cellStyle name="Итог 2 2 18 2 2 3 5" xfId="31304"/>
    <cellStyle name="Итог 2 2 18 2 2 4" xfId="6575"/>
    <cellStyle name="Итог 2 2 18 2 2 4 2" xfId="16286"/>
    <cellStyle name="Итог 2 2 18 2 2 4 3" xfId="31753"/>
    <cellStyle name="Итог 2 2 18 2 2 5" xfId="22463"/>
    <cellStyle name="Итог 2 2 18 2 2 5 2" xfId="37824"/>
    <cellStyle name="Итог 2 2 18 2 2 6" xfId="11903"/>
    <cellStyle name="Итог 2 2 18 2 2 7" xfId="27414"/>
    <cellStyle name="Итог 2 2 18 2 3" xfId="2203"/>
    <cellStyle name="Итог 2 2 18 2 3 2" xfId="7439"/>
    <cellStyle name="Итог 2 2 18 2 3 2 2" xfId="18341"/>
    <cellStyle name="Итог 2 2 18 2 3 2 3" xfId="33702"/>
    <cellStyle name="Итог 2 2 18 2 3 3" xfId="23327"/>
    <cellStyle name="Итог 2 2 18 2 3 3 2" xfId="38688"/>
    <cellStyle name="Итог 2 2 18 2 3 4" xfId="12778"/>
    <cellStyle name="Итог 2 2 18 2 3 5" xfId="28278"/>
    <cellStyle name="Итог 2 2 18 2 4" xfId="2793"/>
    <cellStyle name="Итог 2 2 18 2 4 2" xfId="8018"/>
    <cellStyle name="Итог 2 2 18 2 4 2 2" xfId="18923"/>
    <cellStyle name="Итог 2 2 18 2 4 2 3" xfId="34284"/>
    <cellStyle name="Итог 2 2 18 2 4 3" xfId="23906"/>
    <cellStyle name="Итог 2 2 18 2 4 3 2" xfId="39267"/>
    <cellStyle name="Итог 2 2 18 2 4 4" xfId="13360"/>
    <cellStyle name="Итог 2 2 18 2 4 5" xfId="28857"/>
    <cellStyle name="Итог 2 2 18 2 5" xfId="3626"/>
    <cellStyle name="Итог 2 2 18 2 5 2" xfId="8813"/>
    <cellStyle name="Итог 2 2 18 2 5 2 2" xfId="19740"/>
    <cellStyle name="Итог 2 2 18 2 5 2 3" xfId="35101"/>
    <cellStyle name="Итог 2 2 18 2 5 3" xfId="24701"/>
    <cellStyle name="Итог 2 2 18 2 5 3 2" xfId="40062"/>
    <cellStyle name="Итог 2 2 18 2 5 4" xfId="14177"/>
    <cellStyle name="Итог 2 2 18 2 5 5" xfId="29652"/>
    <cellStyle name="Итог 2 2 18 2 6" xfId="4251"/>
    <cellStyle name="Итог 2 2 18 2 6 2" xfId="9438"/>
    <cellStyle name="Итог 2 2 18 2 6 2 2" xfId="20365"/>
    <cellStyle name="Итог 2 2 18 2 6 2 3" xfId="35726"/>
    <cellStyle name="Итог 2 2 18 2 6 3" xfId="25326"/>
    <cellStyle name="Итог 2 2 18 2 6 3 2" xfId="40687"/>
    <cellStyle name="Итог 2 2 18 2 6 4" xfId="14802"/>
    <cellStyle name="Итог 2 2 18 2 6 5" xfId="30277"/>
    <cellStyle name="Итог 2 2 18 2 7" xfId="4574"/>
    <cellStyle name="Итог 2 2 18 2 7 2" xfId="9761"/>
    <cellStyle name="Итог 2 2 18 2 7 2 2" xfId="20688"/>
    <cellStyle name="Итог 2 2 18 2 7 2 3" xfId="36049"/>
    <cellStyle name="Итог 2 2 18 2 7 3" xfId="25649"/>
    <cellStyle name="Итог 2 2 18 2 7 3 2" xfId="41010"/>
    <cellStyle name="Итог 2 2 18 2 7 4" xfId="15125"/>
    <cellStyle name="Итог 2 2 18 2 7 5" xfId="30600"/>
    <cellStyle name="Итог 2 2 18 2 8" xfId="6059"/>
    <cellStyle name="Итог 2 2 18 2 8 2" xfId="16808"/>
    <cellStyle name="Итог 2 2 18 2 8 3" xfId="32275"/>
    <cellStyle name="Итог 2 2 18 2 9" xfId="21947"/>
    <cellStyle name="Итог 2 2 18 2 9 2" xfId="37308"/>
    <cellStyle name="Итог 2 2 18 3" xfId="1341"/>
    <cellStyle name="Итог 2 2 18 3 2" xfId="2668"/>
    <cellStyle name="Итог 2 2 18 3 2 2" xfId="7899"/>
    <cellStyle name="Итог 2 2 18 3 2 2 2" xfId="18803"/>
    <cellStyle name="Итог 2 2 18 3 2 2 3" xfId="34164"/>
    <cellStyle name="Итог 2 2 18 3 2 3" xfId="23787"/>
    <cellStyle name="Итог 2 2 18 3 2 3 2" xfId="39148"/>
    <cellStyle name="Итог 2 2 18 3 2 4" xfId="13240"/>
    <cellStyle name="Итог 2 2 18 3 2 5" xfId="28738"/>
    <cellStyle name="Итог 2 2 18 3 3" xfId="5284"/>
    <cellStyle name="Итог 2 2 18 3 3 2" xfId="10467"/>
    <cellStyle name="Итог 2 2 18 3 3 2 2" xfId="21393"/>
    <cellStyle name="Итог 2 2 18 3 3 2 3" xfId="36754"/>
    <cellStyle name="Итог 2 2 18 3 3 3" xfId="26354"/>
    <cellStyle name="Итог 2 2 18 3 3 3 2" xfId="41715"/>
    <cellStyle name="Итог 2 2 18 3 3 4" xfId="15830"/>
    <cellStyle name="Итог 2 2 18 3 3 5" xfId="31305"/>
    <cellStyle name="Итог 2 2 18 3 4" xfId="6594"/>
    <cellStyle name="Итог 2 2 18 3 4 2" xfId="16267"/>
    <cellStyle name="Итог 2 2 18 3 4 3" xfId="31734"/>
    <cellStyle name="Итог 2 2 18 3 5" xfId="22482"/>
    <cellStyle name="Итог 2 2 18 3 5 2" xfId="37843"/>
    <cellStyle name="Итог 2 2 18 3 6" xfId="11922"/>
    <cellStyle name="Итог 2 2 18 3 7" xfId="27433"/>
    <cellStyle name="Итог 2 2 18 4" xfId="1830"/>
    <cellStyle name="Итог 2 2 18 4 2" xfId="7069"/>
    <cellStyle name="Итог 2 2 18 4 2 2" xfId="17971"/>
    <cellStyle name="Итог 2 2 18 4 2 3" xfId="33332"/>
    <cellStyle name="Итог 2 2 18 4 3" xfId="22957"/>
    <cellStyle name="Итог 2 2 18 4 3 2" xfId="38318"/>
    <cellStyle name="Итог 2 2 18 4 4" xfId="12408"/>
    <cellStyle name="Итог 2 2 18 4 5" xfId="27908"/>
    <cellStyle name="Итог 2 2 18 5" xfId="2571"/>
    <cellStyle name="Итог 2 2 18 5 2" xfId="7804"/>
    <cellStyle name="Итог 2 2 18 5 2 2" xfId="18706"/>
    <cellStyle name="Итог 2 2 18 5 2 3" xfId="34067"/>
    <cellStyle name="Итог 2 2 18 5 3" xfId="23692"/>
    <cellStyle name="Итог 2 2 18 5 3 2" xfId="39053"/>
    <cellStyle name="Итог 2 2 18 5 4" xfId="13143"/>
    <cellStyle name="Итог 2 2 18 5 5" xfId="28643"/>
    <cellStyle name="Итог 2 2 18 6" xfId="3836"/>
    <cellStyle name="Итог 2 2 18 6 2" xfId="9023"/>
    <cellStyle name="Итог 2 2 18 6 2 2" xfId="19950"/>
    <cellStyle name="Итог 2 2 18 6 2 3" xfId="35311"/>
    <cellStyle name="Итог 2 2 18 6 3" xfId="24911"/>
    <cellStyle name="Итог 2 2 18 6 3 2" xfId="40272"/>
    <cellStyle name="Итог 2 2 18 6 4" xfId="14387"/>
    <cellStyle name="Итог 2 2 18 6 5" xfId="29862"/>
    <cellStyle name="Итог 2 2 18 7" xfId="3981"/>
    <cellStyle name="Итог 2 2 18 7 2" xfId="9168"/>
    <cellStyle name="Итог 2 2 18 7 2 2" xfId="20095"/>
    <cellStyle name="Итог 2 2 18 7 2 3" xfId="35456"/>
    <cellStyle name="Итог 2 2 18 7 3" xfId="25056"/>
    <cellStyle name="Итог 2 2 18 7 3 2" xfId="40417"/>
    <cellStyle name="Итог 2 2 18 7 4" xfId="14532"/>
    <cellStyle name="Итог 2 2 18 7 5" xfId="30007"/>
    <cellStyle name="Итог 2 2 18 8" xfId="4720"/>
    <cellStyle name="Итог 2 2 18 8 2" xfId="9907"/>
    <cellStyle name="Итог 2 2 18 8 2 2" xfId="20834"/>
    <cellStyle name="Итог 2 2 18 8 2 3" xfId="36195"/>
    <cellStyle name="Итог 2 2 18 8 3" xfId="25795"/>
    <cellStyle name="Итог 2 2 18 8 3 2" xfId="41156"/>
    <cellStyle name="Итог 2 2 18 8 4" xfId="15271"/>
    <cellStyle name="Итог 2 2 18 8 5" xfId="30746"/>
    <cellStyle name="Итог 2 2 18 9" xfId="5789"/>
    <cellStyle name="Итог 2 2 18 9 2" xfId="17102"/>
    <cellStyle name="Итог 2 2 18 9 3" xfId="32569"/>
    <cellStyle name="Итог 2 2 19" xfId="422"/>
    <cellStyle name="Итог 2 2 19 10" xfId="21678"/>
    <cellStyle name="Итог 2 2 19 10 2" xfId="37039"/>
    <cellStyle name="Итог 2 2 19 11" xfId="11085"/>
    <cellStyle name="Итог 2 2 19 12" xfId="26629"/>
    <cellStyle name="Итог 2 2 19 2" xfId="796"/>
    <cellStyle name="Итог 2 2 19 2 10" xfId="11380"/>
    <cellStyle name="Итог 2 2 19 2 11" xfId="26897"/>
    <cellStyle name="Итог 2 2 19 2 2" xfId="1599"/>
    <cellStyle name="Итог 2 2 19 2 2 2" xfId="2540"/>
    <cellStyle name="Итог 2 2 19 2 2 2 2" xfId="7773"/>
    <cellStyle name="Итог 2 2 19 2 2 2 2 2" xfId="18675"/>
    <cellStyle name="Итог 2 2 19 2 2 2 2 3" xfId="34036"/>
    <cellStyle name="Итог 2 2 19 2 2 2 3" xfId="23661"/>
    <cellStyle name="Итог 2 2 19 2 2 2 3 2" xfId="39022"/>
    <cellStyle name="Итог 2 2 19 2 2 2 4" xfId="13112"/>
    <cellStyle name="Итог 2 2 19 2 2 2 5" xfId="28612"/>
    <cellStyle name="Итог 2 2 19 2 2 3" xfId="5285"/>
    <cellStyle name="Итог 2 2 19 2 2 3 2" xfId="10468"/>
    <cellStyle name="Итог 2 2 19 2 2 3 2 2" xfId="21394"/>
    <cellStyle name="Итог 2 2 19 2 2 3 2 3" xfId="36755"/>
    <cellStyle name="Итог 2 2 19 2 2 3 3" xfId="26355"/>
    <cellStyle name="Итог 2 2 19 2 2 3 3 2" xfId="41716"/>
    <cellStyle name="Итог 2 2 19 2 2 3 4" xfId="15831"/>
    <cellStyle name="Итог 2 2 19 2 2 3 5" xfId="31306"/>
    <cellStyle name="Итог 2 2 19 2 2 4" xfId="6846"/>
    <cellStyle name="Итог 2 2 19 2 2 4 2" xfId="17741"/>
    <cellStyle name="Итог 2 2 19 2 2 4 3" xfId="33102"/>
    <cellStyle name="Итог 2 2 19 2 2 5" xfId="22734"/>
    <cellStyle name="Итог 2 2 19 2 2 5 2" xfId="38095"/>
    <cellStyle name="Итог 2 2 19 2 2 6" xfId="12177"/>
    <cellStyle name="Итог 2 2 19 2 2 7" xfId="27685"/>
    <cellStyle name="Итог 2 2 19 2 3" xfId="2202"/>
    <cellStyle name="Итог 2 2 19 2 3 2" xfId="7438"/>
    <cellStyle name="Итог 2 2 19 2 3 2 2" xfId="18340"/>
    <cellStyle name="Итог 2 2 19 2 3 2 3" xfId="33701"/>
    <cellStyle name="Итог 2 2 19 2 3 3" xfId="23326"/>
    <cellStyle name="Итог 2 2 19 2 3 3 2" xfId="38687"/>
    <cellStyle name="Итог 2 2 19 2 3 4" xfId="12777"/>
    <cellStyle name="Итог 2 2 19 2 3 5" xfId="28277"/>
    <cellStyle name="Итог 2 2 19 2 4" xfId="1312"/>
    <cellStyle name="Итог 2 2 19 2 4 2" xfId="6565"/>
    <cellStyle name="Итог 2 2 19 2 4 2 2" xfId="16296"/>
    <cellStyle name="Итог 2 2 19 2 4 2 3" xfId="31763"/>
    <cellStyle name="Итог 2 2 19 2 4 3" xfId="22453"/>
    <cellStyle name="Итог 2 2 19 2 4 3 2" xfId="37814"/>
    <cellStyle name="Итог 2 2 19 2 4 4" xfId="11893"/>
    <cellStyle name="Итог 2 2 19 2 4 5" xfId="27404"/>
    <cellStyle name="Итог 2 2 19 2 5" xfId="3797"/>
    <cellStyle name="Итог 2 2 19 2 5 2" xfId="8984"/>
    <cellStyle name="Итог 2 2 19 2 5 2 2" xfId="19911"/>
    <cellStyle name="Итог 2 2 19 2 5 2 3" xfId="35272"/>
    <cellStyle name="Итог 2 2 19 2 5 3" xfId="24872"/>
    <cellStyle name="Итог 2 2 19 2 5 3 2" xfId="40233"/>
    <cellStyle name="Итог 2 2 19 2 5 4" xfId="14348"/>
    <cellStyle name="Итог 2 2 19 2 5 5" xfId="29823"/>
    <cellStyle name="Итог 2 2 19 2 6" xfId="4250"/>
    <cellStyle name="Итог 2 2 19 2 6 2" xfId="9437"/>
    <cellStyle name="Итог 2 2 19 2 6 2 2" xfId="20364"/>
    <cellStyle name="Итог 2 2 19 2 6 2 3" xfId="35725"/>
    <cellStyle name="Итог 2 2 19 2 6 3" xfId="25325"/>
    <cellStyle name="Итог 2 2 19 2 6 3 2" xfId="40686"/>
    <cellStyle name="Итог 2 2 19 2 6 4" xfId="14801"/>
    <cellStyle name="Итог 2 2 19 2 6 5" xfId="30276"/>
    <cellStyle name="Итог 2 2 19 2 7" xfId="4575"/>
    <cellStyle name="Итог 2 2 19 2 7 2" xfId="9762"/>
    <cellStyle name="Итог 2 2 19 2 7 2 2" xfId="20689"/>
    <cellStyle name="Итог 2 2 19 2 7 2 3" xfId="36050"/>
    <cellStyle name="Итог 2 2 19 2 7 3" xfId="25650"/>
    <cellStyle name="Итог 2 2 19 2 7 3 2" xfId="41011"/>
    <cellStyle name="Итог 2 2 19 2 7 4" xfId="15126"/>
    <cellStyle name="Итог 2 2 19 2 7 5" xfId="30601"/>
    <cellStyle name="Итог 2 2 19 2 8" xfId="6058"/>
    <cellStyle name="Итог 2 2 19 2 8 2" xfId="16809"/>
    <cellStyle name="Итог 2 2 19 2 8 3" xfId="32276"/>
    <cellStyle name="Итог 2 2 19 2 9" xfId="21946"/>
    <cellStyle name="Итог 2 2 19 2 9 2" xfId="37307"/>
    <cellStyle name="Итог 2 2 19 3" xfId="1736"/>
    <cellStyle name="Итог 2 2 19 3 2" xfId="2666"/>
    <cellStyle name="Итог 2 2 19 3 2 2" xfId="7897"/>
    <cellStyle name="Итог 2 2 19 3 2 2 2" xfId="18801"/>
    <cellStyle name="Итог 2 2 19 3 2 2 3" xfId="34162"/>
    <cellStyle name="Итог 2 2 19 3 2 3" xfId="23785"/>
    <cellStyle name="Итог 2 2 19 3 2 3 2" xfId="39146"/>
    <cellStyle name="Итог 2 2 19 3 2 4" xfId="13238"/>
    <cellStyle name="Итог 2 2 19 3 2 5" xfId="28736"/>
    <cellStyle name="Итог 2 2 19 3 3" xfId="5286"/>
    <cellStyle name="Итог 2 2 19 3 3 2" xfId="10469"/>
    <cellStyle name="Итог 2 2 19 3 3 2 2" xfId="21395"/>
    <cellStyle name="Итог 2 2 19 3 3 2 3" xfId="36756"/>
    <cellStyle name="Итог 2 2 19 3 3 3" xfId="26356"/>
    <cellStyle name="Итог 2 2 19 3 3 3 2" xfId="41717"/>
    <cellStyle name="Итог 2 2 19 3 3 4" xfId="15832"/>
    <cellStyle name="Итог 2 2 19 3 3 5" xfId="31307"/>
    <cellStyle name="Итог 2 2 19 3 4" xfId="6976"/>
    <cellStyle name="Итог 2 2 19 3 4 2" xfId="17877"/>
    <cellStyle name="Итог 2 2 19 3 4 3" xfId="33238"/>
    <cellStyle name="Итог 2 2 19 3 5" xfId="22864"/>
    <cellStyle name="Итог 2 2 19 3 5 2" xfId="38225"/>
    <cellStyle name="Итог 2 2 19 3 6" xfId="12314"/>
    <cellStyle name="Итог 2 2 19 3 7" xfId="27815"/>
    <cellStyle name="Итог 2 2 19 4" xfId="1831"/>
    <cellStyle name="Итог 2 2 19 4 2" xfId="7070"/>
    <cellStyle name="Итог 2 2 19 4 2 2" xfId="17972"/>
    <cellStyle name="Итог 2 2 19 4 2 3" xfId="33333"/>
    <cellStyle name="Итог 2 2 19 4 3" xfId="22958"/>
    <cellStyle name="Итог 2 2 19 4 3 2" xfId="38319"/>
    <cellStyle name="Итог 2 2 19 4 4" xfId="12409"/>
    <cellStyle name="Итог 2 2 19 4 5" xfId="27909"/>
    <cellStyle name="Итог 2 2 19 5" xfId="2638"/>
    <cellStyle name="Итог 2 2 19 5 2" xfId="7869"/>
    <cellStyle name="Итог 2 2 19 5 2 2" xfId="18773"/>
    <cellStyle name="Итог 2 2 19 5 2 3" xfId="34134"/>
    <cellStyle name="Итог 2 2 19 5 3" xfId="23757"/>
    <cellStyle name="Итог 2 2 19 5 3 2" xfId="39118"/>
    <cellStyle name="Итог 2 2 19 5 4" xfId="13210"/>
    <cellStyle name="Итог 2 2 19 5 5" xfId="28708"/>
    <cellStyle name="Итог 2 2 19 6" xfId="3546"/>
    <cellStyle name="Итог 2 2 19 6 2" xfId="8733"/>
    <cellStyle name="Итог 2 2 19 6 2 2" xfId="19660"/>
    <cellStyle name="Итог 2 2 19 6 2 3" xfId="35021"/>
    <cellStyle name="Итог 2 2 19 6 3" xfId="24621"/>
    <cellStyle name="Итог 2 2 19 6 3 2" xfId="39982"/>
    <cellStyle name="Итог 2 2 19 6 4" xfId="14097"/>
    <cellStyle name="Итог 2 2 19 6 5" xfId="29572"/>
    <cellStyle name="Итог 2 2 19 7" xfId="3982"/>
    <cellStyle name="Итог 2 2 19 7 2" xfId="9169"/>
    <cellStyle name="Итог 2 2 19 7 2 2" xfId="20096"/>
    <cellStyle name="Итог 2 2 19 7 2 3" xfId="35457"/>
    <cellStyle name="Итог 2 2 19 7 3" xfId="25057"/>
    <cellStyle name="Итог 2 2 19 7 3 2" xfId="40418"/>
    <cellStyle name="Итог 2 2 19 7 4" xfId="14533"/>
    <cellStyle name="Итог 2 2 19 7 5" xfId="30008"/>
    <cellStyle name="Итог 2 2 19 8" xfId="4719"/>
    <cellStyle name="Итог 2 2 19 8 2" xfId="9906"/>
    <cellStyle name="Итог 2 2 19 8 2 2" xfId="20833"/>
    <cellStyle name="Итог 2 2 19 8 2 3" xfId="36194"/>
    <cellStyle name="Итог 2 2 19 8 3" xfId="25794"/>
    <cellStyle name="Итог 2 2 19 8 3 2" xfId="41155"/>
    <cellStyle name="Итог 2 2 19 8 4" xfId="15270"/>
    <cellStyle name="Итог 2 2 19 8 5" xfId="30745"/>
    <cellStyle name="Итог 2 2 19 9" xfId="5790"/>
    <cellStyle name="Итог 2 2 19 9 2" xfId="17101"/>
    <cellStyle name="Итог 2 2 19 9 3" xfId="32568"/>
    <cellStyle name="Итог 2 2 2" xfId="423"/>
    <cellStyle name="Итог 2 2 2 10" xfId="21679"/>
    <cellStyle name="Итог 2 2 2 10 2" xfId="37040"/>
    <cellStyle name="Итог 2 2 2 11" xfId="11086"/>
    <cellStyle name="Итог 2 2 2 12" xfId="26630"/>
    <cellStyle name="Итог 2 2 2 13" xfId="43824"/>
    <cellStyle name="Итог 2 2 2 2" xfId="795"/>
    <cellStyle name="Итог 2 2 2 2 10" xfId="11379"/>
    <cellStyle name="Итог 2 2 2 2 11" xfId="26896"/>
    <cellStyle name="Итог 2 2 2 2 12" xfId="43998"/>
    <cellStyle name="Итог 2 2 2 2 2" xfId="1305"/>
    <cellStyle name="Итог 2 2 2 2 2 2" xfId="2542"/>
    <cellStyle name="Итог 2 2 2 2 2 2 2" xfId="7775"/>
    <cellStyle name="Итог 2 2 2 2 2 2 2 2" xfId="18677"/>
    <cellStyle name="Итог 2 2 2 2 2 2 2 3" xfId="34038"/>
    <cellStyle name="Итог 2 2 2 2 2 2 3" xfId="23663"/>
    <cellStyle name="Итог 2 2 2 2 2 2 3 2" xfId="39024"/>
    <cellStyle name="Итог 2 2 2 2 2 2 4" xfId="13114"/>
    <cellStyle name="Итог 2 2 2 2 2 2 5" xfId="28614"/>
    <cellStyle name="Итог 2 2 2 2 2 2 6" xfId="46294"/>
    <cellStyle name="Итог 2 2 2 2 2 3" xfId="5287"/>
    <cellStyle name="Итог 2 2 2 2 2 3 2" xfId="10470"/>
    <cellStyle name="Итог 2 2 2 2 2 3 2 2" xfId="21396"/>
    <cellStyle name="Итог 2 2 2 2 2 3 2 3" xfId="36757"/>
    <cellStyle name="Итог 2 2 2 2 2 3 3" xfId="26357"/>
    <cellStyle name="Итог 2 2 2 2 2 3 3 2" xfId="41718"/>
    <cellStyle name="Итог 2 2 2 2 2 3 4" xfId="15833"/>
    <cellStyle name="Итог 2 2 2 2 2 3 5" xfId="31308"/>
    <cellStyle name="Итог 2 2 2 2 2 4" xfId="6558"/>
    <cellStyle name="Итог 2 2 2 2 2 4 2" xfId="16303"/>
    <cellStyle name="Итог 2 2 2 2 2 4 3" xfId="31770"/>
    <cellStyle name="Итог 2 2 2 2 2 5" xfId="22446"/>
    <cellStyle name="Итог 2 2 2 2 2 5 2" xfId="37807"/>
    <cellStyle name="Итог 2 2 2 2 2 6" xfId="11886"/>
    <cellStyle name="Итог 2 2 2 2 2 7" xfId="27397"/>
    <cellStyle name="Итог 2 2 2 2 3" xfId="2201"/>
    <cellStyle name="Итог 2 2 2 2 3 2" xfId="7437"/>
    <cellStyle name="Итог 2 2 2 2 3 2 2" xfId="18339"/>
    <cellStyle name="Итог 2 2 2 2 3 2 3" xfId="33700"/>
    <cellStyle name="Итог 2 2 2 2 3 3" xfId="23325"/>
    <cellStyle name="Итог 2 2 2 2 3 3 2" xfId="38686"/>
    <cellStyle name="Итог 2 2 2 2 3 4" xfId="12776"/>
    <cellStyle name="Итог 2 2 2 2 3 5" xfId="28276"/>
    <cellStyle name="Итог 2 2 2 2 4" xfId="976"/>
    <cellStyle name="Итог 2 2 2 2 4 2" xfId="6236"/>
    <cellStyle name="Итог 2 2 2 2 4 2 2" xfId="16630"/>
    <cellStyle name="Итог 2 2 2 2 4 2 3" xfId="32097"/>
    <cellStyle name="Итог 2 2 2 2 4 3" xfId="22124"/>
    <cellStyle name="Итог 2 2 2 2 4 3 2" xfId="37485"/>
    <cellStyle name="Итог 2 2 2 2 4 4" xfId="11559"/>
    <cellStyle name="Итог 2 2 2 2 4 5" xfId="27075"/>
    <cellStyle name="Итог 2 2 2 2 5" xfId="2510"/>
    <cellStyle name="Итог 2 2 2 2 5 2" xfId="7743"/>
    <cellStyle name="Итог 2 2 2 2 5 2 2" xfId="18645"/>
    <cellStyle name="Итог 2 2 2 2 5 2 3" xfId="34006"/>
    <cellStyle name="Итог 2 2 2 2 5 3" xfId="23631"/>
    <cellStyle name="Итог 2 2 2 2 5 3 2" xfId="38992"/>
    <cellStyle name="Итог 2 2 2 2 5 4" xfId="13082"/>
    <cellStyle name="Итог 2 2 2 2 5 5" xfId="28582"/>
    <cellStyle name="Итог 2 2 2 2 5 6" xfId="45356"/>
    <cellStyle name="Итог 2 2 2 2 6" xfId="4249"/>
    <cellStyle name="Итог 2 2 2 2 6 2" xfId="9436"/>
    <cellStyle name="Итог 2 2 2 2 6 2 2" xfId="20363"/>
    <cellStyle name="Итог 2 2 2 2 6 2 3" xfId="35724"/>
    <cellStyle name="Итог 2 2 2 2 6 3" xfId="25324"/>
    <cellStyle name="Итог 2 2 2 2 6 3 2" xfId="40685"/>
    <cellStyle name="Итог 2 2 2 2 6 4" xfId="14800"/>
    <cellStyle name="Итог 2 2 2 2 6 5" xfId="30275"/>
    <cellStyle name="Итог 2 2 2 2 6 6" xfId="46293"/>
    <cellStyle name="Итог 2 2 2 2 7" xfId="4970"/>
    <cellStyle name="Итог 2 2 2 2 7 2" xfId="10157"/>
    <cellStyle name="Итог 2 2 2 2 7 2 2" xfId="21084"/>
    <cellStyle name="Итог 2 2 2 2 7 2 3" xfId="36445"/>
    <cellStyle name="Итог 2 2 2 2 7 3" xfId="26045"/>
    <cellStyle name="Итог 2 2 2 2 7 3 2" xfId="41406"/>
    <cellStyle name="Итог 2 2 2 2 7 4" xfId="15521"/>
    <cellStyle name="Итог 2 2 2 2 7 5" xfId="30996"/>
    <cellStyle name="Итог 2 2 2 2 8" xfId="6057"/>
    <cellStyle name="Итог 2 2 2 2 8 2" xfId="16810"/>
    <cellStyle name="Итог 2 2 2 2 8 3" xfId="32277"/>
    <cellStyle name="Итог 2 2 2 2 9" xfId="21945"/>
    <cellStyle name="Итог 2 2 2 2 9 2" xfId="37306"/>
    <cellStyle name="Итог 2 2 2 3" xfId="1218"/>
    <cellStyle name="Итог 2 2 2 3 2" xfId="2664"/>
    <cellStyle name="Итог 2 2 2 3 2 2" xfId="7895"/>
    <cellStyle name="Итог 2 2 2 3 2 2 2" xfId="18799"/>
    <cellStyle name="Итог 2 2 2 3 2 2 3" xfId="34160"/>
    <cellStyle name="Итог 2 2 2 3 2 3" xfId="23783"/>
    <cellStyle name="Итог 2 2 2 3 2 3 2" xfId="39144"/>
    <cellStyle name="Итог 2 2 2 3 2 4" xfId="13236"/>
    <cellStyle name="Итог 2 2 2 3 2 5" xfId="28734"/>
    <cellStyle name="Итог 2 2 2 3 2 6" xfId="46296"/>
    <cellStyle name="Итог 2 2 2 3 3" xfId="5288"/>
    <cellStyle name="Итог 2 2 2 3 3 2" xfId="10471"/>
    <cellStyle name="Итог 2 2 2 3 3 2 2" xfId="21397"/>
    <cellStyle name="Итог 2 2 2 3 3 2 3" xfId="36758"/>
    <cellStyle name="Итог 2 2 2 3 3 3" xfId="26358"/>
    <cellStyle name="Итог 2 2 2 3 3 3 2" xfId="41719"/>
    <cellStyle name="Итог 2 2 2 3 3 4" xfId="15834"/>
    <cellStyle name="Итог 2 2 2 3 3 5" xfId="31309"/>
    <cellStyle name="Итог 2 2 2 3 3 6" xfId="46295"/>
    <cellStyle name="Итог 2 2 2 3 4" xfId="6471"/>
    <cellStyle name="Итог 2 2 2 3 4 2" xfId="16390"/>
    <cellStyle name="Итог 2 2 2 3 4 3" xfId="31857"/>
    <cellStyle name="Итог 2 2 2 3 5" xfId="22359"/>
    <cellStyle name="Итог 2 2 2 3 5 2" xfId="37720"/>
    <cellStyle name="Итог 2 2 2 3 6" xfId="11799"/>
    <cellStyle name="Итог 2 2 2 3 7" xfId="27310"/>
    <cellStyle name="Итог 2 2 2 4" xfId="1832"/>
    <cellStyle name="Итог 2 2 2 4 2" xfId="7071"/>
    <cellStyle name="Итог 2 2 2 4 2 2" xfId="17973"/>
    <cellStyle name="Итог 2 2 2 4 2 3" xfId="33334"/>
    <cellStyle name="Итог 2 2 2 4 2 4" xfId="46297"/>
    <cellStyle name="Итог 2 2 2 4 3" xfId="22959"/>
    <cellStyle name="Итог 2 2 2 4 3 2" xfId="38320"/>
    <cellStyle name="Итог 2 2 2 4 4" xfId="12410"/>
    <cellStyle name="Итог 2 2 2 4 5" xfId="27910"/>
    <cellStyle name="Итог 2 2 2 5" xfId="2568"/>
    <cellStyle name="Итог 2 2 2 5 2" xfId="7801"/>
    <cellStyle name="Итог 2 2 2 5 2 2" xfId="18703"/>
    <cellStyle name="Итог 2 2 2 5 2 3" xfId="34064"/>
    <cellStyle name="Итог 2 2 2 5 3" xfId="23689"/>
    <cellStyle name="Итог 2 2 2 5 3 2" xfId="39050"/>
    <cellStyle name="Итог 2 2 2 5 4" xfId="13140"/>
    <cellStyle name="Итог 2 2 2 5 5" xfId="28640"/>
    <cellStyle name="Итог 2 2 2 6" xfId="3835"/>
    <cellStyle name="Итог 2 2 2 6 2" xfId="9022"/>
    <cellStyle name="Итог 2 2 2 6 2 2" xfId="19949"/>
    <cellStyle name="Итог 2 2 2 6 2 3" xfId="35310"/>
    <cellStyle name="Итог 2 2 2 6 3" xfId="24910"/>
    <cellStyle name="Итог 2 2 2 6 3 2" xfId="40271"/>
    <cellStyle name="Итог 2 2 2 6 4" xfId="14386"/>
    <cellStyle name="Итог 2 2 2 6 5" xfId="29861"/>
    <cellStyle name="Итог 2 2 2 6 6" xfId="45304"/>
    <cellStyle name="Итог 2 2 2 7" xfId="3983"/>
    <cellStyle name="Итог 2 2 2 7 2" xfId="9170"/>
    <cellStyle name="Итог 2 2 2 7 2 2" xfId="20097"/>
    <cellStyle name="Итог 2 2 2 7 2 3" xfId="35458"/>
    <cellStyle name="Итог 2 2 2 7 3" xfId="25058"/>
    <cellStyle name="Итог 2 2 2 7 3 2" xfId="40419"/>
    <cellStyle name="Итог 2 2 2 7 4" xfId="14534"/>
    <cellStyle name="Итог 2 2 2 7 5" xfId="30009"/>
    <cellStyle name="Итог 2 2 2 8" xfId="4718"/>
    <cellStyle name="Итог 2 2 2 8 2" xfId="9905"/>
    <cellStyle name="Итог 2 2 2 8 2 2" xfId="20832"/>
    <cellStyle name="Итог 2 2 2 8 2 3" xfId="36193"/>
    <cellStyle name="Итог 2 2 2 8 3" xfId="25793"/>
    <cellStyle name="Итог 2 2 2 8 3 2" xfId="41154"/>
    <cellStyle name="Итог 2 2 2 8 4" xfId="15269"/>
    <cellStyle name="Итог 2 2 2 8 5" xfId="30744"/>
    <cellStyle name="Итог 2 2 2 9" xfId="5791"/>
    <cellStyle name="Итог 2 2 2 9 2" xfId="17100"/>
    <cellStyle name="Итог 2 2 2 9 3" xfId="32567"/>
    <cellStyle name="Итог 2 2 20" xfId="424"/>
    <cellStyle name="Итог 2 2 20 10" xfId="21680"/>
    <cellStyle name="Итог 2 2 20 10 2" xfId="37041"/>
    <cellStyle name="Итог 2 2 20 11" xfId="11087"/>
    <cellStyle name="Итог 2 2 20 12" xfId="26631"/>
    <cellStyle name="Итог 2 2 20 2" xfId="794"/>
    <cellStyle name="Итог 2 2 20 2 10" xfId="11378"/>
    <cellStyle name="Итог 2 2 20 2 11" xfId="26895"/>
    <cellStyle name="Итог 2 2 20 2 2" xfId="75"/>
    <cellStyle name="Итог 2 2 20 2 2 2" xfId="2544"/>
    <cellStyle name="Итог 2 2 20 2 2 2 2" xfId="7777"/>
    <cellStyle name="Итог 2 2 20 2 2 2 2 2" xfId="18679"/>
    <cellStyle name="Итог 2 2 20 2 2 2 2 3" xfId="34040"/>
    <cellStyle name="Итог 2 2 20 2 2 2 3" xfId="23665"/>
    <cellStyle name="Итог 2 2 20 2 2 2 3 2" xfId="39026"/>
    <cellStyle name="Итог 2 2 20 2 2 2 4" xfId="13116"/>
    <cellStyle name="Итог 2 2 20 2 2 2 5" xfId="28616"/>
    <cellStyle name="Итог 2 2 20 2 2 3" xfId="5289"/>
    <cellStyle name="Итог 2 2 20 2 2 3 2" xfId="10472"/>
    <cellStyle name="Итог 2 2 20 2 2 3 2 2" xfId="21398"/>
    <cellStyle name="Итог 2 2 20 2 2 3 2 3" xfId="36759"/>
    <cellStyle name="Итог 2 2 20 2 2 3 3" xfId="26359"/>
    <cellStyle name="Итог 2 2 20 2 2 3 3 2" xfId="41720"/>
    <cellStyle name="Итог 2 2 20 2 2 3 4" xfId="15835"/>
    <cellStyle name="Итог 2 2 20 2 2 3 5" xfId="31310"/>
    <cellStyle name="Итог 2 2 20 2 2 4" xfId="5601"/>
    <cellStyle name="Итог 2 2 20 2 2 4 2" xfId="17396"/>
    <cellStyle name="Итог 2 2 20 2 2 4 3" xfId="32863"/>
    <cellStyle name="Итог 2 2 20 2 2 5" xfId="17431"/>
    <cellStyle name="Итог 2 2 20 2 2 5 2" xfId="32898"/>
    <cellStyle name="Итог 2 2 20 2 2 6" xfId="10789"/>
    <cellStyle name="Итог 2 2 20 2 2 7" xfId="10754"/>
    <cellStyle name="Итог 2 2 20 2 3" xfId="2200"/>
    <cellStyle name="Итог 2 2 20 2 3 2" xfId="7436"/>
    <cellStyle name="Итог 2 2 20 2 3 2 2" xfId="18338"/>
    <cellStyle name="Итог 2 2 20 2 3 2 3" xfId="33699"/>
    <cellStyle name="Итог 2 2 20 2 3 3" xfId="23324"/>
    <cellStyle name="Итог 2 2 20 2 3 3 2" xfId="38685"/>
    <cellStyle name="Итог 2 2 20 2 3 4" xfId="12775"/>
    <cellStyle name="Итог 2 2 20 2 3 5" xfId="28275"/>
    <cellStyle name="Итог 2 2 20 2 4" xfId="2849"/>
    <cellStyle name="Итог 2 2 20 2 4 2" xfId="8060"/>
    <cellStyle name="Итог 2 2 20 2 4 2 2" xfId="18979"/>
    <cellStyle name="Итог 2 2 20 2 4 2 3" xfId="34340"/>
    <cellStyle name="Итог 2 2 20 2 4 3" xfId="23948"/>
    <cellStyle name="Итог 2 2 20 2 4 3 2" xfId="39309"/>
    <cellStyle name="Итог 2 2 20 2 4 4" xfId="13416"/>
    <cellStyle name="Итог 2 2 20 2 4 5" xfId="28899"/>
    <cellStyle name="Итог 2 2 20 2 5" xfId="3625"/>
    <cellStyle name="Итог 2 2 20 2 5 2" xfId="8812"/>
    <cellStyle name="Итог 2 2 20 2 5 2 2" xfId="19739"/>
    <cellStyle name="Итог 2 2 20 2 5 2 3" xfId="35100"/>
    <cellStyle name="Итог 2 2 20 2 5 3" xfId="24700"/>
    <cellStyle name="Итог 2 2 20 2 5 3 2" xfId="40061"/>
    <cellStyle name="Итог 2 2 20 2 5 4" xfId="14176"/>
    <cellStyle name="Итог 2 2 20 2 5 5" xfId="29651"/>
    <cellStyle name="Итог 2 2 20 2 6" xfId="4248"/>
    <cellStyle name="Итог 2 2 20 2 6 2" xfId="9435"/>
    <cellStyle name="Итог 2 2 20 2 6 2 2" xfId="20362"/>
    <cellStyle name="Итог 2 2 20 2 6 2 3" xfId="35723"/>
    <cellStyle name="Итог 2 2 20 2 6 3" xfId="25323"/>
    <cellStyle name="Итог 2 2 20 2 6 3 2" xfId="40684"/>
    <cellStyle name="Итог 2 2 20 2 6 4" xfId="14799"/>
    <cellStyle name="Итог 2 2 20 2 6 5" xfId="30274"/>
    <cellStyle name="Итог 2 2 20 2 7" xfId="4576"/>
    <cellStyle name="Итог 2 2 20 2 7 2" xfId="9763"/>
    <cellStyle name="Итог 2 2 20 2 7 2 2" xfId="20690"/>
    <cellStyle name="Итог 2 2 20 2 7 2 3" xfId="36051"/>
    <cellStyle name="Итог 2 2 20 2 7 3" xfId="25651"/>
    <cellStyle name="Итог 2 2 20 2 7 3 2" xfId="41012"/>
    <cellStyle name="Итог 2 2 20 2 7 4" xfId="15127"/>
    <cellStyle name="Итог 2 2 20 2 7 5" xfId="30602"/>
    <cellStyle name="Итог 2 2 20 2 8" xfId="6056"/>
    <cellStyle name="Итог 2 2 20 2 8 2" xfId="16811"/>
    <cellStyle name="Итог 2 2 20 2 8 3" xfId="32278"/>
    <cellStyle name="Итог 2 2 20 2 9" xfId="21944"/>
    <cellStyle name="Итог 2 2 20 2 9 2" xfId="37305"/>
    <cellStyle name="Итог 2 2 20 3" xfId="1535"/>
    <cellStyle name="Итог 2 2 20 3 2" xfId="2662"/>
    <cellStyle name="Итог 2 2 20 3 2 2" xfId="7893"/>
    <cellStyle name="Итог 2 2 20 3 2 2 2" xfId="18797"/>
    <cellStyle name="Итог 2 2 20 3 2 2 3" xfId="34158"/>
    <cellStyle name="Итог 2 2 20 3 2 3" xfId="23781"/>
    <cellStyle name="Итог 2 2 20 3 2 3 2" xfId="39142"/>
    <cellStyle name="Итог 2 2 20 3 2 4" xfId="13234"/>
    <cellStyle name="Итог 2 2 20 3 2 5" xfId="28732"/>
    <cellStyle name="Итог 2 2 20 3 3" xfId="5290"/>
    <cellStyle name="Итог 2 2 20 3 3 2" xfId="10473"/>
    <cellStyle name="Итог 2 2 20 3 3 2 2" xfId="21399"/>
    <cellStyle name="Итог 2 2 20 3 3 2 3" xfId="36760"/>
    <cellStyle name="Итог 2 2 20 3 3 3" xfId="26360"/>
    <cellStyle name="Итог 2 2 20 3 3 3 2" xfId="41721"/>
    <cellStyle name="Итог 2 2 20 3 3 4" xfId="15836"/>
    <cellStyle name="Итог 2 2 20 3 3 5" xfId="31311"/>
    <cellStyle name="Итог 2 2 20 3 4" xfId="6782"/>
    <cellStyle name="Итог 2 2 20 3 4 2" xfId="17677"/>
    <cellStyle name="Итог 2 2 20 3 4 3" xfId="33038"/>
    <cellStyle name="Итог 2 2 20 3 5" xfId="22670"/>
    <cellStyle name="Итог 2 2 20 3 5 2" xfId="38031"/>
    <cellStyle name="Итог 2 2 20 3 6" xfId="12113"/>
    <cellStyle name="Итог 2 2 20 3 7" xfId="27621"/>
    <cellStyle name="Итог 2 2 20 4" xfId="1833"/>
    <cellStyle name="Итог 2 2 20 4 2" xfId="7072"/>
    <cellStyle name="Итог 2 2 20 4 2 2" xfId="17974"/>
    <cellStyle name="Итог 2 2 20 4 2 3" xfId="33335"/>
    <cellStyle name="Итог 2 2 20 4 3" xfId="22960"/>
    <cellStyle name="Итог 2 2 20 4 3 2" xfId="38321"/>
    <cellStyle name="Итог 2 2 20 4 4" xfId="12411"/>
    <cellStyle name="Итог 2 2 20 4 5" xfId="27911"/>
    <cellStyle name="Итог 2 2 20 5" xfId="2640"/>
    <cellStyle name="Итог 2 2 20 5 2" xfId="7871"/>
    <cellStyle name="Итог 2 2 20 5 2 2" xfId="18775"/>
    <cellStyle name="Итог 2 2 20 5 2 3" xfId="34136"/>
    <cellStyle name="Итог 2 2 20 5 3" xfId="23759"/>
    <cellStyle name="Итог 2 2 20 5 3 2" xfId="39120"/>
    <cellStyle name="Итог 2 2 20 5 4" xfId="13212"/>
    <cellStyle name="Итог 2 2 20 5 5" xfId="28710"/>
    <cellStyle name="Итог 2 2 20 6" xfId="3951"/>
    <cellStyle name="Итог 2 2 20 6 2" xfId="9138"/>
    <cellStyle name="Итог 2 2 20 6 2 2" xfId="20065"/>
    <cellStyle name="Итог 2 2 20 6 2 3" xfId="35426"/>
    <cellStyle name="Итог 2 2 20 6 3" xfId="25026"/>
    <cellStyle name="Итог 2 2 20 6 3 2" xfId="40387"/>
    <cellStyle name="Итог 2 2 20 6 4" xfId="14502"/>
    <cellStyle name="Итог 2 2 20 6 5" xfId="29977"/>
    <cellStyle name="Итог 2 2 20 7" xfId="3984"/>
    <cellStyle name="Итог 2 2 20 7 2" xfId="9171"/>
    <cellStyle name="Итог 2 2 20 7 2 2" xfId="20098"/>
    <cellStyle name="Итог 2 2 20 7 2 3" xfId="35459"/>
    <cellStyle name="Итог 2 2 20 7 3" xfId="25059"/>
    <cellStyle name="Итог 2 2 20 7 3 2" xfId="40420"/>
    <cellStyle name="Итог 2 2 20 7 4" xfId="14535"/>
    <cellStyle name="Итог 2 2 20 7 5" xfId="30010"/>
    <cellStyle name="Итог 2 2 20 8" xfId="4854"/>
    <cellStyle name="Итог 2 2 20 8 2" xfId="10041"/>
    <cellStyle name="Итог 2 2 20 8 2 2" xfId="20968"/>
    <cellStyle name="Итог 2 2 20 8 2 3" xfId="36329"/>
    <cellStyle name="Итог 2 2 20 8 3" xfId="25929"/>
    <cellStyle name="Итог 2 2 20 8 3 2" xfId="41290"/>
    <cellStyle name="Итог 2 2 20 8 4" xfId="15405"/>
    <cellStyle name="Итог 2 2 20 8 5" xfId="30880"/>
    <cellStyle name="Итог 2 2 20 9" xfId="5792"/>
    <cellStyle name="Итог 2 2 20 9 2" xfId="17099"/>
    <cellStyle name="Итог 2 2 20 9 3" xfId="32566"/>
    <cellStyle name="Итог 2 2 21" xfId="425"/>
    <cellStyle name="Итог 2 2 21 10" xfId="21681"/>
    <cellStyle name="Итог 2 2 21 10 2" xfId="37042"/>
    <cellStyle name="Итог 2 2 21 11" xfId="11088"/>
    <cellStyle name="Итог 2 2 21 12" xfId="26632"/>
    <cellStyle name="Итог 2 2 21 2" xfId="793"/>
    <cellStyle name="Итог 2 2 21 2 10" xfId="11377"/>
    <cellStyle name="Итог 2 2 21 2 11" xfId="26894"/>
    <cellStyle name="Итог 2 2 21 2 2" xfId="1468"/>
    <cellStyle name="Итог 2 2 21 2 2 2" xfId="2546"/>
    <cellStyle name="Итог 2 2 21 2 2 2 2" xfId="7779"/>
    <cellStyle name="Итог 2 2 21 2 2 2 2 2" xfId="18681"/>
    <cellStyle name="Итог 2 2 21 2 2 2 2 3" xfId="34042"/>
    <cellStyle name="Итог 2 2 21 2 2 2 3" xfId="23667"/>
    <cellStyle name="Итог 2 2 21 2 2 2 3 2" xfId="39028"/>
    <cellStyle name="Итог 2 2 21 2 2 2 4" xfId="13118"/>
    <cellStyle name="Итог 2 2 21 2 2 2 5" xfId="28618"/>
    <cellStyle name="Итог 2 2 21 2 2 3" xfId="5291"/>
    <cellStyle name="Итог 2 2 21 2 2 3 2" xfId="10474"/>
    <cellStyle name="Итог 2 2 21 2 2 3 2 2" xfId="21400"/>
    <cellStyle name="Итог 2 2 21 2 2 3 2 3" xfId="36761"/>
    <cellStyle name="Итог 2 2 21 2 2 3 3" xfId="26361"/>
    <cellStyle name="Итог 2 2 21 2 2 3 3 2" xfId="41722"/>
    <cellStyle name="Итог 2 2 21 2 2 3 4" xfId="15837"/>
    <cellStyle name="Итог 2 2 21 2 2 3 5" xfId="31312"/>
    <cellStyle name="Итог 2 2 21 2 2 4" xfId="6715"/>
    <cellStyle name="Итог 2 2 21 2 2 4 2" xfId="16143"/>
    <cellStyle name="Итог 2 2 21 2 2 4 3" xfId="31610"/>
    <cellStyle name="Итог 2 2 21 2 2 5" xfId="22603"/>
    <cellStyle name="Итог 2 2 21 2 2 5 2" xfId="37964"/>
    <cellStyle name="Итог 2 2 21 2 2 6" xfId="12046"/>
    <cellStyle name="Итог 2 2 21 2 2 7" xfId="27554"/>
    <cellStyle name="Итог 2 2 21 2 3" xfId="2199"/>
    <cellStyle name="Итог 2 2 21 2 3 2" xfId="7435"/>
    <cellStyle name="Итог 2 2 21 2 3 2 2" xfId="18337"/>
    <cellStyle name="Итог 2 2 21 2 3 2 3" xfId="33698"/>
    <cellStyle name="Итог 2 2 21 2 3 3" xfId="23323"/>
    <cellStyle name="Итог 2 2 21 2 3 3 2" xfId="38684"/>
    <cellStyle name="Итог 2 2 21 2 3 4" xfId="12774"/>
    <cellStyle name="Итог 2 2 21 2 3 5" xfId="28274"/>
    <cellStyle name="Итог 2 2 21 2 4" xfId="2792"/>
    <cellStyle name="Итог 2 2 21 2 4 2" xfId="8017"/>
    <cellStyle name="Итог 2 2 21 2 4 2 2" xfId="18922"/>
    <cellStyle name="Итог 2 2 21 2 4 2 3" xfId="34283"/>
    <cellStyle name="Итог 2 2 21 2 4 3" xfId="23905"/>
    <cellStyle name="Итог 2 2 21 2 4 3 2" xfId="39266"/>
    <cellStyle name="Итог 2 2 21 2 4 4" xfId="13359"/>
    <cellStyle name="Итог 2 2 21 2 4 5" xfId="28856"/>
    <cellStyle name="Итог 2 2 21 2 5" xfId="3424"/>
    <cellStyle name="Итог 2 2 21 2 5 2" xfId="8614"/>
    <cellStyle name="Итог 2 2 21 2 5 2 2" xfId="19541"/>
    <cellStyle name="Итог 2 2 21 2 5 2 3" xfId="34902"/>
    <cellStyle name="Итог 2 2 21 2 5 3" xfId="24502"/>
    <cellStyle name="Итог 2 2 21 2 5 3 2" xfId="39863"/>
    <cellStyle name="Итог 2 2 21 2 5 4" xfId="13978"/>
    <cellStyle name="Итог 2 2 21 2 5 5" xfId="29453"/>
    <cellStyle name="Итог 2 2 21 2 6" xfId="4247"/>
    <cellStyle name="Итог 2 2 21 2 6 2" xfId="9434"/>
    <cellStyle name="Итог 2 2 21 2 6 2 2" xfId="20361"/>
    <cellStyle name="Итог 2 2 21 2 6 2 3" xfId="35722"/>
    <cellStyle name="Итог 2 2 21 2 6 3" xfId="25322"/>
    <cellStyle name="Итог 2 2 21 2 6 3 2" xfId="40683"/>
    <cellStyle name="Итог 2 2 21 2 6 4" xfId="14798"/>
    <cellStyle name="Итог 2 2 21 2 6 5" xfId="30273"/>
    <cellStyle name="Итог 2 2 21 2 7" xfId="4969"/>
    <cellStyle name="Итог 2 2 21 2 7 2" xfId="10156"/>
    <cellStyle name="Итог 2 2 21 2 7 2 2" xfId="21083"/>
    <cellStyle name="Итог 2 2 21 2 7 2 3" xfId="36444"/>
    <cellStyle name="Итог 2 2 21 2 7 3" xfId="26044"/>
    <cellStyle name="Итог 2 2 21 2 7 3 2" xfId="41405"/>
    <cellStyle name="Итог 2 2 21 2 7 4" xfId="15520"/>
    <cellStyle name="Итог 2 2 21 2 7 5" xfId="30995"/>
    <cellStyle name="Итог 2 2 21 2 8" xfId="6055"/>
    <cellStyle name="Итог 2 2 21 2 8 2" xfId="16812"/>
    <cellStyle name="Итог 2 2 21 2 8 3" xfId="32279"/>
    <cellStyle name="Итог 2 2 21 2 9" xfId="21943"/>
    <cellStyle name="Итог 2 2 21 2 9 2" xfId="37304"/>
    <cellStyle name="Итог 2 2 21 3" xfId="1450"/>
    <cellStyle name="Итог 2 2 21 3 2" xfId="2661"/>
    <cellStyle name="Итог 2 2 21 3 2 2" xfId="7892"/>
    <cellStyle name="Итог 2 2 21 3 2 2 2" xfId="18796"/>
    <cellStyle name="Итог 2 2 21 3 2 2 3" xfId="34157"/>
    <cellStyle name="Итог 2 2 21 3 2 3" xfId="23780"/>
    <cellStyle name="Итог 2 2 21 3 2 3 2" xfId="39141"/>
    <cellStyle name="Итог 2 2 21 3 2 4" xfId="13233"/>
    <cellStyle name="Итог 2 2 21 3 2 5" xfId="28731"/>
    <cellStyle name="Итог 2 2 21 3 3" xfId="5292"/>
    <cellStyle name="Итог 2 2 21 3 3 2" xfId="10475"/>
    <cellStyle name="Итог 2 2 21 3 3 2 2" xfId="21401"/>
    <cellStyle name="Итог 2 2 21 3 3 2 3" xfId="36762"/>
    <cellStyle name="Итог 2 2 21 3 3 3" xfId="26362"/>
    <cellStyle name="Итог 2 2 21 3 3 3 2" xfId="41723"/>
    <cellStyle name="Итог 2 2 21 3 3 4" xfId="15838"/>
    <cellStyle name="Итог 2 2 21 3 3 5" xfId="31313"/>
    <cellStyle name="Итог 2 2 21 3 4" xfId="6697"/>
    <cellStyle name="Итог 2 2 21 3 4 2" xfId="16161"/>
    <cellStyle name="Итог 2 2 21 3 4 3" xfId="31628"/>
    <cellStyle name="Итог 2 2 21 3 5" xfId="22585"/>
    <cellStyle name="Итог 2 2 21 3 5 2" xfId="37946"/>
    <cellStyle name="Итог 2 2 21 3 6" xfId="12028"/>
    <cellStyle name="Итог 2 2 21 3 7" xfId="27536"/>
    <cellStyle name="Итог 2 2 21 4" xfId="1834"/>
    <cellStyle name="Итог 2 2 21 4 2" xfId="7073"/>
    <cellStyle name="Итог 2 2 21 4 2 2" xfId="17975"/>
    <cellStyle name="Итог 2 2 21 4 2 3" xfId="33336"/>
    <cellStyle name="Итог 2 2 21 4 3" xfId="22961"/>
    <cellStyle name="Итог 2 2 21 4 3 2" xfId="38322"/>
    <cellStyle name="Итог 2 2 21 4 4" xfId="12412"/>
    <cellStyle name="Итог 2 2 21 4 5" xfId="27912"/>
    <cellStyle name="Итог 2 2 21 5" xfId="2566"/>
    <cellStyle name="Итог 2 2 21 5 2" xfId="7799"/>
    <cellStyle name="Итог 2 2 21 5 2 2" xfId="18701"/>
    <cellStyle name="Итог 2 2 21 5 2 3" xfId="34062"/>
    <cellStyle name="Итог 2 2 21 5 3" xfId="23687"/>
    <cellStyle name="Итог 2 2 21 5 3 2" xfId="39048"/>
    <cellStyle name="Итог 2 2 21 5 4" xfId="13138"/>
    <cellStyle name="Итог 2 2 21 5 5" xfId="28638"/>
    <cellStyle name="Итог 2 2 21 6" xfId="3547"/>
    <cellStyle name="Итог 2 2 21 6 2" xfId="8734"/>
    <cellStyle name="Итог 2 2 21 6 2 2" xfId="19661"/>
    <cellStyle name="Итог 2 2 21 6 2 3" xfId="35022"/>
    <cellStyle name="Итог 2 2 21 6 3" xfId="24622"/>
    <cellStyle name="Итог 2 2 21 6 3 2" xfId="39983"/>
    <cellStyle name="Итог 2 2 21 6 4" xfId="14098"/>
    <cellStyle name="Итог 2 2 21 6 5" xfId="29573"/>
    <cellStyle name="Итог 2 2 21 7" xfId="3985"/>
    <cellStyle name="Итог 2 2 21 7 2" xfId="9172"/>
    <cellStyle name="Итог 2 2 21 7 2 2" xfId="20099"/>
    <cellStyle name="Итог 2 2 21 7 2 3" xfId="35460"/>
    <cellStyle name="Итог 2 2 21 7 3" xfId="25060"/>
    <cellStyle name="Итог 2 2 21 7 3 2" xfId="40421"/>
    <cellStyle name="Итог 2 2 21 7 4" xfId="14536"/>
    <cellStyle name="Итог 2 2 21 7 5" xfId="30011"/>
    <cellStyle name="Итог 2 2 21 8" xfId="4717"/>
    <cellStyle name="Итог 2 2 21 8 2" xfId="9904"/>
    <cellStyle name="Итог 2 2 21 8 2 2" xfId="20831"/>
    <cellStyle name="Итог 2 2 21 8 2 3" xfId="36192"/>
    <cellStyle name="Итог 2 2 21 8 3" xfId="25792"/>
    <cellStyle name="Итог 2 2 21 8 3 2" xfId="41153"/>
    <cellStyle name="Итог 2 2 21 8 4" xfId="15268"/>
    <cellStyle name="Итог 2 2 21 8 5" xfId="30743"/>
    <cellStyle name="Итог 2 2 21 9" xfId="5793"/>
    <cellStyle name="Итог 2 2 21 9 2" xfId="17098"/>
    <cellStyle name="Итог 2 2 21 9 3" xfId="32565"/>
    <cellStyle name="Итог 2 2 22" xfId="426"/>
    <cellStyle name="Итог 2 2 22 10" xfId="21682"/>
    <cellStyle name="Итог 2 2 22 10 2" xfId="37043"/>
    <cellStyle name="Итог 2 2 22 11" xfId="11089"/>
    <cellStyle name="Итог 2 2 22 12" xfId="26633"/>
    <cellStyle name="Итог 2 2 22 2" xfId="792"/>
    <cellStyle name="Итог 2 2 22 2 10" xfId="11376"/>
    <cellStyle name="Итог 2 2 22 2 11" xfId="26893"/>
    <cellStyle name="Итог 2 2 22 2 2" xfId="1442"/>
    <cellStyle name="Итог 2 2 22 2 2 2" xfId="2659"/>
    <cellStyle name="Итог 2 2 22 2 2 2 2" xfId="7890"/>
    <cellStyle name="Итог 2 2 22 2 2 2 2 2" xfId="18794"/>
    <cellStyle name="Итог 2 2 22 2 2 2 2 3" xfId="34155"/>
    <cellStyle name="Итог 2 2 22 2 2 2 3" xfId="23778"/>
    <cellStyle name="Итог 2 2 22 2 2 2 3 2" xfId="39139"/>
    <cellStyle name="Итог 2 2 22 2 2 2 4" xfId="13231"/>
    <cellStyle name="Итог 2 2 22 2 2 2 5" xfId="28729"/>
    <cellStyle name="Итог 2 2 22 2 2 3" xfId="5293"/>
    <cellStyle name="Итог 2 2 22 2 2 3 2" xfId="10476"/>
    <cellStyle name="Итог 2 2 22 2 2 3 2 2" xfId="21402"/>
    <cellStyle name="Итог 2 2 22 2 2 3 2 3" xfId="36763"/>
    <cellStyle name="Итог 2 2 22 2 2 3 3" xfId="26363"/>
    <cellStyle name="Итог 2 2 22 2 2 3 3 2" xfId="41724"/>
    <cellStyle name="Итог 2 2 22 2 2 3 4" xfId="15839"/>
    <cellStyle name="Итог 2 2 22 2 2 3 5" xfId="31314"/>
    <cellStyle name="Итог 2 2 22 2 2 4" xfId="6689"/>
    <cellStyle name="Итог 2 2 22 2 2 4 2" xfId="16169"/>
    <cellStyle name="Итог 2 2 22 2 2 4 3" xfId="31636"/>
    <cellStyle name="Итог 2 2 22 2 2 5" xfId="22577"/>
    <cellStyle name="Итог 2 2 22 2 2 5 2" xfId="37938"/>
    <cellStyle name="Итог 2 2 22 2 2 6" xfId="12020"/>
    <cellStyle name="Итог 2 2 22 2 2 7" xfId="27528"/>
    <cellStyle name="Итог 2 2 22 2 3" xfId="2198"/>
    <cellStyle name="Итог 2 2 22 2 3 2" xfId="7434"/>
    <cellStyle name="Итог 2 2 22 2 3 2 2" xfId="18336"/>
    <cellStyle name="Итог 2 2 22 2 3 2 3" xfId="33697"/>
    <cellStyle name="Итог 2 2 22 2 3 3" xfId="23322"/>
    <cellStyle name="Итог 2 2 22 2 3 3 2" xfId="38683"/>
    <cellStyle name="Итог 2 2 22 2 3 4" xfId="12773"/>
    <cellStyle name="Итог 2 2 22 2 3 5" xfId="28273"/>
    <cellStyle name="Итог 2 2 22 2 4" xfId="1717"/>
    <cellStyle name="Итог 2 2 22 2 4 2" xfId="6957"/>
    <cellStyle name="Итог 2 2 22 2 4 2 2" xfId="17858"/>
    <cellStyle name="Итог 2 2 22 2 4 2 3" xfId="33219"/>
    <cellStyle name="Итог 2 2 22 2 4 3" xfId="22845"/>
    <cellStyle name="Итог 2 2 22 2 4 3 2" xfId="38206"/>
    <cellStyle name="Итог 2 2 22 2 4 4" xfId="12295"/>
    <cellStyle name="Итог 2 2 22 2 4 5" xfId="27796"/>
    <cellStyle name="Итог 2 2 22 2 5" xfId="3798"/>
    <cellStyle name="Итог 2 2 22 2 5 2" xfId="8985"/>
    <cellStyle name="Итог 2 2 22 2 5 2 2" xfId="19912"/>
    <cellStyle name="Итог 2 2 22 2 5 2 3" xfId="35273"/>
    <cellStyle name="Итог 2 2 22 2 5 3" xfId="24873"/>
    <cellStyle name="Итог 2 2 22 2 5 3 2" xfId="40234"/>
    <cellStyle name="Итог 2 2 22 2 5 4" xfId="14349"/>
    <cellStyle name="Итог 2 2 22 2 5 5" xfId="29824"/>
    <cellStyle name="Итог 2 2 22 2 6" xfId="4246"/>
    <cellStyle name="Итог 2 2 22 2 6 2" xfId="9433"/>
    <cellStyle name="Итог 2 2 22 2 6 2 2" xfId="20360"/>
    <cellStyle name="Итог 2 2 22 2 6 2 3" xfId="35721"/>
    <cellStyle name="Итог 2 2 22 2 6 3" xfId="25321"/>
    <cellStyle name="Итог 2 2 22 2 6 3 2" xfId="40682"/>
    <cellStyle name="Итог 2 2 22 2 6 4" xfId="14797"/>
    <cellStyle name="Итог 2 2 22 2 6 5" xfId="30272"/>
    <cellStyle name="Итог 2 2 22 2 7" xfId="4577"/>
    <cellStyle name="Итог 2 2 22 2 7 2" xfId="9764"/>
    <cellStyle name="Итог 2 2 22 2 7 2 2" xfId="20691"/>
    <cellStyle name="Итог 2 2 22 2 7 2 3" xfId="36052"/>
    <cellStyle name="Итог 2 2 22 2 7 3" xfId="25652"/>
    <cellStyle name="Итог 2 2 22 2 7 3 2" xfId="41013"/>
    <cellStyle name="Итог 2 2 22 2 7 4" xfId="15128"/>
    <cellStyle name="Итог 2 2 22 2 7 5" xfId="30603"/>
    <cellStyle name="Итог 2 2 22 2 8" xfId="6054"/>
    <cellStyle name="Итог 2 2 22 2 8 2" xfId="16813"/>
    <cellStyle name="Итог 2 2 22 2 8 3" xfId="32280"/>
    <cellStyle name="Итог 2 2 22 2 9" xfId="21942"/>
    <cellStyle name="Итог 2 2 22 2 9 2" xfId="37303"/>
    <cellStyle name="Итог 2 2 22 3" xfId="963"/>
    <cellStyle name="Итог 2 2 22 3 2" xfId="2549"/>
    <cellStyle name="Итог 2 2 22 3 2 2" xfId="7782"/>
    <cellStyle name="Итог 2 2 22 3 2 2 2" xfId="18684"/>
    <cellStyle name="Итог 2 2 22 3 2 2 3" xfId="34045"/>
    <cellStyle name="Итог 2 2 22 3 2 3" xfId="23670"/>
    <cellStyle name="Итог 2 2 22 3 2 3 2" xfId="39031"/>
    <cellStyle name="Итог 2 2 22 3 2 4" xfId="13121"/>
    <cellStyle name="Итог 2 2 22 3 2 5" xfId="28621"/>
    <cellStyle name="Итог 2 2 22 3 3" xfId="5294"/>
    <cellStyle name="Итог 2 2 22 3 3 2" xfId="10477"/>
    <cellStyle name="Итог 2 2 22 3 3 2 2" xfId="21403"/>
    <cellStyle name="Итог 2 2 22 3 3 2 3" xfId="36764"/>
    <cellStyle name="Итог 2 2 22 3 3 3" xfId="26364"/>
    <cellStyle name="Итог 2 2 22 3 3 3 2" xfId="41725"/>
    <cellStyle name="Итог 2 2 22 3 3 4" xfId="15840"/>
    <cellStyle name="Итог 2 2 22 3 3 5" xfId="31315"/>
    <cellStyle name="Итог 2 2 22 3 4" xfId="6223"/>
    <cellStyle name="Итог 2 2 22 3 4 2" xfId="16643"/>
    <cellStyle name="Итог 2 2 22 3 4 3" xfId="32110"/>
    <cellStyle name="Итог 2 2 22 3 5" xfId="22111"/>
    <cellStyle name="Итог 2 2 22 3 5 2" xfId="37472"/>
    <cellStyle name="Итог 2 2 22 3 6" xfId="11546"/>
    <cellStyle name="Итог 2 2 22 3 7" xfId="27062"/>
    <cellStyle name="Итог 2 2 22 4" xfId="1835"/>
    <cellStyle name="Итог 2 2 22 4 2" xfId="7074"/>
    <cellStyle name="Итог 2 2 22 4 2 2" xfId="17976"/>
    <cellStyle name="Итог 2 2 22 4 2 3" xfId="33337"/>
    <cellStyle name="Итог 2 2 22 4 3" xfId="22962"/>
    <cellStyle name="Итог 2 2 22 4 3 2" xfId="38323"/>
    <cellStyle name="Итог 2 2 22 4 4" xfId="12413"/>
    <cellStyle name="Итог 2 2 22 4 5" xfId="27913"/>
    <cellStyle name="Итог 2 2 22 5" xfId="2642"/>
    <cellStyle name="Итог 2 2 22 5 2" xfId="7873"/>
    <cellStyle name="Итог 2 2 22 5 2 2" xfId="18777"/>
    <cellStyle name="Итог 2 2 22 5 2 3" xfId="34138"/>
    <cellStyle name="Итог 2 2 22 5 3" xfId="23761"/>
    <cellStyle name="Итог 2 2 22 5 3 2" xfId="39122"/>
    <cellStyle name="Итог 2 2 22 5 4" xfId="13214"/>
    <cellStyle name="Итог 2 2 22 5 5" xfId="28712"/>
    <cellStyle name="Итог 2 2 22 6" xfId="3187"/>
    <cellStyle name="Итог 2 2 22 6 2" xfId="8382"/>
    <cellStyle name="Итог 2 2 22 6 2 2" xfId="19308"/>
    <cellStyle name="Итог 2 2 22 6 2 3" xfId="34669"/>
    <cellStyle name="Итог 2 2 22 6 3" xfId="24270"/>
    <cellStyle name="Итог 2 2 22 6 3 2" xfId="39631"/>
    <cellStyle name="Итог 2 2 22 6 4" xfId="13745"/>
    <cellStyle name="Итог 2 2 22 6 5" xfId="29221"/>
    <cellStyle name="Итог 2 2 22 7" xfId="3986"/>
    <cellStyle name="Итог 2 2 22 7 2" xfId="9173"/>
    <cellStyle name="Итог 2 2 22 7 2 2" xfId="20100"/>
    <cellStyle name="Итог 2 2 22 7 2 3" xfId="35461"/>
    <cellStyle name="Итог 2 2 22 7 3" xfId="25061"/>
    <cellStyle name="Итог 2 2 22 7 3 2" xfId="40422"/>
    <cellStyle name="Итог 2 2 22 7 4" xfId="14537"/>
    <cellStyle name="Итог 2 2 22 7 5" xfId="30012"/>
    <cellStyle name="Итог 2 2 22 8" xfId="4855"/>
    <cellStyle name="Итог 2 2 22 8 2" xfId="10042"/>
    <cellStyle name="Итог 2 2 22 8 2 2" xfId="20969"/>
    <cellStyle name="Итог 2 2 22 8 2 3" xfId="36330"/>
    <cellStyle name="Итог 2 2 22 8 3" xfId="25930"/>
    <cellStyle name="Итог 2 2 22 8 3 2" xfId="41291"/>
    <cellStyle name="Итог 2 2 22 8 4" xfId="15406"/>
    <cellStyle name="Итог 2 2 22 8 5" xfId="30881"/>
    <cellStyle name="Итог 2 2 22 9" xfId="5794"/>
    <cellStyle name="Итог 2 2 22 9 2" xfId="17097"/>
    <cellStyle name="Итог 2 2 22 9 3" xfId="32564"/>
    <cellStyle name="Итог 2 2 23" xfId="806"/>
    <cellStyle name="Итог 2 2 23 10" xfId="11390"/>
    <cellStyle name="Итог 2 2 23 11" xfId="26907"/>
    <cellStyle name="Итог 2 2 23 2" xfId="1639"/>
    <cellStyle name="Итог 2 2 23 2 2" xfId="2550"/>
    <cellStyle name="Итог 2 2 23 2 2 2" xfId="7783"/>
    <cellStyle name="Итог 2 2 23 2 2 2 2" xfId="18685"/>
    <cellStyle name="Итог 2 2 23 2 2 2 3" xfId="34046"/>
    <cellStyle name="Итог 2 2 23 2 2 3" xfId="23671"/>
    <cellStyle name="Итог 2 2 23 2 2 3 2" xfId="39032"/>
    <cellStyle name="Итог 2 2 23 2 2 4" xfId="13122"/>
    <cellStyle name="Итог 2 2 23 2 2 5" xfId="28622"/>
    <cellStyle name="Итог 2 2 23 2 3" xfId="5295"/>
    <cellStyle name="Итог 2 2 23 2 3 2" xfId="10478"/>
    <cellStyle name="Итог 2 2 23 2 3 2 2" xfId="21404"/>
    <cellStyle name="Итог 2 2 23 2 3 2 3" xfId="36765"/>
    <cellStyle name="Итог 2 2 23 2 3 3" xfId="26365"/>
    <cellStyle name="Итог 2 2 23 2 3 3 2" xfId="41726"/>
    <cellStyle name="Итог 2 2 23 2 3 4" xfId="15841"/>
    <cellStyle name="Итог 2 2 23 2 3 5" xfId="31316"/>
    <cellStyle name="Итог 2 2 23 2 4" xfId="6885"/>
    <cellStyle name="Итог 2 2 23 2 4 2" xfId="17781"/>
    <cellStyle name="Итог 2 2 23 2 4 3" xfId="33142"/>
    <cellStyle name="Итог 2 2 23 2 5" xfId="22773"/>
    <cellStyle name="Итог 2 2 23 2 5 2" xfId="38134"/>
    <cellStyle name="Итог 2 2 23 2 6" xfId="12217"/>
    <cellStyle name="Итог 2 2 23 2 7" xfId="27724"/>
    <cellStyle name="Итог 2 2 23 3" xfId="2212"/>
    <cellStyle name="Итог 2 2 23 3 2" xfId="7448"/>
    <cellStyle name="Итог 2 2 23 3 2 2" xfId="18350"/>
    <cellStyle name="Итог 2 2 23 3 2 3" xfId="33711"/>
    <cellStyle name="Итог 2 2 23 3 3" xfId="23336"/>
    <cellStyle name="Итог 2 2 23 3 3 2" xfId="38697"/>
    <cellStyle name="Итог 2 2 23 3 4" xfId="12787"/>
    <cellStyle name="Итог 2 2 23 3 5" xfId="28287"/>
    <cellStyle name="Итог 2 2 23 4" xfId="1543"/>
    <cellStyle name="Итог 2 2 23 4 2" xfId="6790"/>
    <cellStyle name="Итог 2 2 23 4 2 2" xfId="17685"/>
    <cellStyle name="Итог 2 2 23 4 2 3" xfId="33046"/>
    <cellStyle name="Итог 2 2 23 4 3" xfId="22678"/>
    <cellStyle name="Итог 2 2 23 4 3 2" xfId="38039"/>
    <cellStyle name="Итог 2 2 23 4 4" xfId="12121"/>
    <cellStyle name="Итог 2 2 23 4 5" xfId="27629"/>
    <cellStyle name="Итог 2 2 23 5" xfId="3792"/>
    <cellStyle name="Итог 2 2 23 5 2" xfId="8979"/>
    <cellStyle name="Итог 2 2 23 5 2 2" xfId="19906"/>
    <cellStyle name="Итог 2 2 23 5 2 3" xfId="35267"/>
    <cellStyle name="Итог 2 2 23 5 3" xfId="24867"/>
    <cellStyle name="Итог 2 2 23 5 3 2" xfId="40228"/>
    <cellStyle name="Итог 2 2 23 5 4" xfId="14343"/>
    <cellStyle name="Итог 2 2 23 5 5" xfId="29818"/>
    <cellStyle name="Итог 2 2 23 6" xfId="4260"/>
    <cellStyle name="Итог 2 2 23 6 2" xfId="9447"/>
    <cellStyle name="Итог 2 2 23 6 2 2" xfId="20374"/>
    <cellStyle name="Итог 2 2 23 6 2 3" xfId="35735"/>
    <cellStyle name="Итог 2 2 23 6 3" xfId="25335"/>
    <cellStyle name="Итог 2 2 23 6 3 2" xfId="40696"/>
    <cellStyle name="Итог 2 2 23 6 4" xfId="14811"/>
    <cellStyle name="Итог 2 2 23 6 5" xfId="30286"/>
    <cellStyle name="Итог 2 2 23 7" xfId="4566"/>
    <cellStyle name="Итог 2 2 23 7 2" xfId="9753"/>
    <cellStyle name="Итог 2 2 23 7 2 2" xfId="20680"/>
    <cellStyle name="Итог 2 2 23 7 2 3" xfId="36041"/>
    <cellStyle name="Итог 2 2 23 7 3" xfId="25641"/>
    <cellStyle name="Итог 2 2 23 7 3 2" xfId="41002"/>
    <cellStyle name="Итог 2 2 23 7 4" xfId="15117"/>
    <cellStyle name="Итог 2 2 23 7 5" xfId="30592"/>
    <cellStyle name="Итог 2 2 23 8" xfId="6068"/>
    <cellStyle name="Итог 2 2 23 8 2" xfId="16799"/>
    <cellStyle name="Итог 2 2 23 8 3" xfId="32266"/>
    <cellStyle name="Итог 2 2 23 9" xfId="21956"/>
    <cellStyle name="Итог 2 2 23 9 2" xfId="37317"/>
    <cellStyle name="Итог 2 2 24" xfId="1149"/>
    <cellStyle name="Итог 2 2 24 2" xfId="2620"/>
    <cellStyle name="Итог 2 2 24 2 2" xfId="7852"/>
    <cellStyle name="Итог 2 2 24 2 2 2" xfId="18755"/>
    <cellStyle name="Итог 2 2 24 2 2 3" xfId="34116"/>
    <cellStyle name="Итог 2 2 24 2 3" xfId="23740"/>
    <cellStyle name="Итог 2 2 24 2 3 2" xfId="39101"/>
    <cellStyle name="Итог 2 2 24 2 4" xfId="13192"/>
    <cellStyle name="Итог 2 2 24 2 5" xfId="28691"/>
    <cellStyle name="Итог 2 2 24 3" xfId="5296"/>
    <cellStyle name="Итог 2 2 24 3 2" xfId="10479"/>
    <cellStyle name="Итог 2 2 24 3 2 2" xfId="21405"/>
    <cellStyle name="Итог 2 2 24 3 2 3" xfId="36766"/>
    <cellStyle name="Итог 2 2 24 3 3" xfId="26366"/>
    <cellStyle name="Итог 2 2 24 3 3 2" xfId="41727"/>
    <cellStyle name="Итог 2 2 24 3 4" xfId="15842"/>
    <cellStyle name="Итог 2 2 24 3 5" xfId="31317"/>
    <cellStyle name="Итог 2 2 24 4" xfId="6403"/>
    <cellStyle name="Итог 2 2 24 4 2" xfId="16459"/>
    <cellStyle name="Итог 2 2 24 4 3" xfId="31926"/>
    <cellStyle name="Итог 2 2 24 5" xfId="22291"/>
    <cellStyle name="Итог 2 2 24 5 2" xfId="37652"/>
    <cellStyle name="Итог 2 2 24 6" xfId="11730"/>
    <cellStyle name="Итог 2 2 24 7" xfId="27242"/>
    <cellStyle name="Итог 2 2 25" xfId="1821"/>
    <cellStyle name="Итог 2 2 25 2" xfId="7060"/>
    <cellStyle name="Итог 2 2 25 2 2" xfId="17962"/>
    <cellStyle name="Итог 2 2 25 2 3" xfId="33323"/>
    <cellStyle name="Итог 2 2 25 3" xfId="22948"/>
    <cellStyle name="Итог 2 2 25 3 2" xfId="38309"/>
    <cellStyle name="Итог 2 2 25 4" xfId="12399"/>
    <cellStyle name="Итог 2 2 25 5" xfId="27899"/>
    <cellStyle name="Итог 2 2 26" xfId="2579"/>
    <cellStyle name="Итог 2 2 26 2" xfId="7812"/>
    <cellStyle name="Итог 2 2 26 2 2" xfId="18714"/>
    <cellStyle name="Итог 2 2 26 2 3" xfId="34075"/>
    <cellStyle name="Итог 2 2 26 3" xfId="23700"/>
    <cellStyle name="Итог 2 2 26 3 2" xfId="39061"/>
    <cellStyle name="Итог 2 2 26 4" xfId="13151"/>
    <cellStyle name="Итог 2 2 26 5" xfId="28651"/>
    <cellStyle name="Итог 2 2 27" xfId="3542"/>
    <cellStyle name="Итог 2 2 27 2" xfId="8729"/>
    <cellStyle name="Итог 2 2 27 2 2" xfId="19656"/>
    <cellStyle name="Итог 2 2 27 2 3" xfId="35017"/>
    <cellStyle name="Итог 2 2 27 3" xfId="24617"/>
    <cellStyle name="Итог 2 2 27 3 2" xfId="39978"/>
    <cellStyle name="Итог 2 2 27 4" xfId="14093"/>
    <cellStyle name="Итог 2 2 27 5" xfId="29568"/>
    <cellStyle name="Итог 2 2 27 6" xfId="45303"/>
    <cellStyle name="Итог 2 2 28" xfId="3972"/>
    <cellStyle name="Итог 2 2 28 2" xfId="9159"/>
    <cellStyle name="Итог 2 2 28 2 2" xfId="20086"/>
    <cellStyle name="Итог 2 2 28 2 3" xfId="35447"/>
    <cellStyle name="Итог 2 2 28 3" xfId="25047"/>
    <cellStyle name="Итог 2 2 28 3 2" xfId="40408"/>
    <cellStyle name="Итог 2 2 28 4" xfId="14523"/>
    <cellStyle name="Итог 2 2 28 5" xfId="29998"/>
    <cellStyle name="Итог 2 2 28 6" xfId="46292"/>
    <cellStyle name="Итог 2 2 29" xfId="4727"/>
    <cellStyle name="Итог 2 2 29 2" xfId="9914"/>
    <cellStyle name="Итог 2 2 29 2 2" xfId="20841"/>
    <cellStyle name="Итог 2 2 29 2 3" xfId="36202"/>
    <cellStyle name="Итог 2 2 29 3" xfId="25802"/>
    <cellStyle name="Итог 2 2 29 3 2" xfId="41163"/>
    <cellStyle name="Итог 2 2 29 4" xfId="15278"/>
    <cellStyle name="Итог 2 2 29 5" xfId="30753"/>
    <cellStyle name="Итог 2 2 3" xfId="427"/>
    <cellStyle name="Итог 2 2 3 10" xfId="21683"/>
    <cellStyle name="Итог 2 2 3 10 2" xfId="37044"/>
    <cellStyle name="Итог 2 2 3 11" xfId="11090"/>
    <cellStyle name="Итог 2 2 3 12" xfId="26634"/>
    <cellStyle name="Итог 2 2 3 13" xfId="43825"/>
    <cellStyle name="Итог 2 2 3 2" xfId="791"/>
    <cellStyle name="Итог 2 2 3 2 10" xfId="11375"/>
    <cellStyle name="Итог 2 2 3 2 11" xfId="26892"/>
    <cellStyle name="Итог 2 2 3 2 12" xfId="43999"/>
    <cellStyle name="Итог 2 2 3 2 2" xfId="1730"/>
    <cellStyle name="Итог 2 2 3 2 2 2" xfId="2551"/>
    <cellStyle name="Итог 2 2 3 2 2 2 2" xfId="7784"/>
    <cellStyle name="Итог 2 2 3 2 2 2 2 2" xfId="18686"/>
    <cellStyle name="Итог 2 2 3 2 2 2 2 3" xfId="34047"/>
    <cellStyle name="Итог 2 2 3 2 2 2 3" xfId="23672"/>
    <cellStyle name="Итог 2 2 3 2 2 2 3 2" xfId="39033"/>
    <cellStyle name="Итог 2 2 3 2 2 2 4" xfId="13123"/>
    <cellStyle name="Итог 2 2 3 2 2 2 5" xfId="28623"/>
    <cellStyle name="Итог 2 2 3 2 2 3" xfId="5297"/>
    <cellStyle name="Итог 2 2 3 2 2 3 2" xfId="10480"/>
    <cellStyle name="Итог 2 2 3 2 2 3 2 2" xfId="21406"/>
    <cellStyle name="Итог 2 2 3 2 2 3 2 3" xfId="36767"/>
    <cellStyle name="Итог 2 2 3 2 2 3 3" xfId="26367"/>
    <cellStyle name="Итог 2 2 3 2 2 3 3 2" xfId="41728"/>
    <cellStyle name="Итог 2 2 3 2 2 3 4" xfId="15843"/>
    <cellStyle name="Итог 2 2 3 2 2 3 5" xfId="31318"/>
    <cellStyle name="Итог 2 2 3 2 2 4" xfId="6970"/>
    <cellStyle name="Итог 2 2 3 2 2 4 2" xfId="17871"/>
    <cellStyle name="Итог 2 2 3 2 2 4 3" xfId="33232"/>
    <cellStyle name="Итог 2 2 3 2 2 5" xfId="22858"/>
    <cellStyle name="Итог 2 2 3 2 2 5 2" xfId="38219"/>
    <cellStyle name="Итог 2 2 3 2 2 6" xfId="12308"/>
    <cellStyle name="Итог 2 2 3 2 2 7" xfId="27809"/>
    <cellStyle name="Итог 2 2 3 2 3" xfId="2197"/>
    <cellStyle name="Итог 2 2 3 2 3 2" xfId="7433"/>
    <cellStyle name="Итог 2 2 3 2 3 2 2" xfId="18335"/>
    <cellStyle name="Итог 2 2 3 2 3 2 3" xfId="33696"/>
    <cellStyle name="Итог 2 2 3 2 3 3" xfId="23321"/>
    <cellStyle name="Итог 2 2 3 2 3 3 2" xfId="38682"/>
    <cellStyle name="Итог 2 2 3 2 3 4" xfId="12772"/>
    <cellStyle name="Итог 2 2 3 2 3 5" xfId="28272"/>
    <cellStyle name="Итог 2 2 3 2 4" xfId="1213"/>
    <cellStyle name="Итог 2 2 3 2 4 2" xfId="6466"/>
    <cellStyle name="Итог 2 2 3 2 4 2 2" xfId="16395"/>
    <cellStyle name="Итог 2 2 3 2 4 2 3" xfId="31862"/>
    <cellStyle name="Итог 2 2 3 2 4 3" xfId="22354"/>
    <cellStyle name="Итог 2 2 3 2 4 3 2" xfId="37715"/>
    <cellStyle name="Итог 2 2 3 2 4 4" xfId="11794"/>
    <cellStyle name="Итог 2 2 3 2 4 5" xfId="27305"/>
    <cellStyle name="Итог 2 2 3 2 5" xfId="3425"/>
    <cellStyle name="Итог 2 2 3 2 5 2" xfId="8615"/>
    <cellStyle name="Итог 2 2 3 2 5 2 2" xfId="19542"/>
    <cellStyle name="Итог 2 2 3 2 5 2 3" xfId="34903"/>
    <cellStyle name="Итог 2 2 3 2 5 3" xfId="24503"/>
    <cellStyle name="Итог 2 2 3 2 5 3 2" xfId="39864"/>
    <cellStyle name="Итог 2 2 3 2 5 4" xfId="13979"/>
    <cellStyle name="Итог 2 2 3 2 5 5" xfId="29454"/>
    <cellStyle name="Итог 2 2 3 2 5 6" xfId="45357"/>
    <cellStyle name="Итог 2 2 3 2 6" xfId="4245"/>
    <cellStyle name="Итог 2 2 3 2 6 2" xfId="9432"/>
    <cellStyle name="Итог 2 2 3 2 6 2 2" xfId="20359"/>
    <cellStyle name="Итог 2 2 3 2 6 2 3" xfId="35720"/>
    <cellStyle name="Итог 2 2 3 2 6 3" xfId="25320"/>
    <cellStyle name="Итог 2 2 3 2 6 3 2" xfId="40681"/>
    <cellStyle name="Итог 2 2 3 2 6 4" xfId="14796"/>
    <cellStyle name="Итог 2 2 3 2 6 5" xfId="30271"/>
    <cellStyle name="Итог 2 2 3 2 6 6" xfId="46299"/>
    <cellStyle name="Итог 2 2 3 2 7" xfId="4968"/>
    <cellStyle name="Итог 2 2 3 2 7 2" xfId="10155"/>
    <cellStyle name="Итог 2 2 3 2 7 2 2" xfId="21082"/>
    <cellStyle name="Итог 2 2 3 2 7 2 3" xfId="36443"/>
    <cellStyle name="Итог 2 2 3 2 7 3" xfId="26043"/>
    <cellStyle name="Итог 2 2 3 2 7 3 2" xfId="41404"/>
    <cellStyle name="Итог 2 2 3 2 7 4" xfId="15519"/>
    <cellStyle name="Итог 2 2 3 2 7 5" xfId="30994"/>
    <cellStyle name="Итог 2 2 3 2 8" xfId="6053"/>
    <cellStyle name="Итог 2 2 3 2 8 2" xfId="16814"/>
    <cellStyle name="Итог 2 2 3 2 8 3" xfId="32281"/>
    <cellStyle name="Итог 2 2 3 2 9" xfId="21941"/>
    <cellStyle name="Итог 2 2 3 2 9 2" xfId="37302"/>
    <cellStyle name="Итог 2 2 3 3" xfId="1010"/>
    <cellStyle name="Итог 2 2 3 3 2" xfId="2622"/>
    <cellStyle name="Итог 2 2 3 3 2 2" xfId="7854"/>
    <cellStyle name="Итог 2 2 3 3 2 2 2" xfId="18757"/>
    <cellStyle name="Итог 2 2 3 3 2 2 3" xfId="34118"/>
    <cellStyle name="Итог 2 2 3 3 2 3" xfId="23742"/>
    <cellStyle name="Итог 2 2 3 3 2 3 2" xfId="39103"/>
    <cellStyle name="Итог 2 2 3 3 2 4" xfId="13194"/>
    <cellStyle name="Итог 2 2 3 3 2 5" xfId="28693"/>
    <cellStyle name="Итог 2 2 3 3 3" xfId="5298"/>
    <cellStyle name="Итог 2 2 3 3 3 2" xfId="10481"/>
    <cellStyle name="Итог 2 2 3 3 3 2 2" xfId="21407"/>
    <cellStyle name="Итог 2 2 3 3 3 2 3" xfId="36768"/>
    <cellStyle name="Итог 2 2 3 3 3 3" xfId="26368"/>
    <cellStyle name="Итог 2 2 3 3 3 3 2" xfId="41729"/>
    <cellStyle name="Итог 2 2 3 3 3 4" xfId="15844"/>
    <cellStyle name="Итог 2 2 3 3 3 5" xfId="31319"/>
    <cellStyle name="Итог 2 2 3 3 4" xfId="6268"/>
    <cellStyle name="Итог 2 2 3 3 4 2" xfId="16596"/>
    <cellStyle name="Итог 2 2 3 3 4 3" xfId="32063"/>
    <cellStyle name="Итог 2 2 3 3 5" xfId="22156"/>
    <cellStyle name="Итог 2 2 3 3 5 2" xfId="37517"/>
    <cellStyle name="Итог 2 2 3 3 6" xfId="11593"/>
    <cellStyle name="Итог 2 2 3 3 7" xfId="27107"/>
    <cellStyle name="Итог 2 2 3 4" xfId="1836"/>
    <cellStyle name="Итог 2 2 3 4 2" xfId="7075"/>
    <cellStyle name="Итог 2 2 3 4 2 2" xfId="17977"/>
    <cellStyle name="Итог 2 2 3 4 2 3" xfId="33338"/>
    <cellStyle name="Итог 2 2 3 4 3" xfId="22963"/>
    <cellStyle name="Итог 2 2 3 4 3 2" xfId="38324"/>
    <cellStyle name="Итог 2 2 3 4 4" xfId="12414"/>
    <cellStyle name="Итог 2 2 3 4 5" xfId="27914"/>
    <cellStyle name="Итог 2 2 3 5" xfId="2564"/>
    <cellStyle name="Итог 2 2 3 5 2" xfId="7797"/>
    <cellStyle name="Итог 2 2 3 5 2 2" xfId="18699"/>
    <cellStyle name="Итог 2 2 3 5 2 3" xfId="34060"/>
    <cellStyle name="Итог 2 2 3 5 3" xfId="23685"/>
    <cellStyle name="Итог 2 2 3 5 3 2" xfId="39046"/>
    <cellStyle name="Итог 2 2 3 5 4" xfId="13136"/>
    <cellStyle name="Итог 2 2 3 5 5" xfId="28636"/>
    <cellStyle name="Итог 2 2 3 6" xfId="3834"/>
    <cellStyle name="Итог 2 2 3 6 2" xfId="9021"/>
    <cellStyle name="Итог 2 2 3 6 2 2" xfId="19948"/>
    <cellStyle name="Итог 2 2 3 6 2 3" xfId="35309"/>
    <cellStyle name="Итог 2 2 3 6 3" xfId="24909"/>
    <cellStyle name="Итог 2 2 3 6 3 2" xfId="40270"/>
    <cellStyle name="Итог 2 2 3 6 4" xfId="14385"/>
    <cellStyle name="Итог 2 2 3 6 5" xfId="29860"/>
    <cellStyle name="Итог 2 2 3 6 6" xfId="45305"/>
    <cellStyle name="Итог 2 2 3 7" xfId="3987"/>
    <cellStyle name="Итог 2 2 3 7 2" xfId="9174"/>
    <cellStyle name="Итог 2 2 3 7 2 2" xfId="20101"/>
    <cellStyle name="Итог 2 2 3 7 2 3" xfId="35462"/>
    <cellStyle name="Итог 2 2 3 7 3" xfId="25062"/>
    <cellStyle name="Итог 2 2 3 7 3 2" xfId="40423"/>
    <cellStyle name="Итог 2 2 3 7 4" xfId="14538"/>
    <cellStyle name="Итог 2 2 3 7 5" xfId="30013"/>
    <cellStyle name="Итог 2 2 3 7 6" xfId="46298"/>
    <cellStyle name="Итог 2 2 3 8" xfId="4716"/>
    <cellStyle name="Итог 2 2 3 8 2" xfId="9903"/>
    <cellStyle name="Итог 2 2 3 8 2 2" xfId="20830"/>
    <cellStyle name="Итог 2 2 3 8 2 3" xfId="36191"/>
    <cellStyle name="Итог 2 2 3 8 3" xfId="25791"/>
    <cellStyle name="Итог 2 2 3 8 3 2" xfId="41152"/>
    <cellStyle name="Итог 2 2 3 8 4" xfId="15267"/>
    <cellStyle name="Итог 2 2 3 8 5" xfId="30742"/>
    <cellStyle name="Итог 2 2 3 9" xfId="5795"/>
    <cellStyle name="Итог 2 2 3 9 2" xfId="17096"/>
    <cellStyle name="Итог 2 2 3 9 3" xfId="32563"/>
    <cellStyle name="Итог 2 2 30" xfId="5780"/>
    <cellStyle name="Итог 2 2 30 2" xfId="17111"/>
    <cellStyle name="Итог 2 2 30 3" xfId="32578"/>
    <cellStyle name="Итог 2 2 31" xfId="17354"/>
    <cellStyle name="Итог 2 2 31 2" xfId="32821"/>
    <cellStyle name="Итог 2 2 32" xfId="11075"/>
    <cellStyle name="Итог 2 2 33" xfId="10833"/>
    <cellStyle name="Итог 2 2 34" xfId="43823"/>
    <cellStyle name="Итог 2 2 4" xfId="428"/>
    <cellStyle name="Итог 2 2 4 10" xfId="21684"/>
    <cellStyle name="Итог 2 2 4 10 2" xfId="37045"/>
    <cellStyle name="Итог 2 2 4 11" xfId="11091"/>
    <cellStyle name="Итог 2 2 4 12" xfId="26635"/>
    <cellStyle name="Итог 2 2 4 13" xfId="43997"/>
    <cellStyle name="Итог 2 2 4 2" xfId="790"/>
    <cellStyle name="Итог 2 2 4 2 10" xfId="11374"/>
    <cellStyle name="Итог 2 2 4 2 11" xfId="26891"/>
    <cellStyle name="Итог 2 2 4 2 2" xfId="1368"/>
    <cellStyle name="Итог 2 2 4 2 2 2" xfId="2034"/>
    <cellStyle name="Итог 2 2 4 2 2 2 2" xfId="7270"/>
    <cellStyle name="Итог 2 2 4 2 2 2 2 2" xfId="18172"/>
    <cellStyle name="Итог 2 2 4 2 2 2 2 3" xfId="33533"/>
    <cellStyle name="Итог 2 2 4 2 2 2 3" xfId="23158"/>
    <cellStyle name="Итог 2 2 4 2 2 2 3 2" xfId="38519"/>
    <cellStyle name="Итог 2 2 4 2 2 2 4" xfId="12609"/>
    <cellStyle name="Итог 2 2 4 2 2 2 5" xfId="28109"/>
    <cellStyle name="Итог 2 2 4 2 2 3" xfId="5299"/>
    <cellStyle name="Итог 2 2 4 2 2 3 2" xfId="10482"/>
    <cellStyle name="Итог 2 2 4 2 2 3 2 2" xfId="21408"/>
    <cellStyle name="Итог 2 2 4 2 2 3 2 3" xfId="36769"/>
    <cellStyle name="Итог 2 2 4 2 2 3 3" xfId="26369"/>
    <cellStyle name="Итог 2 2 4 2 2 3 3 2" xfId="41730"/>
    <cellStyle name="Итог 2 2 4 2 2 3 4" xfId="15845"/>
    <cellStyle name="Итог 2 2 4 2 2 3 5" xfId="31320"/>
    <cellStyle name="Итог 2 2 4 2 2 4" xfId="6619"/>
    <cellStyle name="Итог 2 2 4 2 2 4 2" xfId="16241"/>
    <cellStyle name="Итог 2 2 4 2 2 4 3" xfId="31708"/>
    <cellStyle name="Итог 2 2 4 2 2 5" xfId="22507"/>
    <cellStyle name="Итог 2 2 4 2 2 5 2" xfId="37868"/>
    <cellStyle name="Итог 2 2 4 2 2 6" xfId="11948"/>
    <cellStyle name="Итог 2 2 4 2 2 7" xfId="27458"/>
    <cellStyle name="Итог 2 2 4 2 3" xfId="2196"/>
    <cellStyle name="Итог 2 2 4 2 3 2" xfId="7432"/>
    <cellStyle name="Итог 2 2 4 2 3 2 2" xfId="18334"/>
    <cellStyle name="Итог 2 2 4 2 3 2 3" xfId="33695"/>
    <cellStyle name="Итог 2 2 4 2 3 3" xfId="23320"/>
    <cellStyle name="Итог 2 2 4 2 3 3 2" xfId="38681"/>
    <cellStyle name="Итог 2 2 4 2 3 4" xfId="12771"/>
    <cellStyle name="Итог 2 2 4 2 3 5" xfId="28271"/>
    <cellStyle name="Итог 2 2 4 2 4" xfId="2791"/>
    <cellStyle name="Итог 2 2 4 2 4 2" xfId="8016"/>
    <cellStyle name="Итог 2 2 4 2 4 2 2" xfId="18921"/>
    <cellStyle name="Итог 2 2 4 2 4 2 3" xfId="34282"/>
    <cellStyle name="Итог 2 2 4 2 4 3" xfId="23904"/>
    <cellStyle name="Итог 2 2 4 2 4 3 2" xfId="39265"/>
    <cellStyle name="Итог 2 2 4 2 4 4" xfId="13358"/>
    <cellStyle name="Итог 2 2 4 2 4 5" xfId="28855"/>
    <cellStyle name="Итог 2 2 4 2 5" xfId="3624"/>
    <cellStyle name="Итог 2 2 4 2 5 2" xfId="8811"/>
    <cellStyle name="Итог 2 2 4 2 5 2 2" xfId="19738"/>
    <cellStyle name="Итог 2 2 4 2 5 2 3" xfId="35099"/>
    <cellStyle name="Итог 2 2 4 2 5 3" xfId="24699"/>
    <cellStyle name="Итог 2 2 4 2 5 3 2" xfId="40060"/>
    <cellStyle name="Итог 2 2 4 2 5 4" xfId="14175"/>
    <cellStyle name="Итог 2 2 4 2 5 5" xfId="29650"/>
    <cellStyle name="Итог 2 2 4 2 6" xfId="4244"/>
    <cellStyle name="Итог 2 2 4 2 6 2" xfId="9431"/>
    <cellStyle name="Итог 2 2 4 2 6 2 2" xfId="20358"/>
    <cellStyle name="Итог 2 2 4 2 6 2 3" xfId="35719"/>
    <cellStyle name="Итог 2 2 4 2 6 3" xfId="25319"/>
    <cellStyle name="Итог 2 2 4 2 6 3 2" xfId="40680"/>
    <cellStyle name="Итог 2 2 4 2 6 4" xfId="14795"/>
    <cellStyle name="Итог 2 2 4 2 6 5" xfId="30270"/>
    <cellStyle name="Итог 2 2 4 2 7" xfId="4578"/>
    <cellStyle name="Итог 2 2 4 2 7 2" xfId="9765"/>
    <cellStyle name="Итог 2 2 4 2 7 2 2" xfId="20692"/>
    <cellStyle name="Итог 2 2 4 2 7 2 3" xfId="36053"/>
    <cellStyle name="Итог 2 2 4 2 7 3" xfId="25653"/>
    <cellStyle name="Итог 2 2 4 2 7 3 2" xfId="41014"/>
    <cellStyle name="Итог 2 2 4 2 7 4" xfId="15129"/>
    <cellStyle name="Итог 2 2 4 2 7 5" xfId="30604"/>
    <cellStyle name="Итог 2 2 4 2 8" xfId="6052"/>
    <cellStyle name="Итог 2 2 4 2 8 2" xfId="16815"/>
    <cellStyle name="Итог 2 2 4 2 8 3" xfId="32282"/>
    <cellStyle name="Итог 2 2 4 2 9" xfId="21940"/>
    <cellStyle name="Итог 2 2 4 2 9 2" xfId="37301"/>
    <cellStyle name="Итог 2 2 4 3" xfId="1163"/>
    <cellStyle name="Итог 2 2 4 3 2" xfId="2655"/>
    <cellStyle name="Итог 2 2 4 3 2 2" xfId="7886"/>
    <cellStyle name="Итог 2 2 4 3 2 2 2" xfId="18790"/>
    <cellStyle name="Итог 2 2 4 3 2 2 3" xfId="34151"/>
    <cellStyle name="Итог 2 2 4 3 2 3" xfId="23774"/>
    <cellStyle name="Итог 2 2 4 3 2 3 2" xfId="39135"/>
    <cellStyle name="Итог 2 2 4 3 2 4" xfId="13227"/>
    <cellStyle name="Итог 2 2 4 3 2 5" xfId="28725"/>
    <cellStyle name="Итог 2 2 4 3 3" xfId="5300"/>
    <cellStyle name="Итог 2 2 4 3 3 2" xfId="10483"/>
    <cellStyle name="Итог 2 2 4 3 3 2 2" xfId="21409"/>
    <cellStyle name="Итог 2 2 4 3 3 2 3" xfId="36770"/>
    <cellStyle name="Итог 2 2 4 3 3 3" xfId="26370"/>
    <cellStyle name="Итог 2 2 4 3 3 3 2" xfId="41731"/>
    <cellStyle name="Итог 2 2 4 3 3 4" xfId="15846"/>
    <cellStyle name="Итог 2 2 4 3 3 5" xfId="31321"/>
    <cellStyle name="Итог 2 2 4 3 4" xfId="6417"/>
    <cellStyle name="Итог 2 2 4 3 4 2" xfId="16445"/>
    <cellStyle name="Итог 2 2 4 3 4 3" xfId="31912"/>
    <cellStyle name="Итог 2 2 4 3 5" xfId="22305"/>
    <cellStyle name="Итог 2 2 4 3 5 2" xfId="37666"/>
    <cellStyle name="Итог 2 2 4 3 6" xfId="11744"/>
    <cellStyle name="Итог 2 2 4 3 7" xfId="27256"/>
    <cellStyle name="Итог 2 2 4 4" xfId="1837"/>
    <cellStyle name="Итог 2 2 4 4 2" xfId="7076"/>
    <cellStyle name="Итог 2 2 4 4 2 2" xfId="17978"/>
    <cellStyle name="Итог 2 2 4 4 2 3" xfId="33339"/>
    <cellStyle name="Итог 2 2 4 4 3" xfId="22964"/>
    <cellStyle name="Итог 2 2 4 4 3 2" xfId="38325"/>
    <cellStyle name="Итог 2 2 4 4 4" xfId="12415"/>
    <cellStyle name="Итог 2 2 4 4 5" xfId="27915"/>
    <cellStyle name="Итог 2 2 4 5" xfId="2644"/>
    <cellStyle name="Итог 2 2 4 5 2" xfId="7875"/>
    <cellStyle name="Итог 2 2 4 5 2 2" xfId="18779"/>
    <cellStyle name="Итог 2 2 4 5 2 3" xfId="34140"/>
    <cellStyle name="Итог 2 2 4 5 3" xfId="23763"/>
    <cellStyle name="Итог 2 2 4 5 3 2" xfId="39124"/>
    <cellStyle name="Итог 2 2 4 5 4" xfId="13216"/>
    <cellStyle name="Итог 2 2 4 5 5" xfId="28714"/>
    <cellStyle name="Итог 2 2 4 6" xfId="3186"/>
    <cellStyle name="Итог 2 2 4 6 2" xfId="8381"/>
    <cellStyle name="Итог 2 2 4 6 2 2" xfId="19307"/>
    <cellStyle name="Итог 2 2 4 6 2 3" xfId="34668"/>
    <cellStyle name="Итог 2 2 4 6 3" xfId="24269"/>
    <cellStyle name="Итог 2 2 4 6 3 2" xfId="39630"/>
    <cellStyle name="Итог 2 2 4 6 4" xfId="13744"/>
    <cellStyle name="Итог 2 2 4 6 5" xfId="29220"/>
    <cellStyle name="Итог 2 2 4 6 6" xfId="45355"/>
    <cellStyle name="Итог 2 2 4 7" xfId="3988"/>
    <cellStyle name="Итог 2 2 4 7 2" xfId="9175"/>
    <cellStyle name="Итог 2 2 4 7 2 2" xfId="20102"/>
    <cellStyle name="Итог 2 2 4 7 2 3" xfId="35463"/>
    <cellStyle name="Итог 2 2 4 7 3" xfId="25063"/>
    <cellStyle name="Итог 2 2 4 7 3 2" xfId="40424"/>
    <cellStyle name="Итог 2 2 4 7 4" xfId="14539"/>
    <cellStyle name="Итог 2 2 4 7 5" xfId="30014"/>
    <cellStyle name="Итог 2 2 4 8" xfId="4856"/>
    <cellStyle name="Итог 2 2 4 8 2" xfId="10043"/>
    <cellStyle name="Итог 2 2 4 8 2 2" xfId="20970"/>
    <cellStyle name="Итог 2 2 4 8 2 3" xfId="36331"/>
    <cellStyle name="Итог 2 2 4 8 3" xfId="25931"/>
    <cellStyle name="Итог 2 2 4 8 3 2" xfId="41292"/>
    <cellStyle name="Итог 2 2 4 8 4" xfId="15407"/>
    <cellStyle name="Итог 2 2 4 8 5" xfId="30882"/>
    <cellStyle name="Итог 2 2 4 9" xfId="5796"/>
    <cellStyle name="Итог 2 2 4 9 2" xfId="17095"/>
    <cellStyle name="Итог 2 2 4 9 3" xfId="32562"/>
    <cellStyle name="Итог 2 2 5" xfId="429"/>
    <cellStyle name="Итог 2 2 5 10" xfId="21685"/>
    <cellStyle name="Итог 2 2 5 10 2" xfId="37046"/>
    <cellStyle name="Итог 2 2 5 11" xfId="11092"/>
    <cellStyle name="Итог 2 2 5 12" xfId="26636"/>
    <cellStyle name="Итог 2 2 5 2" xfId="789"/>
    <cellStyle name="Итог 2 2 5 2 10" xfId="11373"/>
    <cellStyle name="Итог 2 2 5 2 11" xfId="26890"/>
    <cellStyle name="Итог 2 2 5 2 2" xfId="1198"/>
    <cellStyle name="Итог 2 2 5 2 2 2" xfId="2035"/>
    <cellStyle name="Итог 2 2 5 2 2 2 2" xfId="7271"/>
    <cellStyle name="Итог 2 2 5 2 2 2 2 2" xfId="18173"/>
    <cellStyle name="Итог 2 2 5 2 2 2 2 3" xfId="33534"/>
    <cellStyle name="Итог 2 2 5 2 2 2 3" xfId="23159"/>
    <cellStyle name="Итог 2 2 5 2 2 2 3 2" xfId="38520"/>
    <cellStyle name="Итог 2 2 5 2 2 2 4" xfId="12610"/>
    <cellStyle name="Итог 2 2 5 2 2 2 5" xfId="28110"/>
    <cellStyle name="Итог 2 2 5 2 2 3" xfId="5301"/>
    <cellStyle name="Итог 2 2 5 2 2 3 2" xfId="10484"/>
    <cellStyle name="Итог 2 2 5 2 2 3 2 2" xfId="21410"/>
    <cellStyle name="Итог 2 2 5 2 2 3 2 3" xfId="36771"/>
    <cellStyle name="Итог 2 2 5 2 2 3 3" xfId="26371"/>
    <cellStyle name="Итог 2 2 5 2 2 3 3 2" xfId="41732"/>
    <cellStyle name="Итог 2 2 5 2 2 3 4" xfId="15847"/>
    <cellStyle name="Итог 2 2 5 2 2 3 5" xfId="31322"/>
    <cellStyle name="Итог 2 2 5 2 2 4" xfId="6452"/>
    <cellStyle name="Итог 2 2 5 2 2 4 2" xfId="16410"/>
    <cellStyle name="Итог 2 2 5 2 2 4 3" xfId="31877"/>
    <cellStyle name="Итог 2 2 5 2 2 5" xfId="22340"/>
    <cellStyle name="Итог 2 2 5 2 2 5 2" xfId="37701"/>
    <cellStyle name="Итог 2 2 5 2 2 6" xfId="11779"/>
    <cellStyle name="Итог 2 2 5 2 2 7" xfId="27291"/>
    <cellStyle name="Итог 2 2 5 2 3" xfId="2195"/>
    <cellStyle name="Итог 2 2 5 2 3 2" xfId="7431"/>
    <cellStyle name="Итог 2 2 5 2 3 2 2" xfId="18333"/>
    <cellStyle name="Итог 2 2 5 2 3 2 3" xfId="33694"/>
    <cellStyle name="Итог 2 2 5 2 3 3" xfId="23319"/>
    <cellStyle name="Итог 2 2 5 2 3 3 2" xfId="38680"/>
    <cellStyle name="Итог 2 2 5 2 3 4" xfId="12770"/>
    <cellStyle name="Итог 2 2 5 2 3 5" xfId="28270"/>
    <cellStyle name="Итог 2 2 5 2 4" xfId="2802"/>
    <cellStyle name="Итог 2 2 5 2 4 2" xfId="8022"/>
    <cellStyle name="Итог 2 2 5 2 4 2 2" xfId="18932"/>
    <cellStyle name="Итог 2 2 5 2 4 2 3" xfId="34293"/>
    <cellStyle name="Итог 2 2 5 2 4 3" xfId="23910"/>
    <cellStyle name="Итог 2 2 5 2 4 3 2" xfId="39271"/>
    <cellStyle name="Итог 2 2 5 2 4 4" xfId="13369"/>
    <cellStyle name="Итог 2 2 5 2 4 5" xfId="28861"/>
    <cellStyle name="Итог 2 2 5 2 5" xfId="3426"/>
    <cellStyle name="Итог 2 2 5 2 5 2" xfId="8616"/>
    <cellStyle name="Итог 2 2 5 2 5 2 2" xfId="19543"/>
    <cellStyle name="Итог 2 2 5 2 5 2 3" xfId="34904"/>
    <cellStyle name="Итог 2 2 5 2 5 3" xfId="24504"/>
    <cellStyle name="Итог 2 2 5 2 5 3 2" xfId="39865"/>
    <cellStyle name="Итог 2 2 5 2 5 4" xfId="13980"/>
    <cellStyle name="Итог 2 2 5 2 5 5" xfId="29455"/>
    <cellStyle name="Итог 2 2 5 2 6" xfId="4243"/>
    <cellStyle name="Итог 2 2 5 2 6 2" xfId="9430"/>
    <cellStyle name="Итог 2 2 5 2 6 2 2" xfId="20357"/>
    <cellStyle name="Итог 2 2 5 2 6 2 3" xfId="35718"/>
    <cellStyle name="Итог 2 2 5 2 6 3" xfId="25318"/>
    <cellStyle name="Итог 2 2 5 2 6 3 2" xfId="40679"/>
    <cellStyle name="Итог 2 2 5 2 6 4" xfId="14794"/>
    <cellStyle name="Итог 2 2 5 2 6 5" xfId="30269"/>
    <cellStyle name="Итог 2 2 5 2 7" xfId="4967"/>
    <cellStyle name="Итог 2 2 5 2 7 2" xfId="10154"/>
    <cellStyle name="Итог 2 2 5 2 7 2 2" xfId="21081"/>
    <cellStyle name="Итог 2 2 5 2 7 2 3" xfId="36442"/>
    <cellStyle name="Итог 2 2 5 2 7 3" xfId="26042"/>
    <cellStyle name="Итог 2 2 5 2 7 3 2" xfId="41403"/>
    <cellStyle name="Итог 2 2 5 2 7 4" xfId="15518"/>
    <cellStyle name="Итог 2 2 5 2 7 5" xfId="30993"/>
    <cellStyle name="Итог 2 2 5 2 8" xfId="6051"/>
    <cellStyle name="Итог 2 2 5 2 8 2" xfId="16816"/>
    <cellStyle name="Итог 2 2 5 2 8 3" xfId="32283"/>
    <cellStyle name="Итог 2 2 5 2 9" xfId="21939"/>
    <cellStyle name="Итог 2 2 5 2 9 2" xfId="37300"/>
    <cellStyle name="Итог 2 2 5 3" xfId="1585"/>
    <cellStyle name="Итог 2 2 5 3 2" xfId="2654"/>
    <cellStyle name="Итог 2 2 5 3 2 2" xfId="7885"/>
    <cellStyle name="Итог 2 2 5 3 2 2 2" xfId="18789"/>
    <cellStyle name="Итог 2 2 5 3 2 2 3" xfId="34150"/>
    <cellStyle name="Итог 2 2 5 3 2 3" xfId="23773"/>
    <cellStyle name="Итог 2 2 5 3 2 3 2" xfId="39134"/>
    <cellStyle name="Итог 2 2 5 3 2 4" xfId="13226"/>
    <cellStyle name="Итог 2 2 5 3 2 5" xfId="28724"/>
    <cellStyle name="Итог 2 2 5 3 3" xfId="5302"/>
    <cellStyle name="Итог 2 2 5 3 3 2" xfId="10485"/>
    <cellStyle name="Итог 2 2 5 3 3 2 2" xfId="21411"/>
    <cellStyle name="Итог 2 2 5 3 3 2 3" xfId="36772"/>
    <cellStyle name="Итог 2 2 5 3 3 3" xfId="26372"/>
    <cellStyle name="Итог 2 2 5 3 3 3 2" xfId="41733"/>
    <cellStyle name="Итог 2 2 5 3 3 4" xfId="15848"/>
    <cellStyle name="Итог 2 2 5 3 3 5" xfId="31323"/>
    <cellStyle name="Итог 2 2 5 3 4" xfId="6832"/>
    <cellStyle name="Итог 2 2 5 3 4 2" xfId="17727"/>
    <cellStyle name="Итог 2 2 5 3 4 3" xfId="33088"/>
    <cellStyle name="Итог 2 2 5 3 5" xfId="22720"/>
    <cellStyle name="Итог 2 2 5 3 5 2" xfId="38081"/>
    <cellStyle name="Итог 2 2 5 3 6" xfId="12163"/>
    <cellStyle name="Итог 2 2 5 3 7" xfId="27671"/>
    <cellStyle name="Итог 2 2 5 4" xfId="1838"/>
    <cellStyle name="Итог 2 2 5 4 2" xfId="7077"/>
    <cellStyle name="Итог 2 2 5 4 2 2" xfId="17979"/>
    <cellStyle name="Итог 2 2 5 4 2 3" xfId="33340"/>
    <cellStyle name="Итог 2 2 5 4 3" xfId="22965"/>
    <cellStyle name="Итог 2 2 5 4 3 2" xfId="38326"/>
    <cellStyle name="Итог 2 2 5 4 4" xfId="12416"/>
    <cellStyle name="Итог 2 2 5 4 5" xfId="27916"/>
    <cellStyle name="Итог 2 2 5 5" xfId="2562"/>
    <cellStyle name="Итог 2 2 5 5 2" xfId="7795"/>
    <cellStyle name="Итог 2 2 5 5 2 2" xfId="18697"/>
    <cellStyle name="Итог 2 2 5 5 2 3" xfId="34058"/>
    <cellStyle name="Итог 2 2 5 5 3" xfId="23683"/>
    <cellStyle name="Итог 2 2 5 5 3 2" xfId="39044"/>
    <cellStyle name="Итог 2 2 5 5 4" xfId="13134"/>
    <cellStyle name="Итог 2 2 5 5 5" xfId="28634"/>
    <cellStyle name="Итог 2 2 5 6" xfId="3548"/>
    <cellStyle name="Итог 2 2 5 6 2" xfId="8735"/>
    <cellStyle name="Итог 2 2 5 6 2 2" xfId="19662"/>
    <cellStyle name="Итог 2 2 5 6 2 3" xfId="35023"/>
    <cellStyle name="Итог 2 2 5 6 3" xfId="24623"/>
    <cellStyle name="Итог 2 2 5 6 3 2" xfId="39984"/>
    <cellStyle name="Итог 2 2 5 6 4" xfId="14099"/>
    <cellStyle name="Итог 2 2 5 6 5" xfId="29574"/>
    <cellStyle name="Итог 2 2 5 7" xfId="3989"/>
    <cellStyle name="Итог 2 2 5 7 2" xfId="9176"/>
    <cellStyle name="Итог 2 2 5 7 2 2" xfId="20103"/>
    <cellStyle name="Итог 2 2 5 7 2 3" xfId="35464"/>
    <cellStyle name="Итог 2 2 5 7 3" xfId="25064"/>
    <cellStyle name="Итог 2 2 5 7 3 2" xfId="40425"/>
    <cellStyle name="Итог 2 2 5 7 4" xfId="14540"/>
    <cellStyle name="Итог 2 2 5 7 5" xfId="30015"/>
    <cellStyle name="Итог 2 2 5 8" xfId="4715"/>
    <cellStyle name="Итог 2 2 5 8 2" xfId="9902"/>
    <cellStyle name="Итог 2 2 5 8 2 2" xfId="20829"/>
    <cellStyle name="Итог 2 2 5 8 2 3" xfId="36190"/>
    <cellStyle name="Итог 2 2 5 8 3" xfId="25790"/>
    <cellStyle name="Итог 2 2 5 8 3 2" xfId="41151"/>
    <cellStyle name="Итог 2 2 5 8 4" xfId="15266"/>
    <cellStyle name="Итог 2 2 5 8 5" xfId="30741"/>
    <cellStyle name="Итог 2 2 5 9" xfId="5797"/>
    <cellStyle name="Итог 2 2 5 9 2" xfId="17094"/>
    <cellStyle name="Итог 2 2 5 9 3" xfId="32561"/>
    <cellStyle name="Итог 2 2 6" xfId="430"/>
    <cellStyle name="Итог 2 2 6 10" xfId="21686"/>
    <cellStyle name="Итог 2 2 6 10 2" xfId="37047"/>
    <cellStyle name="Итог 2 2 6 11" xfId="11093"/>
    <cellStyle name="Итог 2 2 6 12" xfId="26637"/>
    <cellStyle name="Итог 2 2 6 2" xfId="788"/>
    <cellStyle name="Итог 2 2 6 2 10" xfId="11372"/>
    <cellStyle name="Итог 2 2 6 2 11" xfId="26889"/>
    <cellStyle name="Итог 2 2 6 2 2" xfId="1726"/>
    <cellStyle name="Итог 2 2 6 2 2 2" xfId="2555"/>
    <cellStyle name="Итог 2 2 6 2 2 2 2" xfId="7788"/>
    <cellStyle name="Итог 2 2 6 2 2 2 2 2" xfId="18690"/>
    <cellStyle name="Итог 2 2 6 2 2 2 2 3" xfId="34051"/>
    <cellStyle name="Итог 2 2 6 2 2 2 3" xfId="23676"/>
    <cellStyle name="Итог 2 2 6 2 2 2 3 2" xfId="39037"/>
    <cellStyle name="Итог 2 2 6 2 2 2 4" xfId="13127"/>
    <cellStyle name="Итог 2 2 6 2 2 2 5" xfId="28627"/>
    <cellStyle name="Итог 2 2 6 2 2 3" xfId="5303"/>
    <cellStyle name="Итог 2 2 6 2 2 3 2" xfId="10486"/>
    <cellStyle name="Итог 2 2 6 2 2 3 2 2" xfId="21412"/>
    <cellStyle name="Итог 2 2 6 2 2 3 2 3" xfId="36773"/>
    <cellStyle name="Итог 2 2 6 2 2 3 3" xfId="26373"/>
    <cellStyle name="Итог 2 2 6 2 2 3 3 2" xfId="41734"/>
    <cellStyle name="Итог 2 2 6 2 2 3 4" xfId="15849"/>
    <cellStyle name="Итог 2 2 6 2 2 3 5" xfId="31324"/>
    <cellStyle name="Итог 2 2 6 2 2 4" xfId="6966"/>
    <cellStyle name="Итог 2 2 6 2 2 4 2" xfId="17867"/>
    <cellStyle name="Итог 2 2 6 2 2 4 3" xfId="33228"/>
    <cellStyle name="Итог 2 2 6 2 2 5" xfId="22854"/>
    <cellStyle name="Итог 2 2 6 2 2 5 2" xfId="38215"/>
    <cellStyle name="Итог 2 2 6 2 2 6" xfId="12304"/>
    <cellStyle name="Итог 2 2 6 2 2 7" xfId="27805"/>
    <cellStyle name="Итог 2 2 6 2 3" xfId="2194"/>
    <cellStyle name="Итог 2 2 6 2 3 2" xfId="7430"/>
    <cellStyle name="Итог 2 2 6 2 3 2 2" xfId="18332"/>
    <cellStyle name="Итог 2 2 6 2 3 2 3" xfId="33693"/>
    <cellStyle name="Итог 2 2 6 2 3 3" xfId="23318"/>
    <cellStyle name="Итог 2 2 6 2 3 3 2" xfId="38679"/>
    <cellStyle name="Итог 2 2 6 2 3 4" xfId="12769"/>
    <cellStyle name="Итог 2 2 6 2 3 5" xfId="28269"/>
    <cellStyle name="Итог 2 2 6 2 4" xfId="1536"/>
    <cellStyle name="Итог 2 2 6 2 4 2" xfId="6783"/>
    <cellStyle name="Итог 2 2 6 2 4 2 2" xfId="17678"/>
    <cellStyle name="Итог 2 2 6 2 4 2 3" xfId="33039"/>
    <cellStyle name="Итог 2 2 6 2 4 3" xfId="22671"/>
    <cellStyle name="Итог 2 2 6 2 4 3 2" xfId="38032"/>
    <cellStyle name="Итог 2 2 6 2 4 4" xfId="12114"/>
    <cellStyle name="Итог 2 2 6 2 4 5" xfId="27622"/>
    <cellStyle name="Итог 2 2 6 2 5" xfId="3799"/>
    <cellStyle name="Итог 2 2 6 2 5 2" xfId="8986"/>
    <cellStyle name="Итог 2 2 6 2 5 2 2" xfId="19913"/>
    <cellStyle name="Итог 2 2 6 2 5 2 3" xfId="35274"/>
    <cellStyle name="Итог 2 2 6 2 5 3" xfId="24874"/>
    <cellStyle name="Итог 2 2 6 2 5 3 2" xfId="40235"/>
    <cellStyle name="Итог 2 2 6 2 5 4" xfId="14350"/>
    <cellStyle name="Итог 2 2 6 2 5 5" xfId="29825"/>
    <cellStyle name="Итог 2 2 6 2 6" xfId="4242"/>
    <cellStyle name="Итог 2 2 6 2 6 2" xfId="9429"/>
    <cellStyle name="Итог 2 2 6 2 6 2 2" xfId="20356"/>
    <cellStyle name="Итог 2 2 6 2 6 2 3" xfId="35717"/>
    <cellStyle name="Итог 2 2 6 2 6 3" xfId="25317"/>
    <cellStyle name="Итог 2 2 6 2 6 3 2" xfId="40678"/>
    <cellStyle name="Итог 2 2 6 2 6 4" xfId="14793"/>
    <cellStyle name="Итог 2 2 6 2 6 5" xfId="30268"/>
    <cellStyle name="Итог 2 2 6 2 7" xfId="4579"/>
    <cellStyle name="Итог 2 2 6 2 7 2" xfId="9766"/>
    <cellStyle name="Итог 2 2 6 2 7 2 2" xfId="20693"/>
    <cellStyle name="Итог 2 2 6 2 7 2 3" xfId="36054"/>
    <cellStyle name="Итог 2 2 6 2 7 3" xfId="25654"/>
    <cellStyle name="Итог 2 2 6 2 7 3 2" xfId="41015"/>
    <cellStyle name="Итог 2 2 6 2 7 4" xfId="15130"/>
    <cellStyle name="Итог 2 2 6 2 7 5" xfId="30605"/>
    <cellStyle name="Итог 2 2 6 2 8" xfId="6050"/>
    <cellStyle name="Итог 2 2 6 2 8 2" xfId="16817"/>
    <cellStyle name="Итог 2 2 6 2 8 3" xfId="32284"/>
    <cellStyle name="Итог 2 2 6 2 9" xfId="21938"/>
    <cellStyle name="Итог 2 2 6 2 9 2" xfId="37299"/>
    <cellStyle name="Итог 2 2 6 3" xfId="1233"/>
    <cellStyle name="Итог 2 2 6 3 2" xfId="2652"/>
    <cellStyle name="Итог 2 2 6 3 2 2" xfId="7883"/>
    <cellStyle name="Итог 2 2 6 3 2 2 2" xfId="18787"/>
    <cellStyle name="Итог 2 2 6 3 2 2 3" xfId="34148"/>
    <cellStyle name="Итог 2 2 6 3 2 3" xfId="23771"/>
    <cellStyle name="Итог 2 2 6 3 2 3 2" xfId="39132"/>
    <cellStyle name="Итог 2 2 6 3 2 4" xfId="13224"/>
    <cellStyle name="Итог 2 2 6 3 2 5" xfId="28722"/>
    <cellStyle name="Итог 2 2 6 3 3" xfId="5304"/>
    <cellStyle name="Итог 2 2 6 3 3 2" xfId="10487"/>
    <cellStyle name="Итог 2 2 6 3 3 2 2" xfId="21413"/>
    <cellStyle name="Итог 2 2 6 3 3 2 3" xfId="36774"/>
    <cellStyle name="Итог 2 2 6 3 3 3" xfId="26374"/>
    <cellStyle name="Итог 2 2 6 3 3 3 2" xfId="41735"/>
    <cellStyle name="Итог 2 2 6 3 3 4" xfId="15850"/>
    <cellStyle name="Итог 2 2 6 3 3 5" xfId="31325"/>
    <cellStyle name="Итог 2 2 6 3 4" xfId="6486"/>
    <cellStyle name="Итог 2 2 6 3 4 2" xfId="16375"/>
    <cellStyle name="Итог 2 2 6 3 4 3" xfId="31842"/>
    <cellStyle name="Итог 2 2 6 3 5" xfId="22374"/>
    <cellStyle name="Итог 2 2 6 3 5 2" xfId="37735"/>
    <cellStyle name="Итог 2 2 6 3 6" xfId="11814"/>
    <cellStyle name="Итог 2 2 6 3 7" xfId="27325"/>
    <cellStyle name="Итог 2 2 6 4" xfId="1839"/>
    <cellStyle name="Итог 2 2 6 4 2" xfId="7078"/>
    <cellStyle name="Итог 2 2 6 4 2 2" xfId="17980"/>
    <cellStyle name="Итог 2 2 6 4 2 3" xfId="33341"/>
    <cellStyle name="Итог 2 2 6 4 3" xfId="22966"/>
    <cellStyle name="Итог 2 2 6 4 3 2" xfId="38327"/>
    <cellStyle name="Итог 2 2 6 4 4" xfId="12417"/>
    <cellStyle name="Итог 2 2 6 4 5" xfId="27917"/>
    <cellStyle name="Итог 2 2 6 5" xfId="2660"/>
    <cellStyle name="Итог 2 2 6 5 2" xfId="7891"/>
    <cellStyle name="Итог 2 2 6 5 2 2" xfId="18795"/>
    <cellStyle name="Итог 2 2 6 5 2 3" xfId="34156"/>
    <cellStyle name="Итог 2 2 6 5 3" xfId="23779"/>
    <cellStyle name="Итог 2 2 6 5 3 2" xfId="39140"/>
    <cellStyle name="Итог 2 2 6 5 4" xfId="13232"/>
    <cellStyle name="Итог 2 2 6 5 5" xfId="28730"/>
    <cellStyle name="Итог 2 2 6 6" xfId="3953"/>
    <cellStyle name="Итог 2 2 6 6 2" xfId="9140"/>
    <cellStyle name="Итог 2 2 6 6 2 2" xfId="20067"/>
    <cellStyle name="Итог 2 2 6 6 2 3" xfId="35428"/>
    <cellStyle name="Итог 2 2 6 6 3" xfId="25028"/>
    <cellStyle name="Итог 2 2 6 6 3 2" xfId="40389"/>
    <cellStyle name="Итог 2 2 6 6 4" xfId="14504"/>
    <cellStyle name="Итог 2 2 6 6 5" xfId="29979"/>
    <cellStyle name="Итог 2 2 6 7" xfId="3990"/>
    <cellStyle name="Итог 2 2 6 7 2" xfId="9177"/>
    <cellStyle name="Итог 2 2 6 7 2 2" xfId="20104"/>
    <cellStyle name="Итог 2 2 6 7 2 3" xfId="35465"/>
    <cellStyle name="Итог 2 2 6 7 3" xfId="25065"/>
    <cellStyle name="Итог 2 2 6 7 3 2" xfId="40426"/>
    <cellStyle name="Итог 2 2 6 7 4" xfId="14541"/>
    <cellStyle name="Итог 2 2 6 7 5" xfId="30016"/>
    <cellStyle name="Итог 2 2 6 8" xfId="4857"/>
    <cellStyle name="Итог 2 2 6 8 2" xfId="10044"/>
    <cellStyle name="Итог 2 2 6 8 2 2" xfId="20971"/>
    <cellStyle name="Итог 2 2 6 8 2 3" xfId="36332"/>
    <cellStyle name="Итог 2 2 6 8 3" xfId="25932"/>
    <cellStyle name="Итог 2 2 6 8 3 2" xfId="41293"/>
    <cellStyle name="Итог 2 2 6 8 4" xfId="15408"/>
    <cellStyle name="Итог 2 2 6 8 5" xfId="30883"/>
    <cellStyle name="Итог 2 2 6 9" xfId="5798"/>
    <cellStyle name="Итог 2 2 6 9 2" xfId="17093"/>
    <cellStyle name="Итог 2 2 6 9 3" xfId="32560"/>
    <cellStyle name="Итог 2 2 7" xfId="431"/>
    <cellStyle name="Итог 2 2 7 10" xfId="21687"/>
    <cellStyle name="Итог 2 2 7 10 2" xfId="37048"/>
    <cellStyle name="Итог 2 2 7 11" xfId="11094"/>
    <cellStyle name="Итог 2 2 7 12" xfId="26638"/>
    <cellStyle name="Итог 2 2 7 2" xfId="787"/>
    <cellStyle name="Итог 2 2 7 2 10" xfId="11371"/>
    <cellStyle name="Итог 2 2 7 2 11" xfId="26888"/>
    <cellStyle name="Итог 2 2 7 2 2" xfId="969"/>
    <cellStyle name="Итог 2 2 7 2 2 2" xfId="2557"/>
    <cellStyle name="Итог 2 2 7 2 2 2 2" xfId="7790"/>
    <cellStyle name="Итог 2 2 7 2 2 2 2 2" xfId="18692"/>
    <cellStyle name="Итог 2 2 7 2 2 2 2 3" xfId="34053"/>
    <cellStyle name="Итог 2 2 7 2 2 2 3" xfId="23678"/>
    <cellStyle name="Итог 2 2 7 2 2 2 3 2" xfId="39039"/>
    <cellStyle name="Итог 2 2 7 2 2 2 4" xfId="13129"/>
    <cellStyle name="Итог 2 2 7 2 2 2 5" xfId="28629"/>
    <cellStyle name="Итог 2 2 7 2 2 3" xfId="5305"/>
    <cellStyle name="Итог 2 2 7 2 2 3 2" xfId="10488"/>
    <cellStyle name="Итог 2 2 7 2 2 3 2 2" xfId="21414"/>
    <cellStyle name="Итог 2 2 7 2 2 3 2 3" xfId="36775"/>
    <cellStyle name="Итог 2 2 7 2 2 3 3" xfId="26375"/>
    <cellStyle name="Итог 2 2 7 2 2 3 3 2" xfId="41736"/>
    <cellStyle name="Итог 2 2 7 2 2 3 4" xfId="15851"/>
    <cellStyle name="Итог 2 2 7 2 2 3 5" xfId="31326"/>
    <cellStyle name="Итог 2 2 7 2 2 4" xfId="6229"/>
    <cellStyle name="Итог 2 2 7 2 2 4 2" xfId="16637"/>
    <cellStyle name="Итог 2 2 7 2 2 4 3" xfId="32104"/>
    <cellStyle name="Итог 2 2 7 2 2 5" xfId="22117"/>
    <cellStyle name="Итог 2 2 7 2 2 5 2" xfId="37478"/>
    <cellStyle name="Итог 2 2 7 2 2 6" xfId="11552"/>
    <cellStyle name="Итог 2 2 7 2 2 7" xfId="27068"/>
    <cellStyle name="Итог 2 2 7 2 3" xfId="2193"/>
    <cellStyle name="Итог 2 2 7 2 3 2" xfId="7429"/>
    <cellStyle name="Итог 2 2 7 2 3 2 2" xfId="18331"/>
    <cellStyle name="Итог 2 2 7 2 3 2 3" xfId="33692"/>
    <cellStyle name="Итог 2 2 7 2 3 3" xfId="23317"/>
    <cellStyle name="Итог 2 2 7 2 3 3 2" xfId="38678"/>
    <cellStyle name="Итог 2 2 7 2 3 4" xfId="12768"/>
    <cellStyle name="Итог 2 2 7 2 3 5" xfId="28268"/>
    <cellStyle name="Итог 2 2 7 2 4" xfId="1124"/>
    <cellStyle name="Итог 2 2 7 2 4 2" xfId="6379"/>
    <cellStyle name="Итог 2 2 7 2 4 2 2" xfId="16484"/>
    <cellStyle name="Итог 2 2 7 2 4 2 3" xfId="31951"/>
    <cellStyle name="Итог 2 2 7 2 4 3" xfId="22267"/>
    <cellStyle name="Итог 2 2 7 2 4 3 2" xfId="37628"/>
    <cellStyle name="Итог 2 2 7 2 4 4" xfId="11705"/>
    <cellStyle name="Итог 2 2 7 2 4 5" xfId="27218"/>
    <cellStyle name="Итог 2 2 7 2 5" xfId="3427"/>
    <cellStyle name="Итог 2 2 7 2 5 2" xfId="8617"/>
    <cellStyle name="Итог 2 2 7 2 5 2 2" xfId="19544"/>
    <cellStyle name="Итог 2 2 7 2 5 2 3" xfId="34905"/>
    <cellStyle name="Итог 2 2 7 2 5 3" xfId="24505"/>
    <cellStyle name="Итог 2 2 7 2 5 3 2" xfId="39866"/>
    <cellStyle name="Итог 2 2 7 2 5 4" xfId="13981"/>
    <cellStyle name="Итог 2 2 7 2 5 5" xfId="29456"/>
    <cellStyle name="Итог 2 2 7 2 6" xfId="4241"/>
    <cellStyle name="Итог 2 2 7 2 6 2" xfId="9428"/>
    <cellStyle name="Итог 2 2 7 2 6 2 2" xfId="20355"/>
    <cellStyle name="Итог 2 2 7 2 6 2 3" xfId="35716"/>
    <cellStyle name="Итог 2 2 7 2 6 3" xfId="25316"/>
    <cellStyle name="Итог 2 2 7 2 6 3 2" xfId="40677"/>
    <cellStyle name="Итог 2 2 7 2 6 4" xfId="14792"/>
    <cellStyle name="Итог 2 2 7 2 6 5" xfId="30267"/>
    <cellStyle name="Итог 2 2 7 2 7" xfId="4966"/>
    <cellStyle name="Итог 2 2 7 2 7 2" xfId="10153"/>
    <cellStyle name="Итог 2 2 7 2 7 2 2" xfId="21080"/>
    <cellStyle name="Итог 2 2 7 2 7 2 3" xfId="36441"/>
    <cellStyle name="Итог 2 2 7 2 7 3" xfId="26041"/>
    <cellStyle name="Итог 2 2 7 2 7 3 2" xfId="41402"/>
    <cellStyle name="Итог 2 2 7 2 7 4" xfId="15517"/>
    <cellStyle name="Итог 2 2 7 2 7 5" xfId="30992"/>
    <cellStyle name="Итог 2 2 7 2 8" xfId="6049"/>
    <cellStyle name="Итог 2 2 7 2 8 2" xfId="16818"/>
    <cellStyle name="Итог 2 2 7 2 8 3" xfId="32285"/>
    <cellStyle name="Итог 2 2 7 2 9" xfId="21937"/>
    <cellStyle name="Итог 2 2 7 2 9 2" xfId="37298"/>
    <cellStyle name="Итог 2 2 7 3" xfId="1398"/>
    <cellStyle name="Итог 2 2 7 3 2" xfId="2650"/>
    <cellStyle name="Итог 2 2 7 3 2 2" xfId="7881"/>
    <cellStyle name="Итог 2 2 7 3 2 2 2" xfId="18785"/>
    <cellStyle name="Итог 2 2 7 3 2 2 3" xfId="34146"/>
    <cellStyle name="Итог 2 2 7 3 2 3" xfId="23769"/>
    <cellStyle name="Итог 2 2 7 3 2 3 2" xfId="39130"/>
    <cellStyle name="Итог 2 2 7 3 2 4" xfId="13222"/>
    <cellStyle name="Итог 2 2 7 3 2 5" xfId="28720"/>
    <cellStyle name="Итог 2 2 7 3 3" xfId="5306"/>
    <cellStyle name="Итог 2 2 7 3 3 2" xfId="10489"/>
    <cellStyle name="Итог 2 2 7 3 3 2 2" xfId="21415"/>
    <cellStyle name="Итог 2 2 7 3 3 2 3" xfId="36776"/>
    <cellStyle name="Итог 2 2 7 3 3 3" xfId="26376"/>
    <cellStyle name="Итог 2 2 7 3 3 3 2" xfId="41737"/>
    <cellStyle name="Итог 2 2 7 3 3 4" xfId="15852"/>
    <cellStyle name="Итог 2 2 7 3 3 5" xfId="31327"/>
    <cellStyle name="Итог 2 2 7 3 4" xfId="6647"/>
    <cellStyle name="Итог 2 2 7 3 4 2" xfId="16212"/>
    <cellStyle name="Итог 2 2 7 3 4 3" xfId="31679"/>
    <cellStyle name="Итог 2 2 7 3 5" xfId="22535"/>
    <cellStyle name="Итог 2 2 7 3 5 2" xfId="37896"/>
    <cellStyle name="Итог 2 2 7 3 6" xfId="11977"/>
    <cellStyle name="Итог 2 2 7 3 7" xfId="27486"/>
    <cellStyle name="Итог 2 2 7 4" xfId="1840"/>
    <cellStyle name="Итог 2 2 7 4 2" xfId="7079"/>
    <cellStyle name="Итог 2 2 7 4 2 2" xfId="17981"/>
    <cellStyle name="Итог 2 2 7 4 2 3" xfId="33342"/>
    <cellStyle name="Итог 2 2 7 4 3" xfId="22967"/>
    <cellStyle name="Итог 2 2 7 4 3 2" xfId="38328"/>
    <cellStyle name="Итог 2 2 7 4 4" xfId="12418"/>
    <cellStyle name="Итог 2 2 7 4 5" xfId="27918"/>
    <cellStyle name="Итог 2 2 7 5" xfId="2647"/>
    <cellStyle name="Итог 2 2 7 5 2" xfId="7878"/>
    <cellStyle name="Итог 2 2 7 5 2 2" xfId="18782"/>
    <cellStyle name="Итог 2 2 7 5 2 3" xfId="34143"/>
    <cellStyle name="Итог 2 2 7 5 3" xfId="23766"/>
    <cellStyle name="Итог 2 2 7 5 3 2" xfId="39127"/>
    <cellStyle name="Итог 2 2 7 5 4" xfId="13219"/>
    <cellStyle name="Итог 2 2 7 5 5" xfId="28717"/>
    <cellStyle name="Итог 2 2 7 6" xfId="3833"/>
    <cellStyle name="Итог 2 2 7 6 2" xfId="9020"/>
    <cellStyle name="Итог 2 2 7 6 2 2" xfId="19947"/>
    <cellStyle name="Итог 2 2 7 6 2 3" xfId="35308"/>
    <cellStyle name="Итог 2 2 7 6 3" xfId="24908"/>
    <cellStyle name="Итог 2 2 7 6 3 2" xfId="40269"/>
    <cellStyle name="Итог 2 2 7 6 4" xfId="14384"/>
    <cellStyle name="Итог 2 2 7 6 5" xfId="29859"/>
    <cellStyle name="Итог 2 2 7 7" xfId="3991"/>
    <cellStyle name="Итог 2 2 7 7 2" xfId="9178"/>
    <cellStyle name="Итог 2 2 7 7 2 2" xfId="20105"/>
    <cellStyle name="Итог 2 2 7 7 2 3" xfId="35466"/>
    <cellStyle name="Итог 2 2 7 7 3" xfId="25066"/>
    <cellStyle name="Итог 2 2 7 7 3 2" xfId="40427"/>
    <cellStyle name="Итог 2 2 7 7 4" xfId="14542"/>
    <cellStyle name="Итог 2 2 7 7 5" xfId="30017"/>
    <cellStyle name="Итог 2 2 7 8" xfId="4714"/>
    <cellStyle name="Итог 2 2 7 8 2" xfId="9901"/>
    <cellStyle name="Итог 2 2 7 8 2 2" xfId="20828"/>
    <cellStyle name="Итог 2 2 7 8 2 3" xfId="36189"/>
    <cellStyle name="Итог 2 2 7 8 3" xfId="25789"/>
    <cellStyle name="Итог 2 2 7 8 3 2" xfId="41150"/>
    <cellStyle name="Итог 2 2 7 8 4" xfId="15265"/>
    <cellStyle name="Итог 2 2 7 8 5" xfId="30740"/>
    <cellStyle name="Итог 2 2 7 9" xfId="5799"/>
    <cellStyle name="Итог 2 2 7 9 2" xfId="17092"/>
    <cellStyle name="Итог 2 2 7 9 3" xfId="32559"/>
    <cellStyle name="Итог 2 2 8" xfId="432"/>
    <cellStyle name="Итог 2 2 8 10" xfId="21688"/>
    <cellStyle name="Итог 2 2 8 10 2" xfId="37049"/>
    <cellStyle name="Итог 2 2 8 11" xfId="11095"/>
    <cellStyle name="Итог 2 2 8 12" xfId="26639"/>
    <cellStyle name="Итог 2 2 8 2" xfId="786"/>
    <cellStyle name="Итог 2 2 8 2 10" xfId="11370"/>
    <cellStyle name="Итог 2 2 8 2 11" xfId="26887"/>
    <cellStyle name="Итог 2 2 8 2 2" xfId="1702"/>
    <cellStyle name="Итог 2 2 8 2 2 2" xfId="2559"/>
    <cellStyle name="Итог 2 2 8 2 2 2 2" xfId="7792"/>
    <cellStyle name="Итог 2 2 8 2 2 2 2 2" xfId="18694"/>
    <cellStyle name="Итог 2 2 8 2 2 2 2 3" xfId="34055"/>
    <cellStyle name="Итог 2 2 8 2 2 2 3" xfId="23680"/>
    <cellStyle name="Итог 2 2 8 2 2 2 3 2" xfId="39041"/>
    <cellStyle name="Итог 2 2 8 2 2 2 4" xfId="13131"/>
    <cellStyle name="Итог 2 2 8 2 2 2 5" xfId="28631"/>
    <cellStyle name="Итог 2 2 8 2 2 3" xfId="5307"/>
    <cellStyle name="Итог 2 2 8 2 2 3 2" xfId="10490"/>
    <cellStyle name="Итог 2 2 8 2 2 3 2 2" xfId="21416"/>
    <cellStyle name="Итог 2 2 8 2 2 3 2 3" xfId="36777"/>
    <cellStyle name="Итог 2 2 8 2 2 3 3" xfId="26377"/>
    <cellStyle name="Итог 2 2 8 2 2 3 3 2" xfId="41738"/>
    <cellStyle name="Итог 2 2 8 2 2 3 4" xfId="15853"/>
    <cellStyle name="Итог 2 2 8 2 2 3 5" xfId="31328"/>
    <cellStyle name="Итог 2 2 8 2 2 4" xfId="6945"/>
    <cellStyle name="Итог 2 2 8 2 2 4 2" xfId="17844"/>
    <cellStyle name="Итог 2 2 8 2 2 4 3" xfId="33205"/>
    <cellStyle name="Итог 2 2 8 2 2 5" xfId="22833"/>
    <cellStyle name="Итог 2 2 8 2 2 5 2" xfId="38194"/>
    <cellStyle name="Итог 2 2 8 2 2 6" xfId="12280"/>
    <cellStyle name="Итог 2 2 8 2 2 7" xfId="27784"/>
    <cellStyle name="Итог 2 2 8 2 3" xfId="2192"/>
    <cellStyle name="Итог 2 2 8 2 3 2" xfId="7428"/>
    <cellStyle name="Итог 2 2 8 2 3 2 2" xfId="18330"/>
    <cellStyle name="Итог 2 2 8 2 3 2 3" xfId="33691"/>
    <cellStyle name="Итог 2 2 8 2 3 3" xfId="23316"/>
    <cellStyle name="Итог 2 2 8 2 3 3 2" xfId="38677"/>
    <cellStyle name="Итог 2 2 8 2 3 4" xfId="12767"/>
    <cellStyle name="Итог 2 2 8 2 3 5" xfId="28267"/>
    <cellStyle name="Итог 2 2 8 2 4" xfId="1483"/>
    <cellStyle name="Итог 2 2 8 2 4 2" xfId="6730"/>
    <cellStyle name="Итог 2 2 8 2 4 2 2" xfId="16128"/>
    <cellStyle name="Итог 2 2 8 2 4 2 3" xfId="31595"/>
    <cellStyle name="Итог 2 2 8 2 4 3" xfId="22618"/>
    <cellStyle name="Итог 2 2 8 2 4 3 2" xfId="37979"/>
    <cellStyle name="Итог 2 2 8 2 4 4" xfId="12061"/>
    <cellStyle name="Итог 2 2 8 2 4 5" xfId="27569"/>
    <cellStyle name="Итог 2 2 8 2 5" xfId="3623"/>
    <cellStyle name="Итог 2 2 8 2 5 2" xfId="8810"/>
    <cellStyle name="Итог 2 2 8 2 5 2 2" xfId="19737"/>
    <cellStyle name="Итог 2 2 8 2 5 2 3" xfId="35098"/>
    <cellStyle name="Итог 2 2 8 2 5 3" xfId="24698"/>
    <cellStyle name="Итог 2 2 8 2 5 3 2" xfId="40059"/>
    <cellStyle name="Итог 2 2 8 2 5 4" xfId="14174"/>
    <cellStyle name="Итог 2 2 8 2 5 5" xfId="29649"/>
    <cellStyle name="Итог 2 2 8 2 6" xfId="4240"/>
    <cellStyle name="Итог 2 2 8 2 6 2" xfId="9427"/>
    <cellStyle name="Итог 2 2 8 2 6 2 2" xfId="20354"/>
    <cellStyle name="Итог 2 2 8 2 6 2 3" xfId="35715"/>
    <cellStyle name="Итог 2 2 8 2 6 3" xfId="25315"/>
    <cellStyle name="Итог 2 2 8 2 6 3 2" xfId="40676"/>
    <cellStyle name="Итог 2 2 8 2 6 4" xfId="14791"/>
    <cellStyle name="Итог 2 2 8 2 6 5" xfId="30266"/>
    <cellStyle name="Итог 2 2 8 2 7" xfId="4580"/>
    <cellStyle name="Итог 2 2 8 2 7 2" xfId="9767"/>
    <cellStyle name="Итог 2 2 8 2 7 2 2" xfId="20694"/>
    <cellStyle name="Итог 2 2 8 2 7 2 3" xfId="36055"/>
    <cellStyle name="Итог 2 2 8 2 7 3" xfId="25655"/>
    <cellStyle name="Итог 2 2 8 2 7 3 2" xfId="41016"/>
    <cellStyle name="Итог 2 2 8 2 7 4" xfId="15131"/>
    <cellStyle name="Итог 2 2 8 2 7 5" xfId="30606"/>
    <cellStyle name="Итог 2 2 8 2 8" xfId="6048"/>
    <cellStyle name="Итог 2 2 8 2 8 2" xfId="16819"/>
    <cellStyle name="Итог 2 2 8 2 8 3" xfId="32286"/>
    <cellStyle name="Итог 2 2 8 2 9" xfId="21936"/>
    <cellStyle name="Итог 2 2 8 2 9 2" xfId="37297"/>
    <cellStyle name="Итог 2 2 8 3" xfId="1144"/>
    <cellStyle name="Итог 2 2 8 3 2" xfId="2648"/>
    <cellStyle name="Итог 2 2 8 3 2 2" xfId="7879"/>
    <cellStyle name="Итог 2 2 8 3 2 2 2" xfId="18783"/>
    <cellStyle name="Итог 2 2 8 3 2 2 3" xfId="34144"/>
    <cellStyle name="Итог 2 2 8 3 2 3" xfId="23767"/>
    <cellStyle name="Итог 2 2 8 3 2 3 2" xfId="39128"/>
    <cellStyle name="Итог 2 2 8 3 2 4" xfId="13220"/>
    <cellStyle name="Итог 2 2 8 3 2 5" xfId="28718"/>
    <cellStyle name="Итог 2 2 8 3 3" xfId="5308"/>
    <cellStyle name="Итог 2 2 8 3 3 2" xfId="10491"/>
    <cellStyle name="Итог 2 2 8 3 3 2 2" xfId="21417"/>
    <cellStyle name="Итог 2 2 8 3 3 2 3" xfId="36778"/>
    <cellStyle name="Итог 2 2 8 3 3 3" xfId="26378"/>
    <cellStyle name="Итог 2 2 8 3 3 3 2" xfId="41739"/>
    <cellStyle name="Итог 2 2 8 3 3 4" xfId="15854"/>
    <cellStyle name="Итог 2 2 8 3 3 5" xfId="31329"/>
    <cellStyle name="Итог 2 2 8 3 4" xfId="6398"/>
    <cellStyle name="Итог 2 2 8 3 4 2" xfId="16464"/>
    <cellStyle name="Итог 2 2 8 3 4 3" xfId="31931"/>
    <cellStyle name="Итог 2 2 8 3 5" xfId="22286"/>
    <cellStyle name="Итог 2 2 8 3 5 2" xfId="37647"/>
    <cellStyle name="Итог 2 2 8 3 6" xfId="11725"/>
    <cellStyle name="Итог 2 2 8 3 7" xfId="27237"/>
    <cellStyle name="Итог 2 2 8 4" xfId="1841"/>
    <cellStyle name="Итог 2 2 8 4 2" xfId="7080"/>
    <cellStyle name="Итог 2 2 8 4 2 2" xfId="17982"/>
    <cellStyle name="Итог 2 2 8 4 2 3" xfId="33343"/>
    <cellStyle name="Итог 2 2 8 4 3" xfId="22968"/>
    <cellStyle name="Итог 2 2 8 4 3 2" xfId="38329"/>
    <cellStyle name="Итог 2 2 8 4 4" xfId="12419"/>
    <cellStyle name="Итог 2 2 8 4 5" xfId="27919"/>
    <cellStyle name="Итог 2 2 8 5" xfId="2560"/>
    <cellStyle name="Итог 2 2 8 5 2" xfId="7793"/>
    <cellStyle name="Итог 2 2 8 5 2 2" xfId="18695"/>
    <cellStyle name="Итог 2 2 8 5 2 3" xfId="34056"/>
    <cellStyle name="Итог 2 2 8 5 3" xfId="23681"/>
    <cellStyle name="Итог 2 2 8 5 3 2" xfId="39042"/>
    <cellStyle name="Итог 2 2 8 5 4" xfId="13132"/>
    <cellStyle name="Итог 2 2 8 5 5" xfId="28632"/>
    <cellStyle name="Итог 2 2 8 6" xfId="3183"/>
    <cellStyle name="Итог 2 2 8 6 2" xfId="8378"/>
    <cellStyle name="Итог 2 2 8 6 2 2" xfId="19304"/>
    <cellStyle name="Итог 2 2 8 6 2 3" xfId="34665"/>
    <cellStyle name="Итог 2 2 8 6 3" xfId="24266"/>
    <cellStyle name="Итог 2 2 8 6 3 2" xfId="39627"/>
    <cellStyle name="Итог 2 2 8 6 4" xfId="13741"/>
    <cellStyle name="Итог 2 2 8 6 5" xfId="29217"/>
    <cellStyle name="Итог 2 2 8 7" xfId="3992"/>
    <cellStyle name="Итог 2 2 8 7 2" xfId="9179"/>
    <cellStyle name="Итог 2 2 8 7 2 2" xfId="20106"/>
    <cellStyle name="Итог 2 2 8 7 2 3" xfId="35467"/>
    <cellStyle name="Итог 2 2 8 7 3" xfId="25067"/>
    <cellStyle name="Итог 2 2 8 7 3 2" xfId="40428"/>
    <cellStyle name="Итог 2 2 8 7 4" xfId="14543"/>
    <cellStyle name="Итог 2 2 8 7 5" xfId="30018"/>
    <cellStyle name="Итог 2 2 8 8" xfId="4858"/>
    <cellStyle name="Итог 2 2 8 8 2" xfId="10045"/>
    <cellStyle name="Итог 2 2 8 8 2 2" xfId="20972"/>
    <cellStyle name="Итог 2 2 8 8 2 3" xfId="36333"/>
    <cellStyle name="Итог 2 2 8 8 3" xfId="25933"/>
    <cellStyle name="Итог 2 2 8 8 3 2" xfId="41294"/>
    <cellStyle name="Итог 2 2 8 8 4" xfId="15409"/>
    <cellStyle name="Итог 2 2 8 8 5" xfId="30884"/>
    <cellStyle name="Итог 2 2 8 9" xfId="5800"/>
    <cellStyle name="Итог 2 2 8 9 2" xfId="17091"/>
    <cellStyle name="Итог 2 2 8 9 3" xfId="32558"/>
    <cellStyle name="Итог 2 2 9" xfId="433"/>
    <cellStyle name="Итог 2 2 9 10" xfId="21689"/>
    <cellStyle name="Итог 2 2 9 10 2" xfId="37050"/>
    <cellStyle name="Итог 2 2 9 11" xfId="11096"/>
    <cellStyle name="Итог 2 2 9 12" xfId="26640"/>
    <cellStyle name="Итог 2 2 9 2" xfId="785"/>
    <cellStyle name="Итог 2 2 9 2 10" xfId="11369"/>
    <cellStyle name="Итог 2 2 9 2 11" xfId="26886"/>
    <cellStyle name="Итог 2 2 9 2 2" xfId="92"/>
    <cellStyle name="Итог 2 2 9 2 2 2" xfId="2561"/>
    <cellStyle name="Итог 2 2 9 2 2 2 2" xfId="7794"/>
    <cellStyle name="Итог 2 2 9 2 2 2 2 2" xfId="18696"/>
    <cellStyle name="Итог 2 2 9 2 2 2 2 3" xfId="34057"/>
    <cellStyle name="Итог 2 2 9 2 2 2 3" xfId="23682"/>
    <cellStyle name="Итог 2 2 9 2 2 2 3 2" xfId="39043"/>
    <cellStyle name="Итог 2 2 9 2 2 2 4" xfId="13133"/>
    <cellStyle name="Итог 2 2 9 2 2 2 5" xfId="28633"/>
    <cellStyle name="Итог 2 2 9 2 2 3" xfId="5309"/>
    <cellStyle name="Итог 2 2 9 2 2 3 2" xfId="10492"/>
    <cellStyle name="Итог 2 2 9 2 2 3 2 2" xfId="21418"/>
    <cellStyle name="Итог 2 2 9 2 2 3 2 3" xfId="36779"/>
    <cellStyle name="Итог 2 2 9 2 2 3 3" xfId="26379"/>
    <cellStyle name="Итог 2 2 9 2 2 3 3 2" xfId="41740"/>
    <cellStyle name="Итог 2 2 9 2 2 3 4" xfId="15855"/>
    <cellStyle name="Итог 2 2 9 2 2 3 5" xfId="31330"/>
    <cellStyle name="Итог 2 2 9 2 2 4" xfId="5618"/>
    <cellStyle name="Итог 2 2 9 2 2 4 2" xfId="17379"/>
    <cellStyle name="Итог 2 2 9 2 2 4 3" xfId="32846"/>
    <cellStyle name="Итог 2 2 9 2 2 5" xfId="17432"/>
    <cellStyle name="Итог 2 2 9 2 2 5 2" xfId="32899"/>
    <cellStyle name="Итог 2 2 9 2 2 6" xfId="10806"/>
    <cellStyle name="Итог 2 2 9 2 2 7" xfId="10753"/>
    <cellStyle name="Итог 2 2 9 2 3" xfId="2191"/>
    <cellStyle name="Итог 2 2 9 2 3 2" xfId="7427"/>
    <cellStyle name="Итог 2 2 9 2 3 2 2" xfId="18329"/>
    <cellStyle name="Итог 2 2 9 2 3 2 3" xfId="33690"/>
    <cellStyle name="Итог 2 2 9 2 3 3" xfId="23315"/>
    <cellStyle name="Итог 2 2 9 2 3 3 2" xfId="38676"/>
    <cellStyle name="Итог 2 2 9 2 3 4" xfId="12766"/>
    <cellStyle name="Итог 2 2 9 2 3 5" xfId="28266"/>
    <cellStyle name="Итог 2 2 9 2 4" xfId="2790"/>
    <cellStyle name="Итог 2 2 9 2 4 2" xfId="8015"/>
    <cellStyle name="Итог 2 2 9 2 4 2 2" xfId="18920"/>
    <cellStyle name="Итог 2 2 9 2 4 2 3" xfId="34281"/>
    <cellStyle name="Итог 2 2 9 2 4 3" xfId="23903"/>
    <cellStyle name="Итог 2 2 9 2 4 3 2" xfId="39264"/>
    <cellStyle name="Итог 2 2 9 2 4 4" xfId="13357"/>
    <cellStyle name="Итог 2 2 9 2 4 5" xfId="28854"/>
    <cellStyle name="Итог 2 2 9 2 5" xfId="3428"/>
    <cellStyle name="Итог 2 2 9 2 5 2" xfId="8618"/>
    <cellStyle name="Итог 2 2 9 2 5 2 2" xfId="19545"/>
    <cellStyle name="Итог 2 2 9 2 5 2 3" xfId="34906"/>
    <cellStyle name="Итог 2 2 9 2 5 3" xfId="24506"/>
    <cellStyle name="Итог 2 2 9 2 5 3 2" xfId="39867"/>
    <cellStyle name="Итог 2 2 9 2 5 4" xfId="13982"/>
    <cellStyle name="Итог 2 2 9 2 5 5" xfId="29457"/>
    <cellStyle name="Итог 2 2 9 2 6" xfId="4239"/>
    <cellStyle name="Итог 2 2 9 2 6 2" xfId="9426"/>
    <cellStyle name="Итог 2 2 9 2 6 2 2" xfId="20353"/>
    <cellStyle name="Итог 2 2 9 2 6 2 3" xfId="35714"/>
    <cellStyle name="Итог 2 2 9 2 6 3" xfId="25314"/>
    <cellStyle name="Итог 2 2 9 2 6 3 2" xfId="40675"/>
    <cellStyle name="Итог 2 2 9 2 6 4" xfId="14790"/>
    <cellStyle name="Итог 2 2 9 2 6 5" xfId="30265"/>
    <cellStyle name="Итог 2 2 9 2 7" xfId="4965"/>
    <cellStyle name="Итог 2 2 9 2 7 2" xfId="10152"/>
    <cellStyle name="Итог 2 2 9 2 7 2 2" xfId="21079"/>
    <cellStyle name="Итог 2 2 9 2 7 2 3" xfId="36440"/>
    <cellStyle name="Итог 2 2 9 2 7 3" xfId="26040"/>
    <cellStyle name="Итог 2 2 9 2 7 3 2" xfId="41401"/>
    <cellStyle name="Итог 2 2 9 2 7 4" xfId="15516"/>
    <cellStyle name="Итог 2 2 9 2 7 5" xfId="30991"/>
    <cellStyle name="Итог 2 2 9 2 8" xfId="6047"/>
    <cellStyle name="Итог 2 2 9 2 8 2" xfId="16820"/>
    <cellStyle name="Итог 2 2 9 2 8 3" xfId="32287"/>
    <cellStyle name="Итог 2 2 9 2 9" xfId="21935"/>
    <cellStyle name="Итог 2 2 9 2 9 2" xfId="37296"/>
    <cellStyle name="Итог 2 2 9 3" xfId="1780"/>
    <cellStyle name="Итог 2 2 9 3 2" xfId="2646"/>
    <cellStyle name="Итог 2 2 9 3 2 2" xfId="7877"/>
    <cellStyle name="Итог 2 2 9 3 2 2 2" xfId="18781"/>
    <cellStyle name="Итог 2 2 9 3 2 2 3" xfId="34142"/>
    <cellStyle name="Итог 2 2 9 3 2 3" xfId="23765"/>
    <cellStyle name="Итог 2 2 9 3 2 3 2" xfId="39126"/>
    <cellStyle name="Итог 2 2 9 3 2 4" xfId="13218"/>
    <cellStyle name="Итог 2 2 9 3 2 5" xfId="28716"/>
    <cellStyle name="Итог 2 2 9 3 3" xfId="5310"/>
    <cellStyle name="Итог 2 2 9 3 3 2" xfId="10493"/>
    <cellStyle name="Итог 2 2 9 3 3 2 2" xfId="21419"/>
    <cellStyle name="Итог 2 2 9 3 3 2 3" xfId="36780"/>
    <cellStyle name="Итог 2 2 9 3 3 3" xfId="26380"/>
    <cellStyle name="Итог 2 2 9 3 3 3 2" xfId="41741"/>
    <cellStyle name="Итог 2 2 9 3 3 4" xfId="15856"/>
    <cellStyle name="Итог 2 2 9 3 3 5" xfId="31331"/>
    <cellStyle name="Итог 2 2 9 3 4" xfId="7019"/>
    <cellStyle name="Итог 2 2 9 3 4 2" xfId="17921"/>
    <cellStyle name="Итог 2 2 9 3 4 3" xfId="33282"/>
    <cellStyle name="Итог 2 2 9 3 5" xfId="22907"/>
    <cellStyle name="Итог 2 2 9 3 5 2" xfId="38268"/>
    <cellStyle name="Итог 2 2 9 3 6" xfId="12358"/>
    <cellStyle name="Итог 2 2 9 3 7" xfId="27858"/>
    <cellStyle name="Итог 2 2 9 4" xfId="1842"/>
    <cellStyle name="Итог 2 2 9 4 2" xfId="7081"/>
    <cellStyle name="Итог 2 2 9 4 2 2" xfId="17983"/>
    <cellStyle name="Итог 2 2 9 4 2 3" xfId="33344"/>
    <cellStyle name="Итог 2 2 9 4 3" xfId="22969"/>
    <cellStyle name="Итог 2 2 9 4 3 2" xfId="38330"/>
    <cellStyle name="Итог 2 2 9 4 4" xfId="12420"/>
    <cellStyle name="Итог 2 2 9 4 5" xfId="27920"/>
    <cellStyle name="Итог 2 2 9 5" xfId="2649"/>
    <cellStyle name="Итог 2 2 9 5 2" xfId="7880"/>
    <cellStyle name="Итог 2 2 9 5 2 2" xfId="18784"/>
    <cellStyle name="Итог 2 2 9 5 2 3" xfId="34145"/>
    <cellStyle name="Итог 2 2 9 5 3" xfId="23768"/>
    <cellStyle name="Итог 2 2 9 5 3 2" xfId="39129"/>
    <cellStyle name="Итог 2 2 9 5 4" xfId="13221"/>
    <cellStyle name="Итог 2 2 9 5 5" xfId="28719"/>
    <cellStyle name="Итог 2 2 9 6" xfId="3549"/>
    <cellStyle name="Итог 2 2 9 6 2" xfId="8736"/>
    <cellStyle name="Итог 2 2 9 6 2 2" xfId="19663"/>
    <cellStyle name="Итог 2 2 9 6 2 3" xfId="35024"/>
    <cellStyle name="Итог 2 2 9 6 3" xfId="24624"/>
    <cellStyle name="Итог 2 2 9 6 3 2" xfId="39985"/>
    <cellStyle name="Итог 2 2 9 6 4" xfId="14100"/>
    <cellStyle name="Итог 2 2 9 6 5" xfId="29575"/>
    <cellStyle name="Итог 2 2 9 7" xfId="3993"/>
    <cellStyle name="Итог 2 2 9 7 2" xfId="9180"/>
    <cellStyle name="Итог 2 2 9 7 2 2" xfId="20107"/>
    <cellStyle name="Итог 2 2 9 7 2 3" xfId="35468"/>
    <cellStyle name="Итог 2 2 9 7 3" xfId="25068"/>
    <cellStyle name="Итог 2 2 9 7 3 2" xfId="40429"/>
    <cellStyle name="Итог 2 2 9 7 4" xfId="14544"/>
    <cellStyle name="Итог 2 2 9 7 5" xfId="30019"/>
    <cellStyle name="Итог 2 2 9 8" xfId="4713"/>
    <cellStyle name="Итог 2 2 9 8 2" xfId="9900"/>
    <cellStyle name="Итог 2 2 9 8 2 2" xfId="20827"/>
    <cellStyle name="Итог 2 2 9 8 2 3" xfId="36188"/>
    <cellStyle name="Итог 2 2 9 8 3" xfId="25788"/>
    <cellStyle name="Итог 2 2 9 8 3 2" xfId="41149"/>
    <cellStyle name="Итог 2 2 9 8 4" xfId="15264"/>
    <cellStyle name="Итог 2 2 9 8 5" xfId="30739"/>
    <cellStyle name="Итог 2 2 9 9" xfId="5801"/>
    <cellStyle name="Итог 2 2 9 9 2" xfId="17090"/>
    <cellStyle name="Итог 2 2 9 9 3" xfId="32557"/>
    <cellStyle name="Итог 2 20" xfId="434"/>
    <cellStyle name="Итог 2 20 10" xfId="21690"/>
    <cellStyle name="Итог 2 20 10 2" xfId="37051"/>
    <cellStyle name="Итог 2 20 11" xfId="11097"/>
    <cellStyle name="Итог 2 20 12" xfId="26641"/>
    <cellStyle name="Итог 2 20 2" xfId="784"/>
    <cellStyle name="Итог 2 20 2 10" xfId="11368"/>
    <cellStyle name="Итог 2 20 2 11" xfId="26885"/>
    <cellStyle name="Итог 2 20 2 2" xfId="1640"/>
    <cellStyle name="Итог 2 20 2 2 2" xfId="2645"/>
    <cellStyle name="Итог 2 20 2 2 2 2" xfId="7876"/>
    <cellStyle name="Итог 2 20 2 2 2 2 2" xfId="18780"/>
    <cellStyle name="Итог 2 20 2 2 2 2 3" xfId="34141"/>
    <cellStyle name="Итог 2 20 2 2 2 3" xfId="23764"/>
    <cellStyle name="Итог 2 20 2 2 2 3 2" xfId="39125"/>
    <cellStyle name="Итог 2 20 2 2 2 4" xfId="13217"/>
    <cellStyle name="Итог 2 20 2 2 2 5" xfId="28715"/>
    <cellStyle name="Итог 2 20 2 2 3" xfId="5311"/>
    <cellStyle name="Итог 2 20 2 2 3 2" xfId="10494"/>
    <cellStyle name="Итог 2 20 2 2 3 2 2" xfId="21420"/>
    <cellStyle name="Итог 2 20 2 2 3 2 3" xfId="36781"/>
    <cellStyle name="Итог 2 20 2 2 3 3" xfId="26381"/>
    <cellStyle name="Итог 2 20 2 2 3 3 2" xfId="41742"/>
    <cellStyle name="Итог 2 20 2 2 3 4" xfId="15857"/>
    <cellStyle name="Итог 2 20 2 2 3 5" xfId="31332"/>
    <cellStyle name="Итог 2 20 2 2 4" xfId="6886"/>
    <cellStyle name="Итог 2 20 2 2 4 2" xfId="17782"/>
    <cellStyle name="Итог 2 20 2 2 4 3" xfId="33143"/>
    <cellStyle name="Итог 2 20 2 2 5" xfId="22774"/>
    <cellStyle name="Итог 2 20 2 2 5 2" xfId="38135"/>
    <cellStyle name="Итог 2 20 2 2 6" xfId="12218"/>
    <cellStyle name="Итог 2 20 2 2 7" xfId="27725"/>
    <cellStyle name="Итог 2 20 2 3" xfId="2190"/>
    <cellStyle name="Итог 2 20 2 3 2" xfId="7426"/>
    <cellStyle name="Итог 2 20 2 3 2 2" xfId="18328"/>
    <cellStyle name="Итог 2 20 2 3 2 3" xfId="33689"/>
    <cellStyle name="Итог 2 20 2 3 3" xfId="23314"/>
    <cellStyle name="Итог 2 20 2 3 3 2" xfId="38675"/>
    <cellStyle name="Итог 2 20 2 3 4" xfId="12765"/>
    <cellStyle name="Итог 2 20 2 3 5" xfId="28265"/>
    <cellStyle name="Итог 2 20 2 4" xfId="2852"/>
    <cellStyle name="Итог 2 20 2 4 2" xfId="8062"/>
    <cellStyle name="Итог 2 20 2 4 2 2" xfId="18982"/>
    <cellStyle name="Итог 2 20 2 4 2 3" xfId="34343"/>
    <cellStyle name="Итог 2 20 2 4 3" xfId="23950"/>
    <cellStyle name="Итог 2 20 2 4 3 2" xfId="39311"/>
    <cellStyle name="Итог 2 20 2 4 4" xfId="13419"/>
    <cellStyle name="Итог 2 20 2 4 5" xfId="28901"/>
    <cellStyle name="Итог 2 20 2 5" xfId="3800"/>
    <cellStyle name="Итог 2 20 2 5 2" xfId="8987"/>
    <cellStyle name="Итог 2 20 2 5 2 2" xfId="19914"/>
    <cellStyle name="Итог 2 20 2 5 2 3" xfId="35275"/>
    <cellStyle name="Итог 2 20 2 5 3" xfId="24875"/>
    <cellStyle name="Итог 2 20 2 5 3 2" xfId="40236"/>
    <cellStyle name="Итог 2 20 2 5 4" xfId="14351"/>
    <cellStyle name="Итог 2 20 2 5 5" xfId="29826"/>
    <cellStyle name="Итог 2 20 2 6" xfId="4238"/>
    <cellStyle name="Итог 2 20 2 6 2" xfId="9425"/>
    <cellStyle name="Итог 2 20 2 6 2 2" xfId="20352"/>
    <cellStyle name="Итог 2 20 2 6 2 3" xfId="35713"/>
    <cellStyle name="Итог 2 20 2 6 3" xfId="25313"/>
    <cellStyle name="Итог 2 20 2 6 3 2" xfId="40674"/>
    <cellStyle name="Итог 2 20 2 6 4" xfId="14789"/>
    <cellStyle name="Итог 2 20 2 6 5" xfId="30264"/>
    <cellStyle name="Итог 2 20 2 7" xfId="4581"/>
    <cellStyle name="Итог 2 20 2 7 2" xfId="9768"/>
    <cellStyle name="Итог 2 20 2 7 2 2" xfId="20695"/>
    <cellStyle name="Итог 2 20 2 7 2 3" xfId="36056"/>
    <cellStyle name="Итог 2 20 2 7 3" xfId="25656"/>
    <cellStyle name="Итог 2 20 2 7 3 2" xfId="41017"/>
    <cellStyle name="Итог 2 20 2 7 4" xfId="15132"/>
    <cellStyle name="Итог 2 20 2 7 5" xfId="30607"/>
    <cellStyle name="Итог 2 20 2 8" xfId="6046"/>
    <cellStyle name="Итог 2 20 2 8 2" xfId="16821"/>
    <cellStyle name="Итог 2 20 2 8 3" xfId="32288"/>
    <cellStyle name="Итог 2 20 2 9" xfId="21934"/>
    <cellStyle name="Итог 2 20 2 9 2" xfId="37295"/>
    <cellStyle name="Итог 2 20 3" xfId="1529"/>
    <cellStyle name="Итог 2 20 3 2" xfId="2563"/>
    <cellStyle name="Итог 2 20 3 2 2" xfId="7796"/>
    <cellStyle name="Итог 2 20 3 2 2 2" xfId="18698"/>
    <cellStyle name="Итог 2 20 3 2 2 3" xfId="34059"/>
    <cellStyle name="Итог 2 20 3 2 3" xfId="23684"/>
    <cellStyle name="Итог 2 20 3 2 3 2" xfId="39045"/>
    <cellStyle name="Итог 2 20 3 2 4" xfId="13135"/>
    <cellStyle name="Итог 2 20 3 2 5" xfId="28635"/>
    <cellStyle name="Итог 2 20 3 3" xfId="5312"/>
    <cellStyle name="Итог 2 20 3 3 2" xfId="10495"/>
    <cellStyle name="Итог 2 20 3 3 2 2" xfId="21421"/>
    <cellStyle name="Итог 2 20 3 3 2 3" xfId="36782"/>
    <cellStyle name="Итог 2 20 3 3 3" xfId="26382"/>
    <cellStyle name="Итог 2 20 3 3 3 2" xfId="41743"/>
    <cellStyle name="Итог 2 20 3 3 4" xfId="15858"/>
    <cellStyle name="Итог 2 20 3 3 5" xfId="31333"/>
    <cellStyle name="Итог 2 20 3 4" xfId="6776"/>
    <cellStyle name="Итог 2 20 3 4 2" xfId="17671"/>
    <cellStyle name="Итог 2 20 3 4 3" xfId="33032"/>
    <cellStyle name="Итог 2 20 3 5" xfId="22664"/>
    <cellStyle name="Итог 2 20 3 5 2" xfId="38025"/>
    <cellStyle name="Итог 2 20 3 6" xfId="12107"/>
    <cellStyle name="Итог 2 20 3 7" xfId="27615"/>
    <cellStyle name="Итог 2 20 4" xfId="1843"/>
    <cellStyle name="Итог 2 20 4 2" xfId="7082"/>
    <cellStyle name="Итог 2 20 4 2 2" xfId="17984"/>
    <cellStyle name="Итог 2 20 4 2 3" xfId="33345"/>
    <cellStyle name="Итог 2 20 4 3" xfId="22970"/>
    <cellStyle name="Итог 2 20 4 3 2" xfId="38331"/>
    <cellStyle name="Итог 2 20 4 4" xfId="12421"/>
    <cellStyle name="Итог 2 20 4 5" xfId="27921"/>
    <cellStyle name="Итог 2 20 5" xfId="2558"/>
    <cellStyle name="Итог 2 20 5 2" xfId="7791"/>
    <cellStyle name="Итог 2 20 5 2 2" xfId="18693"/>
    <cellStyle name="Итог 2 20 5 2 3" xfId="34054"/>
    <cellStyle name="Итог 2 20 5 3" xfId="23679"/>
    <cellStyle name="Итог 2 20 5 3 2" xfId="39040"/>
    <cellStyle name="Итог 2 20 5 4" xfId="13130"/>
    <cellStyle name="Итог 2 20 5 5" xfId="28630"/>
    <cellStyle name="Итог 2 20 6" xfId="3954"/>
    <cellStyle name="Итог 2 20 6 2" xfId="9141"/>
    <cellStyle name="Итог 2 20 6 2 2" xfId="20068"/>
    <cellStyle name="Итог 2 20 6 2 3" xfId="35429"/>
    <cellStyle name="Итог 2 20 6 3" xfId="25029"/>
    <cellStyle name="Итог 2 20 6 3 2" xfId="40390"/>
    <cellStyle name="Итог 2 20 6 4" xfId="14505"/>
    <cellStyle name="Итог 2 20 6 5" xfId="29980"/>
    <cellStyle name="Итог 2 20 7" xfId="3994"/>
    <cellStyle name="Итог 2 20 7 2" xfId="9181"/>
    <cellStyle name="Итог 2 20 7 2 2" xfId="20108"/>
    <cellStyle name="Итог 2 20 7 2 3" xfId="35469"/>
    <cellStyle name="Итог 2 20 7 3" xfId="25069"/>
    <cellStyle name="Итог 2 20 7 3 2" xfId="40430"/>
    <cellStyle name="Итог 2 20 7 4" xfId="14545"/>
    <cellStyle name="Итог 2 20 7 5" xfId="30020"/>
    <cellStyle name="Итог 2 20 8" xfId="4859"/>
    <cellStyle name="Итог 2 20 8 2" xfId="10046"/>
    <cellStyle name="Итог 2 20 8 2 2" xfId="20973"/>
    <cellStyle name="Итог 2 20 8 2 3" xfId="36334"/>
    <cellStyle name="Итог 2 20 8 3" xfId="25934"/>
    <cellStyle name="Итог 2 20 8 3 2" xfId="41295"/>
    <cellStyle name="Итог 2 20 8 4" xfId="15410"/>
    <cellStyle name="Итог 2 20 8 5" xfId="30885"/>
    <cellStyle name="Итог 2 20 9" xfId="5802"/>
    <cellStyle name="Итог 2 20 9 2" xfId="17089"/>
    <cellStyle name="Итог 2 20 9 3" xfId="32556"/>
    <cellStyle name="Итог 2 21" xfId="435"/>
    <cellStyle name="Итог 2 21 10" xfId="21691"/>
    <cellStyle name="Итог 2 21 10 2" xfId="37052"/>
    <cellStyle name="Итог 2 21 11" xfId="11098"/>
    <cellStyle name="Итог 2 21 12" xfId="26642"/>
    <cellStyle name="Итог 2 21 2" xfId="783"/>
    <cellStyle name="Итог 2 21 2 10" xfId="11367"/>
    <cellStyle name="Итог 2 21 2 11" xfId="26884"/>
    <cellStyle name="Итог 2 21 2 2" xfId="1192"/>
    <cellStyle name="Итог 2 21 2 2 2" xfId="2643"/>
    <cellStyle name="Итог 2 21 2 2 2 2" xfId="7874"/>
    <cellStyle name="Итог 2 21 2 2 2 2 2" xfId="18778"/>
    <cellStyle name="Итог 2 21 2 2 2 2 3" xfId="34139"/>
    <cellStyle name="Итог 2 21 2 2 2 3" xfId="23762"/>
    <cellStyle name="Итог 2 21 2 2 2 3 2" xfId="39123"/>
    <cellStyle name="Итог 2 21 2 2 2 4" xfId="13215"/>
    <cellStyle name="Итог 2 21 2 2 2 5" xfId="28713"/>
    <cellStyle name="Итог 2 21 2 2 3" xfId="5313"/>
    <cellStyle name="Итог 2 21 2 2 3 2" xfId="10496"/>
    <cellStyle name="Итог 2 21 2 2 3 2 2" xfId="21422"/>
    <cellStyle name="Итог 2 21 2 2 3 2 3" xfId="36783"/>
    <cellStyle name="Итог 2 21 2 2 3 3" xfId="26383"/>
    <cellStyle name="Итог 2 21 2 2 3 3 2" xfId="41744"/>
    <cellStyle name="Итог 2 21 2 2 3 4" xfId="15859"/>
    <cellStyle name="Итог 2 21 2 2 3 5" xfId="31334"/>
    <cellStyle name="Итог 2 21 2 2 4" xfId="6446"/>
    <cellStyle name="Итог 2 21 2 2 4 2" xfId="16416"/>
    <cellStyle name="Итог 2 21 2 2 4 3" xfId="31883"/>
    <cellStyle name="Итог 2 21 2 2 5" xfId="22334"/>
    <cellStyle name="Итог 2 21 2 2 5 2" xfId="37695"/>
    <cellStyle name="Итог 2 21 2 2 6" xfId="11773"/>
    <cellStyle name="Итог 2 21 2 2 7" xfId="27285"/>
    <cellStyle name="Итог 2 21 2 3" xfId="2189"/>
    <cellStyle name="Итог 2 21 2 3 2" xfId="7425"/>
    <cellStyle name="Итог 2 21 2 3 2 2" xfId="18327"/>
    <cellStyle name="Итог 2 21 2 3 2 3" xfId="33688"/>
    <cellStyle name="Итог 2 21 2 3 3" xfId="23313"/>
    <cellStyle name="Итог 2 21 2 3 3 2" xfId="38674"/>
    <cellStyle name="Итог 2 21 2 3 4" xfId="12764"/>
    <cellStyle name="Итог 2 21 2 3 5" xfId="28264"/>
    <cellStyle name="Итог 2 21 2 4" xfId="1123"/>
    <cellStyle name="Итог 2 21 2 4 2" xfId="6378"/>
    <cellStyle name="Итог 2 21 2 4 2 2" xfId="16485"/>
    <cellStyle name="Итог 2 21 2 4 2 3" xfId="31952"/>
    <cellStyle name="Итог 2 21 2 4 3" xfId="22266"/>
    <cellStyle name="Итог 2 21 2 4 3 2" xfId="37627"/>
    <cellStyle name="Итог 2 21 2 4 4" xfId="11704"/>
    <cellStyle name="Итог 2 21 2 4 5" xfId="27217"/>
    <cellStyle name="Итог 2 21 2 5" xfId="1904"/>
    <cellStyle name="Итог 2 21 2 5 2" xfId="7140"/>
    <cellStyle name="Итог 2 21 2 5 2 2" xfId="18042"/>
    <cellStyle name="Итог 2 21 2 5 2 3" xfId="33403"/>
    <cellStyle name="Итог 2 21 2 5 3" xfId="23028"/>
    <cellStyle name="Итог 2 21 2 5 3 2" xfId="38389"/>
    <cellStyle name="Итог 2 21 2 5 4" xfId="12479"/>
    <cellStyle name="Итог 2 21 2 5 5" xfId="27979"/>
    <cellStyle name="Итог 2 21 2 6" xfId="4237"/>
    <cellStyle name="Итог 2 21 2 6 2" xfId="9424"/>
    <cellStyle name="Итог 2 21 2 6 2 2" xfId="20351"/>
    <cellStyle name="Итог 2 21 2 6 2 3" xfId="35712"/>
    <cellStyle name="Итог 2 21 2 6 3" xfId="25312"/>
    <cellStyle name="Итог 2 21 2 6 3 2" xfId="40673"/>
    <cellStyle name="Итог 2 21 2 6 4" xfId="14788"/>
    <cellStyle name="Итог 2 21 2 6 5" xfId="30263"/>
    <cellStyle name="Итог 2 21 2 7" xfId="4964"/>
    <cellStyle name="Итог 2 21 2 7 2" xfId="10151"/>
    <cellStyle name="Итог 2 21 2 7 2 2" xfId="21078"/>
    <cellStyle name="Итог 2 21 2 7 2 3" xfId="36439"/>
    <cellStyle name="Итог 2 21 2 7 3" xfId="26039"/>
    <cellStyle name="Итог 2 21 2 7 3 2" xfId="41400"/>
    <cellStyle name="Итог 2 21 2 7 4" xfId="15515"/>
    <cellStyle name="Итог 2 21 2 7 5" xfId="30990"/>
    <cellStyle name="Итог 2 21 2 8" xfId="6045"/>
    <cellStyle name="Итог 2 21 2 8 2" xfId="16822"/>
    <cellStyle name="Итог 2 21 2 8 3" xfId="32289"/>
    <cellStyle name="Итог 2 21 2 9" xfId="21933"/>
    <cellStyle name="Итог 2 21 2 9 2" xfId="37294"/>
    <cellStyle name="Итог 2 21 3" xfId="1034"/>
    <cellStyle name="Итог 2 21 3 2" xfId="2565"/>
    <cellStyle name="Итог 2 21 3 2 2" xfId="7798"/>
    <cellStyle name="Итог 2 21 3 2 2 2" xfId="18700"/>
    <cellStyle name="Итог 2 21 3 2 2 3" xfId="34061"/>
    <cellStyle name="Итог 2 21 3 2 3" xfId="23686"/>
    <cellStyle name="Итог 2 21 3 2 3 2" xfId="39047"/>
    <cellStyle name="Итог 2 21 3 2 4" xfId="13137"/>
    <cellStyle name="Итог 2 21 3 2 5" xfId="28637"/>
    <cellStyle name="Итог 2 21 3 3" xfId="5314"/>
    <cellStyle name="Итог 2 21 3 3 2" xfId="10497"/>
    <cellStyle name="Итог 2 21 3 3 2 2" xfId="21423"/>
    <cellStyle name="Итог 2 21 3 3 2 3" xfId="36784"/>
    <cellStyle name="Итог 2 21 3 3 3" xfId="26384"/>
    <cellStyle name="Итог 2 21 3 3 3 2" xfId="41745"/>
    <cellStyle name="Итог 2 21 3 3 4" xfId="15860"/>
    <cellStyle name="Итог 2 21 3 3 5" xfId="31335"/>
    <cellStyle name="Итог 2 21 3 4" xfId="6292"/>
    <cellStyle name="Итог 2 21 3 4 2" xfId="16572"/>
    <cellStyle name="Итог 2 21 3 4 3" xfId="32039"/>
    <cellStyle name="Итог 2 21 3 5" xfId="22180"/>
    <cellStyle name="Итог 2 21 3 5 2" xfId="37541"/>
    <cellStyle name="Итог 2 21 3 6" xfId="11617"/>
    <cellStyle name="Итог 2 21 3 7" xfId="27131"/>
    <cellStyle name="Итог 2 21 4" xfId="1844"/>
    <cellStyle name="Итог 2 21 4 2" xfId="7083"/>
    <cellStyle name="Итог 2 21 4 2 2" xfId="17985"/>
    <cellStyle name="Итог 2 21 4 2 3" xfId="33346"/>
    <cellStyle name="Итог 2 21 4 3" xfId="22971"/>
    <cellStyle name="Итог 2 21 4 3 2" xfId="38332"/>
    <cellStyle name="Итог 2 21 4 4" xfId="12422"/>
    <cellStyle name="Итог 2 21 4 5" xfId="27922"/>
    <cellStyle name="Итог 2 21 5" xfId="2651"/>
    <cellStyle name="Итог 2 21 5 2" xfId="7882"/>
    <cellStyle name="Итог 2 21 5 2 2" xfId="18786"/>
    <cellStyle name="Итог 2 21 5 2 3" xfId="34147"/>
    <cellStyle name="Итог 2 21 5 3" xfId="23770"/>
    <cellStyle name="Итог 2 21 5 3 2" xfId="39131"/>
    <cellStyle name="Итог 2 21 5 4" xfId="13223"/>
    <cellStyle name="Итог 2 21 5 5" xfId="28721"/>
    <cellStyle name="Итог 2 21 6" xfId="3832"/>
    <cellStyle name="Итог 2 21 6 2" xfId="9019"/>
    <cellStyle name="Итог 2 21 6 2 2" xfId="19946"/>
    <cellStyle name="Итог 2 21 6 2 3" xfId="35307"/>
    <cellStyle name="Итог 2 21 6 3" xfId="24907"/>
    <cellStyle name="Итог 2 21 6 3 2" xfId="40268"/>
    <cellStyle name="Итог 2 21 6 4" xfId="14383"/>
    <cellStyle name="Итог 2 21 6 5" xfId="29858"/>
    <cellStyle name="Итог 2 21 7" xfId="3995"/>
    <cellStyle name="Итог 2 21 7 2" xfId="9182"/>
    <cellStyle name="Итог 2 21 7 2 2" xfId="20109"/>
    <cellStyle name="Итог 2 21 7 2 3" xfId="35470"/>
    <cellStyle name="Итог 2 21 7 3" xfId="25070"/>
    <cellStyle name="Итог 2 21 7 3 2" xfId="40431"/>
    <cellStyle name="Итог 2 21 7 4" xfId="14546"/>
    <cellStyle name="Итог 2 21 7 5" xfId="30021"/>
    <cellStyle name="Итог 2 21 8" xfId="4712"/>
    <cellStyle name="Итог 2 21 8 2" xfId="9899"/>
    <cellStyle name="Итог 2 21 8 2 2" xfId="20826"/>
    <cellStyle name="Итог 2 21 8 2 3" xfId="36187"/>
    <cellStyle name="Итог 2 21 8 3" xfId="25787"/>
    <cellStyle name="Итог 2 21 8 3 2" xfId="41148"/>
    <cellStyle name="Итог 2 21 8 4" xfId="15263"/>
    <cellStyle name="Итог 2 21 8 5" xfId="30738"/>
    <cellStyle name="Итог 2 21 9" xfId="5803"/>
    <cellStyle name="Итог 2 21 9 2" xfId="17088"/>
    <cellStyle name="Итог 2 21 9 3" xfId="32555"/>
    <cellStyle name="Итог 2 22" xfId="436"/>
    <cellStyle name="Итог 2 22 10" xfId="21692"/>
    <cellStyle name="Итог 2 22 10 2" xfId="37053"/>
    <cellStyle name="Итог 2 22 11" xfId="11099"/>
    <cellStyle name="Итог 2 22 12" xfId="26643"/>
    <cellStyle name="Итог 2 22 2" xfId="782"/>
    <cellStyle name="Итог 2 22 2 10" xfId="11366"/>
    <cellStyle name="Итог 2 22 2 11" xfId="26883"/>
    <cellStyle name="Итог 2 22 2 2" xfId="1057"/>
    <cellStyle name="Итог 2 22 2 2 2" xfId="2641"/>
    <cellStyle name="Итог 2 22 2 2 2 2" xfId="7872"/>
    <cellStyle name="Итог 2 22 2 2 2 2 2" xfId="18776"/>
    <cellStyle name="Итог 2 22 2 2 2 2 3" xfId="34137"/>
    <cellStyle name="Итог 2 22 2 2 2 3" xfId="23760"/>
    <cellStyle name="Итог 2 22 2 2 2 3 2" xfId="39121"/>
    <cellStyle name="Итог 2 22 2 2 2 4" xfId="13213"/>
    <cellStyle name="Итог 2 22 2 2 2 5" xfId="28711"/>
    <cellStyle name="Итог 2 22 2 2 3" xfId="5315"/>
    <cellStyle name="Итог 2 22 2 2 3 2" xfId="10498"/>
    <cellStyle name="Итог 2 22 2 2 3 2 2" xfId="21424"/>
    <cellStyle name="Итог 2 22 2 2 3 2 3" xfId="36785"/>
    <cellStyle name="Итог 2 22 2 2 3 3" xfId="26385"/>
    <cellStyle name="Итог 2 22 2 2 3 3 2" xfId="41746"/>
    <cellStyle name="Итог 2 22 2 2 3 4" xfId="15861"/>
    <cellStyle name="Итог 2 22 2 2 3 5" xfId="31336"/>
    <cellStyle name="Итог 2 22 2 2 4" xfId="6314"/>
    <cellStyle name="Итог 2 22 2 2 4 2" xfId="16550"/>
    <cellStyle name="Итог 2 22 2 2 4 3" xfId="32017"/>
    <cellStyle name="Итог 2 22 2 2 5" xfId="22202"/>
    <cellStyle name="Итог 2 22 2 2 5 2" xfId="37563"/>
    <cellStyle name="Итог 2 22 2 2 6" xfId="11639"/>
    <cellStyle name="Итог 2 22 2 2 7" xfId="27153"/>
    <cellStyle name="Итог 2 22 2 3" xfId="2188"/>
    <cellStyle name="Итог 2 22 2 3 2" xfId="7424"/>
    <cellStyle name="Итог 2 22 2 3 2 2" xfId="18326"/>
    <cellStyle name="Итог 2 22 2 3 2 3" xfId="33687"/>
    <cellStyle name="Итог 2 22 2 3 3" xfId="23312"/>
    <cellStyle name="Итог 2 22 2 3 3 2" xfId="38673"/>
    <cellStyle name="Итог 2 22 2 3 4" xfId="12763"/>
    <cellStyle name="Итог 2 22 2 3 5" xfId="28263"/>
    <cellStyle name="Итог 2 22 2 4" xfId="1482"/>
    <cellStyle name="Итог 2 22 2 4 2" xfId="6729"/>
    <cellStyle name="Итог 2 22 2 4 2 2" xfId="16129"/>
    <cellStyle name="Итог 2 22 2 4 2 3" xfId="31596"/>
    <cellStyle name="Итог 2 22 2 4 3" xfId="22617"/>
    <cellStyle name="Итог 2 22 2 4 3 2" xfId="37978"/>
    <cellStyle name="Итог 2 22 2 4 4" xfId="12060"/>
    <cellStyle name="Итог 2 22 2 4 5" xfId="27568"/>
    <cellStyle name="Итог 2 22 2 5" xfId="3622"/>
    <cellStyle name="Итог 2 22 2 5 2" xfId="8809"/>
    <cellStyle name="Итог 2 22 2 5 2 2" xfId="19736"/>
    <cellStyle name="Итог 2 22 2 5 2 3" xfId="35097"/>
    <cellStyle name="Итог 2 22 2 5 3" xfId="24697"/>
    <cellStyle name="Итог 2 22 2 5 3 2" xfId="40058"/>
    <cellStyle name="Итог 2 22 2 5 4" xfId="14173"/>
    <cellStyle name="Итог 2 22 2 5 5" xfId="29648"/>
    <cellStyle name="Итог 2 22 2 6" xfId="4236"/>
    <cellStyle name="Итог 2 22 2 6 2" xfId="9423"/>
    <cellStyle name="Итог 2 22 2 6 2 2" xfId="20350"/>
    <cellStyle name="Итог 2 22 2 6 2 3" xfId="35711"/>
    <cellStyle name="Итог 2 22 2 6 3" xfId="25311"/>
    <cellStyle name="Итог 2 22 2 6 3 2" xfId="40672"/>
    <cellStyle name="Итог 2 22 2 6 4" xfId="14787"/>
    <cellStyle name="Итог 2 22 2 6 5" xfId="30262"/>
    <cellStyle name="Итог 2 22 2 7" xfId="4582"/>
    <cellStyle name="Итог 2 22 2 7 2" xfId="9769"/>
    <cellStyle name="Итог 2 22 2 7 2 2" xfId="20696"/>
    <cellStyle name="Итог 2 22 2 7 2 3" xfId="36057"/>
    <cellStyle name="Итог 2 22 2 7 3" xfId="25657"/>
    <cellStyle name="Итог 2 22 2 7 3 2" xfId="41018"/>
    <cellStyle name="Итог 2 22 2 7 4" xfId="15133"/>
    <cellStyle name="Итог 2 22 2 7 5" xfId="30608"/>
    <cellStyle name="Итог 2 22 2 8" xfId="6044"/>
    <cellStyle name="Итог 2 22 2 8 2" xfId="16823"/>
    <cellStyle name="Итог 2 22 2 8 3" xfId="32290"/>
    <cellStyle name="Итог 2 22 2 9" xfId="21932"/>
    <cellStyle name="Итог 2 22 2 9 2" xfId="37293"/>
    <cellStyle name="Итог 2 22 3" xfId="1374"/>
    <cellStyle name="Итог 2 22 3 2" xfId="2567"/>
    <cellStyle name="Итог 2 22 3 2 2" xfId="7800"/>
    <cellStyle name="Итог 2 22 3 2 2 2" xfId="18702"/>
    <cellStyle name="Итог 2 22 3 2 2 3" xfId="34063"/>
    <cellStyle name="Итог 2 22 3 2 3" xfId="23688"/>
    <cellStyle name="Итог 2 22 3 2 3 2" xfId="39049"/>
    <cellStyle name="Итог 2 22 3 2 4" xfId="13139"/>
    <cellStyle name="Итог 2 22 3 2 5" xfId="28639"/>
    <cellStyle name="Итог 2 22 3 3" xfId="5316"/>
    <cellStyle name="Итог 2 22 3 3 2" xfId="10499"/>
    <cellStyle name="Итог 2 22 3 3 2 2" xfId="21425"/>
    <cellStyle name="Итог 2 22 3 3 2 3" xfId="36786"/>
    <cellStyle name="Итог 2 22 3 3 3" xfId="26386"/>
    <cellStyle name="Итог 2 22 3 3 3 2" xfId="41747"/>
    <cellStyle name="Итог 2 22 3 3 4" xfId="15862"/>
    <cellStyle name="Итог 2 22 3 3 5" xfId="31337"/>
    <cellStyle name="Итог 2 22 3 4" xfId="6624"/>
    <cellStyle name="Итог 2 22 3 4 2" xfId="16235"/>
    <cellStyle name="Итог 2 22 3 4 3" xfId="31702"/>
    <cellStyle name="Итог 2 22 3 5" xfId="22512"/>
    <cellStyle name="Итог 2 22 3 5 2" xfId="37873"/>
    <cellStyle name="Итог 2 22 3 6" xfId="11954"/>
    <cellStyle name="Итог 2 22 3 7" xfId="27463"/>
    <cellStyle name="Итог 2 22 4" xfId="1845"/>
    <cellStyle name="Итог 2 22 4 2" xfId="7084"/>
    <cellStyle name="Итог 2 22 4 2 2" xfId="17986"/>
    <cellStyle name="Итог 2 22 4 2 3" xfId="33347"/>
    <cellStyle name="Итог 2 22 4 3" xfId="22972"/>
    <cellStyle name="Итог 2 22 4 3 2" xfId="38333"/>
    <cellStyle name="Итог 2 22 4 4" xfId="12423"/>
    <cellStyle name="Итог 2 22 4 5" xfId="27923"/>
    <cellStyle name="Итог 2 22 5" xfId="2556"/>
    <cellStyle name="Итог 2 22 5 2" xfId="7789"/>
    <cellStyle name="Итог 2 22 5 2 2" xfId="18691"/>
    <cellStyle name="Итог 2 22 5 2 3" xfId="34052"/>
    <cellStyle name="Итог 2 22 5 3" xfId="23677"/>
    <cellStyle name="Итог 2 22 5 3 2" xfId="39038"/>
    <cellStyle name="Итог 2 22 5 4" xfId="13128"/>
    <cellStyle name="Итог 2 22 5 5" xfId="28628"/>
    <cellStyle name="Итог 2 22 6" xfId="3182"/>
    <cellStyle name="Итог 2 22 6 2" xfId="8377"/>
    <cellStyle name="Итог 2 22 6 2 2" xfId="19303"/>
    <cellStyle name="Итог 2 22 6 2 3" xfId="34664"/>
    <cellStyle name="Итог 2 22 6 3" xfId="24265"/>
    <cellStyle name="Итог 2 22 6 3 2" xfId="39626"/>
    <cellStyle name="Итог 2 22 6 4" xfId="13740"/>
    <cellStyle name="Итог 2 22 6 5" xfId="29216"/>
    <cellStyle name="Итог 2 22 7" xfId="3996"/>
    <cellStyle name="Итог 2 22 7 2" xfId="9183"/>
    <cellStyle name="Итог 2 22 7 2 2" xfId="20110"/>
    <cellStyle name="Итог 2 22 7 2 3" xfId="35471"/>
    <cellStyle name="Итог 2 22 7 3" xfId="25071"/>
    <cellStyle name="Итог 2 22 7 3 2" xfId="40432"/>
    <cellStyle name="Итог 2 22 7 4" xfId="14547"/>
    <cellStyle name="Итог 2 22 7 5" xfId="30022"/>
    <cellStyle name="Итог 2 22 8" xfId="4860"/>
    <cellStyle name="Итог 2 22 8 2" xfId="10047"/>
    <cellStyle name="Итог 2 22 8 2 2" xfId="20974"/>
    <cellStyle name="Итог 2 22 8 2 3" xfId="36335"/>
    <cellStyle name="Итог 2 22 8 3" xfId="25935"/>
    <cellStyle name="Итог 2 22 8 3 2" xfId="41296"/>
    <cellStyle name="Итог 2 22 8 4" xfId="15411"/>
    <cellStyle name="Итог 2 22 8 5" xfId="30886"/>
    <cellStyle name="Итог 2 22 9" xfId="5804"/>
    <cellStyle name="Итог 2 22 9 2" xfId="17087"/>
    <cellStyle name="Итог 2 22 9 3" xfId="32554"/>
    <cellStyle name="Итог 2 23" xfId="437"/>
    <cellStyle name="Итог 2 23 10" xfId="21693"/>
    <cellStyle name="Итог 2 23 10 2" xfId="37054"/>
    <cellStyle name="Итог 2 23 11" xfId="11100"/>
    <cellStyle name="Итог 2 23 12" xfId="26644"/>
    <cellStyle name="Итог 2 23 2" xfId="781"/>
    <cellStyle name="Итог 2 23 2 10" xfId="11365"/>
    <cellStyle name="Итог 2 23 2 11" xfId="26882"/>
    <cellStyle name="Итог 2 23 2 2" xfId="1677"/>
    <cellStyle name="Итог 2 23 2 2 2" xfId="2639"/>
    <cellStyle name="Итог 2 23 2 2 2 2" xfId="7870"/>
    <cellStyle name="Итог 2 23 2 2 2 2 2" xfId="18774"/>
    <cellStyle name="Итог 2 23 2 2 2 2 3" xfId="34135"/>
    <cellStyle name="Итог 2 23 2 2 2 3" xfId="23758"/>
    <cellStyle name="Итог 2 23 2 2 2 3 2" xfId="39119"/>
    <cellStyle name="Итог 2 23 2 2 2 4" xfId="13211"/>
    <cellStyle name="Итог 2 23 2 2 2 5" xfId="28709"/>
    <cellStyle name="Итог 2 23 2 2 3" xfId="5317"/>
    <cellStyle name="Итог 2 23 2 2 3 2" xfId="10500"/>
    <cellStyle name="Итог 2 23 2 2 3 2 2" xfId="21426"/>
    <cellStyle name="Итог 2 23 2 2 3 2 3" xfId="36787"/>
    <cellStyle name="Итог 2 23 2 2 3 3" xfId="26387"/>
    <cellStyle name="Итог 2 23 2 2 3 3 2" xfId="41748"/>
    <cellStyle name="Итог 2 23 2 2 3 4" xfId="15863"/>
    <cellStyle name="Итог 2 23 2 2 3 5" xfId="31338"/>
    <cellStyle name="Итог 2 23 2 2 4" xfId="6922"/>
    <cellStyle name="Итог 2 23 2 2 4 2" xfId="17819"/>
    <cellStyle name="Итог 2 23 2 2 4 3" xfId="33180"/>
    <cellStyle name="Итог 2 23 2 2 5" xfId="22810"/>
    <cellStyle name="Итог 2 23 2 2 5 2" xfId="38171"/>
    <cellStyle name="Итог 2 23 2 2 6" xfId="12255"/>
    <cellStyle name="Итог 2 23 2 2 7" xfId="27761"/>
    <cellStyle name="Итог 2 23 2 3" xfId="2187"/>
    <cellStyle name="Итог 2 23 2 3 2" xfId="7423"/>
    <cellStyle name="Итог 2 23 2 3 2 2" xfId="18325"/>
    <cellStyle name="Итог 2 23 2 3 2 3" xfId="33686"/>
    <cellStyle name="Итог 2 23 2 3 3" xfId="23311"/>
    <cellStyle name="Итог 2 23 2 3 3 2" xfId="38672"/>
    <cellStyle name="Итог 2 23 2 3 4" xfId="12762"/>
    <cellStyle name="Итог 2 23 2 3 5" xfId="28262"/>
    <cellStyle name="Итог 2 23 2 4" xfId="2854"/>
    <cellStyle name="Итог 2 23 2 4 2" xfId="8063"/>
    <cellStyle name="Итог 2 23 2 4 2 2" xfId="18983"/>
    <cellStyle name="Итог 2 23 2 4 2 3" xfId="34344"/>
    <cellStyle name="Итог 2 23 2 4 3" xfId="23951"/>
    <cellStyle name="Итог 2 23 2 4 3 2" xfId="39312"/>
    <cellStyle name="Итог 2 23 2 4 4" xfId="13420"/>
    <cellStyle name="Итог 2 23 2 4 5" xfId="28902"/>
    <cellStyle name="Итог 2 23 2 5" xfId="2695"/>
    <cellStyle name="Итог 2 23 2 5 2" xfId="7926"/>
    <cellStyle name="Итог 2 23 2 5 2 2" xfId="18830"/>
    <cellStyle name="Итог 2 23 2 5 2 3" xfId="34191"/>
    <cellStyle name="Итог 2 23 2 5 3" xfId="23814"/>
    <cellStyle name="Итог 2 23 2 5 3 2" xfId="39175"/>
    <cellStyle name="Итог 2 23 2 5 4" xfId="13267"/>
    <cellStyle name="Итог 2 23 2 5 5" xfId="28765"/>
    <cellStyle name="Итог 2 23 2 6" xfId="4235"/>
    <cellStyle name="Итог 2 23 2 6 2" xfId="9422"/>
    <cellStyle name="Итог 2 23 2 6 2 2" xfId="20349"/>
    <cellStyle name="Итог 2 23 2 6 2 3" xfId="35710"/>
    <cellStyle name="Итог 2 23 2 6 3" xfId="25310"/>
    <cellStyle name="Итог 2 23 2 6 3 2" xfId="40671"/>
    <cellStyle name="Итог 2 23 2 6 4" xfId="14786"/>
    <cellStyle name="Итог 2 23 2 6 5" xfId="30261"/>
    <cellStyle name="Итог 2 23 2 7" xfId="4963"/>
    <cellStyle name="Итог 2 23 2 7 2" xfId="10150"/>
    <cellStyle name="Итог 2 23 2 7 2 2" xfId="21077"/>
    <cellStyle name="Итог 2 23 2 7 2 3" xfId="36438"/>
    <cellStyle name="Итог 2 23 2 7 3" xfId="26038"/>
    <cellStyle name="Итог 2 23 2 7 3 2" xfId="41399"/>
    <cellStyle name="Итог 2 23 2 7 4" xfId="15514"/>
    <cellStyle name="Итог 2 23 2 7 5" xfId="30989"/>
    <cellStyle name="Итог 2 23 2 8" xfId="6043"/>
    <cellStyle name="Итог 2 23 2 8 2" xfId="16824"/>
    <cellStyle name="Итог 2 23 2 8 3" xfId="32291"/>
    <cellStyle name="Итог 2 23 2 9" xfId="21931"/>
    <cellStyle name="Итог 2 23 2 9 2" xfId="37292"/>
    <cellStyle name="Итог 2 23 3" xfId="1454"/>
    <cellStyle name="Итог 2 23 3 2" xfId="2569"/>
    <cellStyle name="Итог 2 23 3 2 2" xfId="7802"/>
    <cellStyle name="Итог 2 23 3 2 2 2" xfId="18704"/>
    <cellStyle name="Итог 2 23 3 2 2 3" xfId="34065"/>
    <cellStyle name="Итог 2 23 3 2 3" xfId="23690"/>
    <cellStyle name="Итог 2 23 3 2 3 2" xfId="39051"/>
    <cellStyle name="Итог 2 23 3 2 4" xfId="13141"/>
    <cellStyle name="Итог 2 23 3 2 5" xfId="28641"/>
    <cellStyle name="Итог 2 23 3 3" xfId="5318"/>
    <cellStyle name="Итог 2 23 3 3 2" xfId="10501"/>
    <cellStyle name="Итог 2 23 3 3 2 2" xfId="21427"/>
    <cellStyle name="Итог 2 23 3 3 2 3" xfId="36788"/>
    <cellStyle name="Итог 2 23 3 3 3" xfId="26388"/>
    <cellStyle name="Итог 2 23 3 3 3 2" xfId="41749"/>
    <cellStyle name="Итог 2 23 3 3 4" xfId="15864"/>
    <cellStyle name="Итог 2 23 3 3 5" xfId="31339"/>
    <cellStyle name="Итог 2 23 3 4" xfId="6701"/>
    <cellStyle name="Итог 2 23 3 4 2" xfId="16157"/>
    <cellStyle name="Итог 2 23 3 4 3" xfId="31624"/>
    <cellStyle name="Итог 2 23 3 5" xfId="22589"/>
    <cellStyle name="Итог 2 23 3 5 2" xfId="37950"/>
    <cellStyle name="Итог 2 23 3 6" xfId="12032"/>
    <cellStyle name="Итог 2 23 3 7" xfId="27540"/>
    <cellStyle name="Итог 2 23 4" xfId="1846"/>
    <cellStyle name="Итог 2 23 4 2" xfId="7085"/>
    <cellStyle name="Итог 2 23 4 2 2" xfId="17987"/>
    <cellStyle name="Итог 2 23 4 2 3" xfId="33348"/>
    <cellStyle name="Итог 2 23 4 3" xfId="22973"/>
    <cellStyle name="Итог 2 23 4 3 2" xfId="38334"/>
    <cellStyle name="Итог 2 23 4 4" xfId="12424"/>
    <cellStyle name="Итог 2 23 4 5" xfId="27924"/>
    <cellStyle name="Итог 2 23 5" xfId="2653"/>
    <cellStyle name="Итог 2 23 5 2" xfId="7884"/>
    <cellStyle name="Итог 2 23 5 2 2" xfId="18788"/>
    <cellStyle name="Итог 2 23 5 2 3" xfId="34149"/>
    <cellStyle name="Итог 2 23 5 3" xfId="23772"/>
    <cellStyle name="Итог 2 23 5 3 2" xfId="39133"/>
    <cellStyle name="Итог 2 23 5 4" xfId="13225"/>
    <cellStyle name="Итог 2 23 5 5" xfId="28723"/>
    <cellStyle name="Итог 2 23 6" xfId="3862"/>
    <cellStyle name="Итог 2 23 6 2" xfId="9049"/>
    <cellStyle name="Итог 2 23 6 2 2" xfId="19976"/>
    <cellStyle name="Итог 2 23 6 2 3" xfId="35337"/>
    <cellStyle name="Итог 2 23 6 3" xfId="24937"/>
    <cellStyle name="Итог 2 23 6 3 2" xfId="40298"/>
    <cellStyle name="Итог 2 23 6 4" xfId="14413"/>
    <cellStyle name="Итог 2 23 6 5" xfId="29888"/>
    <cellStyle name="Итог 2 23 7" xfId="3997"/>
    <cellStyle name="Итог 2 23 7 2" xfId="9184"/>
    <cellStyle name="Итог 2 23 7 2 2" xfId="20111"/>
    <cellStyle name="Итог 2 23 7 2 3" xfId="35472"/>
    <cellStyle name="Итог 2 23 7 3" xfId="25072"/>
    <cellStyle name="Итог 2 23 7 3 2" xfId="40433"/>
    <cellStyle name="Итог 2 23 7 4" xfId="14548"/>
    <cellStyle name="Итог 2 23 7 5" xfId="30023"/>
    <cellStyle name="Итог 2 23 8" xfId="4711"/>
    <cellStyle name="Итог 2 23 8 2" xfId="9898"/>
    <cellStyle name="Итог 2 23 8 2 2" xfId="20825"/>
    <cellStyle name="Итог 2 23 8 2 3" xfId="36186"/>
    <cellStyle name="Итог 2 23 8 3" xfId="25786"/>
    <cellStyle name="Итог 2 23 8 3 2" xfId="41147"/>
    <cellStyle name="Итог 2 23 8 4" xfId="15262"/>
    <cellStyle name="Итог 2 23 8 5" xfId="30737"/>
    <cellStyle name="Итог 2 23 9" xfId="5805"/>
    <cellStyle name="Итог 2 23 9 2" xfId="17086"/>
    <cellStyle name="Итог 2 23 9 3" xfId="32553"/>
    <cellStyle name="Итог 2 24" xfId="817"/>
    <cellStyle name="Итог 2 24 10" xfId="11401"/>
    <cellStyle name="Итог 2 24 11" xfId="26918"/>
    <cellStyle name="Итог 2 24 2" xfId="1032"/>
    <cellStyle name="Итог 2 24 2 2" xfId="2570"/>
    <cellStyle name="Итог 2 24 2 2 2" xfId="7803"/>
    <cellStyle name="Итог 2 24 2 2 2 2" xfId="18705"/>
    <cellStyle name="Итог 2 24 2 2 2 3" xfId="34066"/>
    <cellStyle name="Итог 2 24 2 2 3" xfId="23691"/>
    <cellStyle name="Итог 2 24 2 2 3 2" xfId="39052"/>
    <cellStyle name="Итог 2 24 2 2 4" xfId="13142"/>
    <cellStyle name="Итог 2 24 2 2 5" xfId="28642"/>
    <cellStyle name="Итог 2 24 2 3" xfId="5319"/>
    <cellStyle name="Итог 2 24 2 3 2" xfId="10502"/>
    <cellStyle name="Итог 2 24 2 3 2 2" xfId="21428"/>
    <cellStyle name="Итог 2 24 2 3 2 3" xfId="36789"/>
    <cellStyle name="Итог 2 24 2 3 3" xfId="26389"/>
    <cellStyle name="Итог 2 24 2 3 3 2" xfId="41750"/>
    <cellStyle name="Итог 2 24 2 3 4" xfId="15865"/>
    <cellStyle name="Итог 2 24 2 3 5" xfId="31340"/>
    <cellStyle name="Итог 2 24 2 4" xfId="6290"/>
    <cellStyle name="Итог 2 24 2 4 2" xfId="16574"/>
    <cellStyle name="Итог 2 24 2 4 3" xfId="32041"/>
    <cellStyle name="Итог 2 24 2 5" xfId="22178"/>
    <cellStyle name="Итог 2 24 2 5 2" xfId="37539"/>
    <cellStyle name="Итог 2 24 2 6" xfId="11615"/>
    <cellStyle name="Итог 2 24 2 7" xfId="27129"/>
    <cellStyle name="Итог 2 24 3" xfId="2223"/>
    <cellStyle name="Итог 2 24 3 2" xfId="7459"/>
    <cellStyle name="Итог 2 24 3 2 2" xfId="18361"/>
    <cellStyle name="Итог 2 24 3 2 3" xfId="33722"/>
    <cellStyle name="Итог 2 24 3 3" xfId="23347"/>
    <cellStyle name="Итог 2 24 3 3 2" xfId="38708"/>
    <cellStyle name="Итог 2 24 3 4" xfId="12798"/>
    <cellStyle name="Итог 2 24 3 5" xfId="28298"/>
    <cellStyle name="Итог 2 24 4" xfId="2837"/>
    <cellStyle name="Итог 2 24 4 2" xfId="8053"/>
    <cellStyle name="Итог 2 24 4 2 2" xfId="18967"/>
    <cellStyle name="Итог 2 24 4 2 3" xfId="34328"/>
    <cellStyle name="Итог 2 24 4 3" xfId="23941"/>
    <cellStyle name="Итог 2 24 4 3 2" xfId="39302"/>
    <cellStyle name="Итог 2 24 4 4" xfId="13404"/>
    <cellStyle name="Итог 2 24 4 5" xfId="28892"/>
    <cellStyle name="Итог 2 24 5" xfId="3788"/>
    <cellStyle name="Итог 2 24 5 2" xfId="8975"/>
    <cellStyle name="Итог 2 24 5 2 2" xfId="19902"/>
    <cellStyle name="Итог 2 24 5 2 3" xfId="35263"/>
    <cellStyle name="Итог 2 24 5 3" xfId="24863"/>
    <cellStyle name="Итог 2 24 5 3 2" xfId="40224"/>
    <cellStyle name="Итог 2 24 5 4" xfId="14339"/>
    <cellStyle name="Итог 2 24 5 5" xfId="29814"/>
    <cellStyle name="Итог 2 24 6" xfId="4271"/>
    <cellStyle name="Итог 2 24 6 2" xfId="9458"/>
    <cellStyle name="Итог 2 24 6 2 2" xfId="20385"/>
    <cellStyle name="Итог 2 24 6 2 3" xfId="35746"/>
    <cellStyle name="Итог 2 24 6 3" xfId="25346"/>
    <cellStyle name="Итог 2 24 6 3 2" xfId="40707"/>
    <cellStyle name="Итог 2 24 6 4" xfId="14822"/>
    <cellStyle name="Итог 2 24 6 5" xfId="30297"/>
    <cellStyle name="Итог 2 24 7" xfId="4558"/>
    <cellStyle name="Итог 2 24 7 2" xfId="9745"/>
    <cellStyle name="Итог 2 24 7 2 2" xfId="20672"/>
    <cellStyle name="Итог 2 24 7 2 3" xfId="36033"/>
    <cellStyle name="Итог 2 24 7 3" xfId="25633"/>
    <cellStyle name="Итог 2 24 7 3 2" xfId="40994"/>
    <cellStyle name="Итог 2 24 7 4" xfId="15109"/>
    <cellStyle name="Итог 2 24 7 5" xfId="30584"/>
    <cellStyle name="Итог 2 24 8" xfId="6079"/>
    <cellStyle name="Итог 2 24 8 2" xfId="16788"/>
    <cellStyle name="Итог 2 24 8 3" xfId="32255"/>
    <cellStyle name="Итог 2 24 9" xfId="21967"/>
    <cellStyle name="Итог 2 24 9 2" xfId="37328"/>
    <cellStyle name="Итог 2 25" xfId="1214"/>
    <cellStyle name="Итог 2 25 2" xfId="2637"/>
    <cellStyle name="Итог 2 25 2 2" xfId="7868"/>
    <cellStyle name="Итог 2 25 2 2 2" xfId="18772"/>
    <cellStyle name="Итог 2 25 2 2 3" xfId="34133"/>
    <cellStyle name="Итог 2 25 2 3" xfId="23756"/>
    <cellStyle name="Итог 2 25 2 3 2" xfId="39117"/>
    <cellStyle name="Итог 2 25 2 4" xfId="13209"/>
    <cellStyle name="Итог 2 25 2 5" xfId="28707"/>
    <cellStyle name="Итог 2 25 3" xfId="5320"/>
    <cellStyle name="Итог 2 25 3 2" xfId="10503"/>
    <cellStyle name="Итог 2 25 3 2 2" xfId="21429"/>
    <cellStyle name="Итог 2 25 3 2 3" xfId="36790"/>
    <cellStyle name="Итог 2 25 3 3" xfId="26390"/>
    <cellStyle name="Итог 2 25 3 3 2" xfId="41751"/>
    <cellStyle name="Итог 2 25 3 4" xfId="15866"/>
    <cellStyle name="Итог 2 25 3 5" xfId="31341"/>
    <cellStyle name="Итог 2 25 4" xfId="6467"/>
    <cellStyle name="Итог 2 25 4 2" xfId="16394"/>
    <cellStyle name="Итог 2 25 4 3" xfId="31861"/>
    <cellStyle name="Итог 2 25 5" xfId="22355"/>
    <cellStyle name="Итог 2 25 5 2" xfId="37716"/>
    <cellStyle name="Итог 2 25 6" xfId="11795"/>
    <cellStyle name="Итог 2 25 7" xfId="27306"/>
    <cellStyle name="Итог 2 26" xfId="1810"/>
    <cellStyle name="Итог 2 26 2" xfId="5321"/>
    <cellStyle name="Итог 2 26 2 2" xfId="10504"/>
    <cellStyle name="Итог 2 26 2 2 2" xfId="21430"/>
    <cellStyle name="Итог 2 26 2 2 3" xfId="36791"/>
    <cellStyle name="Итог 2 26 2 3" xfId="26391"/>
    <cellStyle name="Итог 2 26 2 3 2" xfId="41752"/>
    <cellStyle name="Итог 2 26 2 4" xfId="15867"/>
    <cellStyle name="Итог 2 26 2 5" xfId="31342"/>
    <cellStyle name="Итог 2 26 3" xfId="7049"/>
    <cellStyle name="Итог 2 26 3 2" xfId="17951"/>
    <cellStyle name="Итог 2 26 3 3" xfId="33312"/>
    <cellStyle name="Итог 2 26 4" xfId="22937"/>
    <cellStyle name="Итог 2 26 4 2" xfId="38298"/>
    <cellStyle name="Итог 2 26 5" xfId="12388"/>
    <cellStyle name="Итог 2 26 6" xfId="27888"/>
    <cellStyle name="Итог 2 27" xfId="1909"/>
    <cellStyle name="Итог 2 27 2" xfId="7145"/>
    <cellStyle name="Итог 2 27 2 2" xfId="18047"/>
    <cellStyle name="Итог 2 27 2 3" xfId="33408"/>
    <cellStyle name="Итог 2 27 3" xfId="23033"/>
    <cellStyle name="Итог 2 27 3 2" xfId="38394"/>
    <cellStyle name="Итог 2 27 4" xfId="12484"/>
    <cellStyle name="Итог 2 27 5" xfId="27984"/>
    <cellStyle name="Итог 2 27 6" xfId="44024"/>
    <cellStyle name="Итог 2 28" xfId="2920"/>
    <cellStyle name="Итог 2 28 2" xfId="8121"/>
    <cellStyle name="Итог 2 28 2 2" xfId="19041"/>
    <cellStyle name="Итог 2 28 2 3" xfId="34402"/>
    <cellStyle name="Итог 2 28 3" xfId="24009"/>
    <cellStyle name="Итог 2 28 3 2" xfId="39370"/>
    <cellStyle name="Итог 2 28 4" xfId="13478"/>
    <cellStyle name="Итог 2 28 5" xfId="28960"/>
    <cellStyle name="Итог 2 29" xfId="3712"/>
    <cellStyle name="Итог 2 29 2" xfId="8899"/>
    <cellStyle name="Итог 2 29 2 2" xfId="19826"/>
    <cellStyle name="Итог 2 29 2 3" xfId="35187"/>
    <cellStyle name="Итог 2 29 3" xfId="24787"/>
    <cellStyle name="Итог 2 29 3 2" xfId="40148"/>
    <cellStyle name="Итог 2 29 4" xfId="14263"/>
    <cellStyle name="Итог 2 29 5" xfId="29738"/>
    <cellStyle name="Итог 2 3" xfId="438"/>
    <cellStyle name="Итог 2 3 10" xfId="21694"/>
    <cellStyle name="Итог 2 3 10 2" xfId="37055"/>
    <cellStyle name="Итог 2 3 11" xfId="11101"/>
    <cellStyle name="Итог 2 3 12" xfId="26645"/>
    <cellStyle name="Итог 2 3 2" xfId="780"/>
    <cellStyle name="Итог 2 3 2 10" xfId="11364"/>
    <cellStyle name="Итог 2 3 2 11" xfId="26881"/>
    <cellStyle name="Итог 2 3 2 2" xfId="90"/>
    <cellStyle name="Итог 2 3 2 2 2" xfId="2635"/>
    <cellStyle name="Итог 2 3 2 2 2 2" xfId="7866"/>
    <cellStyle name="Итог 2 3 2 2 2 2 2" xfId="18770"/>
    <cellStyle name="Итог 2 3 2 2 2 2 3" xfId="34131"/>
    <cellStyle name="Итог 2 3 2 2 2 3" xfId="23754"/>
    <cellStyle name="Итог 2 3 2 2 2 3 2" xfId="39115"/>
    <cellStyle name="Итог 2 3 2 2 2 4" xfId="13207"/>
    <cellStyle name="Итог 2 3 2 2 2 5" xfId="28705"/>
    <cellStyle name="Итог 2 3 2 2 3" xfId="5322"/>
    <cellStyle name="Итог 2 3 2 2 3 2" xfId="10505"/>
    <cellStyle name="Итог 2 3 2 2 3 2 2" xfId="21431"/>
    <cellStyle name="Итог 2 3 2 2 3 2 3" xfId="36792"/>
    <cellStyle name="Итог 2 3 2 2 3 3" xfId="26392"/>
    <cellStyle name="Итог 2 3 2 2 3 3 2" xfId="41753"/>
    <cellStyle name="Итог 2 3 2 2 3 4" xfId="15868"/>
    <cellStyle name="Итог 2 3 2 2 3 5" xfId="31343"/>
    <cellStyle name="Итог 2 3 2 2 4" xfId="5616"/>
    <cellStyle name="Итог 2 3 2 2 4 2" xfId="17381"/>
    <cellStyle name="Итог 2 3 2 2 4 3" xfId="32848"/>
    <cellStyle name="Итог 2 3 2 2 5" xfId="17069"/>
    <cellStyle name="Итог 2 3 2 2 5 2" xfId="32536"/>
    <cellStyle name="Итог 2 3 2 2 6" xfId="10804"/>
    <cellStyle name="Итог 2 3 2 2 7" xfId="11117"/>
    <cellStyle name="Итог 2 3 2 3" xfId="2186"/>
    <cellStyle name="Итог 2 3 2 3 2" xfId="7422"/>
    <cellStyle name="Итог 2 3 2 3 2 2" xfId="18324"/>
    <cellStyle name="Итог 2 3 2 3 2 3" xfId="33685"/>
    <cellStyle name="Итог 2 3 2 3 3" xfId="23310"/>
    <cellStyle name="Итог 2 3 2 3 3 2" xfId="38671"/>
    <cellStyle name="Итог 2 3 2 3 4" xfId="12761"/>
    <cellStyle name="Итог 2 3 2 3 5" xfId="28261"/>
    <cellStyle name="Итог 2 3 2 4" xfId="1414"/>
    <cellStyle name="Итог 2 3 2 4 2" xfId="6662"/>
    <cellStyle name="Итог 2 3 2 4 2 2" xfId="16196"/>
    <cellStyle name="Итог 2 3 2 4 2 3" xfId="31663"/>
    <cellStyle name="Итог 2 3 2 4 3" xfId="22550"/>
    <cellStyle name="Итог 2 3 2 4 3 2" xfId="37911"/>
    <cellStyle name="Итог 2 3 2 4 4" xfId="11993"/>
    <cellStyle name="Итог 2 3 2 4 5" xfId="27501"/>
    <cellStyle name="Итог 2 3 2 5" xfId="3815"/>
    <cellStyle name="Итог 2 3 2 5 2" xfId="9002"/>
    <cellStyle name="Итог 2 3 2 5 2 2" xfId="19929"/>
    <cellStyle name="Итог 2 3 2 5 2 3" xfId="35290"/>
    <cellStyle name="Итог 2 3 2 5 3" xfId="24890"/>
    <cellStyle name="Итог 2 3 2 5 3 2" xfId="40251"/>
    <cellStyle name="Итог 2 3 2 5 4" xfId="14366"/>
    <cellStyle name="Итог 2 3 2 5 5" xfId="29841"/>
    <cellStyle name="Итог 2 3 2 6" xfId="4234"/>
    <cellStyle name="Итог 2 3 2 6 2" xfId="9421"/>
    <cellStyle name="Итог 2 3 2 6 2 2" xfId="20348"/>
    <cellStyle name="Итог 2 3 2 6 2 3" xfId="35709"/>
    <cellStyle name="Итог 2 3 2 6 3" xfId="25309"/>
    <cellStyle name="Итог 2 3 2 6 3 2" xfId="40670"/>
    <cellStyle name="Итог 2 3 2 6 4" xfId="14785"/>
    <cellStyle name="Итог 2 3 2 6 5" xfId="30260"/>
    <cellStyle name="Итог 2 3 2 6 6" xfId="46301"/>
    <cellStyle name="Итог 2 3 2 7" xfId="4583"/>
    <cellStyle name="Итог 2 3 2 7 2" xfId="9770"/>
    <cellStyle name="Итог 2 3 2 7 2 2" xfId="20697"/>
    <cellStyle name="Итог 2 3 2 7 2 3" xfId="36058"/>
    <cellStyle name="Итог 2 3 2 7 3" xfId="25658"/>
    <cellStyle name="Итог 2 3 2 7 3 2" xfId="41019"/>
    <cellStyle name="Итог 2 3 2 7 4" xfId="15134"/>
    <cellStyle name="Итог 2 3 2 7 5" xfId="30609"/>
    <cellStyle name="Итог 2 3 2 8" xfId="6042"/>
    <cellStyle name="Итог 2 3 2 8 2" xfId="16825"/>
    <cellStyle name="Итог 2 3 2 8 3" xfId="32292"/>
    <cellStyle name="Итог 2 3 2 9" xfId="21930"/>
    <cellStyle name="Итог 2 3 2 9 2" xfId="37291"/>
    <cellStyle name="Итог 2 3 3" xfId="1695"/>
    <cellStyle name="Итог 2 3 3 2" xfId="2669"/>
    <cellStyle name="Итог 2 3 3 2 2" xfId="7900"/>
    <cellStyle name="Итог 2 3 3 2 2 2" xfId="18804"/>
    <cellStyle name="Итог 2 3 3 2 2 3" xfId="34165"/>
    <cellStyle name="Итог 2 3 3 2 3" xfId="23788"/>
    <cellStyle name="Итог 2 3 3 2 3 2" xfId="39149"/>
    <cellStyle name="Итог 2 3 3 2 4" xfId="13241"/>
    <cellStyle name="Итог 2 3 3 2 5" xfId="28739"/>
    <cellStyle name="Итог 2 3 3 3" xfId="5323"/>
    <cellStyle name="Итог 2 3 3 3 2" xfId="10506"/>
    <cellStyle name="Итог 2 3 3 3 2 2" xfId="21432"/>
    <cellStyle name="Итог 2 3 3 3 2 3" xfId="36793"/>
    <cellStyle name="Итог 2 3 3 3 3" xfId="26393"/>
    <cellStyle name="Итог 2 3 3 3 3 2" xfId="41754"/>
    <cellStyle name="Итог 2 3 3 3 4" xfId="15869"/>
    <cellStyle name="Итог 2 3 3 3 5" xfId="31344"/>
    <cellStyle name="Итог 2 3 3 4" xfId="6939"/>
    <cellStyle name="Итог 2 3 3 4 2" xfId="17837"/>
    <cellStyle name="Итог 2 3 3 4 3" xfId="33198"/>
    <cellStyle name="Итог 2 3 3 5" xfId="22827"/>
    <cellStyle name="Итог 2 3 3 5 2" xfId="38188"/>
    <cellStyle name="Итог 2 3 3 6" xfId="12273"/>
    <cellStyle name="Итог 2 3 3 7" xfId="27778"/>
    <cellStyle name="Итог 2 3 4" xfId="1847"/>
    <cellStyle name="Итог 2 3 4 2" xfId="7086"/>
    <cellStyle name="Итог 2 3 4 2 2" xfId="17988"/>
    <cellStyle name="Итог 2 3 4 2 3" xfId="33349"/>
    <cellStyle name="Итог 2 3 4 3" xfId="22974"/>
    <cellStyle name="Итог 2 3 4 3 2" xfId="38335"/>
    <cellStyle name="Итог 2 3 4 4" xfId="12425"/>
    <cellStyle name="Итог 2 3 4 5" xfId="27925"/>
    <cellStyle name="Итог 2 3 5" xfId="2554"/>
    <cellStyle name="Итог 2 3 5 2" xfId="7787"/>
    <cellStyle name="Итог 2 3 5 2 2" xfId="18689"/>
    <cellStyle name="Итог 2 3 5 2 3" xfId="34050"/>
    <cellStyle name="Итог 2 3 5 3" xfId="23675"/>
    <cellStyle name="Итог 2 3 5 3 2" xfId="39036"/>
    <cellStyle name="Итог 2 3 5 4" xfId="13126"/>
    <cellStyle name="Итог 2 3 5 5" xfId="28626"/>
    <cellStyle name="Итог 2 3 6" xfId="3158"/>
    <cellStyle name="Итог 2 3 6 2" xfId="8353"/>
    <cellStyle name="Итог 2 3 6 2 2" xfId="19279"/>
    <cellStyle name="Итог 2 3 6 2 3" xfId="34640"/>
    <cellStyle name="Итог 2 3 6 3" xfId="24241"/>
    <cellStyle name="Итог 2 3 6 3 2" xfId="39602"/>
    <cellStyle name="Итог 2 3 6 4" xfId="13716"/>
    <cellStyle name="Итог 2 3 6 5" xfId="29192"/>
    <cellStyle name="Итог 2 3 6 6" xfId="44400"/>
    <cellStyle name="Итог 2 3 7" xfId="3998"/>
    <cellStyle name="Итог 2 3 7 2" xfId="9185"/>
    <cellStyle name="Итог 2 3 7 2 2" xfId="20112"/>
    <cellStyle name="Итог 2 3 7 2 3" xfId="35473"/>
    <cellStyle name="Итог 2 3 7 3" xfId="25073"/>
    <cellStyle name="Итог 2 3 7 3 2" xfId="40434"/>
    <cellStyle name="Итог 2 3 7 4" xfId="14549"/>
    <cellStyle name="Итог 2 3 7 5" xfId="30024"/>
    <cellStyle name="Итог 2 3 8" xfId="4865"/>
    <cellStyle name="Итог 2 3 8 2" xfId="10052"/>
    <cellStyle name="Итог 2 3 8 2 2" xfId="20979"/>
    <cellStyle name="Итог 2 3 8 2 3" xfId="36340"/>
    <cellStyle name="Итог 2 3 8 3" xfId="25940"/>
    <cellStyle name="Итог 2 3 8 3 2" xfId="41301"/>
    <cellStyle name="Итог 2 3 8 4" xfId="15416"/>
    <cellStyle name="Итог 2 3 8 5" xfId="30891"/>
    <cellStyle name="Итог 2 3 8 6" xfId="46300"/>
    <cellStyle name="Итог 2 3 9" xfId="5806"/>
    <cellStyle name="Итог 2 3 9 2" xfId="17085"/>
    <cellStyle name="Итог 2 3 9 3" xfId="32552"/>
    <cellStyle name="Итог 2 30" xfId="3961"/>
    <cellStyle name="Итог 2 30 2" xfId="9148"/>
    <cellStyle name="Итог 2 30 2 2" xfId="20075"/>
    <cellStyle name="Итог 2 30 2 3" xfId="35436"/>
    <cellStyle name="Итог 2 30 3" xfId="25036"/>
    <cellStyle name="Итог 2 30 3 2" xfId="40397"/>
    <cellStyle name="Итог 2 30 4" xfId="14512"/>
    <cellStyle name="Итог 2 30 5" xfId="29987"/>
    <cellStyle name="Итог 2 31" xfId="4415"/>
    <cellStyle name="Итог 2 31 2" xfId="9602"/>
    <cellStyle name="Итог 2 31 2 2" xfId="20529"/>
    <cellStyle name="Итог 2 31 2 3" xfId="35890"/>
    <cellStyle name="Итог 2 31 3" xfId="25490"/>
    <cellStyle name="Итог 2 31 3 2" xfId="40851"/>
    <cellStyle name="Итог 2 31 4" xfId="14966"/>
    <cellStyle name="Итог 2 31 5" xfId="30441"/>
    <cellStyle name="Итог 2 32" xfId="5769"/>
    <cellStyle name="Итог 2 32 2" xfId="17122"/>
    <cellStyle name="Итог 2 32 3" xfId="32589"/>
    <cellStyle name="Итог 2 33" xfId="17343"/>
    <cellStyle name="Итог 2 33 2" xfId="32810"/>
    <cellStyle name="Итог 2 34" xfId="11064"/>
    <cellStyle name="Итог 2 35" xfId="10844"/>
    <cellStyle name="Итог 2 4" xfId="439"/>
    <cellStyle name="Итог 2 4 10" xfId="21695"/>
    <cellStyle name="Итог 2 4 10 2" xfId="37056"/>
    <cellStyle name="Итог 2 4 11" xfId="11102"/>
    <cellStyle name="Итог 2 4 12" xfId="26646"/>
    <cellStyle name="Итог 2 4 2" xfId="779"/>
    <cellStyle name="Итог 2 4 2 10" xfId="11363"/>
    <cellStyle name="Итог 2 4 2 11" xfId="26880"/>
    <cellStyle name="Итог 2 4 2 2" xfId="1140"/>
    <cellStyle name="Итог 2 4 2 2 2" xfId="2574"/>
    <cellStyle name="Итог 2 4 2 2 2 2" xfId="7807"/>
    <cellStyle name="Итог 2 4 2 2 2 2 2" xfId="18709"/>
    <cellStyle name="Итог 2 4 2 2 2 2 3" xfId="34070"/>
    <cellStyle name="Итог 2 4 2 2 2 3" xfId="23695"/>
    <cellStyle name="Итог 2 4 2 2 2 3 2" xfId="39056"/>
    <cellStyle name="Итог 2 4 2 2 2 4" xfId="13146"/>
    <cellStyle name="Итог 2 4 2 2 2 5" xfId="28646"/>
    <cellStyle name="Итог 2 4 2 2 3" xfId="5324"/>
    <cellStyle name="Итог 2 4 2 2 3 2" xfId="10507"/>
    <cellStyle name="Итог 2 4 2 2 3 2 2" xfId="21433"/>
    <cellStyle name="Итог 2 4 2 2 3 2 3" xfId="36794"/>
    <cellStyle name="Итог 2 4 2 2 3 3" xfId="26394"/>
    <cellStyle name="Итог 2 4 2 2 3 3 2" xfId="41755"/>
    <cellStyle name="Итог 2 4 2 2 3 4" xfId="15870"/>
    <cellStyle name="Итог 2 4 2 2 3 5" xfId="31345"/>
    <cellStyle name="Итог 2 4 2 2 4" xfId="6395"/>
    <cellStyle name="Итог 2 4 2 2 4 2" xfId="16468"/>
    <cellStyle name="Итог 2 4 2 2 4 3" xfId="31935"/>
    <cellStyle name="Итог 2 4 2 2 5" xfId="22283"/>
    <cellStyle name="Итог 2 4 2 2 5 2" xfId="37644"/>
    <cellStyle name="Итог 2 4 2 2 6" xfId="11721"/>
    <cellStyle name="Итог 2 4 2 2 7" xfId="27234"/>
    <cellStyle name="Итог 2 4 2 3" xfId="2185"/>
    <cellStyle name="Итог 2 4 2 3 2" xfId="7421"/>
    <cellStyle name="Итог 2 4 2 3 2 2" xfId="18323"/>
    <cellStyle name="Итог 2 4 2 3 2 3" xfId="33684"/>
    <cellStyle name="Итог 2 4 2 3 3" xfId="23309"/>
    <cellStyle name="Итог 2 4 2 3 3 2" xfId="38670"/>
    <cellStyle name="Итог 2 4 2 3 4" xfId="12760"/>
    <cellStyle name="Итог 2 4 2 3 5" xfId="28260"/>
    <cellStyle name="Итог 2 4 2 4" xfId="1731"/>
    <cellStyle name="Итог 2 4 2 4 2" xfId="6971"/>
    <cellStyle name="Итог 2 4 2 4 2 2" xfId="17872"/>
    <cellStyle name="Итог 2 4 2 4 2 3" xfId="33233"/>
    <cellStyle name="Итог 2 4 2 4 3" xfId="22859"/>
    <cellStyle name="Итог 2 4 2 4 3 2" xfId="38220"/>
    <cellStyle name="Итог 2 4 2 4 4" xfId="12309"/>
    <cellStyle name="Итог 2 4 2 4 5" xfId="27810"/>
    <cellStyle name="Итог 2 4 2 5" xfId="1905"/>
    <cellStyle name="Итог 2 4 2 5 2" xfId="7141"/>
    <cellStyle name="Итог 2 4 2 5 2 2" xfId="18043"/>
    <cellStyle name="Итог 2 4 2 5 2 3" xfId="33404"/>
    <cellStyle name="Итог 2 4 2 5 3" xfId="23029"/>
    <cellStyle name="Итог 2 4 2 5 3 2" xfId="38390"/>
    <cellStyle name="Итог 2 4 2 5 4" xfId="12480"/>
    <cellStyle name="Итог 2 4 2 5 5" xfId="27980"/>
    <cellStyle name="Итог 2 4 2 6" xfId="4233"/>
    <cellStyle name="Итог 2 4 2 6 2" xfId="9420"/>
    <cellStyle name="Итог 2 4 2 6 2 2" xfId="20347"/>
    <cellStyle name="Итог 2 4 2 6 2 3" xfId="35708"/>
    <cellStyle name="Итог 2 4 2 6 3" xfId="25308"/>
    <cellStyle name="Итог 2 4 2 6 3 2" xfId="40669"/>
    <cellStyle name="Итог 2 4 2 6 4" xfId="14784"/>
    <cellStyle name="Итог 2 4 2 6 5" xfId="30259"/>
    <cellStyle name="Итог 2 4 2 7" xfId="4962"/>
    <cellStyle name="Итог 2 4 2 7 2" xfId="10149"/>
    <cellStyle name="Итог 2 4 2 7 2 2" xfId="21076"/>
    <cellStyle name="Итог 2 4 2 7 2 3" xfId="36437"/>
    <cellStyle name="Итог 2 4 2 7 3" xfId="26037"/>
    <cellStyle name="Итог 2 4 2 7 3 2" xfId="41398"/>
    <cellStyle name="Итог 2 4 2 7 4" xfId="15513"/>
    <cellStyle name="Итог 2 4 2 7 5" xfId="30988"/>
    <cellStyle name="Итог 2 4 2 8" xfId="6041"/>
    <cellStyle name="Итог 2 4 2 8 2" xfId="16826"/>
    <cellStyle name="Итог 2 4 2 8 3" xfId="32293"/>
    <cellStyle name="Итог 2 4 2 9" xfId="21929"/>
    <cellStyle name="Итог 2 4 2 9 2" xfId="37290"/>
    <cellStyle name="Итог 2 4 3" xfId="1413"/>
    <cellStyle name="Итог 2 4 3 2" xfId="2633"/>
    <cellStyle name="Итог 2 4 3 2 2" xfId="7864"/>
    <cellStyle name="Итог 2 4 3 2 2 2" xfId="18768"/>
    <cellStyle name="Итог 2 4 3 2 2 3" xfId="34129"/>
    <cellStyle name="Итог 2 4 3 2 3" xfId="23752"/>
    <cellStyle name="Итог 2 4 3 2 3 2" xfId="39113"/>
    <cellStyle name="Итог 2 4 3 2 4" xfId="13205"/>
    <cellStyle name="Итог 2 4 3 2 5" xfId="28703"/>
    <cellStyle name="Итог 2 4 3 3" xfId="5325"/>
    <cellStyle name="Итог 2 4 3 3 2" xfId="10508"/>
    <cellStyle name="Итог 2 4 3 3 2 2" xfId="21434"/>
    <cellStyle name="Итог 2 4 3 3 2 3" xfId="36795"/>
    <cellStyle name="Итог 2 4 3 3 3" xfId="26395"/>
    <cellStyle name="Итог 2 4 3 3 3 2" xfId="41756"/>
    <cellStyle name="Итог 2 4 3 3 4" xfId="15871"/>
    <cellStyle name="Итог 2 4 3 3 5" xfId="31346"/>
    <cellStyle name="Итог 2 4 3 4" xfId="6661"/>
    <cellStyle name="Итог 2 4 3 4 2" xfId="16197"/>
    <cellStyle name="Итог 2 4 3 4 3" xfId="31664"/>
    <cellStyle name="Итог 2 4 3 5" xfId="22549"/>
    <cellStyle name="Итог 2 4 3 5 2" xfId="37910"/>
    <cellStyle name="Итог 2 4 3 6" xfId="11992"/>
    <cellStyle name="Итог 2 4 3 7" xfId="27500"/>
    <cellStyle name="Итог 2 4 4" xfId="1848"/>
    <cellStyle name="Итог 2 4 4 2" xfId="7087"/>
    <cellStyle name="Итог 2 4 4 2 2" xfId="17989"/>
    <cellStyle name="Итог 2 4 4 2 3" xfId="33350"/>
    <cellStyle name="Итог 2 4 4 3" xfId="22975"/>
    <cellStyle name="Итог 2 4 4 3 2" xfId="38336"/>
    <cellStyle name="Итог 2 4 4 4" xfId="12426"/>
    <cellStyle name="Итог 2 4 4 5" xfId="27926"/>
    <cellStyle name="Итог 2 4 5" xfId="2624"/>
    <cellStyle name="Итог 2 4 5 2" xfId="7855"/>
    <cellStyle name="Итог 2 4 5 2 2" xfId="18759"/>
    <cellStyle name="Итог 2 4 5 2 3" xfId="34120"/>
    <cellStyle name="Итог 2 4 5 3" xfId="23743"/>
    <cellStyle name="Итог 2 4 5 3 2" xfId="39104"/>
    <cellStyle name="Итог 2 4 5 4" xfId="13196"/>
    <cellStyle name="Итог 2 4 5 5" xfId="28694"/>
    <cellStyle name="Итог 2 4 6" xfId="3955"/>
    <cellStyle name="Итог 2 4 6 2" xfId="9142"/>
    <cellStyle name="Итог 2 4 6 2 2" xfId="20069"/>
    <cellStyle name="Итог 2 4 6 2 3" xfId="35430"/>
    <cellStyle name="Итог 2 4 6 3" xfId="25030"/>
    <cellStyle name="Итог 2 4 6 3 2" xfId="40391"/>
    <cellStyle name="Итог 2 4 6 4" xfId="14506"/>
    <cellStyle name="Итог 2 4 6 5" xfId="29981"/>
    <cellStyle name="Итог 2 4 7" xfId="3999"/>
    <cellStyle name="Итог 2 4 7 2" xfId="9186"/>
    <cellStyle name="Итог 2 4 7 2 2" xfId="20113"/>
    <cellStyle name="Итог 2 4 7 2 3" xfId="35474"/>
    <cellStyle name="Итог 2 4 7 3" xfId="25074"/>
    <cellStyle name="Итог 2 4 7 3 2" xfId="40435"/>
    <cellStyle name="Итог 2 4 7 4" xfId="14550"/>
    <cellStyle name="Итог 2 4 7 5" xfId="30025"/>
    <cellStyle name="Итог 2 4 8" xfId="4861"/>
    <cellStyle name="Итог 2 4 8 2" xfId="10048"/>
    <cellStyle name="Итог 2 4 8 2 2" xfId="20975"/>
    <cellStyle name="Итог 2 4 8 2 3" xfId="36336"/>
    <cellStyle name="Итог 2 4 8 3" xfId="25936"/>
    <cellStyle name="Итог 2 4 8 3 2" xfId="41297"/>
    <cellStyle name="Итог 2 4 8 4" xfId="15412"/>
    <cellStyle name="Итог 2 4 8 5" xfId="30887"/>
    <cellStyle name="Итог 2 4 9" xfId="5807"/>
    <cellStyle name="Итог 2 4 9 2" xfId="17084"/>
    <cellStyle name="Итог 2 4 9 3" xfId="32551"/>
    <cellStyle name="Итог 2 5" xfId="440"/>
    <cellStyle name="Итог 2 5 10" xfId="21696"/>
    <cellStyle name="Итог 2 5 10 2" xfId="37057"/>
    <cellStyle name="Итог 2 5 11" xfId="11103"/>
    <cellStyle name="Итог 2 5 12" xfId="26647"/>
    <cellStyle name="Итог 2 5 2" xfId="778"/>
    <cellStyle name="Итог 2 5 2 10" xfId="11362"/>
    <cellStyle name="Итог 2 5 2 11" xfId="26879"/>
    <cellStyle name="Итог 2 5 2 2" xfId="1602"/>
    <cellStyle name="Итог 2 5 2 2 2" xfId="2576"/>
    <cellStyle name="Итог 2 5 2 2 2 2" xfId="7809"/>
    <cellStyle name="Итог 2 5 2 2 2 2 2" xfId="18711"/>
    <cellStyle name="Итог 2 5 2 2 2 2 3" xfId="34072"/>
    <cellStyle name="Итог 2 5 2 2 2 3" xfId="23697"/>
    <cellStyle name="Итог 2 5 2 2 2 3 2" xfId="39058"/>
    <cellStyle name="Итог 2 5 2 2 2 4" xfId="13148"/>
    <cellStyle name="Итог 2 5 2 2 2 5" xfId="28648"/>
    <cellStyle name="Итог 2 5 2 2 3" xfId="5326"/>
    <cellStyle name="Итог 2 5 2 2 3 2" xfId="10509"/>
    <cellStyle name="Итог 2 5 2 2 3 2 2" xfId="21435"/>
    <cellStyle name="Итог 2 5 2 2 3 2 3" xfId="36796"/>
    <cellStyle name="Итог 2 5 2 2 3 3" xfId="26396"/>
    <cellStyle name="Итог 2 5 2 2 3 3 2" xfId="41757"/>
    <cellStyle name="Итог 2 5 2 2 3 4" xfId="15872"/>
    <cellStyle name="Итог 2 5 2 2 3 5" xfId="31347"/>
    <cellStyle name="Итог 2 5 2 2 4" xfId="6849"/>
    <cellStyle name="Итог 2 5 2 2 4 2" xfId="17744"/>
    <cellStyle name="Итог 2 5 2 2 4 3" xfId="33105"/>
    <cellStyle name="Итог 2 5 2 2 5" xfId="22737"/>
    <cellStyle name="Итог 2 5 2 2 5 2" xfId="38098"/>
    <cellStyle name="Итог 2 5 2 2 6" xfId="12180"/>
    <cellStyle name="Итог 2 5 2 2 7" xfId="27688"/>
    <cellStyle name="Итог 2 5 2 3" xfId="2184"/>
    <cellStyle name="Итог 2 5 2 3 2" xfId="7420"/>
    <cellStyle name="Итог 2 5 2 3 2 2" xfId="18322"/>
    <cellStyle name="Итог 2 5 2 3 2 3" xfId="33683"/>
    <cellStyle name="Итог 2 5 2 3 3" xfId="23308"/>
    <cellStyle name="Итог 2 5 2 3 3 2" xfId="38669"/>
    <cellStyle name="Итог 2 5 2 3 4" xfId="12759"/>
    <cellStyle name="Итог 2 5 2 3 5" xfId="28259"/>
    <cellStyle name="Итог 2 5 2 4" xfId="2856"/>
    <cellStyle name="Итог 2 5 2 4 2" xfId="8064"/>
    <cellStyle name="Итог 2 5 2 4 2 2" xfId="18984"/>
    <cellStyle name="Итог 2 5 2 4 2 3" xfId="34345"/>
    <cellStyle name="Итог 2 5 2 4 3" xfId="23952"/>
    <cellStyle name="Итог 2 5 2 4 3 2" xfId="39313"/>
    <cellStyle name="Итог 2 5 2 4 4" xfId="13421"/>
    <cellStyle name="Итог 2 5 2 4 5" xfId="28903"/>
    <cellStyle name="Итог 2 5 2 5" xfId="3801"/>
    <cellStyle name="Итог 2 5 2 5 2" xfId="8988"/>
    <cellStyle name="Итог 2 5 2 5 2 2" xfId="19915"/>
    <cellStyle name="Итог 2 5 2 5 2 3" xfId="35276"/>
    <cellStyle name="Итог 2 5 2 5 3" xfId="24876"/>
    <cellStyle name="Итог 2 5 2 5 3 2" xfId="40237"/>
    <cellStyle name="Итог 2 5 2 5 4" xfId="14352"/>
    <cellStyle name="Итог 2 5 2 5 5" xfId="29827"/>
    <cellStyle name="Итог 2 5 2 6" xfId="4232"/>
    <cellStyle name="Итог 2 5 2 6 2" xfId="9419"/>
    <cellStyle name="Итог 2 5 2 6 2 2" xfId="20346"/>
    <cellStyle name="Итог 2 5 2 6 2 3" xfId="35707"/>
    <cellStyle name="Итог 2 5 2 6 3" xfId="25307"/>
    <cellStyle name="Итог 2 5 2 6 3 2" xfId="40668"/>
    <cellStyle name="Итог 2 5 2 6 4" xfId="14783"/>
    <cellStyle name="Итог 2 5 2 6 5" xfId="30258"/>
    <cellStyle name="Итог 2 5 2 7" xfId="4584"/>
    <cellStyle name="Итог 2 5 2 7 2" xfId="9771"/>
    <cellStyle name="Итог 2 5 2 7 2 2" xfId="20698"/>
    <cellStyle name="Итог 2 5 2 7 2 3" xfId="36059"/>
    <cellStyle name="Итог 2 5 2 7 3" xfId="25659"/>
    <cellStyle name="Итог 2 5 2 7 3 2" xfId="41020"/>
    <cellStyle name="Итог 2 5 2 7 4" xfId="15135"/>
    <cellStyle name="Итог 2 5 2 7 5" xfId="30610"/>
    <cellStyle name="Итог 2 5 2 8" xfId="6040"/>
    <cellStyle name="Итог 2 5 2 8 2" xfId="16827"/>
    <cellStyle name="Итог 2 5 2 8 3" xfId="32294"/>
    <cellStyle name="Итог 2 5 2 9" xfId="21928"/>
    <cellStyle name="Итог 2 5 2 9 2" xfId="37289"/>
    <cellStyle name="Итог 2 5 3" xfId="952"/>
    <cellStyle name="Итог 2 5 3 2" xfId="2631"/>
    <cellStyle name="Итог 2 5 3 2 2" xfId="7862"/>
    <cellStyle name="Итог 2 5 3 2 2 2" xfId="18766"/>
    <cellStyle name="Итог 2 5 3 2 2 3" xfId="34127"/>
    <cellStyle name="Итог 2 5 3 2 3" xfId="23750"/>
    <cellStyle name="Итог 2 5 3 2 3 2" xfId="39111"/>
    <cellStyle name="Итог 2 5 3 2 4" xfId="13203"/>
    <cellStyle name="Итог 2 5 3 2 5" xfId="28701"/>
    <cellStyle name="Итог 2 5 3 3" xfId="5327"/>
    <cellStyle name="Итог 2 5 3 3 2" xfId="10510"/>
    <cellStyle name="Итог 2 5 3 3 2 2" xfId="21436"/>
    <cellStyle name="Итог 2 5 3 3 2 3" xfId="36797"/>
    <cellStyle name="Итог 2 5 3 3 3" xfId="26397"/>
    <cellStyle name="Итог 2 5 3 3 3 2" xfId="41758"/>
    <cellStyle name="Итог 2 5 3 3 4" xfId="15873"/>
    <cellStyle name="Итог 2 5 3 3 5" xfId="31348"/>
    <cellStyle name="Итог 2 5 3 4" xfId="6214"/>
    <cellStyle name="Итог 2 5 3 4 2" xfId="16653"/>
    <cellStyle name="Итог 2 5 3 4 3" xfId="32120"/>
    <cellStyle name="Итог 2 5 3 5" xfId="22102"/>
    <cellStyle name="Итог 2 5 3 5 2" xfId="37463"/>
    <cellStyle name="Итог 2 5 3 6" xfId="11536"/>
    <cellStyle name="Итог 2 5 3 7" xfId="27053"/>
    <cellStyle name="Итог 2 5 4" xfId="1849"/>
    <cellStyle name="Итог 2 5 4 2" xfId="7088"/>
    <cellStyle name="Итог 2 5 4 2 2" xfId="17990"/>
    <cellStyle name="Итог 2 5 4 2 3" xfId="33351"/>
    <cellStyle name="Итог 2 5 4 3" xfId="22976"/>
    <cellStyle name="Итог 2 5 4 3 2" xfId="38337"/>
    <cellStyle name="Итог 2 5 4 4" xfId="12427"/>
    <cellStyle name="Итог 2 5 4 5" xfId="27927"/>
    <cellStyle name="Итог 2 5 5" xfId="2553"/>
    <cellStyle name="Итог 2 5 5 2" xfId="7786"/>
    <cellStyle name="Итог 2 5 5 2 2" xfId="18688"/>
    <cellStyle name="Итог 2 5 5 2 3" xfId="34049"/>
    <cellStyle name="Итог 2 5 5 3" xfId="23674"/>
    <cellStyle name="Итог 2 5 5 3 2" xfId="39035"/>
    <cellStyle name="Итог 2 5 5 4" xfId="13125"/>
    <cellStyle name="Итог 2 5 5 5" xfId="28625"/>
    <cellStyle name="Итог 2 5 6" xfId="3550"/>
    <cellStyle name="Итог 2 5 6 2" xfId="8737"/>
    <cellStyle name="Итог 2 5 6 2 2" xfId="19664"/>
    <cellStyle name="Итог 2 5 6 2 3" xfId="35025"/>
    <cellStyle name="Итог 2 5 6 3" xfId="24625"/>
    <cellStyle name="Итог 2 5 6 3 2" xfId="39986"/>
    <cellStyle name="Итог 2 5 6 4" xfId="14101"/>
    <cellStyle name="Итог 2 5 6 5" xfId="29576"/>
    <cellStyle name="Итог 2 5 7" xfId="4000"/>
    <cellStyle name="Итог 2 5 7 2" xfId="9187"/>
    <cellStyle name="Итог 2 5 7 2 2" xfId="20114"/>
    <cellStyle name="Итог 2 5 7 2 3" xfId="35475"/>
    <cellStyle name="Итог 2 5 7 3" xfId="25075"/>
    <cellStyle name="Итог 2 5 7 3 2" xfId="40436"/>
    <cellStyle name="Итог 2 5 7 4" xfId="14551"/>
    <cellStyle name="Итог 2 5 7 5" xfId="30026"/>
    <cellStyle name="Итог 2 5 8" xfId="4710"/>
    <cellStyle name="Итог 2 5 8 2" xfId="9897"/>
    <cellStyle name="Итог 2 5 8 2 2" xfId="20824"/>
    <cellStyle name="Итог 2 5 8 2 3" xfId="36185"/>
    <cellStyle name="Итог 2 5 8 3" xfId="25785"/>
    <cellStyle name="Итог 2 5 8 3 2" xfId="41146"/>
    <cellStyle name="Итог 2 5 8 4" xfId="15261"/>
    <cellStyle name="Итог 2 5 8 5" xfId="30736"/>
    <cellStyle name="Итог 2 5 9" xfId="5808"/>
    <cellStyle name="Итог 2 5 9 2" xfId="17083"/>
    <cellStyle name="Итог 2 5 9 3" xfId="32550"/>
    <cellStyle name="Итог 2 6" xfId="441"/>
    <cellStyle name="Итог 2 6 10" xfId="21697"/>
    <cellStyle name="Итог 2 6 10 2" xfId="37058"/>
    <cellStyle name="Итог 2 6 11" xfId="11104"/>
    <cellStyle name="Итог 2 6 12" xfId="26648"/>
    <cellStyle name="Итог 2 6 2" xfId="777"/>
    <cellStyle name="Итог 2 6 2 10" xfId="11361"/>
    <cellStyle name="Итог 2 6 2 11" xfId="26878"/>
    <cellStyle name="Итог 2 6 2 2" xfId="1306"/>
    <cellStyle name="Итог 2 6 2 2 2" xfId="2578"/>
    <cellStyle name="Итог 2 6 2 2 2 2" xfId="7811"/>
    <cellStyle name="Итог 2 6 2 2 2 2 2" xfId="18713"/>
    <cellStyle name="Итог 2 6 2 2 2 2 3" xfId="34074"/>
    <cellStyle name="Итог 2 6 2 2 2 3" xfId="23699"/>
    <cellStyle name="Итог 2 6 2 2 2 3 2" xfId="39060"/>
    <cellStyle name="Итог 2 6 2 2 2 4" xfId="13150"/>
    <cellStyle name="Итог 2 6 2 2 2 5" xfId="28650"/>
    <cellStyle name="Итог 2 6 2 2 3" xfId="5328"/>
    <cellStyle name="Итог 2 6 2 2 3 2" xfId="10511"/>
    <cellStyle name="Итог 2 6 2 2 3 2 2" xfId="21437"/>
    <cellStyle name="Итог 2 6 2 2 3 2 3" xfId="36798"/>
    <cellStyle name="Итог 2 6 2 2 3 3" xfId="26398"/>
    <cellStyle name="Итог 2 6 2 2 3 3 2" xfId="41759"/>
    <cellStyle name="Итог 2 6 2 2 3 4" xfId="15874"/>
    <cellStyle name="Итог 2 6 2 2 3 5" xfId="31349"/>
    <cellStyle name="Итог 2 6 2 2 4" xfId="6559"/>
    <cellStyle name="Итог 2 6 2 2 4 2" xfId="16302"/>
    <cellStyle name="Итог 2 6 2 2 4 3" xfId="31769"/>
    <cellStyle name="Итог 2 6 2 2 5" xfId="22447"/>
    <cellStyle name="Итог 2 6 2 2 5 2" xfId="37808"/>
    <cellStyle name="Итог 2 6 2 2 6" xfId="11887"/>
    <cellStyle name="Итог 2 6 2 2 7" xfId="27398"/>
    <cellStyle name="Итог 2 6 2 3" xfId="2183"/>
    <cellStyle name="Итог 2 6 2 3 2" xfId="7419"/>
    <cellStyle name="Итог 2 6 2 3 2 2" xfId="18321"/>
    <cellStyle name="Итог 2 6 2 3 2 3" xfId="33682"/>
    <cellStyle name="Итог 2 6 2 3 3" xfId="23307"/>
    <cellStyle name="Итог 2 6 2 3 3 2" xfId="38668"/>
    <cellStyle name="Итог 2 6 2 3 4" xfId="12758"/>
    <cellStyle name="Итог 2 6 2 3 5" xfId="28258"/>
    <cellStyle name="Итог 2 6 2 4" xfId="1500"/>
    <cellStyle name="Итог 2 6 2 4 2" xfId="6747"/>
    <cellStyle name="Итог 2 6 2 4 2 2" xfId="17642"/>
    <cellStyle name="Итог 2 6 2 4 2 3" xfId="33003"/>
    <cellStyle name="Итог 2 6 2 4 3" xfId="22635"/>
    <cellStyle name="Итог 2 6 2 4 3 2" xfId="37996"/>
    <cellStyle name="Итог 2 6 2 4 4" xfId="12078"/>
    <cellStyle name="Итог 2 6 2 4 5" xfId="27586"/>
    <cellStyle name="Итог 2 6 2 5" xfId="2511"/>
    <cellStyle name="Итог 2 6 2 5 2" xfId="7744"/>
    <cellStyle name="Итог 2 6 2 5 2 2" xfId="18646"/>
    <cellStyle name="Итог 2 6 2 5 2 3" xfId="34007"/>
    <cellStyle name="Итог 2 6 2 5 3" xfId="23632"/>
    <cellStyle name="Итог 2 6 2 5 3 2" xfId="38993"/>
    <cellStyle name="Итог 2 6 2 5 4" xfId="13083"/>
    <cellStyle name="Итог 2 6 2 5 5" xfId="28583"/>
    <cellStyle name="Итог 2 6 2 6" xfId="4231"/>
    <cellStyle name="Итог 2 6 2 6 2" xfId="9418"/>
    <cellStyle name="Итог 2 6 2 6 2 2" xfId="20345"/>
    <cellStyle name="Итог 2 6 2 6 2 3" xfId="35706"/>
    <cellStyle name="Итог 2 6 2 6 3" xfId="25306"/>
    <cellStyle name="Итог 2 6 2 6 3 2" xfId="40667"/>
    <cellStyle name="Итог 2 6 2 6 4" xfId="14782"/>
    <cellStyle name="Итог 2 6 2 6 5" xfId="30257"/>
    <cellStyle name="Итог 2 6 2 7" xfId="4961"/>
    <cellStyle name="Итог 2 6 2 7 2" xfId="10148"/>
    <cellStyle name="Итог 2 6 2 7 2 2" xfId="21075"/>
    <cellStyle name="Итог 2 6 2 7 2 3" xfId="36436"/>
    <cellStyle name="Итог 2 6 2 7 3" xfId="26036"/>
    <cellStyle name="Итог 2 6 2 7 3 2" xfId="41397"/>
    <cellStyle name="Итог 2 6 2 7 4" xfId="15512"/>
    <cellStyle name="Итог 2 6 2 7 5" xfId="30987"/>
    <cellStyle name="Итог 2 6 2 8" xfId="6039"/>
    <cellStyle name="Итог 2 6 2 8 2" xfId="16828"/>
    <cellStyle name="Итог 2 6 2 8 3" xfId="32295"/>
    <cellStyle name="Итог 2 6 2 9" xfId="21927"/>
    <cellStyle name="Итог 2 6 2 9 2" xfId="37288"/>
    <cellStyle name="Итог 2 6 3" xfId="1670"/>
    <cellStyle name="Итог 2 6 3 2" xfId="2629"/>
    <cellStyle name="Итог 2 6 3 2 2" xfId="7860"/>
    <cellStyle name="Итог 2 6 3 2 2 2" xfId="18764"/>
    <cellStyle name="Итог 2 6 3 2 2 3" xfId="34125"/>
    <cellStyle name="Итог 2 6 3 2 3" xfId="23748"/>
    <cellStyle name="Итог 2 6 3 2 3 2" xfId="39109"/>
    <cellStyle name="Итог 2 6 3 2 4" xfId="13201"/>
    <cellStyle name="Итог 2 6 3 2 5" xfId="28699"/>
    <cellStyle name="Итог 2 6 3 3" xfId="5329"/>
    <cellStyle name="Итог 2 6 3 3 2" xfId="10512"/>
    <cellStyle name="Итог 2 6 3 3 2 2" xfId="21438"/>
    <cellStyle name="Итог 2 6 3 3 2 3" xfId="36799"/>
    <cellStyle name="Итог 2 6 3 3 3" xfId="26399"/>
    <cellStyle name="Итог 2 6 3 3 3 2" xfId="41760"/>
    <cellStyle name="Итог 2 6 3 3 4" xfId="15875"/>
    <cellStyle name="Итог 2 6 3 3 5" xfId="31350"/>
    <cellStyle name="Итог 2 6 3 4" xfId="6916"/>
    <cellStyle name="Итог 2 6 3 4 2" xfId="17812"/>
    <cellStyle name="Итог 2 6 3 4 3" xfId="33173"/>
    <cellStyle name="Итог 2 6 3 5" xfId="22804"/>
    <cellStyle name="Итог 2 6 3 5 2" xfId="38165"/>
    <cellStyle name="Итог 2 6 3 6" xfId="12248"/>
    <cellStyle name="Итог 2 6 3 7" xfId="27755"/>
    <cellStyle name="Итог 2 6 4" xfId="1850"/>
    <cellStyle name="Итог 2 6 4 2" xfId="7089"/>
    <cellStyle name="Итог 2 6 4 2 2" xfId="17991"/>
    <cellStyle name="Итог 2 6 4 2 3" xfId="33352"/>
    <cellStyle name="Итог 2 6 4 3" xfId="22977"/>
    <cellStyle name="Итог 2 6 4 3 2" xfId="38338"/>
    <cellStyle name="Итог 2 6 4 4" xfId="12428"/>
    <cellStyle name="Итог 2 6 4 5" xfId="27928"/>
    <cellStyle name="Итог 2 6 5" xfId="2552"/>
    <cellStyle name="Итог 2 6 5 2" xfId="7785"/>
    <cellStyle name="Итог 2 6 5 2 2" xfId="18687"/>
    <cellStyle name="Итог 2 6 5 2 3" xfId="34048"/>
    <cellStyle name="Итог 2 6 5 3" xfId="23673"/>
    <cellStyle name="Итог 2 6 5 3 2" xfId="39034"/>
    <cellStyle name="Итог 2 6 5 4" xfId="13124"/>
    <cellStyle name="Итог 2 6 5 5" xfId="28624"/>
    <cellStyle name="Итог 2 6 6" xfId="3179"/>
    <cellStyle name="Итог 2 6 6 2" xfId="8374"/>
    <cellStyle name="Итог 2 6 6 2 2" xfId="19300"/>
    <cellStyle name="Итог 2 6 6 2 3" xfId="34661"/>
    <cellStyle name="Итог 2 6 6 3" xfId="24262"/>
    <cellStyle name="Итог 2 6 6 3 2" xfId="39623"/>
    <cellStyle name="Итог 2 6 6 4" xfId="13737"/>
    <cellStyle name="Итог 2 6 6 5" xfId="29213"/>
    <cellStyle name="Итог 2 6 7" xfId="4001"/>
    <cellStyle name="Итог 2 6 7 2" xfId="9188"/>
    <cellStyle name="Итог 2 6 7 2 2" xfId="20115"/>
    <cellStyle name="Итог 2 6 7 2 3" xfId="35476"/>
    <cellStyle name="Итог 2 6 7 3" xfId="25076"/>
    <cellStyle name="Итог 2 6 7 3 2" xfId="40437"/>
    <cellStyle name="Итог 2 6 7 4" xfId="14552"/>
    <cellStyle name="Итог 2 6 7 5" xfId="30027"/>
    <cellStyle name="Итог 2 6 8" xfId="4862"/>
    <cellStyle name="Итог 2 6 8 2" xfId="10049"/>
    <cellStyle name="Итог 2 6 8 2 2" xfId="20976"/>
    <cellStyle name="Итог 2 6 8 2 3" xfId="36337"/>
    <cellStyle name="Итог 2 6 8 3" xfId="25937"/>
    <cellStyle name="Итог 2 6 8 3 2" xfId="41298"/>
    <cellStyle name="Итог 2 6 8 4" xfId="15413"/>
    <cellStyle name="Итог 2 6 8 5" xfId="30888"/>
    <cellStyle name="Итог 2 6 9" xfId="5809"/>
    <cellStyle name="Итог 2 6 9 2" xfId="17082"/>
    <cellStyle name="Итог 2 6 9 3" xfId="32549"/>
    <cellStyle name="Итог 2 7" xfId="442"/>
    <cellStyle name="Итог 2 7 10" xfId="21698"/>
    <cellStyle name="Итог 2 7 10 2" xfId="37059"/>
    <cellStyle name="Итог 2 7 11" xfId="11105"/>
    <cellStyle name="Итог 2 7 12" xfId="26649"/>
    <cellStyle name="Итог 2 7 2" xfId="776"/>
    <cellStyle name="Итог 2 7 2 10" xfId="11360"/>
    <cellStyle name="Итог 2 7 2 11" xfId="26877"/>
    <cellStyle name="Итог 2 7 2 2" xfId="1349"/>
    <cellStyle name="Итог 2 7 2 2 2" xfId="2042"/>
    <cellStyle name="Итог 2 7 2 2 2 2" xfId="7278"/>
    <cellStyle name="Итог 2 7 2 2 2 2 2" xfId="18180"/>
    <cellStyle name="Итог 2 7 2 2 2 2 3" xfId="33541"/>
    <cellStyle name="Итог 2 7 2 2 2 3" xfId="23166"/>
    <cellStyle name="Итог 2 7 2 2 2 3 2" xfId="38527"/>
    <cellStyle name="Итог 2 7 2 2 2 4" xfId="12617"/>
    <cellStyle name="Итог 2 7 2 2 2 5" xfId="28117"/>
    <cellStyle name="Итог 2 7 2 2 3" xfId="5330"/>
    <cellStyle name="Итог 2 7 2 2 3 2" xfId="10513"/>
    <cellStyle name="Итог 2 7 2 2 3 2 2" xfId="21439"/>
    <cellStyle name="Итог 2 7 2 2 3 2 3" xfId="36800"/>
    <cellStyle name="Итог 2 7 2 2 3 3" xfId="26400"/>
    <cellStyle name="Итог 2 7 2 2 3 3 2" xfId="41761"/>
    <cellStyle name="Итог 2 7 2 2 3 4" xfId="15876"/>
    <cellStyle name="Итог 2 7 2 2 3 5" xfId="31351"/>
    <cellStyle name="Итог 2 7 2 2 4" xfId="6601"/>
    <cellStyle name="Итог 2 7 2 2 4 2" xfId="16259"/>
    <cellStyle name="Итог 2 7 2 2 4 3" xfId="31726"/>
    <cellStyle name="Итог 2 7 2 2 5" xfId="22489"/>
    <cellStyle name="Итог 2 7 2 2 5 2" xfId="37850"/>
    <cellStyle name="Итог 2 7 2 2 6" xfId="11930"/>
    <cellStyle name="Итог 2 7 2 2 7" xfId="27440"/>
    <cellStyle name="Итог 2 7 2 3" xfId="2182"/>
    <cellStyle name="Итог 2 7 2 3 2" xfId="7418"/>
    <cellStyle name="Итог 2 7 2 3 2 2" xfId="18320"/>
    <cellStyle name="Итог 2 7 2 3 2 3" xfId="33681"/>
    <cellStyle name="Итог 2 7 2 3 3" xfId="23306"/>
    <cellStyle name="Итог 2 7 2 3 3 2" xfId="38667"/>
    <cellStyle name="Итог 2 7 2 3 4" xfId="12757"/>
    <cellStyle name="Итог 2 7 2 3 5" xfId="28257"/>
    <cellStyle name="Итог 2 7 2 4" xfId="2857"/>
    <cellStyle name="Итог 2 7 2 4 2" xfId="8065"/>
    <cellStyle name="Итог 2 7 2 4 2 2" xfId="18985"/>
    <cellStyle name="Итог 2 7 2 4 2 3" xfId="34346"/>
    <cellStyle name="Итог 2 7 2 4 3" xfId="23953"/>
    <cellStyle name="Итог 2 7 2 4 3 2" xfId="39314"/>
    <cellStyle name="Итог 2 7 2 4 4" xfId="13422"/>
    <cellStyle name="Итог 2 7 2 4 5" xfId="28904"/>
    <cellStyle name="Итог 2 7 2 5" xfId="3621"/>
    <cellStyle name="Итог 2 7 2 5 2" xfId="8808"/>
    <cellStyle name="Итог 2 7 2 5 2 2" xfId="19735"/>
    <cellStyle name="Итог 2 7 2 5 2 3" xfId="35096"/>
    <cellStyle name="Итог 2 7 2 5 3" xfId="24696"/>
    <cellStyle name="Итог 2 7 2 5 3 2" xfId="40057"/>
    <cellStyle name="Итог 2 7 2 5 4" xfId="14172"/>
    <cellStyle name="Итог 2 7 2 5 5" xfId="29647"/>
    <cellStyle name="Итог 2 7 2 6" xfId="4230"/>
    <cellStyle name="Итог 2 7 2 6 2" xfId="9417"/>
    <cellStyle name="Итог 2 7 2 6 2 2" xfId="20344"/>
    <cellStyle name="Итог 2 7 2 6 2 3" xfId="35705"/>
    <cellStyle name="Итог 2 7 2 6 3" xfId="25305"/>
    <cellStyle name="Итог 2 7 2 6 3 2" xfId="40666"/>
    <cellStyle name="Итог 2 7 2 6 4" xfId="14781"/>
    <cellStyle name="Итог 2 7 2 6 5" xfId="30256"/>
    <cellStyle name="Итог 2 7 2 7" xfId="4585"/>
    <cellStyle name="Итог 2 7 2 7 2" xfId="9772"/>
    <cellStyle name="Итог 2 7 2 7 2 2" xfId="20699"/>
    <cellStyle name="Итог 2 7 2 7 2 3" xfId="36060"/>
    <cellStyle name="Итог 2 7 2 7 3" xfId="25660"/>
    <cellStyle name="Итог 2 7 2 7 3 2" xfId="41021"/>
    <cellStyle name="Итог 2 7 2 7 4" xfId="15136"/>
    <cellStyle name="Итог 2 7 2 7 5" xfId="30611"/>
    <cellStyle name="Итог 2 7 2 8" xfId="6038"/>
    <cellStyle name="Итог 2 7 2 8 2" xfId="16829"/>
    <cellStyle name="Итог 2 7 2 8 3" xfId="32296"/>
    <cellStyle name="Итог 2 7 2 9" xfId="21926"/>
    <cellStyle name="Итог 2 7 2 9 2" xfId="37287"/>
    <cellStyle name="Итог 2 7 3" xfId="1112"/>
    <cellStyle name="Итог 2 7 3 2" xfId="2901"/>
    <cellStyle name="Итог 2 7 3 2 2" xfId="8108"/>
    <cellStyle name="Итог 2 7 3 2 2 2" xfId="19028"/>
    <cellStyle name="Итог 2 7 3 2 2 3" xfId="34389"/>
    <cellStyle name="Итог 2 7 3 2 3" xfId="23996"/>
    <cellStyle name="Итог 2 7 3 2 3 2" xfId="39357"/>
    <cellStyle name="Итог 2 7 3 2 4" xfId="13465"/>
    <cellStyle name="Итог 2 7 3 2 5" xfId="28947"/>
    <cellStyle name="Итог 2 7 3 3" xfId="5331"/>
    <cellStyle name="Итог 2 7 3 3 2" xfId="10514"/>
    <cellStyle name="Итог 2 7 3 3 2 2" xfId="21440"/>
    <cellStyle name="Итог 2 7 3 3 2 3" xfId="36801"/>
    <cellStyle name="Итог 2 7 3 3 3" xfId="26401"/>
    <cellStyle name="Итог 2 7 3 3 3 2" xfId="41762"/>
    <cellStyle name="Итог 2 7 3 3 4" xfId="15877"/>
    <cellStyle name="Итог 2 7 3 3 5" xfId="31352"/>
    <cellStyle name="Итог 2 7 3 4" xfId="6367"/>
    <cellStyle name="Итог 2 7 3 4 2" xfId="16496"/>
    <cellStyle name="Итог 2 7 3 4 3" xfId="31963"/>
    <cellStyle name="Итог 2 7 3 5" xfId="22255"/>
    <cellStyle name="Итог 2 7 3 5 2" xfId="37616"/>
    <cellStyle name="Итог 2 7 3 6" xfId="11693"/>
    <cellStyle name="Итог 2 7 3 7" xfId="27206"/>
    <cellStyle name="Итог 2 7 4" xfId="1851"/>
    <cellStyle name="Итог 2 7 4 2" xfId="7090"/>
    <cellStyle name="Итог 2 7 4 2 2" xfId="17992"/>
    <cellStyle name="Итог 2 7 4 2 3" xfId="33353"/>
    <cellStyle name="Итог 2 7 4 3" xfId="22978"/>
    <cellStyle name="Итог 2 7 4 3 2" xfId="38339"/>
    <cellStyle name="Итог 2 7 4 4" xfId="12429"/>
    <cellStyle name="Итог 2 7 4 5" xfId="27929"/>
    <cellStyle name="Итог 2 7 5" xfId="2656"/>
    <cellStyle name="Итог 2 7 5 2" xfId="7887"/>
    <cellStyle name="Итог 2 7 5 2 2" xfId="18791"/>
    <cellStyle name="Итог 2 7 5 2 3" xfId="34152"/>
    <cellStyle name="Итог 2 7 5 3" xfId="23775"/>
    <cellStyle name="Итог 2 7 5 3 2" xfId="39136"/>
    <cellStyle name="Итог 2 7 5 4" xfId="13228"/>
    <cellStyle name="Итог 2 7 5 5" xfId="28726"/>
    <cellStyle name="Итог 2 7 6" xfId="3831"/>
    <cellStyle name="Итог 2 7 6 2" xfId="9018"/>
    <cellStyle name="Итог 2 7 6 2 2" xfId="19945"/>
    <cellStyle name="Итог 2 7 6 2 3" xfId="35306"/>
    <cellStyle name="Итог 2 7 6 3" xfId="24906"/>
    <cellStyle name="Итог 2 7 6 3 2" xfId="40267"/>
    <cellStyle name="Итог 2 7 6 4" xfId="14382"/>
    <cellStyle name="Итог 2 7 6 5" xfId="29857"/>
    <cellStyle name="Итог 2 7 7" xfId="4002"/>
    <cellStyle name="Итог 2 7 7 2" xfId="9189"/>
    <cellStyle name="Итог 2 7 7 2 2" xfId="20116"/>
    <cellStyle name="Итог 2 7 7 2 3" xfId="35477"/>
    <cellStyle name="Итог 2 7 7 3" xfId="25077"/>
    <cellStyle name="Итог 2 7 7 3 2" xfId="40438"/>
    <cellStyle name="Итог 2 7 7 4" xfId="14553"/>
    <cellStyle name="Итог 2 7 7 5" xfId="30028"/>
    <cellStyle name="Итог 2 7 8" xfId="4709"/>
    <cellStyle name="Итог 2 7 8 2" xfId="9896"/>
    <cellStyle name="Итог 2 7 8 2 2" xfId="20823"/>
    <cellStyle name="Итог 2 7 8 2 3" xfId="36184"/>
    <cellStyle name="Итог 2 7 8 3" xfId="25784"/>
    <cellStyle name="Итог 2 7 8 3 2" xfId="41145"/>
    <cellStyle name="Итог 2 7 8 4" xfId="15260"/>
    <cellStyle name="Итог 2 7 8 5" xfId="30735"/>
    <cellStyle name="Итог 2 7 9" xfId="5810"/>
    <cellStyle name="Итог 2 7 9 2" xfId="17081"/>
    <cellStyle name="Итог 2 7 9 3" xfId="32548"/>
    <cellStyle name="Итог 2 8" xfId="443"/>
    <cellStyle name="Итог 2 8 10" xfId="21699"/>
    <cellStyle name="Итог 2 8 10 2" xfId="37060"/>
    <cellStyle name="Итог 2 8 11" xfId="11106"/>
    <cellStyle name="Итог 2 8 12" xfId="26650"/>
    <cellStyle name="Итог 2 8 2" xfId="775"/>
    <cellStyle name="Итог 2 8 2 10" xfId="11359"/>
    <cellStyle name="Итог 2 8 2 11" xfId="26876"/>
    <cellStyle name="Итог 2 8 2 2" xfId="1449"/>
    <cellStyle name="Итог 2 8 2 2 2" xfId="2904"/>
    <cellStyle name="Итог 2 8 2 2 2 2" xfId="8111"/>
    <cellStyle name="Итог 2 8 2 2 2 2 2" xfId="19031"/>
    <cellStyle name="Итог 2 8 2 2 2 2 3" xfId="34392"/>
    <cellStyle name="Итог 2 8 2 2 2 3" xfId="23999"/>
    <cellStyle name="Итог 2 8 2 2 2 3 2" xfId="39360"/>
    <cellStyle name="Итог 2 8 2 2 2 4" xfId="13468"/>
    <cellStyle name="Итог 2 8 2 2 2 5" xfId="28950"/>
    <cellStyle name="Итог 2 8 2 2 3" xfId="5332"/>
    <cellStyle name="Итог 2 8 2 2 3 2" xfId="10515"/>
    <cellStyle name="Итог 2 8 2 2 3 2 2" xfId="21441"/>
    <cellStyle name="Итог 2 8 2 2 3 2 3" xfId="36802"/>
    <cellStyle name="Итог 2 8 2 2 3 3" xfId="26402"/>
    <cellStyle name="Итог 2 8 2 2 3 3 2" xfId="41763"/>
    <cellStyle name="Итог 2 8 2 2 3 4" xfId="15878"/>
    <cellStyle name="Итог 2 8 2 2 3 5" xfId="31353"/>
    <cellStyle name="Итог 2 8 2 2 4" xfId="6696"/>
    <cellStyle name="Итог 2 8 2 2 4 2" xfId="16162"/>
    <cellStyle name="Итог 2 8 2 2 4 3" xfId="31629"/>
    <cellStyle name="Итог 2 8 2 2 5" xfId="22584"/>
    <cellStyle name="Итог 2 8 2 2 5 2" xfId="37945"/>
    <cellStyle name="Итог 2 8 2 2 6" xfId="12027"/>
    <cellStyle name="Итог 2 8 2 2 7" xfId="27535"/>
    <cellStyle name="Итог 2 8 2 3" xfId="2181"/>
    <cellStyle name="Итог 2 8 2 3 2" xfId="7417"/>
    <cellStyle name="Итог 2 8 2 3 2 2" xfId="18319"/>
    <cellStyle name="Итог 2 8 2 3 2 3" xfId="33680"/>
    <cellStyle name="Итог 2 8 2 3 3" xfId="23305"/>
    <cellStyle name="Итог 2 8 2 3 3 2" xfId="38666"/>
    <cellStyle name="Итог 2 8 2 3 4" xfId="12756"/>
    <cellStyle name="Итог 2 8 2 3 5" xfId="28256"/>
    <cellStyle name="Итог 2 8 2 4" xfId="1778"/>
    <cellStyle name="Итог 2 8 2 4 2" xfId="7017"/>
    <cellStyle name="Итог 2 8 2 4 2 2" xfId="17919"/>
    <cellStyle name="Итог 2 8 2 4 2 3" xfId="33280"/>
    <cellStyle name="Итог 2 8 2 4 3" xfId="22905"/>
    <cellStyle name="Итог 2 8 2 4 3 2" xfId="38266"/>
    <cellStyle name="Итог 2 8 2 4 4" xfId="12356"/>
    <cellStyle name="Итог 2 8 2 4 5" xfId="27856"/>
    <cellStyle name="Итог 2 8 2 5" xfId="3802"/>
    <cellStyle name="Итог 2 8 2 5 2" xfId="8989"/>
    <cellStyle name="Итог 2 8 2 5 2 2" xfId="19916"/>
    <cellStyle name="Итог 2 8 2 5 2 3" xfId="35277"/>
    <cellStyle name="Итог 2 8 2 5 3" xfId="24877"/>
    <cellStyle name="Итог 2 8 2 5 3 2" xfId="40238"/>
    <cellStyle name="Итог 2 8 2 5 4" xfId="14353"/>
    <cellStyle name="Итог 2 8 2 5 5" xfId="29828"/>
    <cellStyle name="Итог 2 8 2 6" xfId="4229"/>
    <cellStyle name="Итог 2 8 2 6 2" xfId="9416"/>
    <cellStyle name="Итог 2 8 2 6 2 2" xfId="20343"/>
    <cellStyle name="Итог 2 8 2 6 2 3" xfId="35704"/>
    <cellStyle name="Итог 2 8 2 6 3" xfId="25304"/>
    <cellStyle name="Итог 2 8 2 6 3 2" xfId="40665"/>
    <cellStyle name="Итог 2 8 2 6 4" xfId="14780"/>
    <cellStyle name="Итог 2 8 2 6 5" xfId="30255"/>
    <cellStyle name="Итог 2 8 2 7" xfId="4586"/>
    <cellStyle name="Итог 2 8 2 7 2" xfId="9773"/>
    <cellStyle name="Итог 2 8 2 7 2 2" xfId="20700"/>
    <cellStyle name="Итог 2 8 2 7 2 3" xfId="36061"/>
    <cellStyle name="Итог 2 8 2 7 3" xfId="25661"/>
    <cellStyle name="Итог 2 8 2 7 3 2" xfId="41022"/>
    <cellStyle name="Итог 2 8 2 7 4" xfId="15137"/>
    <cellStyle name="Итог 2 8 2 7 5" xfId="30612"/>
    <cellStyle name="Итог 2 8 2 8" xfId="6037"/>
    <cellStyle name="Итог 2 8 2 8 2" xfId="16830"/>
    <cellStyle name="Итог 2 8 2 8 3" xfId="32297"/>
    <cellStyle name="Итог 2 8 2 9" xfId="21925"/>
    <cellStyle name="Итог 2 8 2 9 2" xfId="37286"/>
    <cellStyle name="Итог 2 8 3" xfId="1426"/>
    <cellStyle name="Итог 2 8 3 2" xfId="2905"/>
    <cellStyle name="Итог 2 8 3 2 2" xfId="8112"/>
    <cellStyle name="Итог 2 8 3 2 2 2" xfId="19032"/>
    <cellStyle name="Итог 2 8 3 2 2 3" xfId="34393"/>
    <cellStyle name="Итог 2 8 3 2 3" xfId="24000"/>
    <cellStyle name="Итог 2 8 3 2 3 2" xfId="39361"/>
    <cellStyle name="Итог 2 8 3 2 4" xfId="13469"/>
    <cellStyle name="Итог 2 8 3 2 5" xfId="28951"/>
    <cellStyle name="Итог 2 8 3 3" xfId="5333"/>
    <cellStyle name="Итог 2 8 3 3 2" xfId="10516"/>
    <cellStyle name="Итог 2 8 3 3 2 2" xfId="21442"/>
    <cellStyle name="Итог 2 8 3 3 2 3" xfId="36803"/>
    <cellStyle name="Итог 2 8 3 3 3" xfId="26403"/>
    <cellStyle name="Итог 2 8 3 3 3 2" xfId="41764"/>
    <cellStyle name="Итог 2 8 3 3 4" xfId="15879"/>
    <cellStyle name="Итог 2 8 3 3 5" xfId="31354"/>
    <cellStyle name="Итог 2 8 3 4" xfId="6674"/>
    <cellStyle name="Итог 2 8 3 4 2" xfId="16184"/>
    <cellStyle name="Итог 2 8 3 4 3" xfId="31651"/>
    <cellStyle name="Итог 2 8 3 5" xfId="22562"/>
    <cellStyle name="Итог 2 8 3 5 2" xfId="37923"/>
    <cellStyle name="Итог 2 8 3 6" xfId="12005"/>
    <cellStyle name="Итог 2 8 3 7" xfId="27513"/>
    <cellStyle name="Итог 2 8 4" xfId="1852"/>
    <cellStyle name="Итог 2 8 4 2" xfId="7091"/>
    <cellStyle name="Итог 2 8 4 2 2" xfId="17993"/>
    <cellStyle name="Итог 2 8 4 2 3" xfId="33354"/>
    <cellStyle name="Итог 2 8 4 3" xfId="22979"/>
    <cellStyle name="Итог 2 8 4 3 2" xfId="38340"/>
    <cellStyle name="Итог 2 8 4 4" xfId="12430"/>
    <cellStyle name="Итог 2 8 4 5" xfId="27930"/>
    <cellStyle name="Итог 2 8 5" xfId="2657"/>
    <cellStyle name="Итог 2 8 5 2" xfId="7888"/>
    <cellStyle name="Итог 2 8 5 2 2" xfId="18792"/>
    <cellStyle name="Итог 2 8 5 2 3" xfId="34153"/>
    <cellStyle name="Итог 2 8 5 3" xfId="23776"/>
    <cellStyle name="Итог 2 8 5 3 2" xfId="39137"/>
    <cellStyle name="Итог 2 8 5 4" xfId="13229"/>
    <cellStyle name="Итог 2 8 5 5" xfId="28727"/>
    <cellStyle name="Итог 2 8 6" xfId="3956"/>
    <cellStyle name="Итог 2 8 6 2" xfId="9143"/>
    <cellStyle name="Итог 2 8 6 2 2" xfId="20070"/>
    <cellStyle name="Итог 2 8 6 2 3" xfId="35431"/>
    <cellStyle name="Итог 2 8 6 3" xfId="25031"/>
    <cellStyle name="Итог 2 8 6 3 2" xfId="40392"/>
    <cellStyle name="Итог 2 8 6 4" xfId="14507"/>
    <cellStyle name="Итог 2 8 6 5" xfId="29982"/>
    <cellStyle name="Итог 2 8 7" xfId="4003"/>
    <cellStyle name="Итог 2 8 7 2" xfId="9190"/>
    <cellStyle name="Итог 2 8 7 2 2" xfId="20117"/>
    <cellStyle name="Итог 2 8 7 2 3" xfId="35478"/>
    <cellStyle name="Итог 2 8 7 3" xfId="25078"/>
    <cellStyle name="Итог 2 8 7 3 2" xfId="40439"/>
    <cellStyle name="Итог 2 8 7 4" xfId="14554"/>
    <cellStyle name="Итог 2 8 7 5" xfId="30029"/>
    <cellStyle name="Итог 2 8 8" xfId="4863"/>
    <cellStyle name="Итог 2 8 8 2" xfId="10050"/>
    <cellStyle name="Итог 2 8 8 2 2" xfId="20977"/>
    <cellStyle name="Итог 2 8 8 2 3" xfId="36338"/>
    <cellStyle name="Итог 2 8 8 3" xfId="25938"/>
    <cellStyle name="Итог 2 8 8 3 2" xfId="41299"/>
    <cellStyle name="Итог 2 8 8 4" xfId="15414"/>
    <cellStyle name="Итог 2 8 8 5" xfId="30889"/>
    <cellStyle name="Итог 2 8 9" xfId="5811"/>
    <cellStyle name="Итог 2 8 9 2" xfId="17080"/>
    <cellStyle name="Итог 2 8 9 3" xfId="32547"/>
    <cellStyle name="Итог 2 9" xfId="444"/>
    <cellStyle name="Итог 2 9 10" xfId="21700"/>
    <cellStyle name="Итог 2 9 10 2" xfId="37061"/>
    <cellStyle name="Итог 2 9 11" xfId="11107"/>
    <cellStyle name="Итог 2 9 12" xfId="26651"/>
    <cellStyle name="Итог 2 9 2" xfId="774"/>
    <cellStyle name="Итог 2 9 2 10" xfId="11358"/>
    <cellStyle name="Итог 2 9 2 11" xfId="26875"/>
    <cellStyle name="Итог 2 9 2 2" xfId="1137"/>
    <cellStyle name="Итог 2 9 2 2 2" xfId="2908"/>
    <cellStyle name="Итог 2 9 2 2 2 2" xfId="8115"/>
    <cellStyle name="Итог 2 9 2 2 2 2 2" xfId="19035"/>
    <cellStyle name="Итог 2 9 2 2 2 2 3" xfId="34396"/>
    <cellStyle name="Итог 2 9 2 2 2 3" xfId="24003"/>
    <cellStyle name="Итог 2 9 2 2 2 3 2" xfId="39364"/>
    <cellStyle name="Итог 2 9 2 2 2 4" xfId="13472"/>
    <cellStyle name="Итог 2 9 2 2 2 5" xfId="28954"/>
    <cellStyle name="Итог 2 9 2 2 3" xfId="5334"/>
    <cellStyle name="Итог 2 9 2 2 3 2" xfId="10517"/>
    <cellStyle name="Итог 2 9 2 2 3 2 2" xfId="21443"/>
    <cellStyle name="Итог 2 9 2 2 3 2 3" xfId="36804"/>
    <cellStyle name="Итог 2 9 2 2 3 3" xfId="26404"/>
    <cellStyle name="Итог 2 9 2 2 3 3 2" xfId="41765"/>
    <cellStyle name="Итог 2 9 2 2 3 4" xfId="15880"/>
    <cellStyle name="Итог 2 9 2 2 3 5" xfId="31355"/>
    <cellStyle name="Итог 2 9 2 2 4" xfId="6392"/>
    <cellStyle name="Итог 2 9 2 2 4 2" xfId="16471"/>
    <cellStyle name="Итог 2 9 2 2 4 3" xfId="31938"/>
    <cellStyle name="Итог 2 9 2 2 5" xfId="22280"/>
    <cellStyle name="Итог 2 9 2 2 5 2" xfId="37641"/>
    <cellStyle name="Итог 2 9 2 2 6" xfId="11718"/>
    <cellStyle name="Итог 2 9 2 2 7" xfId="27231"/>
    <cellStyle name="Итог 2 9 2 3" xfId="2180"/>
    <cellStyle name="Итог 2 9 2 3 2" xfId="7416"/>
    <cellStyle name="Итог 2 9 2 3 2 2" xfId="18318"/>
    <cellStyle name="Итог 2 9 2 3 2 3" xfId="33679"/>
    <cellStyle name="Итог 2 9 2 3 3" xfId="23304"/>
    <cellStyle name="Итог 2 9 2 3 3 2" xfId="38665"/>
    <cellStyle name="Итог 2 9 2 3 4" xfId="12755"/>
    <cellStyle name="Итог 2 9 2 3 5" xfId="28255"/>
    <cellStyle name="Итог 2 9 2 4" xfId="2858"/>
    <cellStyle name="Итог 2 9 2 4 2" xfId="8066"/>
    <cellStyle name="Итог 2 9 2 4 2 2" xfId="18986"/>
    <cellStyle name="Итог 2 9 2 4 2 3" xfId="34347"/>
    <cellStyle name="Итог 2 9 2 4 3" xfId="23954"/>
    <cellStyle name="Итог 2 9 2 4 3 2" xfId="39315"/>
    <cellStyle name="Итог 2 9 2 4 4" xfId="13423"/>
    <cellStyle name="Итог 2 9 2 4 5" xfId="28905"/>
    <cellStyle name="Итог 2 9 2 5" xfId="2694"/>
    <cellStyle name="Итог 2 9 2 5 2" xfId="7925"/>
    <cellStyle name="Итог 2 9 2 5 2 2" xfId="18829"/>
    <cellStyle name="Итог 2 9 2 5 2 3" xfId="34190"/>
    <cellStyle name="Итог 2 9 2 5 3" xfId="23813"/>
    <cellStyle name="Итог 2 9 2 5 3 2" xfId="39174"/>
    <cellStyle name="Итог 2 9 2 5 4" xfId="13266"/>
    <cellStyle name="Итог 2 9 2 5 5" xfId="28764"/>
    <cellStyle name="Итог 2 9 2 6" xfId="4228"/>
    <cellStyle name="Итог 2 9 2 6 2" xfId="9415"/>
    <cellStyle name="Итог 2 9 2 6 2 2" xfId="20342"/>
    <cellStyle name="Итог 2 9 2 6 2 3" xfId="35703"/>
    <cellStyle name="Итог 2 9 2 6 3" xfId="25303"/>
    <cellStyle name="Итог 2 9 2 6 3 2" xfId="40664"/>
    <cellStyle name="Итог 2 9 2 6 4" xfId="14779"/>
    <cellStyle name="Итог 2 9 2 6 5" xfId="30254"/>
    <cellStyle name="Итог 2 9 2 7" xfId="4959"/>
    <cellStyle name="Итог 2 9 2 7 2" xfId="10146"/>
    <cellStyle name="Итог 2 9 2 7 2 2" xfId="21073"/>
    <cellStyle name="Итог 2 9 2 7 2 3" xfId="36434"/>
    <cellStyle name="Итог 2 9 2 7 3" xfId="26034"/>
    <cellStyle name="Итог 2 9 2 7 3 2" xfId="41395"/>
    <cellStyle name="Итог 2 9 2 7 4" xfId="15510"/>
    <cellStyle name="Итог 2 9 2 7 5" xfId="30985"/>
    <cellStyle name="Итог 2 9 2 8" xfId="6036"/>
    <cellStyle name="Итог 2 9 2 8 2" xfId="16831"/>
    <cellStyle name="Итог 2 9 2 8 3" xfId="32298"/>
    <cellStyle name="Итог 2 9 2 9" xfId="21924"/>
    <cellStyle name="Итог 2 9 2 9 2" xfId="37285"/>
    <cellStyle name="Итог 2 9 3" xfId="1693"/>
    <cellStyle name="Итог 2 9 3 2" xfId="2909"/>
    <cellStyle name="Итог 2 9 3 2 2" xfId="8116"/>
    <cellStyle name="Итог 2 9 3 2 2 2" xfId="19036"/>
    <cellStyle name="Итог 2 9 3 2 2 3" xfId="34397"/>
    <cellStyle name="Итог 2 9 3 2 3" xfId="24004"/>
    <cellStyle name="Итог 2 9 3 2 3 2" xfId="39365"/>
    <cellStyle name="Итог 2 9 3 2 4" xfId="13473"/>
    <cellStyle name="Итог 2 9 3 2 5" xfId="28955"/>
    <cellStyle name="Итог 2 9 3 3" xfId="5335"/>
    <cellStyle name="Итог 2 9 3 3 2" xfId="10518"/>
    <cellStyle name="Итог 2 9 3 3 2 2" xfId="21444"/>
    <cellStyle name="Итог 2 9 3 3 2 3" xfId="36805"/>
    <cellStyle name="Итог 2 9 3 3 3" xfId="26405"/>
    <cellStyle name="Итог 2 9 3 3 3 2" xfId="41766"/>
    <cellStyle name="Итог 2 9 3 3 4" xfId="15881"/>
    <cellStyle name="Итог 2 9 3 3 5" xfId="31356"/>
    <cellStyle name="Итог 2 9 3 4" xfId="6937"/>
    <cellStyle name="Итог 2 9 3 4 2" xfId="17835"/>
    <cellStyle name="Итог 2 9 3 4 3" xfId="33196"/>
    <cellStyle name="Итог 2 9 3 5" xfId="22825"/>
    <cellStyle name="Итог 2 9 3 5 2" xfId="38186"/>
    <cellStyle name="Итог 2 9 3 6" xfId="12271"/>
    <cellStyle name="Итог 2 9 3 7" xfId="27776"/>
    <cellStyle name="Итог 2 9 4" xfId="1853"/>
    <cellStyle name="Итог 2 9 4 2" xfId="7092"/>
    <cellStyle name="Итог 2 9 4 2 2" xfId="17994"/>
    <cellStyle name="Итог 2 9 4 2 3" xfId="33355"/>
    <cellStyle name="Итог 2 9 4 3" xfId="22980"/>
    <cellStyle name="Итог 2 9 4 3 2" xfId="38341"/>
    <cellStyle name="Итог 2 9 4 4" xfId="12431"/>
    <cellStyle name="Итог 2 9 4 5" xfId="27931"/>
    <cellStyle name="Итог 2 9 5" xfId="2621"/>
    <cellStyle name="Итог 2 9 5 2" xfId="7853"/>
    <cellStyle name="Итог 2 9 5 2 2" xfId="18756"/>
    <cellStyle name="Итог 2 9 5 2 3" xfId="34117"/>
    <cellStyle name="Итог 2 9 5 3" xfId="23741"/>
    <cellStyle name="Итог 2 9 5 3 2" xfId="39102"/>
    <cellStyle name="Итог 2 9 5 4" xfId="13193"/>
    <cellStyle name="Итог 2 9 5 5" xfId="28692"/>
    <cellStyle name="Итог 2 9 6" xfId="3551"/>
    <cellStyle name="Итог 2 9 6 2" xfId="8738"/>
    <cellStyle name="Итог 2 9 6 2 2" xfId="19665"/>
    <cellStyle name="Итог 2 9 6 2 3" xfId="35026"/>
    <cellStyle name="Итог 2 9 6 3" xfId="24626"/>
    <cellStyle name="Итог 2 9 6 3 2" xfId="39987"/>
    <cellStyle name="Итог 2 9 6 4" xfId="14102"/>
    <cellStyle name="Итог 2 9 6 5" xfId="29577"/>
    <cellStyle name="Итог 2 9 7" xfId="4004"/>
    <cellStyle name="Итог 2 9 7 2" xfId="9191"/>
    <cellStyle name="Итог 2 9 7 2 2" xfId="20118"/>
    <cellStyle name="Итог 2 9 7 2 3" xfId="35479"/>
    <cellStyle name="Итог 2 9 7 3" xfId="25079"/>
    <cellStyle name="Итог 2 9 7 3 2" xfId="40440"/>
    <cellStyle name="Итог 2 9 7 4" xfId="14555"/>
    <cellStyle name="Итог 2 9 7 5" xfId="30030"/>
    <cellStyle name="Итог 2 9 8" xfId="4708"/>
    <cellStyle name="Итог 2 9 8 2" xfId="9895"/>
    <cellStyle name="Итог 2 9 8 2 2" xfId="20822"/>
    <cellStyle name="Итог 2 9 8 2 3" xfId="36183"/>
    <cellStyle name="Итог 2 9 8 3" xfId="25783"/>
    <cellStyle name="Итог 2 9 8 3 2" xfId="41144"/>
    <cellStyle name="Итог 2 9 8 4" xfId="15259"/>
    <cellStyle name="Итог 2 9 8 5" xfId="30734"/>
    <cellStyle name="Итог 2 9 9" xfId="5812"/>
    <cellStyle name="Итог 2 9 9 2" xfId="17079"/>
    <cellStyle name="Итог 2 9 9 3" xfId="32546"/>
    <cellStyle name="Итог 2_46EE.2011(v1.0)" xfId="42971"/>
    <cellStyle name="Итог 3" xfId="42972"/>
    <cellStyle name="Итог 3 2" xfId="42973"/>
    <cellStyle name="Итог 3 2 2" xfId="44401"/>
    <cellStyle name="Итог 3 2 2 2" xfId="46302"/>
    <cellStyle name="Итог 3 2 3" xfId="44402"/>
    <cellStyle name="Итог 3 3" xfId="44403"/>
    <cellStyle name="Итог 3 3 2" xfId="46304"/>
    <cellStyle name="Итог 3 3 3" xfId="46303"/>
    <cellStyle name="Итог 3 4" xfId="44404"/>
    <cellStyle name="Итог 3_46EE.2011(v1.0)" xfId="42974"/>
    <cellStyle name="Итог 4" xfId="42975"/>
    <cellStyle name="Итог 4 2" xfId="42976"/>
    <cellStyle name="Итог 4 2 2" xfId="46305"/>
    <cellStyle name="Итог 4 3" xfId="46306"/>
    <cellStyle name="Итог 4 3 2" xfId="46307"/>
    <cellStyle name="Итог 4 4" xfId="46308"/>
    <cellStyle name="Итог 4_46EE.2011(v1.0)" xfId="42977"/>
    <cellStyle name="Итог 5" xfId="42978"/>
    <cellStyle name="Итог 5 2" xfId="42979"/>
    <cellStyle name="Итог 5 2 2" xfId="46309"/>
    <cellStyle name="Итог 5 3" xfId="46310"/>
    <cellStyle name="Итог 5 3 2" xfId="46311"/>
    <cellStyle name="Итог 5 4" xfId="46312"/>
    <cellStyle name="Итог 5_46EE.2011(v1.0)" xfId="42980"/>
    <cellStyle name="Итог 6" xfId="42981"/>
    <cellStyle name="Итог 6 2" xfId="42982"/>
    <cellStyle name="Итог 6 2 2" xfId="46315"/>
    <cellStyle name="Итог 6 2 2 2" xfId="46316"/>
    <cellStyle name="Итог 6 2 3" xfId="46317"/>
    <cellStyle name="Итог 6 2 3 2" xfId="46318"/>
    <cellStyle name="Итог 6 2 4" xfId="46319"/>
    <cellStyle name="Итог 6 2 5" xfId="46314"/>
    <cellStyle name="Итог 6 3" xfId="46313"/>
    <cellStyle name="Итог 6_46EE.2011(v1.0)" xfId="42983"/>
    <cellStyle name="Итог 7" xfId="42984"/>
    <cellStyle name="Итог 7 2" xfId="42985"/>
    <cellStyle name="Итог 7 2 2" xfId="46320"/>
    <cellStyle name="Итог 7 3" xfId="46321"/>
    <cellStyle name="Итог 7 3 2" xfId="46322"/>
    <cellStyle name="Итог 7 4" xfId="46323"/>
    <cellStyle name="Итог 7_46EE.2011(v1.0)" xfId="42986"/>
    <cellStyle name="Итог 8" xfId="42987"/>
    <cellStyle name="Итог 8 2" xfId="42988"/>
    <cellStyle name="Итог 8_46EE.2011(v1.0)" xfId="42989"/>
    <cellStyle name="Итог 9" xfId="42990"/>
    <cellStyle name="Итог 9 2" xfId="42991"/>
    <cellStyle name="Итог 9_46EE.2011(v1.0)" xfId="42992"/>
    <cellStyle name="Итого" xfId="42993"/>
    <cellStyle name="ИТОГОВЫЙ" xfId="42994"/>
    <cellStyle name="ИТОГОВЫЙ 2" xfId="42995"/>
    <cellStyle name="ИТОГОВЫЙ 3" xfId="42996"/>
    <cellStyle name="ИТОГОВЫЙ 4" xfId="42997"/>
    <cellStyle name="ИТОГОВЫЙ 5" xfId="42998"/>
    <cellStyle name="ИТОГОВЫЙ 6" xfId="42999"/>
    <cellStyle name="ИТОГОВЫЙ 7" xfId="43000"/>
    <cellStyle name="ИТОГОВЫЙ 8" xfId="43001"/>
    <cellStyle name="ИТОГОВЫЙ_1" xfId="43002"/>
    <cellStyle name="Контрольная ячейка 2" xfId="445"/>
    <cellStyle name="Контрольная ячейка 2 2" xfId="446"/>
    <cellStyle name="Контрольная ячейка 2 2 2" xfId="43003"/>
    <cellStyle name="Контрольная ячейка 2 2 2 2" xfId="46325"/>
    <cellStyle name="Контрольная ячейка 2 2 3" xfId="46324"/>
    <cellStyle name="Контрольная ячейка 2 3" xfId="2912"/>
    <cellStyle name="Контрольная ячейка 2 3 2" xfId="44405"/>
    <cellStyle name="Контрольная ячейка 2 4" xfId="2910"/>
    <cellStyle name="Контрольная ячейка 2_46EE.2011(v1.0)" xfId="43004"/>
    <cellStyle name="Контрольная ячейка 3" xfId="43005"/>
    <cellStyle name="Контрольная ячейка 3 2" xfId="43006"/>
    <cellStyle name="Контрольная ячейка 3_46EE.2011(v1.0)" xfId="43007"/>
    <cellStyle name="Контрольная ячейка 4" xfId="43008"/>
    <cellStyle name="Контрольная ячейка 4 2" xfId="43009"/>
    <cellStyle name="Контрольная ячейка 4_46EE.2011(v1.0)" xfId="43010"/>
    <cellStyle name="Контрольная ячейка 5" xfId="43011"/>
    <cellStyle name="Контрольная ячейка 5 2" xfId="43012"/>
    <cellStyle name="Контрольная ячейка 5_46EE.2011(v1.0)" xfId="43013"/>
    <cellStyle name="Контрольная ячейка 6" xfId="43014"/>
    <cellStyle name="Контрольная ячейка 6 2" xfId="43015"/>
    <cellStyle name="Контрольная ячейка 6 2 2" xfId="46327"/>
    <cellStyle name="Контрольная ячейка 6 3" xfId="46326"/>
    <cellStyle name="Контрольная ячейка 6_46EE.2011(v1.0)" xfId="43016"/>
    <cellStyle name="Контрольная ячейка 7" xfId="43017"/>
    <cellStyle name="Контрольная ячейка 7 2" xfId="43018"/>
    <cellStyle name="Контрольная ячейка 7_46EE.2011(v1.0)" xfId="43019"/>
    <cellStyle name="Контрольная ячейка 8" xfId="43020"/>
    <cellStyle name="Контрольная ячейка 8 2" xfId="43021"/>
    <cellStyle name="Контрольная ячейка 8_46EE.2011(v1.0)" xfId="43022"/>
    <cellStyle name="Контрольная ячейка 9" xfId="43023"/>
    <cellStyle name="Контрольная ячейка 9 2" xfId="43024"/>
    <cellStyle name="Контрольная ячейка 9_46EE.2011(v1.0)" xfId="43025"/>
    <cellStyle name="Мой заголовок" xfId="43026"/>
    <cellStyle name="Мой заголовок листа" xfId="43027"/>
    <cellStyle name="Мои наименования показателей" xfId="43028"/>
    <cellStyle name="Мои наименования показателей 2" xfId="43029"/>
    <cellStyle name="Мои наименования показателей 2 2" xfId="43030"/>
    <cellStyle name="Мои наименования показателей 2 3" xfId="43031"/>
    <cellStyle name="Мои наименования показателей 2 4" xfId="43032"/>
    <cellStyle name="Мои наименования показателей 2 5" xfId="43033"/>
    <cellStyle name="Мои наименования показателей 2 6" xfId="43034"/>
    <cellStyle name="Мои наименования показателей 2 7" xfId="43035"/>
    <cellStyle name="Мои наименования показателей 2 8" xfId="43036"/>
    <cellStyle name="Мои наименования показателей 2_1" xfId="43037"/>
    <cellStyle name="Мои наименования показателей 3" xfId="43038"/>
    <cellStyle name="Мои наименования показателей 3 2" xfId="43039"/>
    <cellStyle name="Мои наименования показателей 3 3" xfId="43040"/>
    <cellStyle name="Мои наименования показателей 3 4" xfId="43041"/>
    <cellStyle name="Мои наименования показателей 3 5" xfId="43042"/>
    <cellStyle name="Мои наименования показателей 3 6" xfId="43043"/>
    <cellStyle name="Мои наименования показателей 3 7" xfId="43044"/>
    <cellStyle name="Мои наименования показателей 3 8" xfId="43045"/>
    <cellStyle name="Мои наименования показателей 3_1" xfId="43046"/>
    <cellStyle name="Мои наименования показателей 4" xfId="43047"/>
    <cellStyle name="Мои наименования показателей 4 2" xfId="43048"/>
    <cellStyle name="Мои наименования показателей 4 3" xfId="43049"/>
    <cellStyle name="Мои наименования показателей 4 4" xfId="43050"/>
    <cellStyle name="Мои наименования показателей 4 5" xfId="43051"/>
    <cellStyle name="Мои наименования показателей 4 6" xfId="43052"/>
    <cellStyle name="Мои наименования показателей 4 7" xfId="43053"/>
    <cellStyle name="Мои наименования показателей 4 8" xfId="43054"/>
    <cellStyle name="Мои наименования показателей 4_1" xfId="43055"/>
    <cellStyle name="Мои наименования показателей 5" xfId="43056"/>
    <cellStyle name="Мои наименования показателей 5 2" xfId="43057"/>
    <cellStyle name="Мои наименования показателей 5 3" xfId="43058"/>
    <cellStyle name="Мои наименования показателей 5 4" xfId="43059"/>
    <cellStyle name="Мои наименования показателей 5 5" xfId="43060"/>
    <cellStyle name="Мои наименования показателей 5 6" xfId="43061"/>
    <cellStyle name="Мои наименования показателей 5 7" xfId="43062"/>
    <cellStyle name="Мои наименования показателей 5 8" xfId="43063"/>
    <cellStyle name="Мои наименования показателей 5_1" xfId="43064"/>
    <cellStyle name="Мои наименования показателей 6" xfId="43065"/>
    <cellStyle name="Мои наименования показателей 6 2" xfId="43066"/>
    <cellStyle name="Мои наименования показателей 6_46EE.2011(v1.0)" xfId="43067"/>
    <cellStyle name="Мои наименования показателей 7" xfId="43068"/>
    <cellStyle name="Мои наименования показателей 7 2" xfId="43069"/>
    <cellStyle name="Мои наименования показателей 7_46EE.2011(v1.0)" xfId="43070"/>
    <cellStyle name="Мои наименования показателей 8" xfId="43071"/>
    <cellStyle name="Мои наименования показателей 8 2" xfId="43072"/>
    <cellStyle name="Мои наименования показателей 8_46EE.2011(v1.0)" xfId="43073"/>
    <cellStyle name="Мои наименования показателей_46TE.RT(v1.0)" xfId="43074"/>
    <cellStyle name="назв фил" xfId="43075"/>
    <cellStyle name="Название 2" xfId="447"/>
    <cellStyle name="Название 2 2" xfId="2914"/>
    <cellStyle name="Название 2 2 2" xfId="43076"/>
    <cellStyle name="Название 2 3" xfId="2913"/>
    <cellStyle name="Название 2 3 2" xfId="46328"/>
    <cellStyle name="Название 2 3 3" xfId="44406"/>
    <cellStyle name="Название 3" xfId="43077"/>
    <cellStyle name="Название 3 2" xfId="43078"/>
    <cellStyle name="Название 4" xfId="43079"/>
    <cellStyle name="Название 4 2" xfId="43080"/>
    <cellStyle name="Название 5" xfId="43081"/>
    <cellStyle name="Название 5 2" xfId="43082"/>
    <cellStyle name="Название 6" xfId="43083"/>
    <cellStyle name="Название 6 2" xfId="43084"/>
    <cellStyle name="Название 6 2 2" xfId="46330"/>
    <cellStyle name="Название 6 3" xfId="46329"/>
    <cellStyle name="Название 7" xfId="43085"/>
    <cellStyle name="Название 7 2" xfId="43086"/>
    <cellStyle name="Название 8" xfId="43087"/>
    <cellStyle name="Название 8 2" xfId="43088"/>
    <cellStyle name="Название 9" xfId="43089"/>
    <cellStyle name="Название 9 2" xfId="43090"/>
    <cellStyle name="Нейтральный 2" xfId="448"/>
    <cellStyle name="Нейтральный 2 2" xfId="449"/>
    <cellStyle name="Нейтральный 2 2 2" xfId="43091"/>
    <cellStyle name="Нейтральный 2 2 2 2" xfId="46332"/>
    <cellStyle name="Нейтральный 2 2 3" xfId="46331"/>
    <cellStyle name="Нейтральный 2 3" xfId="2917"/>
    <cellStyle name="Нейтральный 2 3 2" xfId="44407"/>
    <cellStyle name="Нейтральный 2 4" xfId="2915"/>
    <cellStyle name="Нейтральный 3" xfId="43092"/>
    <cellStyle name="Нейтральный 3 2" xfId="43093"/>
    <cellStyle name="Нейтральный 4" xfId="43094"/>
    <cellStyle name="Нейтральный 4 2" xfId="43095"/>
    <cellStyle name="Нейтральный 5" xfId="43096"/>
    <cellStyle name="Нейтральный 5 2" xfId="43097"/>
    <cellStyle name="Нейтральный 6" xfId="43098"/>
    <cellStyle name="Нейтральный 6 2" xfId="43099"/>
    <cellStyle name="Нейтральный 6 2 2" xfId="46334"/>
    <cellStyle name="Нейтральный 6 3" xfId="46333"/>
    <cellStyle name="Нейтральный 7" xfId="43100"/>
    <cellStyle name="Нейтральный 7 2" xfId="43101"/>
    <cellStyle name="Нейтральный 8" xfId="43102"/>
    <cellStyle name="Нейтральный 8 2" xfId="43103"/>
    <cellStyle name="Нейтральный 9" xfId="43104"/>
    <cellStyle name="Нейтральный 9 2" xfId="43105"/>
    <cellStyle name="Обычный" xfId="0" builtinId="0"/>
    <cellStyle name="Обычный 10" xfId="51"/>
    <cellStyle name="Обычный 10 10" xfId="44408"/>
    <cellStyle name="Обычный 10 11" xfId="44409"/>
    <cellStyle name="Обычный 10 12" xfId="45298"/>
    <cellStyle name="Обычный 10 13" xfId="46335"/>
    <cellStyle name="Обычный 10 2" xfId="450"/>
    <cellStyle name="Обычный 10 2 10" xfId="46336"/>
    <cellStyle name="Обычный 10 2 2" xfId="43106"/>
    <cellStyle name="Обычный 10 2 2 2" xfId="43107"/>
    <cellStyle name="Обычный 10 2 2 2 2" xfId="43108"/>
    <cellStyle name="Обычный 10 2 2 2 2 2" xfId="43109"/>
    <cellStyle name="Обычный 10 2 2 2 2 3" xfId="43110"/>
    <cellStyle name="Обычный 10 2 2 2 3" xfId="43111"/>
    <cellStyle name="Обычный 10 2 2 2 3 2" xfId="43112"/>
    <cellStyle name="Обычный 10 2 2 2 3 3" xfId="43113"/>
    <cellStyle name="Обычный 10 2 2 2 4" xfId="43114"/>
    <cellStyle name="Обычный 10 2 2 2 4 2" xfId="46337"/>
    <cellStyle name="Обычный 10 2 2 2 5" xfId="43115"/>
    <cellStyle name="Обычный 10 2 2 3" xfId="43116"/>
    <cellStyle name="Обычный 10 2 2 3 2" xfId="43117"/>
    <cellStyle name="Обычный 10 2 2 3 3" xfId="43118"/>
    <cellStyle name="Обычный 10 2 2 4" xfId="43119"/>
    <cellStyle name="Обычный 10 2 2 4 2" xfId="43120"/>
    <cellStyle name="Обычный 10 2 2 4 3" xfId="43121"/>
    <cellStyle name="Обычный 10 2 2 5" xfId="43122"/>
    <cellStyle name="Обычный 10 2 2 6" xfId="43123"/>
    <cellStyle name="Обычный 10 2 2 7" xfId="44026"/>
    <cellStyle name="Обычный 10 2 3" xfId="43124"/>
    <cellStyle name="Обычный 10 2 3 2" xfId="43125"/>
    <cellStyle name="Обычный 10 2 3 2 2" xfId="43126"/>
    <cellStyle name="Обычный 10 2 3 2 2 2" xfId="44410"/>
    <cellStyle name="Обычный 10 2 3 2 3" xfId="43127"/>
    <cellStyle name="Обычный 10 2 3 3" xfId="43128"/>
    <cellStyle name="Обычный 10 2 3 3 2" xfId="43129"/>
    <cellStyle name="Обычный 10 2 3 3 3" xfId="43130"/>
    <cellStyle name="Обычный 10 2 3 4" xfId="43131"/>
    <cellStyle name="Обычный 10 2 3 5" xfId="43132"/>
    <cellStyle name="Обычный 10 2 3 5 2" xfId="46338"/>
    <cellStyle name="Обычный 10 2 4" xfId="43133"/>
    <cellStyle name="Обычный 10 2 4 2" xfId="44412"/>
    <cellStyle name="Обычный 10 2 4 2 2" xfId="44413"/>
    <cellStyle name="Обычный 10 2 4 3" xfId="44414"/>
    <cellStyle name="Обычный 10 2 4 4" xfId="44411"/>
    <cellStyle name="Обычный 10 2 5" xfId="43134"/>
    <cellStyle name="Обычный 10 2 5 2" xfId="43135"/>
    <cellStyle name="Обычный 10 2 5 3" xfId="43136"/>
    <cellStyle name="Обычный 10 2 6" xfId="44415"/>
    <cellStyle name="Обычный 10 2 7" xfId="44416"/>
    <cellStyle name="Обычный 10 2 8" xfId="44417"/>
    <cellStyle name="Обычный 10 2 9" xfId="45330"/>
    <cellStyle name="Обычный 10 3" xfId="13"/>
    <cellStyle name="Обычный 10 3 2" xfId="451"/>
    <cellStyle name="Обычный 10 3 2 2" xfId="5336"/>
    <cellStyle name="Обычный 10 3 2 2 2" xfId="43137"/>
    <cellStyle name="Обычный 10 3 2 2 2 2" xfId="46340"/>
    <cellStyle name="Обычный 10 3 2 2 3" xfId="43138"/>
    <cellStyle name="Обычный 10 3 2 3" xfId="43139"/>
    <cellStyle name="Обычный 10 3 2 3 2" xfId="43140"/>
    <cellStyle name="Обычный 10 3 2 3 3" xfId="43141"/>
    <cellStyle name="Обычный 10 3 2 4" xfId="43142"/>
    <cellStyle name="Обычный 10 3 2 5" xfId="43143"/>
    <cellStyle name="Обычный 10 3 3" xfId="17448"/>
    <cellStyle name="Обычный 10 3 3 2" xfId="46341"/>
    <cellStyle name="Обычный 10 3 3 3" xfId="44418"/>
    <cellStyle name="Обычный 10 3 4" xfId="43144"/>
    <cellStyle name="Обычный 10 3 4 2" xfId="43145"/>
    <cellStyle name="Обычный 10 3 4 3" xfId="43146"/>
    <cellStyle name="Обычный 10 3 4 4" xfId="46339"/>
    <cellStyle name="Обычный 10 3 5" xfId="43147"/>
    <cellStyle name="Обычный 10 3 5 2" xfId="43148"/>
    <cellStyle name="Обычный 10 3 5 3" xfId="43149"/>
    <cellStyle name="Обычный 10 3 6" xfId="43150"/>
    <cellStyle name="Обычный 10 3 7" xfId="43151"/>
    <cellStyle name="Обычный 10 4" xfId="43152"/>
    <cellStyle name="Обычный 10 4 2" xfId="43153"/>
    <cellStyle name="Обычный 10 4 2 2" xfId="43154"/>
    <cellStyle name="Обычный 10 4 2 2 2" xfId="44419"/>
    <cellStyle name="Обычный 10 4 2 3" xfId="43155"/>
    <cellStyle name="Обычный 10 4 2 4" xfId="46343"/>
    <cellStyle name="Обычный 10 4 3" xfId="43156"/>
    <cellStyle name="Обычный 10 4 3 2" xfId="43157"/>
    <cellStyle name="Обычный 10 4 3 3" xfId="43158"/>
    <cellStyle name="Обычный 10 4 4" xfId="43159"/>
    <cellStyle name="Обычный 10 4 5" xfId="43160"/>
    <cellStyle name="Обычный 10 4 6" xfId="44420"/>
    <cellStyle name="Обычный 10 4 7" xfId="45306"/>
    <cellStyle name="Обычный 10 4 8" xfId="46342"/>
    <cellStyle name="Обычный 10 5" xfId="43161"/>
    <cellStyle name="Обычный 10 5 2" xfId="44421"/>
    <cellStyle name="Обычный 10 5 2 2" xfId="44422"/>
    <cellStyle name="Обычный 10 5 2 2 2" xfId="44423"/>
    <cellStyle name="Обычный 10 5 2 3" xfId="44424"/>
    <cellStyle name="Обычный 10 5 2 4" xfId="46345"/>
    <cellStyle name="Обычный 10 5 3" xfId="44425"/>
    <cellStyle name="Обычный 10 5 3 2" xfId="44426"/>
    <cellStyle name="Обычный 10 5 4" xfId="44427"/>
    <cellStyle name="Обычный 10 5 5" xfId="46344"/>
    <cellStyle name="Обычный 10 5 6" xfId="44025"/>
    <cellStyle name="Обычный 10 6" xfId="43162"/>
    <cellStyle name="Обычный 10 6 2" xfId="44429"/>
    <cellStyle name="Обычный 10 6 2 2" xfId="44430"/>
    <cellStyle name="Обычный 10 6 2 2 2" xfId="44431"/>
    <cellStyle name="Обычный 10 6 2 3" xfId="44432"/>
    <cellStyle name="Обычный 10 6 3" xfId="44433"/>
    <cellStyle name="Обычный 10 6 3 2" xfId="44434"/>
    <cellStyle name="Обычный 10 6 4" xfId="44435"/>
    <cellStyle name="Обычный 10 6 5" xfId="44428"/>
    <cellStyle name="Обычный 10 7" xfId="44436"/>
    <cellStyle name="Обычный 10 7 2" xfId="44437"/>
    <cellStyle name="Обычный 10 7 2 2" xfId="44438"/>
    <cellStyle name="Обычный 10 7 3" xfId="44439"/>
    <cellStyle name="Обычный 10 8" xfId="44440"/>
    <cellStyle name="Обычный 10 8 2" xfId="44441"/>
    <cellStyle name="Обычный 10 9" xfId="44442"/>
    <cellStyle name="Обычный 100" xfId="17640"/>
    <cellStyle name="Обычный 101" xfId="41990"/>
    <cellStyle name="Обычный 102" xfId="1"/>
    <cellStyle name="Обычный 103" xfId="41996"/>
    <cellStyle name="Обычный 11" xfId="452"/>
    <cellStyle name="Обычный 11 2" xfId="43163"/>
    <cellStyle name="Обычный 11 2 2" xfId="46347"/>
    <cellStyle name="Обычный 11 2 3" xfId="46346"/>
    <cellStyle name="Обычный 11 3" xfId="43164"/>
    <cellStyle name="Обычный 11 3 2" xfId="43165"/>
    <cellStyle name="Обычный 11 3 2 2" xfId="43166"/>
    <cellStyle name="Обычный 11 3 2 3" xfId="43167"/>
    <cellStyle name="Обычный 11 3 2 4" xfId="46348"/>
    <cellStyle name="Обычный 11 3 3" xfId="43168"/>
    <cellStyle name="Обычный 11 3 3 2" xfId="43169"/>
    <cellStyle name="Обычный 11 3 3 3" xfId="43170"/>
    <cellStyle name="Обычный 11 3 4" xfId="43171"/>
    <cellStyle name="Обычный 11 3 4 2" xfId="43172"/>
    <cellStyle name="Обычный 11 3 4 3" xfId="43173"/>
    <cellStyle name="Обычный 11 3 5" xfId="43174"/>
    <cellStyle name="Обычный 11 3 6" xfId="43175"/>
    <cellStyle name="Обычный 11 3 7" xfId="44443"/>
    <cellStyle name="Обычный 11 4" xfId="43176"/>
    <cellStyle name="Обычный 11 4 2" xfId="43177"/>
    <cellStyle name="Обычный 11 4 3" xfId="44444"/>
    <cellStyle name="Обычный 11 5" xfId="43178"/>
    <cellStyle name="Обычный 11 6" xfId="43826"/>
    <cellStyle name="Обычный 12" xfId="453"/>
    <cellStyle name="Обычный 12 10" xfId="43179"/>
    <cellStyle name="Обычный 12 11" xfId="43827"/>
    <cellStyle name="Обычный 12 2" xfId="454"/>
    <cellStyle name="Обычный 12 2 2" xfId="43180"/>
    <cellStyle name="Обычный 12 2 2 2" xfId="46351"/>
    <cellStyle name="Обычный 12 2 2 3" xfId="46350"/>
    <cellStyle name="Обычный 12 2 3" xfId="46352"/>
    <cellStyle name="Обычный 12 2 4" xfId="46349"/>
    <cellStyle name="Обычный 12 3" xfId="455"/>
    <cellStyle name="Обычный 12 3 2" xfId="43181"/>
    <cellStyle name="Обычный 12 4" xfId="5337"/>
    <cellStyle name="Обычный 12 4 2" xfId="45376"/>
    <cellStyle name="Обычный 12 4 3" xfId="46353"/>
    <cellStyle name="Обычный 12 5" xfId="43182"/>
    <cellStyle name="Обычный 12 5 2" xfId="43183"/>
    <cellStyle name="Обычный 12 5 2 2" xfId="43184"/>
    <cellStyle name="Обычный 12 5 2 3" xfId="43185"/>
    <cellStyle name="Обычный 12 5 3" xfId="43186"/>
    <cellStyle name="Обычный 12 5 4" xfId="43187"/>
    <cellStyle name="Обычный 12 6" xfId="43188"/>
    <cellStyle name="Обычный 12 6 2" xfId="43189"/>
    <cellStyle name="Обычный 12 6 3" xfId="43190"/>
    <cellStyle name="Обычный 12 7" xfId="43191"/>
    <cellStyle name="Обычный 12 7 2" xfId="43192"/>
    <cellStyle name="Обычный 12 7 3" xfId="43193"/>
    <cellStyle name="Обычный 12 8" xfId="43194"/>
    <cellStyle name="Обычный 12 9" xfId="43195"/>
    <cellStyle name="Обычный 13" xfId="456"/>
    <cellStyle name="Обычный 13 2" xfId="43196"/>
    <cellStyle name="Обычный 13 2 2" xfId="44445"/>
    <cellStyle name="Обычный 13 2 2 2" xfId="44446"/>
    <cellStyle name="Обычный 13 2 3" xfId="44447"/>
    <cellStyle name="Обычный 13 2 4" xfId="44448"/>
    <cellStyle name="Обычный 13 2 5" xfId="44449"/>
    <cellStyle name="Обычный 13 2 6" xfId="45331"/>
    <cellStyle name="Обычный 13 2 7" xfId="46355"/>
    <cellStyle name="Обычный 13 2 8" xfId="43912"/>
    <cellStyle name="Обычный 13 3" xfId="43197"/>
    <cellStyle name="Обычный 13 3 2" xfId="44450"/>
    <cellStyle name="Обычный 13 4" xfId="43198"/>
    <cellStyle name="Обычный 13 4 2" xfId="44451"/>
    <cellStyle name="Обычный 13 5" xfId="44452"/>
    <cellStyle name="Обычный 13 6" xfId="44453"/>
    <cellStyle name="Обычный 13 7" xfId="45307"/>
    <cellStyle name="Обычный 13 8" xfId="46354"/>
    <cellStyle name="Обычный 13 9" xfId="43828"/>
    <cellStyle name="Обычный 14" xfId="457"/>
    <cellStyle name="Обычный 14 2" xfId="43199"/>
    <cellStyle name="Обычный 14 2 2" xfId="44454"/>
    <cellStyle name="Обычный 14 2 3" xfId="44455"/>
    <cellStyle name="Обычный 14 2 4" xfId="45332"/>
    <cellStyle name="Обычный 14 2 5" xfId="46356"/>
    <cellStyle name="Обычный 14 2 6" xfId="43913"/>
    <cellStyle name="Обычный 14 3" xfId="43200"/>
    <cellStyle name="Обычный 14 3 2" xfId="44456"/>
    <cellStyle name="Обычный 14 3 3" xfId="44457"/>
    <cellStyle name="Обычный 14 3 4" xfId="45308"/>
    <cellStyle name="Обычный 14 3 5" xfId="43829"/>
    <cellStyle name="Обычный 14 4" xfId="44027"/>
    <cellStyle name="Обычный 14 5" xfId="43758"/>
    <cellStyle name="Обычный 15" xfId="458"/>
    <cellStyle name="Обычный 15 2" xfId="43201"/>
    <cellStyle name="Обычный 15 2 2" xfId="44028"/>
    <cellStyle name="Обычный 15 3" xfId="43202"/>
    <cellStyle name="Обычный 15 3 2" xfId="44458"/>
    <cellStyle name="Обычный 15 4" xfId="43203"/>
    <cellStyle name="Обычный 15 4 2" xfId="43204"/>
    <cellStyle name="Обычный 15 4 3" xfId="45325"/>
    <cellStyle name="Обычный 15 5" xfId="43205"/>
    <cellStyle name="Обычный 15 5 2" xfId="46357"/>
    <cellStyle name="Обычный 15 6" xfId="43893"/>
    <cellStyle name="Обычный 16" xfId="459"/>
    <cellStyle name="Обычный 16 2" xfId="43206"/>
    <cellStyle name="Обычный 16 3" xfId="44459"/>
    <cellStyle name="Обычный 16 4" xfId="45344"/>
    <cellStyle name="Обычный 16 5" xfId="43942"/>
    <cellStyle name="Обычный 17" xfId="460"/>
    <cellStyle name="Обычный 17 2" xfId="461"/>
    <cellStyle name="Обычный 17 3" xfId="43207"/>
    <cellStyle name="Обычный 17 4" xfId="45345"/>
    <cellStyle name="Обычный 17 5" xfId="43943"/>
    <cellStyle name="Обычный 18" xfId="462"/>
    <cellStyle name="Обычный 18 2" xfId="43208"/>
    <cellStyle name="Обычный 18 3" xfId="43209"/>
    <cellStyle name="Обычный 18 4" xfId="43210"/>
    <cellStyle name="Обычный 19" xfId="463"/>
    <cellStyle name="Обычный 19 2" xfId="43211"/>
    <cellStyle name="Обычный 19 3" xfId="43212"/>
    <cellStyle name="Обычный 2" xfId="14"/>
    <cellStyle name="Обычный 2 10" xfId="43213"/>
    <cellStyle name="Обычный 2 10 2" xfId="43214"/>
    <cellStyle name="Обычный 2 11" xfId="43215"/>
    <cellStyle name="Обычный 2 11 2" xfId="46358"/>
    <cellStyle name="Обычный 2 2" xfId="15"/>
    <cellStyle name="Обычный 2 2 2" xfId="16"/>
    <cellStyle name="Обычный 2 2 2 2" xfId="464"/>
    <cellStyle name="Обычный 2 2 2 2 2" xfId="17449"/>
    <cellStyle name="Обычный 2 2 2 2 2 2" xfId="44460"/>
    <cellStyle name="Обычный 2 2 2 2 2 2 2" xfId="46360"/>
    <cellStyle name="Обычный 2 2 2 2 2 2 3" xfId="46359"/>
    <cellStyle name="Обычный 2 2 2 2 2 3" xfId="46361"/>
    <cellStyle name="Обычный 2 2 2 2 2 4" xfId="43830"/>
    <cellStyle name="Обычный 2 2 2 2 3" xfId="44461"/>
    <cellStyle name="Обычный 2 2 2 2 3 2" xfId="46362"/>
    <cellStyle name="Обычный 2 2 2 3" xfId="43216"/>
    <cellStyle name="Обычный 2 2 2 3 2" xfId="44462"/>
    <cellStyle name="Обычный 2 2 2 3 2 2" xfId="46364"/>
    <cellStyle name="Обычный 2 2 2 3 2 3" xfId="46363"/>
    <cellStyle name="Обычный 2 2 2 3 3" xfId="46365"/>
    <cellStyle name="Обычный 2 2 2 3 4" xfId="43831"/>
    <cellStyle name="Обычный 2 2 2 4" xfId="43217"/>
    <cellStyle name="Обычный 2 2 2 4 2" xfId="46367"/>
    <cellStyle name="Обычный 2 2 2 4 3" xfId="46366"/>
    <cellStyle name="Обычный 2 2 2 4 4" xfId="44463"/>
    <cellStyle name="Обычный 2 2 2 5" xfId="44464"/>
    <cellStyle name="Обычный 2 2 3" xfId="465"/>
    <cellStyle name="Обычный 2 2 3 2" xfId="17450"/>
    <cellStyle name="Обычный 2 2 3 2 2" xfId="44465"/>
    <cellStyle name="Обычный 2 2 3 2 2 2" xfId="46368"/>
    <cellStyle name="Обычный 2 2 3 2 3" xfId="43832"/>
    <cellStyle name="Обычный 2 2 3 3" xfId="44466"/>
    <cellStyle name="Обычный 2 2 3 3 2" xfId="46369"/>
    <cellStyle name="Обычный 2 2 3 4" xfId="44467"/>
    <cellStyle name="Обычный 2 2 4" xfId="43218"/>
    <cellStyle name="Обычный 2 2 4 2" xfId="46371"/>
    <cellStyle name="Обычный 2 2 4 3" xfId="46370"/>
    <cellStyle name="Обычный 2 2 4 4" xfId="44468"/>
    <cellStyle name="Обычный 2 2 5" xfId="44469"/>
    <cellStyle name="Обычный 2 2 5 2" xfId="46372"/>
    <cellStyle name="Обычный 2 2 6" xfId="46373"/>
    <cellStyle name="Обычный 2 2 7" xfId="46374"/>
    <cellStyle name="Обычный 2 2 8" xfId="46375"/>
    <cellStyle name="Обычный 2 2_46EE.2011(v1.0)" xfId="43219"/>
    <cellStyle name="Обычный 2 3" xfId="17"/>
    <cellStyle name="Обычный 2 3 2" xfId="466"/>
    <cellStyle name="Обычный 2 3 2 2" xfId="43220"/>
    <cellStyle name="Обычный 2 3 2 2 2" xfId="46376"/>
    <cellStyle name="Обычный 2 3 2 2 3" xfId="44029"/>
    <cellStyle name="Обычный 2 3 2 3" xfId="44470"/>
    <cellStyle name="Обычный 2 3 2 3 2" xfId="46377"/>
    <cellStyle name="Обычный 2 3 2 4" xfId="46378"/>
    <cellStyle name="Обычный 2 3 3" xfId="467"/>
    <cellStyle name="Обычный 2 3 3 2" xfId="17451"/>
    <cellStyle name="Обычный 2 3 4" xfId="43221"/>
    <cellStyle name="Обычный 2 3 4 2" xfId="46379"/>
    <cellStyle name="Обычный 2 3 4 3" xfId="44471"/>
    <cellStyle name="Обычный 2 3 5" xfId="46380"/>
    <cellStyle name="Обычный 2 3_46EE.2011(v1.0)" xfId="43222"/>
    <cellStyle name="Обычный 2 4" xfId="40"/>
    <cellStyle name="Обычный 2 4 10" xfId="44472"/>
    <cellStyle name="Обычный 2 4 11" xfId="46381"/>
    <cellStyle name="Обычный 2 4 2" xfId="468"/>
    <cellStyle name="Обычный 2 4 2 2" xfId="5338"/>
    <cellStyle name="Обычный 2 4 2 2 2" xfId="43223"/>
    <cellStyle name="Обычный 2 4 2 2 2 2" xfId="44473"/>
    <cellStyle name="Обычный 2 4 2 2 2 2 2" xfId="44474"/>
    <cellStyle name="Обычный 2 4 2 2 2 3" xfId="44475"/>
    <cellStyle name="Обычный 2 4 2 2 2 4" xfId="46384"/>
    <cellStyle name="Обычный 2 4 2 2 3" xfId="43224"/>
    <cellStyle name="Обычный 2 4 2 2 3 2" xfId="44476"/>
    <cellStyle name="Обычный 2 4 2 2 3 3" xfId="46385"/>
    <cellStyle name="Обычный 2 4 2 2 4" xfId="44477"/>
    <cellStyle name="Обычный 2 4 2 2 4 2" xfId="46386"/>
    <cellStyle name="Обычный 2 4 2 2 5" xfId="44478"/>
    <cellStyle name="Обычный 2 4 2 2 5 2" xfId="46387"/>
    <cellStyle name="Обычный 2 4 2 2 6" xfId="44479"/>
    <cellStyle name="Обычный 2 4 2 2 6 2" xfId="46388"/>
    <cellStyle name="Обычный 2 4 2 2 7" xfId="45333"/>
    <cellStyle name="Обычный 2 4 2 2 8" xfId="46383"/>
    <cellStyle name="Обычный 2 4 2 3" xfId="43225"/>
    <cellStyle name="Обычный 2 4 2 3 2" xfId="45377"/>
    <cellStyle name="Обычный 2 4 2 4" xfId="43226"/>
    <cellStyle name="Обычный 2 4 2 5" xfId="43227"/>
    <cellStyle name="Обычный 2 4 2 6" xfId="45309"/>
    <cellStyle name="Обычный 2 4 2 7" xfId="46382"/>
    <cellStyle name="Обычный 2 4 3" xfId="17452"/>
    <cellStyle name="Обычный 2 4 3 2" xfId="44481"/>
    <cellStyle name="Обычный 2 4 3 2 2" xfId="44482"/>
    <cellStyle name="Обычный 2 4 3 2 2 2" xfId="44483"/>
    <cellStyle name="Обычный 2 4 3 2 2 2 2" xfId="44484"/>
    <cellStyle name="Обычный 2 4 3 2 2 3" xfId="44485"/>
    <cellStyle name="Обычный 2 4 3 2 3" xfId="44486"/>
    <cellStyle name="Обычный 2 4 3 2 3 2" xfId="44487"/>
    <cellStyle name="Обычный 2 4 3 2 4" xfId="44488"/>
    <cellStyle name="Обычный 2 4 3 3" xfId="44489"/>
    <cellStyle name="Обычный 2 4 3 3 2" xfId="44490"/>
    <cellStyle name="Обычный 2 4 3 3 2 2" xfId="44491"/>
    <cellStyle name="Обычный 2 4 3 3 3" xfId="44492"/>
    <cellStyle name="Обычный 2 4 3 4" xfId="44493"/>
    <cellStyle name="Обычный 2 4 3 4 2" xfId="44494"/>
    <cellStyle name="Обычный 2 4 3 5" xfId="44495"/>
    <cellStyle name="Обычный 2 4 3 6" xfId="46389"/>
    <cellStyle name="Обычный 2 4 3 7" xfId="44480"/>
    <cellStyle name="Обычный 2 4 4" xfId="44496"/>
    <cellStyle name="Обычный 2 4 4 2" xfId="44497"/>
    <cellStyle name="Обычный 2 4 4 2 2" xfId="44498"/>
    <cellStyle name="Обычный 2 4 4 2 2 2" xfId="44499"/>
    <cellStyle name="Обычный 2 4 4 2 3" xfId="44500"/>
    <cellStyle name="Обычный 2 4 4 3" xfId="44501"/>
    <cellStyle name="Обычный 2 4 4 3 2" xfId="44502"/>
    <cellStyle name="Обычный 2 4 4 4" xfId="44503"/>
    <cellStyle name="Обычный 2 4 4 5" xfId="46390"/>
    <cellStyle name="Обычный 2 4 5" xfId="44504"/>
    <cellStyle name="Обычный 2 4 5 2" xfId="44505"/>
    <cellStyle name="Обычный 2 4 5 2 2" xfId="44506"/>
    <cellStyle name="Обычный 2 4 5 2 2 2" xfId="44507"/>
    <cellStyle name="Обычный 2 4 5 2 3" xfId="44508"/>
    <cellStyle name="Обычный 2 4 5 3" xfId="44509"/>
    <cellStyle name="Обычный 2 4 5 3 2" xfId="44510"/>
    <cellStyle name="Обычный 2 4 5 4" xfId="44511"/>
    <cellStyle name="Обычный 2 4 5 5" xfId="46391"/>
    <cellStyle name="Обычный 2 4 6" xfId="44512"/>
    <cellStyle name="Обычный 2 4 6 2" xfId="44513"/>
    <cellStyle name="Обычный 2 4 6 2 2" xfId="44514"/>
    <cellStyle name="Обычный 2 4 6 2 2 2" xfId="44515"/>
    <cellStyle name="Обычный 2 4 6 2 3" xfId="44516"/>
    <cellStyle name="Обычный 2 4 6 3" xfId="44517"/>
    <cellStyle name="Обычный 2 4 6 3 2" xfId="44518"/>
    <cellStyle name="Обычный 2 4 6 4" xfId="44519"/>
    <cellStyle name="Обычный 2 4 6 5" xfId="46392"/>
    <cellStyle name="Обычный 2 4 7" xfId="44520"/>
    <cellStyle name="Обычный 2 4 7 2" xfId="44521"/>
    <cellStyle name="Обычный 2 4 7 2 2" xfId="44522"/>
    <cellStyle name="Обычный 2 4 7 3" xfId="44523"/>
    <cellStyle name="Обычный 2 4 7 4" xfId="46393"/>
    <cellStyle name="Обычный 2 4 8" xfId="44524"/>
    <cellStyle name="Обычный 2 4 8 2" xfId="44525"/>
    <cellStyle name="Обычный 2 4 8 3" xfId="46394"/>
    <cellStyle name="Обычный 2 4 9" xfId="44526"/>
    <cellStyle name="Обычный 2 4_46EE.2011(v1.0)" xfId="43228"/>
    <cellStyle name="Обычный 2 44" xfId="44527"/>
    <cellStyle name="Обычный 2 45 2" xfId="43892"/>
    <cellStyle name="Обычный 2 45 2 2" xfId="44528"/>
    <cellStyle name="Обычный 2 5" xfId="469"/>
    <cellStyle name="Обычный 2 5 2" xfId="17453"/>
    <cellStyle name="Обычный 2 5 2 2" xfId="43229"/>
    <cellStyle name="Обычный 2 5 2 2 2" xfId="43230"/>
    <cellStyle name="Обычный 2 5 2 2 2 2" xfId="43231"/>
    <cellStyle name="Обычный 2 5 2 2 2 3" xfId="43232"/>
    <cellStyle name="Обычный 2 5 2 2 3" xfId="43233"/>
    <cellStyle name="Обычный 2 5 2 2 4" xfId="43234"/>
    <cellStyle name="Обычный 2 5 2 3" xfId="43235"/>
    <cellStyle name="Обычный 2 5 2 3 2" xfId="43236"/>
    <cellStyle name="Обычный 2 5 2 3 3" xfId="43237"/>
    <cellStyle name="Обычный 2 5 2 4" xfId="43238"/>
    <cellStyle name="Обычный 2 5 2 5" xfId="43239"/>
    <cellStyle name="Обычный 2 5 2 6" xfId="43240"/>
    <cellStyle name="Обычный 2 5 3" xfId="43241"/>
    <cellStyle name="Обычный 2 5 3 2" xfId="43242"/>
    <cellStyle name="Обычный 2 5 3 2 2" xfId="43243"/>
    <cellStyle name="Обычный 2 5 3 2 3" xfId="43244"/>
    <cellStyle name="Обычный 2 5 3 2 4" xfId="46396"/>
    <cellStyle name="Обычный 2 5 3 3" xfId="43245"/>
    <cellStyle name="Обычный 2 5 3 4" xfId="43246"/>
    <cellStyle name="Обычный 2 5 4" xfId="43247"/>
    <cellStyle name="Обычный 2 5 4 2" xfId="43248"/>
    <cellStyle name="Обычный 2 5 4 3" xfId="43249"/>
    <cellStyle name="Обычный 2 5 4 4" xfId="46395"/>
    <cellStyle name="Обычный 2 5 5" xfId="43250"/>
    <cellStyle name="Обычный 2 5 5 2" xfId="43251"/>
    <cellStyle name="Обычный 2 5 5 3" xfId="43252"/>
    <cellStyle name="Обычный 2 5 6" xfId="43253"/>
    <cellStyle name="Обычный 2 5 7" xfId="43254"/>
    <cellStyle name="Обычный 2 5 8" xfId="43255"/>
    <cellStyle name="Обычный 2 5_46EE.2011(v1.0)" xfId="43256"/>
    <cellStyle name="Обычный 2 6" xfId="43257"/>
    <cellStyle name="Обычный 2 6 2" xfId="43258"/>
    <cellStyle name="Обычный 2 6 2 2" xfId="44529"/>
    <cellStyle name="Обычный 2 6 3" xfId="46397"/>
    <cellStyle name="Обычный 2 6 4" xfId="43833"/>
    <cellStyle name="Обычный 2 6_46EE.2011(v1.0)" xfId="43259"/>
    <cellStyle name="Обычный 2 7" xfId="43260"/>
    <cellStyle name="Обычный 2 7 2" xfId="44530"/>
    <cellStyle name="Обычный 2 7 2 2" xfId="46400"/>
    <cellStyle name="Обычный 2 7 2 3" xfId="46399"/>
    <cellStyle name="Обычный 2 7 3" xfId="46401"/>
    <cellStyle name="Обычный 2 7 4" xfId="46398"/>
    <cellStyle name="Обычный 2 7 5" xfId="43834"/>
    <cellStyle name="Обычный 2 8" xfId="43261"/>
    <cellStyle name="Обычный 2 8 2" xfId="46402"/>
    <cellStyle name="Обычный 2 8 3" xfId="44531"/>
    <cellStyle name="Обычный 2 9" xfId="43262"/>
    <cellStyle name="Обычный 2 9 2" xfId="46404"/>
    <cellStyle name="Обычный 2 9 3" xfId="46403"/>
    <cellStyle name="Обычный 2 9 4" xfId="44532"/>
    <cellStyle name="Обычный 2_1" xfId="43263"/>
    <cellStyle name="Обычный 20" xfId="470"/>
    <cellStyle name="Обычный 20 2" xfId="17454"/>
    <cellStyle name="Обычный 20 3" xfId="43264"/>
    <cellStyle name="Обычный 21" xfId="662"/>
    <cellStyle name="Обычный 21 2" xfId="43265"/>
    <cellStyle name="Обычный 22" xfId="663"/>
    <cellStyle name="Обычный 22 2" xfId="43266"/>
    <cellStyle name="Обычный 23" xfId="4973"/>
    <cellStyle name="Обычный 23 2" xfId="5577"/>
    <cellStyle name="Обычный 23 3" xfId="10160"/>
    <cellStyle name="Обычный 23 4" xfId="44011"/>
    <cellStyle name="Обычный 24" xfId="4974"/>
    <cellStyle name="Обычный 24 2" xfId="5578"/>
    <cellStyle name="Обычный 24 2 2" xfId="43267"/>
    <cellStyle name="Обычный 24 2 3" xfId="43268"/>
    <cellStyle name="Обычный 24 2 3 2" xfId="43269"/>
    <cellStyle name="Обычный 24 2 3 3" xfId="43270"/>
    <cellStyle name="Обычный 24 2 4" xfId="43271"/>
    <cellStyle name="Обычный 24 2 5" xfId="43272"/>
    <cellStyle name="Обычный 24 3" xfId="43273"/>
    <cellStyle name="Обычный 24 4" xfId="43274"/>
    <cellStyle name="Обычный 24 5" xfId="43275"/>
    <cellStyle name="Обычный 25" xfId="4975"/>
    <cellStyle name="Обычный 25 2" xfId="17565"/>
    <cellStyle name="Обычный 25 2 2" xfId="43276"/>
    <cellStyle name="Обычный 25 2 2 2" xfId="43277"/>
    <cellStyle name="Обычный 25 2 2 2 2" xfId="43278"/>
    <cellStyle name="Обычный 25 2 2 2 3" xfId="43279"/>
    <cellStyle name="Обычный 25 2 2 3" xfId="43280"/>
    <cellStyle name="Обычный 25 2 2 4" xfId="43281"/>
    <cellStyle name="Обычный 25 3" xfId="43282"/>
    <cellStyle name="Обычный 25 4" xfId="43283"/>
    <cellStyle name="Обычный 25 5" xfId="43284"/>
    <cellStyle name="Обычный 26" xfId="4976"/>
    <cellStyle name="Обычный 26 2" xfId="17566"/>
    <cellStyle name="Обычный 26 3" xfId="43285"/>
    <cellStyle name="Обычный 26 4" xfId="43286"/>
    <cellStyle name="Обычный 27" xfId="4977"/>
    <cellStyle name="Обычный 27 2" xfId="17567"/>
    <cellStyle name="Обычный 27 3" xfId="43287"/>
    <cellStyle name="Обычный 27 4" xfId="43288"/>
    <cellStyle name="Обычный 28" xfId="17568"/>
    <cellStyle name="Обычный 28 2" xfId="43289"/>
    <cellStyle name="Обычный 28 3" xfId="43290"/>
    <cellStyle name="Обычный 28 4" xfId="43291"/>
    <cellStyle name="Обычный 28 5" xfId="43757"/>
    <cellStyle name="Обычный 29" xfId="17569"/>
    <cellStyle name="Обычный 29 2" xfId="43292"/>
    <cellStyle name="Обычный 29 3" xfId="43293"/>
    <cellStyle name="Обычный 29 4" xfId="43294"/>
    <cellStyle name="Обычный 3" xfId="18"/>
    <cellStyle name="Обычный 3 2" xfId="19"/>
    <cellStyle name="Обычный 3 2 10" xfId="44533"/>
    <cellStyle name="Обычный 3 2 10 2" xfId="44534"/>
    <cellStyle name="Обычный 3 2 11" xfId="44535"/>
    <cellStyle name="Обычный 3 2 12" xfId="44536"/>
    <cellStyle name="Обычный 3 2 13" xfId="44537"/>
    <cellStyle name="Обычный 3 2 14" xfId="45263"/>
    <cellStyle name="Обычный 3 2 15" xfId="46405"/>
    <cellStyle name="Обычный 3 2 2" xfId="20"/>
    <cellStyle name="Обычный 3 2 2 2" xfId="471"/>
    <cellStyle name="Обычный 3 2 2 2 2" xfId="46407"/>
    <cellStyle name="Обычный 3 2 2 2 3" xfId="46406"/>
    <cellStyle name="Обычный 3 2 2 3" xfId="44538"/>
    <cellStyle name="Обычный 3 2 2 3 2" xfId="46409"/>
    <cellStyle name="Обычный 3 2 2 3 3" xfId="46410"/>
    <cellStyle name="Обычный 3 2 2 3 4" xfId="46408"/>
    <cellStyle name="Обычный 3 2 2 4" xfId="46411"/>
    <cellStyle name="Обычный 3 2 3" xfId="45"/>
    <cellStyle name="Обычный 3 2 3 2" xfId="472"/>
    <cellStyle name="Обычный 3 2 3 2 2" xfId="17455"/>
    <cellStyle name="Обычный 3 2 3 2 3" xfId="44539"/>
    <cellStyle name="Обычный 3 2 3 2 4" xfId="45265"/>
    <cellStyle name="Обычный 3 2 3 2 5" xfId="46412"/>
    <cellStyle name="Обычный 3 2 3 2 6" xfId="43759"/>
    <cellStyle name="Обычный 3 2 3 3" xfId="5340"/>
    <cellStyle name="Обычный 3 2 3 3 2" xfId="44540"/>
    <cellStyle name="Обычный 3 2 3 3 3" xfId="43836"/>
    <cellStyle name="Обычный 3 2 3 4" xfId="44018"/>
    <cellStyle name="Обычный 3 2 3 4 2" xfId="45368"/>
    <cellStyle name="Обычный 3 2 3 5" xfId="44541"/>
    <cellStyle name="Обычный 3 2 3 6" xfId="44542"/>
    <cellStyle name="Обычный 3 2 3 7" xfId="45264"/>
    <cellStyle name="Обычный 3 2 4" xfId="473"/>
    <cellStyle name="Обычный 3 2 4 2" xfId="5341"/>
    <cellStyle name="Обычный 3 2 4 2 2" xfId="44543"/>
    <cellStyle name="Обычный 3 2 4 2 2 2" xfId="44544"/>
    <cellStyle name="Обычный 3 2 4 2 2 2 2" xfId="44545"/>
    <cellStyle name="Обычный 3 2 4 2 2 3" xfId="44546"/>
    <cellStyle name="Обычный 3 2 4 2 3" xfId="44547"/>
    <cellStyle name="Обычный 3 2 4 2 3 2" xfId="44548"/>
    <cellStyle name="Обычный 3 2 4 2 4" xfId="44549"/>
    <cellStyle name="Обычный 3 2 4 2 5" xfId="44550"/>
    <cellStyle name="Обычный 3 2 4 2 6" xfId="43837"/>
    <cellStyle name="Обычный 3 2 4 3" xfId="44030"/>
    <cellStyle name="Обычный 3 2 4 3 2" xfId="44551"/>
    <cellStyle name="Обычный 3 2 4 3 2 2" xfId="44552"/>
    <cellStyle name="Обычный 3 2 4 3 3" xfId="44553"/>
    <cellStyle name="Обычный 3 2 4 3 4" xfId="45378"/>
    <cellStyle name="Обычный 3 2 4 4" xfId="44554"/>
    <cellStyle name="Обычный 3 2 4 4 2" xfId="44555"/>
    <cellStyle name="Обычный 3 2 4 5" xfId="44556"/>
    <cellStyle name="Обычный 3 2 4 6" xfId="44557"/>
    <cellStyle name="Обычный 3 2 4 7" xfId="44558"/>
    <cellStyle name="Обычный 3 2 4 8" xfId="45266"/>
    <cellStyle name="Обычный 3 2 4 9" xfId="46413"/>
    <cellStyle name="Обычный 3 2 5" xfId="5339"/>
    <cellStyle name="Обычный 3 2 5 2" xfId="44559"/>
    <cellStyle name="Обычный 3 2 5 2 2" xfId="44560"/>
    <cellStyle name="Обычный 3 2 5 2 2 2" xfId="44561"/>
    <cellStyle name="Обычный 3 2 5 2 2 2 2" xfId="44562"/>
    <cellStyle name="Обычный 3 2 5 2 2 3" xfId="44563"/>
    <cellStyle name="Обычный 3 2 5 2 3" xfId="44564"/>
    <cellStyle name="Обычный 3 2 5 2 3 2" xfId="44565"/>
    <cellStyle name="Обычный 3 2 5 2 4" xfId="44566"/>
    <cellStyle name="Обычный 3 2 5 3" xfId="44567"/>
    <cellStyle name="Обычный 3 2 5 3 2" xfId="44568"/>
    <cellStyle name="Обычный 3 2 5 3 2 2" xfId="44569"/>
    <cellStyle name="Обычный 3 2 5 3 3" xfId="44570"/>
    <cellStyle name="Обычный 3 2 5 4" xfId="44571"/>
    <cellStyle name="Обычный 3 2 5 4 2" xfId="44572"/>
    <cellStyle name="Обычный 3 2 5 5" xfId="44573"/>
    <cellStyle name="Обычный 3 2 5 6" xfId="44574"/>
    <cellStyle name="Обычный 3 2 5 7" xfId="44575"/>
    <cellStyle name="Обычный 3 2 5 8" xfId="45334"/>
    <cellStyle name="Обычный 3 2 5 9" xfId="46414"/>
    <cellStyle name="Обычный 3 2 6" xfId="43835"/>
    <cellStyle name="Обычный 3 2 6 2" xfId="44576"/>
    <cellStyle name="Обычный 3 2 6 2 2" xfId="44577"/>
    <cellStyle name="Обычный 3 2 6 2 2 2" xfId="44578"/>
    <cellStyle name="Обычный 3 2 6 2 3" xfId="44579"/>
    <cellStyle name="Обычный 3 2 6 3" xfId="44580"/>
    <cellStyle name="Обычный 3 2 6 3 2" xfId="44581"/>
    <cellStyle name="Обычный 3 2 6 4" xfId="44582"/>
    <cellStyle name="Обычный 3 2 6 5" xfId="44583"/>
    <cellStyle name="Обычный 3 2 6 6" xfId="44584"/>
    <cellStyle name="Обычный 3 2 6 7" xfId="45310"/>
    <cellStyle name="Обычный 3 2 7" xfId="44012"/>
    <cellStyle name="Обычный 3 2 7 2" xfId="44585"/>
    <cellStyle name="Обычный 3 2 7 2 2" xfId="44586"/>
    <cellStyle name="Обычный 3 2 7 2 2 2" xfId="44587"/>
    <cellStyle name="Обычный 3 2 7 2 3" xfId="44588"/>
    <cellStyle name="Обычный 3 2 7 3" xfId="44589"/>
    <cellStyle name="Обычный 3 2 7 3 2" xfId="44590"/>
    <cellStyle name="Обычный 3 2 7 4" xfId="44591"/>
    <cellStyle name="Обычный 3 2 7 5" xfId="45362"/>
    <cellStyle name="Обычный 3 2 8" xfId="44592"/>
    <cellStyle name="Обычный 3 2 8 2" xfId="44593"/>
    <cellStyle name="Обычный 3 2 8 2 2" xfId="44594"/>
    <cellStyle name="Обычный 3 2 8 2 2 2" xfId="44595"/>
    <cellStyle name="Обычный 3 2 8 2 3" xfId="44596"/>
    <cellStyle name="Обычный 3 2 8 3" xfId="44597"/>
    <cellStyle name="Обычный 3 2 8 3 2" xfId="44598"/>
    <cellStyle name="Обычный 3 2 8 4" xfId="44599"/>
    <cellStyle name="Обычный 3 2 9" xfId="44600"/>
    <cellStyle name="Обычный 3 2 9 2" xfId="44601"/>
    <cellStyle name="Обычный 3 2 9 2 2" xfId="44602"/>
    <cellStyle name="Обычный 3 2 9 3" xfId="44603"/>
    <cellStyle name="Обычный 3 3" xfId="474"/>
    <cellStyle name="Обычный 3 3 2" xfId="475"/>
    <cellStyle name="Обычный 3 3 2 2" xfId="44031"/>
    <cellStyle name="Обычный 3 3 2 2 2" xfId="46416"/>
    <cellStyle name="Обычный 3 3 2 2 3" xfId="46415"/>
    <cellStyle name="Обычный 3 3 2 3" xfId="46417"/>
    <cellStyle name="Обычный 3 3 2 4" xfId="46418"/>
    <cellStyle name="Обычный 3 3 2 5" xfId="43839"/>
    <cellStyle name="Обычный 3 3 3" xfId="43295"/>
    <cellStyle name="Обычный 3 3 3 2" xfId="44604"/>
    <cellStyle name="Обычный 3 3 3 2 2" xfId="46420"/>
    <cellStyle name="Обычный 3 3 3 3" xfId="46419"/>
    <cellStyle name="Обычный 3 3 3 4" xfId="43840"/>
    <cellStyle name="Обычный 3 3 4" xfId="43296"/>
    <cellStyle name="Обычный 3 3 4 2" xfId="46421"/>
    <cellStyle name="Обычный 3 3 5" xfId="44605"/>
    <cellStyle name="Обычный 3 3 6" xfId="43838"/>
    <cellStyle name="Обычный 3 4" xfId="476"/>
    <cellStyle name="Обычный 3 4 2" xfId="43297"/>
    <cellStyle name="Обычный 3 4 2 2" xfId="46423"/>
    <cellStyle name="Обычный 3 4 3" xfId="46424"/>
    <cellStyle name="Обычный 3 4 4" xfId="46425"/>
    <cellStyle name="Обычный 3 4 5" xfId="46422"/>
    <cellStyle name="Обычный 3 4 6" xfId="43841"/>
    <cellStyle name="Обычный 3 5" xfId="477"/>
    <cellStyle name="Обычный 3 5 2" xfId="17456"/>
    <cellStyle name="Обычный 3 5 2 2" xfId="45379"/>
    <cellStyle name="Обычный 3 5 2 2 2" xfId="46428"/>
    <cellStyle name="Обычный 3 5 2 3" xfId="46429"/>
    <cellStyle name="Обычный 3 5 2 4" xfId="46430"/>
    <cellStyle name="Обычный 3 5 2 5" xfId="46431"/>
    <cellStyle name="Обычный 3 5 2 6" xfId="46432"/>
    <cellStyle name="Обычный 3 5 2 7" xfId="46427"/>
    <cellStyle name="Обычный 3 5 3" xfId="46433"/>
    <cellStyle name="Обычный 3 5 3 2" xfId="46434"/>
    <cellStyle name="Обычный 3 5 3 2 2" xfId="46435"/>
    <cellStyle name="Обычный 3 5 3 3" xfId="46436"/>
    <cellStyle name="Обычный 3 5 4" xfId="46426"/>
    <cellStyle name="Обычный 3 5 5" xfId="43842"/>
    <cellStyle name="Обычный 3 6" xfId="41989"/>
    <cellStyle name="Обычный 3 6 2" xfId="46438"/>
    <cellStyle name="Обычный 3 6 3" xfId="46437"/>
    <cellStyle name="Обычный 3 6 4" xfId="44606"/>
    <cellStyle name="Обычный 3 7" xfId="44607"/>
    <cellStyle name="Обычный 3 7 2" xfId="46439"/>
    <cellStyle name="Обычный 3 8" xfId="46440"/>
    <cellStyle name="Обычный 3 8 2" xfId="46441"/>
    <cellStyle name="Обычный 3 9" xfId="46442"/>
    <cellStyle name="Обычный 3_2 квартал" xfId="46443"/>
    <cellStyle name="Обычный 30" xfId="17570"/>
    <cellStyle name="Обычный 30 2" xfId="43298"/>
    <cellStyle name="Обычный 31" xfId="17571"/>
    <cellStyle name="Обычный 31 2" xfId="43299"/>
    <cellStyle name="Обычный 32" xfId="17572"/>
    <cellStyle name="Обычный 32 2" xfId="43300"/>
    <cellStyle name="Обычный 33" xfId="17573"/>
    <cellStyle name="Обычный 34" xfId="17574"/>
    <cellStyle name="Обычный 35" xfId="17575"/>
    <cellStyle name="Обычный 36" xfId="17576"/>
    <cellStyle name="Обычный 37" xfId="17577"/>
    <cellStyle name="Обычный 38" xfId="17578"/>
    <cellStyle name="Обычный 39" xfId="17579"/>
    <cellStyle name="Обычный 4" xfId="21"/>
    <cellStyle name="Обычный 4 10" xfId="44608"/>
    <cellStyle name="Обычный 4 10 2" xfId="44609"/>
    <cellStyle name="Обычный 4 11" xfId="44610"/>
    <cellStyle name="Обычный 4 12" xfId="44611"/>
    <cellStyle name="Обычный 4 13" xfId="44612"/>
    <cellStyle name="Обычный 4 14" xfId="45267"/>
    <cellStyle name="Обычный 4 2" xfId="22"/>
    <cellStyle name="Обычный 4 2 10" xfId="44613"/>
    <cellStyle name="Обычный 4 2 11" xfId="44614"/>
    <cellStyle name="Обычный 4 2 12" xfId="45268"/>
    <cellStyle name="Обычный 4 2 13" xfId="46444"/>
    <cellStyle name="Обычный 4 2 2" xfId="47"/>
    <cellStyle name="Обычный 4 2 2 2" xfId="478"/>
    <cellStyle name="Обычный 4 2 2 2 2" xfId="17457"/>
    <cellStyle name="Обычный 4 2 2 2 2 2" xfId="44615"/>
    <cellStyle name="Обычный 4 2 2 2 2 2 2" xfId="44616"/>
    <cellStyle name="Обычный 4 2 2 2 2 3" xfId="44617"/>
    <cellStyle name="Обычный 4 2 2 2 2 4" xfId="46446"/>
    <cellStyle name="Обычный 4 2 2 2 3" xfId="44618"/>
    <cellStyle name="Обычный 4 2 2 2 3 2" xfId="44619"/>
    <cellStyle name="Обычный 4 2 2 2 4" xfId="44620"/>
    <cellStyle name="Обычный 4 2 2 2 5" xfId="44621"/>
    <cellStyle name="Обычный 4 2 2 2 6" xfId="44622"/>
    <cellStyle name="Обычный 4 2 2 2 7" xfId="45270"/>
    <cellStyle name="Обычный 4 2 2 2 8" xfId="46445"/>
    <cellStyle name="Обычный 4 2 2 2 9" xfId="43760"/>
    <cellStyle name="Обычный 4 2 2 3" xfId="5344"/>
    <cellStyle name="Обычный 4 2 2 3 2" xfId="44623"/>
    <cellStyle name="Обычный 4 2 2 3 2 2" xfId="44624"/>
    <cellStyle name="Обычный 4 2 2 3 3" xfId="44625"/>
    <cellStyle name="Обычный 4 2 2 3 4" xfId="44626"/>
    <cellStyle name="Обычный 4 2 2 3 5" xfId="46447"/>
    <cellStyle name="Обычный 4 2 2 3 6" xfId="43844"/>
    <cellStyle name="Обычный 4 2 2 4" xfId="44019"/>
    <cellStyle name="Обычный 4 2 2 4 2" xfId="44627"/>
    <cellStyle name="Обычный 4 2 2 4 3" xfId="45369"/>
    <cellStyle name="Обычный 4 2 2 5" xfId="44628"/>
    <cellStyle name="Обычный 4 2 2 6" xfId="44629"/>
    <cellStyle name="Обычный 4 2 2 7" xfId="44630"/>
    <cellStyle name="Обычный 4 2 2 8" xfId="45269"/>
    <cellStyle name="Обычный 4 2 3" xfId="5343"/>
    <cellStyle name="Обычный 4 2 3 2" xfId="43914"/>
    <cellStyle name="Обычный 4 2 3 2 2" xfId="44631"/>
    <cellStyle name="Обычный 4 2 3 2 2 2" xfId="44632"/>
    <cellStyle name="Обычный 4 2 3 2 2 2 2" xfId="44633"/>
    <cellStyle name="Обычный 4 2 3 2 2 3" xfId="44634"/>
    <cellStyle name="Обычный 4 2 3 2 3" xfId="44635"/>
    <cellStyle name="Обычный 4 2 3 2 3 2" xfId="44636"/>
    <cellStyle name="Обычный 4 2 3 2 4" xfId="44637"/>
    <cellStyle name="Обычный 4 2 3 2 5" xfId="44638"/>
    <cellStyle name="Обычный 4 2 3 2 6" xfId="44639"/>
    <cellStyle name="Обычный 4 2 3 2 7" xfId="45336"/>
    <cellStyle name="Обычный 4 2 3 2 8" xfId="46449"/>
    <cellStyle name="Обычный 4 2 3 3" xfId="44640"/>
    <cellStyle name="Обычный 4 2 3 3 2" xfId="44641"/>
    <cellStyle name="Обычный 4 2 3 3 2 2" xfId="44642"/>
    <cellStyle name="Обычный 4 2 3 3 3" xfId="44643"/>
    <cellStyle name="Обычный 4 2 3 3 4" xfId="46450"/>
    <cellStyle name="Обычный 4 2 3 4" xfId="44644"/>
    <cellStyle name="Обычный 4 2 3 4 2" xfId="44645"/>
    <cellStyle name="Обычный 4 2 3 5" xfId="44646"/>
    <cellStyle name="Обычный 4 2 3 6" xfId="44647"/>
    <cellStyle name="Обычный 4 2 3 7" xfId="44648"/>
    <cellStyle name="Обычный 4 2 3 8" xfId="45271"/>
    <cellStyle name="Обычный 4 2 3 9" xfId="46448"/>
    <cellStyle name="Обычный 4 2 4" xfId="43843"/>
    <cellStyle name="Обычный 4 2 4 2" xfId="44649"/>
    <cellStyle name="Обычный 4 2 4 2 2" xfId="44650"/>
    <cellStyle name="Обычный 4 2 4 2 2 2" xfId="44651"/>
    <cellStyle name="Обычный 4 2 4 2 3" xfId="44652"/>
    <cellStyle name="Обычный 4 2 4 2 4" xfId="46452"/>
    <cellStyle name="Обычный 4 2 4 3" xfId="44653"/>
    <cellStyle name="Обычный 4 2 4 3 2" xfId="44654"/>
    <cellStyle name="Обычный 4 2 4 4" xfId="44655"/>
    <cellStyle name="Обычный 4 2 4 5" xfId="44656"/>
    <cellStyle name="Обычный 4 2 4 6" xfId="44657"/>
    <cellStyle name="Обычный 4 2 4 7" xfId="45312"/>
    <cellStyle name="Обычный 4 2 4 8" xfId="46451"/>
    <cellStyle name="Обычный 4 2 5" xfId="44014"/>
    <cellStyle name="Обычный 4 2 5 2" xfId="44658"/>
    <cellStyle name="Обычный 4 2 5 2 2" xfId="44659"/>
    <cellStyle name="Обычный 4 2 5 2 2 2" xfId="44660"/>
    <cellStyle name="Обычный 4 2 5 2 3" xfId="44661"/>
    <cellStyle name="Обычный 4 2 5 3" xfId="44662"/>
    <cellStyle name="Обычный 4 2 5 3 2" xfId="44663"/>
    <cellStyle name="Обычный 4 2 5 4" xfId="44664"/>
    <cellStyle name="Обычный 4 2 5 5" xfId="45364"/>
    <cellStyle name="Обычный 4 2 6" xfId="44665"/>
    <cellStyle name="Обычный 4 2 6 2" xfId="44666"/>
    <cellStyle name="Обычный 4 2 6 2 2" xfId="44667"/>
    <cellStyle name="Обычный 4 2 6 2 2 2" xfId="44668"/>
    <cellStyle name="Обычный 4 2 6 2 3" xfId="44669"/>
    <cellStyle name="Обычный 4 2 6 3" xfId="44670"/>
    <cellStyle name="Обычный 4 2 6 3 2" xfId="44671"/>
    <cellStyle name="Обычный 4 2 6 4" xfId="44672"/>
    <cellStyle name="Обычный 4 2 7" xfId="44673"/>
    <cellStyle name="Обычный 4 2 7 2" xfId="44674"/>
    <cellStyle name="Обычный 4 2 7 2 2" xfId="44675"/>
    <cellStyle name="Обычный 4 2 7 3" xfId="44676"/>
    <cellStyle name="Обычный 4 2 8" xfId="44677"/>
    <cellStyle name="Обычный 4 2 8 2" xfId="44678"/>
    <cellStyle name="Обычный 4 2 9" xfId="44679"/>
    <cellStyle name="Обычный 4 3" xfId="46"/>
    <cellStyle name="Обычный 4 3 2" xfId="5345"/>
    <cellStyle name="Обычный 4 3 2 2" xfId="43301"/>
    <cellStyle name="Обычный 4 3 2 2 2" xfId="43302"/>
    <cellStyle name="Обычный 4 3 2 2 2 2" xfId="43303"/>
    <cellStyle name="Обычный 4 3 2 2 2 2 2" xfId="43304"/>
    <cellStyle name="Обычный 4 3 2 2 2 2 3" xfId="43305"/>
    <cellStyle name="Обычный 4 3 2 2 2 3" xfId="43306"/>
    <cellStyle name="Обычный 4 3 2 2 2 3 2" xfId="43307"/>
    <cellStyle name="Обычный 4 3 2 2 2 3 3" xfId="43308"/>
    <cellStyle name="Обычный 4 3 2 2 2 4" xfId="43309"/>
    <cellStyle name="Обычный 4 3 2 2 2 5" xfId="43310"/>
    <cellStyle name="Обычный 4 3 2 2 3" xfId="43311"/>
    <cellStyle name="Обычный 4 3 2 2 3 2" xfId="43312"/>
    <cellStyle name="Обычный 4 3 2 2 3 3" xfId="43313"/>
    <cellStyle name="Обычный 4 3 2 2 4" xfId="43314"/>
    <cellStyle name="Обычный 4 3 2 2 4 2" xfId="43315"/>
    <cellStyle name="Обычный 4 3 2 2 4 3" xfId="43316"/>
    <cellStyle name="Обычный 4 3 2 2 5" xfId="43317"/>
    <cellStyle name="Обычный 4 3 2 2 6" xfId="43318"/>
    <cellStyle name="Обычный 4 3 2 3" xfId="43319"/>
    <cellStyle name="Обычный 4 3 2 3 2" xfId="43320"/>
    <cellStyle name="Обычный 4 3 2 3 2 2" xfId="43321"/>
    <cellStyle name="Обычный 4 3 2 3 2 3" xfId="43322"/>
    <cellStyle name="Обычный 4 3 2 3 3" xfId="43323"/>
    <cellStyle name="Обычный 4 3 2 3 3 2" xfId="43324"/>
    <cellStyle name="Обычный 4 3 2 3 3 3" xfId="43325"/>
    <cellStyle name="Обычный 4 3 2 3 4" xfId="43326"/>
    <cellStyle name="Обычный 4 3 2 3 5" xfId="43327"/>
    <cellStyle name="Обычный 4 3 2 4" xfId="43328"/>
    <cellStyle name="Обычный 4 3 2 4 2" xfId="43329"/>
    <cellStyle name="Обычный 4 3 2 4 3" xfId="43330"/>
    <cellStyle name="Обычный 4 3 2 5" xfId="43331"/>
    <cellStyle name="Обычный 4 3 2 5 2" xfId="43332"/>
    <cellStyle name="Обычный 4 3 2 5 3" xfId="43333"/>
    <cellStyle name="Обычный 4 3 2 5 4" xfId="46453"/>
    <cellStyle name="Обычный 4 3 2 6" xfId="43334"/>
    <cellStyle name="Обычный 4 3 2 7" xfId="43335"/>
    <cellStyle name="Обычный 4 3 3" xfId="43336"/>
    <cellStyle name="Обычный 4 3 3 2" xfId="43337"/>
    <cellStyle name="Обычный 4 3 3 2 2" xfId="43338"/>
    <cellStyle name="Обычный 4 3 3 2 2 2" xfId="43339"/>
    <cellStyle name="Обычный 4 3 3 2 2 3" xfId="43340"/>
    <cellStyle name="Обычный 4 3 3 2 2 4" xfId="46454"/>
    <cellStyle name="Обычный 4 3 3 2 3" xfId="43341"/>
    <cellStyle name="Обычный 4 3 3 2 3 2" xfId="43342"/>
    <cellStyle name="Обычный 4 3 3 2 3 3" xfId="43343"/>
    <cellStyle name="Обычный 4 3 3 2 4" xfId="43344"/>
    <cellStyle name="Обычный 4 3 3 2 5" xfId="43345"/>
    <cellStyle name="Обычный 4 3 3 3" xfId="43346"/>
    <cellStyle name="Обычный 4 3 3 3 2" xfId="43347"/>
    <cellStyle name="Обычный 4 3 3 3 3" xfId="43348"/>
    <cellStyle name="Обычный 4 3 3 4" xfId="43349"/>
    <cellStyle name="Обычный 4 3 3 4 2" xfId="43350"/>
    <cellStyle name="Обычный 4 3 3 4 3" xfId="43351"/>
    <cellStyle name="Обычный 4 3 3 5" xfId="43352"/>
    <cellStyle name="Обычный 4 3 3 6" xfId="43353"/>
    <cellStyle name="Обычный 4 3 3 7" xfId="43845"/>
    <cellStyle name="Обычный 4 3 4" xfId="43354"/>
    <cellStyle name="Обычный 4 3 4 2" xfId="43355"/>
    <cellStyle name="Обычный 4 3 4 2 2" xfId="43356"/>
    <cellStyle name="Обычный 4 3 4 2 3" xfId="43357"/>
    <cellStyle name="Обычный 4 3 4 3" xfId="43358"/>
    <cellStyle name="Обычный 4 3 4 3 2" xfId="43359"/>
    <cellStyle name="Обычный 4 3 4 3 3" xfId="43360"/>
    <cellStyle name="Обычный 4 3 4 4" xfId="43361"/>
    <cellStyle name="Обычный 4 3 4 5" xfId="43362"/>
    <cellStyle name="Обычный 4 3 5" xfId="43363"/>
    <cellStyle name="Обычный 4 3 5 2" xfId="43364"/>
    <cellStyle name="Обычный 4 3 5 3" xfId="43365"/>
    <cellStyle name="Обычный 4 3 6" xfId="43366"/>
    <cellStyle name="Обычный 4 3 6 2" xfId="43367"/>
    <cellStyle name="Обычный 4 3 6 3" xfId="43368"/>
    <cellStyle name="Обычный 4 3 7" xfId="43369"/>
    <cellStyle name="Обычный 4 3 8" xfId="43370"/>
    <cellStyle name="Обычный 4 4" xfId="479"/>
    <cellStyle name="Обычный 4 4 2" xfId="17458"/>
    <cellStyle name="Обычный 4 4 2 2" xfId="44680"/>
    <cellStyle name="Обычный 4 4 2 2 2" xfId="44681"/>
    <cellStyle name="Обычный 4 4 2 2 2 2" xfId="44682"/>
    <cellStyle name="Обычный 4 4 2 2 3" xfId="44683"/>
    <cellStyle name="Обычный 4 4 2 3" xfId="44684"/>
    <cellStyle name="Обычный 4 4 2 3 2" xfId="44685"/>
    <cellStyle name="Обычный 4 4 2 4" xfId="44686"/>
    <cellStyle name="Обычный 4 4 2 5" xfId="44687"/>
    <cellStyle name="Обычный 4 4 2 6" xfId="46455"/>
    <cellStyle name="Обычный 4 4 2 7" xfId="43846"/>
    <cellStyle name="Обычный 4 4 3" xfId="43371"/>
    <cellStyle name="Обычный 4 4 3 2" xfId="44688"/>
    <cellStyle name="Обычный 4 4 3 2 2" xfId="44689"/>
    <cellStyle name="Обычный 4 4 3 3" xfId="44690"/>
    <cellStyle name="Обычный 4 4 3 4" xfId="44032"/>
    <cellStyle name="Обычный 4 4 4" xfId="44691"/>
    <cellStyle name="Обычный 4 4 4 2" xfId="44692"/>
    <cellStyle name="Обычный 4 4 5" xfId="44693"/>
    <cellStyle name="Обычный 4 4 6" xfId="44694"/>
    <cellStyle name="Обычный 4 4 7" xfId="44695"/>
    <cellStyle name="Обычный 4 4 8" xfId="45272"/>
    <cellStyle name="Обычный 4 4 9" xfId="43761"/>
    <cellStyle name="Обычный 4 5" xfId="5342"/>
    <cellStyle name="Обычный 4 5 2" xfId="44696"/>
    <cellStyle name="Обычный 4 5 2 2" xfId="44697"/>
    <cellStyle name="Обычный 4 5 2 2 2" xfId="44698"/>
    <cellStyle name="Обычный 4 5 2 2 2 2" xfId="44699"/>
    <cellStyle name="Обычный 4 5 2 2 3" xfId="44700"/>
    <cellStyle name="Обычный 4 5 2 3" xfId="44701"/>
    <cellStyle name="Обычный 4 5 2 3 2" xfId="44702"/>
    <cellStyle name="Обычный 4 5 2 4" xfId="44703"/>
    <cellStyle name="Обычный 4 5 3" xfId="44704"/>
    <cellStyle name="Обычный 4 5 3 2" xfId="44705"/>
    <cellStyle name="Обычный 4 5 3 2 2" xfId="44706"/>
    <cellStyle name="Обычный 4 5 3 3" xfId="44707"/>
    <cellStyle name="Обычный 4 5 4" xfId="44708"/>
    <cellStyle name="Обычный 4 5 4 2" xfId="44709"/>
    <cellStyle name="Обычный 4 5 5" xfId="44710"/>
    <cellStyle name="Обычный 4 5 6" xfId="44711"/>
    <cellStyle name="Обычный 4 5 7" xfId="44712"/>
    <cellStyle name="Обычный 4 5 8" xfId="45335"/>
    <cellStyle name="Обычный 4 5 9" xfId="46456"/>
    <cellStyle name="Обычный 4 6" xfId="41993"/>
    <cellStyle name="Обычный 4 6 2" xfId="44713"/>
    <cellStyle name="Обычный 4 6 2 2" xfId="44714"/>
    <cellStyle name="Обычный 4 6 2 2 2" xfId="44715"/>
    <cellStyle name="Обычный 4 6 2 3" xfId="44716"/>
    <cellStyle name="Обычный 4 6 3" xfId="44717"/>
    <cellStyle name="Обычный 4 6 3 2" xfId="44718"/>
    <cellStyle name="Обычный 4 6 4" xfId="44719"/>
    <cellStyle name="Обычный 4 6 5" xfId="44720"/>
    <cellStyle name="Обычный 4 6 6" xfId="44721"/>
    <cellStyle name="Обычный 4 6 7" xfId="45311"/>
    <cellStyle name="Обычный 4 6 8" xfId="46457"/>
    <cellStyle name="Обычный 4 7" xfId="43372"/>
    <cellStyle name="Обычный 4 7 2" xfId="44722"/>
    <cellStyle name="Обычный 4 7 2 2" xfId="44723"/>
    <cellStyle name="Обычный 4 7 2 2 2" xfId="44724"/>
    <cellStyle name="Обычный 4 7 2 3" xfId="44725"/>
    <cellStyle name="Обычный 4 7 3" xfId="44726"/>
    <cellStyle name="Обычный 4 7 3 2" xfId="44727"/>
    <cellStyle name="Обычный 4 7 4" xfId="44728"/>
    <cellStyle name="Обычный 4 7 5" xfId="45363"/>
    <cellStyle name="Обычный 4 7 6" xfId="44013"/>
    <cellStyle name="Обычный 4 8" xfId="43373"/>
    <cellStyle name="Обычный 4 8 2" xfId="44730"/>
    <cellStyle name="Обычный 4 8 2 2" xfId="44731"/>
    <cellStyle name="Обычный 4 8 2 2 2" xfId="44732"/>
    <cellStyle name="Обычный 4 8 2 3" xfId="44733"/>
    <cellStyle name="Обычный 4 8 3" xfId="44734"/>
    <cellStyle name="Обычный 4 8 3 2" xfId="44735"/>
    <cellStyle name="Обычный 4 8 4" xfId="44736"/>
    <cellStyle name="Обычный 4 8 5" xfId="44729"/>
    <cellStyle name="Обычный 4 9" xfId="44737"/>
    <cellStyle name="Обычный 4 9 2" xfId="44738"/>
    <cellStyle name="Обычный 4 9 2 2" xfId="44739"/>
    <cellStyle name="Обычный 4 9 3" xfId="44740"/>
    <cellStyle name="Обычный 4_2 квартал" xfId="46458"/>
    <cellStyle name="Обычный 40" xfId="17580"/>
    <cellStyle name="Обычный 41" xfId="17581"/>
    <cellStyle name="Обычный 42" xfId="17582"/>
    <cellStyle name="Обычный 43" xfId="17583"/>
    <cellStyle name="Обычный 44" xfId="17584"/>
    <cellStyle name="Обычный 45" xfId="17585"/>
    <cellStyle name="Обычный 46" xfId="17586"/>
    <cellStyle name="Обычный 47" xfId="17587"/>
    <cellStyle name="Обычный 47 2" xfId="43374"/>
    <cellStyle name="Обычный 48" xfId="17588"/>
    <cellStyle name="Обычный 49" xfId="17589"/>
    <cellStyle name="Обычный 5" xfId="23"/>
    <cellStyle name="Обычный 5 10" xfId="44741"/>
    <cellStyle name="Обычный 5 11" xfId="44742"/>
    <cellStyle name="Обычный 5 12" xfId="44743"/>
    <cellStyle name="Обычный 5 13" xfId="45273"/>
    <cellStyle name="Обычный 5 14" xfId="46459"/>
    <cellStyle name="Обычный 5 2" xfId="48"/>
    <cellStyle name="Обычный 5 2 2" xfId="481"/>
    <cellStyle name="Обычный 5 2 2 2" xfId="44033"/>
    <cellStyle name="Обычный 5 2 2 2 2" xfId="46461"/>
    <cellStyle name="Обычный 5 2 2 3" xfId="44744"/>
    <cellStyle name="Обычный 5 2 2 3 2" xfId="46463"/>
    <cellStyle name="Обычный 5 2 2 3 3" xfId="46462"/>
    <cellStyle name="Обычный 5 2 2 4" xfId="45275"/>
    <cellStyle name="Обычный 5 2 2 4 2" xfId="46464"/>
    <cellStyle name="Обычный 5 2 2 5" xfId="46460"/>
    <cellStyle name="Обычный 5 2 2 6" xfId="43762"/>
    <cellStyle name="Обычный 5 2 3" xfId="480"/>
    <cellStyle name="Обычный 5 2 3 2" xfId="17459"/>
    <cellStyle name="Обычный 5 2 3 2 2" xfId="46467"/>
    <cellStyle name="Обычный 5 2 3 2 3" xfId="46466"/>
    <cellStyle name="Обычный 5 2 3 3" xfId="46468"/>
    <cellStyle name="Обычный 5 2 3 4" xfId="46469"/>
    <cellStyle name="Обычный 5 2 3 5" xfId="46465"/>
    <cellStyle name="Обычный 5 2 3 6" xfId="43848"/>
    <cellStyle name="Обычный 5 2 4" xfId="5347"/>
    <cellStyle name="Обычный 5 2 4 2" xfId="45370"/>
    <cellStyle name="Обычный 5 2 4 3" xfId="46470"/>
    <cellStyle name="Обычный 5 2 5" xfId="41995"/>
    <cellStyle name="Обычный 5 2 5 2" xfId="46471"/>
    <cellStyle name="Обычный 5 2 6" xfId="44745"/>
    <cellStyle name="Обычный 5 2 7" xfId="45274"/>
    <cellStyle name="Обычный 5 29" xfId="43375"/>
    <cellStyle name="Обычный 5 3" xfId="482"/>
    <cellStyle name="Обычный 5 3 10" xfId="43763"/>
    <cellStyle name="Обычный 5 3 2" xfId="43376"/>
    <cellStyle name="Обычный 5 3 2 2" xfId="44746"/>
    <cellStyle name="Обычный 5 3 2 2 2" xfId="44747"/>
    <cellStyle name="Обычный 5 3 2 2 2 2" xfId="44748"/>
    <cellStyle name="Обычный 5 3 2 2 3" xfId="44749"/>
    <cellStyle name="Обычный 5 3 2 2 4" xfId="46474"/>
    <cellStyle name="Обычный 5 3 2 3" xfId="44750"/>
    <cellStyle name="Обычный 5 3 2 3 2" xfId="44751"/>
    <cellStyle name="Обычный 5 3 2 4" xfId="44752"/>
    <cellStyle name="Обычный 5 3 2 5" xfId="44753"/>
    <cellStyle name="Обычный 5 3 2 6" xfId="46473"/>
    <cellStyle name="Обычный 5 3 2 7" xfId="43849"/>
    <cellStyle name="Обычный 5 3 3" xfId="43377"/>
    <cellStyle name="Обычный 5 3 3 2" xfId="44754"/>
    <cellStyle name="Обычный 5 3 3 2 2" xfId="44755"/>
    <cellStyle name="Обычный 5 3 3 3" xfId="44756"/>
    <cellStyle name="Обычный 5 3 3 4" xfId="46475"/>
    <cellStyle name="Обычный 5 3 3 5" xfId="44034"/>
    <cellStyle name="Обычный 5 3 4" xfId="44757"/>
    <cellStyle name="Обычный 5 3 4 2" xfId="44758"/>
    <cellStyle name="Обычный 5 3 5" xfId="44759"/>
    <cellStyle name="Обычный 5 3 6" xfId="44760"/>
    <cellStyle name="Обычный 5 3 7" xfId="44761"/>
    <cellStyle name="Обычный 5 3 8" xfId="45276"/>
    <cellStyle name="Обычный 5 3 9" xfId="46472"/>
    <cellStyle name="Обычный 5 4" xfId="483"/>
    <cellStyle name="Обычный 5 4 2" xfId="5348"/>
    <cellStyle name="Обычный 5 4 2 2" xfId="43378"/>
    <cellStyle name="Обычный 5 4 2 2 2" xfId="44762"/>
    <cellStyle name="Обычный 5 4 2 2 2 2" xfId="44763"/>
    <cellStyle name="Обычный 5 4 2 2 3" xfId="44764"/>
    <cellStyle name="Обычный 5 4 2 3" xfId="43379"/>
    <cellStyle name="Обычный 5 4 2 3 2" xfId="44765"/>
    <cellStyle name="Обычный 5 4 2 4" xfId="44766"/>
    <cellStyle name="Обычный 5 4 2 5" xfId="45380"/>
    <cellStyle name="Обычный 5 4 2 6" xfId="46477"/>
    <cellStyle name="Обычный 5 4 3" xfId="43380"/>
    <cellStyle name="Обычный 5 4 3 2" xfId="43381"/>
    <cellStyle name="Обычный 5 4 3 2 2" xfId="44767"/>
    <cellStyle name="Обычный 5 4 3 3" xfId="43382"/>
    <cellStyle name="Обычный 5 4 4" xfId="43383"/>
    <cellStyle name="Обычный 5 4 4 2" xfId="44768"/>
    <cellStyle name="Обычный 5 4 5" xfId="43384"/>
    <cellStyle name="Обычный 5 4 6" xfId="44769"/>
    <cellStyle name="Обычный 5 4 7" xfId="44770"/>
    <cellStyle name="Обычный 5 4 8" xfId="45337"/>
    <cellStyle name="Обычный 5 4 9" xfId="46476"/>
    <cellStyle name="Обычный 5 5" xfId="484"/>
    <cellStyle name="Обычный 5 5 2" xfId="17460"/>
    <cellStyle name="Обычный 5 5 2 2" xfId="44771"/>
    <cellStyle name="Обычный 5 5 2 2 2" xfId="44772"/>
    <cellStyle name="Обычный 5 5 2 3" xfId="44773"/>
    <cellStyle name="Обычный 5 5 3" xfId="44774"/>
    <cellStyle name="Обычный 5 5 3 2" xfId="44775"/>
    <cellStyle name="Обычный 5 5 4" xfId="44776"/>
    <cellStyle name="Обычный 5 5 5" xfId="44777"/>
    <cellStyle name="Обычный 5 5 6" xfId="44778"/>
    <cellStyle name="Обычный 5 5 7" xfId="45313"/>
    <cellStyle name="Обычный 5 5 8" xfId="46478"/>
    <cellStyle name="Обычный 5 5 9" xfId="43847"/>
    <cellStyle name="Обычный 5 6" xfId="485"/>
    <cellStyle name="Обычный 5 6 2" xfId="44779"/>
    <cellStyle name="Обычный 5 6 2 2" xfId="44780"/>
    <cellStyle name="Обычный 5 6 2 2 2" xfId="44781"/>
    <cellStyle name="Обычный 5 6 2 3" xfId="44782"/>
    <cellStyle name="Обычный 5 6 3" xfId="44783"/>
    <cellStyle name="Обычный 5 6 3 2" xfId="44784"/>
    <cellStyle name="Обычный 5 6 4" xfId="44785"/>
    <cellStyle name="Обычный 5 6 5" xfId="46479"/>
    <cellStyle name="Обычный 5 7" xfId="486"/>
    <cellStyle name="Обычный 5 7 2" xfId="5349"/>
    <cellStyle name="Обычный 5 7 2 2" xfId="44786"/>
    <cellStyle name="Обычный 5 7 2 2 2" xfId="44787"/>
    <cellStyle name="Обычный 5 7 2 3" xfId="44788"/>
    <cellStyle name="Обычный 5 7 3" xfId="44789"/>
    <cellStyle name="Обычный 5 7 3 2" xfId="44790"/>
    <cellStyle name="Обычный 5 7 4" xfId="44791"/>
    <cellStyle name="Обычный 5 7 5" xfId="45381"/>
    <cellStyle name="Обычный 5 8" xfId="5346"/>
    <cellStyle name="Обычный 5 8 2" xfId="44792"/>
    <cellStyle name="Обычный 5 8 2 2" xfId="44793"/>
    <cellStyle name="Обычный 5 8 3" xfId="44794"/>
    <cellStyle name="Обычный 5 8 4" xfId="45365"/>
    <cellStyle name="Обычный 5 9" xfId="41994"/>
    <cellStyle name="Обычный 5 9 2" xfId="44795"/>
    <cellStyle name="Обычный 5_Все прил 2012-2017 (коррект ПР) ЕАО" xfId="487"/>
    <cellStyle name="Обычный 50" xfId="17590"/>
    <cellStyle name="Обычный 51" xfId="17591"/>
    <cellStyle name="Обычный 52" xfId="17592"/>
    <cellStyle name="Обычный 53" xfId="17593"/>
    <cellStyle name="Обычный 54" xfId="17594"/>
    <cellStyle name="Обычный 55" xfId="17595"/>
    <cellStyle name="Обычный 56" xfId="17596"/>
    <cellStyle name="Обычный 57" xfId="17597"/>
    <cellStyle name="Обычный 58" xfId="17598"/>
    <cellStyle name="Обычный 59" xfId="17599"/>
    <cellStyle name="Обычный 6" xfId="24"/>
    <cellStyle name="Обычный 6 10" xfId="43385"/>
    <cellStyle name="Обычный 6 2" xfId="488"/>
    <cellStyle name="Обычный 6 2 2" xfId="25"/>
    <cellStyle name="Обычный 6 2 2 10" xfId="44796"/>
    <cellStyle name="Обычный 6 2 2 11" xfId="44797"/>
    <cellStyle name="Обычный 6 2 2 12" xfId="45277"/>
    <cellStyle name="Обычный 6 2 2 13" xfId="46480"/>
    <cellStyle name="Обычный 6 2 2 2" xfId="49"/>
    <cellStyle name="Обычный 6 2 2 2 2" xfId="5351"/>
    <cellStyle name="Обычный 6 2 2 2 2 2" xfId="43386"/>
    <cellStyle name="Обычный 6 2 2 2 2 2 2" xfId="44798"/>
    <cellStyle name="Обычный 6 2 2 2 2 2 2 2" xfId="44799"/>
    <cellStyle name="Обычный 6 2 2 2 2 2 3" xfId="44800"/>
    <cellStyle name="Обычный 6 2 2 2 2 3" xfId="43387"/>
    <cellStyle name="Обычный 6 2 2 2 2 3 2" xfId="44801"/>
    <cellStyle name="Обычный 6 2 2 2 2 4" xfId="44802"/>
    <cellStyle name="Обычный 6 2 2 2 2 5" xfId="44803"/>
    <cellStyle name="Обычный 6 2 2 2 2 6" xfId="44804"/>
    <cellStyle name="Обычный 6 2 2 2 2 7" xfId="45279"/>
    <cellStyle name="Обычный 6 2 2 2 2 8" xfId="46482"/>
    <cellStyle name="Обычный 6 2 2 2 3" xfId="43388"/>
    <cellStyle name="Обычный 6 2 2 2 3 2" xfId="43389"/>
    <cellStyle name="Обычный 6 2 2 2 3 2 2" xfId="44805"/>
    <cellStyle name="Обычный 6 2 2 2 3 3" xfId="43390"/>
    <cellStyle name="Обычный 6 2 2 2 3 4" xfId="44806"/>
    <cellStyle name="Обычный 6 2 2 2 3 5" xfId="44807"/>
    <cellStyle name="Обычный 6 2 2 2 3 6" xfId="45338"/>
    <cellStyle name="Обычный 6 2 2 2 4" xfId="44020"/>
    <cellStyle name="Обычный 6 2 2 2 4 2" xfId="44808"/>
    <cellStyle name="Обычный 6 2 2 2 4 3" xfId="45371"/>
    <cellStyle name="Обычный 6 2 2 2 5" xfId="44809"/>
    <cellStyle name="Обычный 6 2 2 2 6" xfId="44810"/>
    <cellStyle name="Обычный 6 2 2 2 7" xfId="44811"/>
    <cellStyle name="Обычный 6 2 2 2 8" xfId="45278"/>
    <cellStyle name="Обычный 6 2 2 2 9" xfId="46481"/>
    <cellStyle name="Обычный 6 2 2 3" xfId="5350"/>
    <cellStyle name="Обычный 6 2 2 3 2" xfId="43391"/>
    <cellStyle name="Обычный 6 2 2 3 2 2" xfId="44812"/>
    <cellStyle name="Обычный 6 2 2 3 2 2 2" xfId="44813"/>
    <cellStyle name="Обычный 6 2 2 3 2 2 2 2" xfId="44814"/>
    <cellStyle name="Обычный 6 2 2 3 2 2 3" xfId="44815"/>
    <cellStyle name="Обычный 6 2 2 3 2 3" xfId="44816"/>
    <cellStyle name="Обычный 6 2 2 3 2 3 2" xfId="44817"/>
    <cellStyle name="Обычный 6 2 2 3 2 4" xfId="44818"/>
    <cellStyle name="Обычный 6 2 2 3 3" xfId="43392"/>
    <cellStyle name="Обычный 6 2 2 3 3 2" xfId="44819"/>
    <cellStyle name="Обычный 6 2 2 3 3 2 2" xfId="44820"/>
    <cellStyle name="Обычный 6 2 2 3 3 3" xfId="44821"/>
    <cellStyle name="Обычный 6 2 2 3 4" xfId="44822"/>
    <cellStyle name="Обычный 6 2 2 3 4 2" xfId="44823"/>
    <cellStyle name="Обычный 6 2 2 3 5" xfId="44824"/>
    <cellStyle name="Обычный 6 2 2 3 6" xfId="44825"/>
    <cellStyle name="Обычный 6 2 2 3 7" xfId="44826"/>
    <cellStyle name="Обычный 6 2 2 3 8" xfId="45280"/>
    <cellStyle name="Обычный 6 2 2 3 9" xfId="46483"/>
    <cellStyle name="Обычный 6 2 2 4" xfId="43393"/>
    <cellStyle name="Обычный 6 2 2 4 2" xfId="43394"/>
    <cellStyle name="Обычный 6 2 2 4 2 2" xfId="44827"/>
    <cellStyle name="Обычный 6 2 2 4 2 2 2" xfId="44828"/>
    <cellStyle name="Обычный 6 2 2 4 2 3" xfId="44829"/>
    <cellStyle name="Обычный 6 2 2 4 3" xfId="43395"/>
    <cellStyle name="Обычный 6 2 2 4 3 2" xfId="44830"/>
    <cellStyle name="Обычный 6 2 2 4 4" xfId="44831"/>
    <cellStyle name="Обычный 6 2 2 4 5" xfId="44832"/>
    <cellStyle name="Обычный 6 2 2 4 6" xfId="44833"/>
    <cellStyle name="Обычный 6 2 2 4 7" xfId="45314"/>
    <cellStyle name="Обычный 6 2 2 5" xfId="43396"/>
    <cellStyle name="Обычный 6 2 2 5 2" xfId="44834"/>
    <cellStyle name="Обычный 6 2 2 5 2 2" xfId="44835"/>
    <cellStyle name="Обычный 6 2 2 5 2 2 2" xfId="44836"/>
    <cellStyle name="Обычный 6 2 2 5 2 3" xfId="44837"/>
    <cellStyle name="Обычный 6 2 2 5 3" xfId="44838"/>
    <cellStyle name="Обычный 6 2 2 5 3 2" xfId="44839"/>
    <cellStyle name="Обычный 6 2 2 5 4" xfId="44840"/>
    <cellStyle name="Обычный 6 2 2 5 5" xfId="45366"/>
    <cellStyle name="Обычный 6 2 2 6" xfId="43397"/>
    <cellStyle name="Обычный 6 2 2 6 2" xfId="44841"/>
    <cellStyle name="Обычный 6 2 2 6 2 2" xfId="44842"/>
    <cellStyle name="Обычный 6 2 2 6 2 2 2" xfId="44843"/>
    <cellStyle name="Обычный 6 2 2 6 2 3" xfId="44844"/>
    <cellStyle name="Обычный 6 2 2 6 3" xfId="44845"/>
    <cellStyle name="Обычный 6 2 2 6 3 2" xfId="44846"/>
    <cellStyle name="Обычный 6 2 2 6 4" xfId="44847"/>
    <cellStyle name="Обычный 6 2 2 7" xfId="43398"/>
    <cellStyle name="Обычный 6 2 2 7 2" xfId="44848"/>
    <cellStyle name="Обычный 6 2 2 7 2 2" xfId="44849"/>
    <cellStyle name="Обычный 6 2 2 7 3" xfId="44850"/>
    <cellStyle name="Обычный 6 2 2 8" xfId="44851"/>
    <cellStyle name="Обычный 6 2 2 8 2" xfId="44852"/>
    <cellStyle name="Обычный 6 2 2 9" xfId="44853"/>
    <cellStyle name="Обычный 6 2 3" xfId="43399"/>
    <cellStyle name="Обычный 6 2 3 2" xfId="46485"/>
    <cellStyle name="Обычный 6 2 3 3" xfId="46484"/>
    <cellStyle name="Обычный 6 2 4" xfId="43400"/>
    <cellStyle name="Обычный 6 2 4 2" xfId="43401"/>
    <cellStyle name="Обычный 6 2 4 3" xfId="43402"/>
    <cellStyle name="Обычный 6 2 5" xfId="43403"/>
    <cellStyle name="Обычный 6 2 6" xfId="43404"/>
    <cellStyle name="Обычный 6 2 7" xfId="43405"/>
    <cellStyle name="Обычный 6 2 8" xfId="43850"/>
    <cellStyle name="Обычный 6 3" xfId="489"/>
    <cellStyle name="Обычный 6 3 2" xfId="43406"/>
    <cellStyle name="Обычный 6 3 2 2" xfId="46487"/>
    <cellStyle name="Обычный 6 3 3" xfId="46488"/>
    <cellStyle name="Обычный 6 3 4" xfId="46489"/>
    <cellStyle name="Обычный 6 3 5" xfId="46490"/>
    <cellStyle name="Обычный 6 3 6" xfId="46491"/>
    <cellStyle name="Обычный 6 3 7" xfId="46492"/>
    <cellStyle name="Обычный 6 3 8" xfId="46486"/>
    <cellStyle name="Обычный 6 4" xfId="490"/>
    <cellStyle name="Обычный 6 4 2" xfId="17461"/>
    <cellStyle name="Обычный 6 5" xfId="43407"/>
    <cellStyle name="Обычный 6 5 2" xfId="46494"/>
    <cellStyle name="Обычный 6 5 3" xfId="46493"/>
    <cellStyle name="Обычный 6 6" xfId="43408"/>
    <cellStyle name="Обычный 6 6 2" xfId="43409"/>
    <cellStyle name="Обычный 6 6 3" xfId="43410"/>
    <cellStyle name="Обычный 6 7" xfId="43411"/>
    <cellStyle name="Обычный 6 8" xfId="43412"/>
    <cellStyle name="Обычный 6 9" xfId="43413"/>
    <cellStyle name="Обычный 60" xfId="17600"/>
    <cellStyle name="Обычный 61" xfId="17601"/>
    <cellStyle name="Обычный 62" xfId="17602"/>
    <cellStyle name="Обычный 63" xfId="17603"/>
    <cellStyle name="Обычный 64" xfId="17604"/>
    <cellStyle name="Обычный 65" xfId="17605"/>
    <cellStyle name="Обычный 66" xfId="17606"/>
    <cellStyle name="Обычный 67" xfId="17607"/>
    <cellStyle name="Обычный 68" xfId="17608"/>
    <cellStyle name="Обычный 69" xfId="17609"/>
    <cellStyle name="Обычный 7" xfId="26"/>
    <cellStyle name="Обычный 7 2" xfId="27"/>
    <cellStyle name="Обычный 7 2 10" xfId="44854"/>
    <cellStyle name="Обычный 7 2 11" xfId="44855"/>
    <cellStyle name="Обычный 7 2 12" xfId="44856"/>
    <cellStyle name="Обычный 7 2 13" xfId="45281"/>
    <cellStyle name="Обычный 7 2 14" xfId="46495"/>
    <cellStyle name="Обычный 7 2 2" xfId="50"/>
    <cellStyle name="Обычный 7 2 2 10" xfId="43764"/>
    <cellStyle name="Обычный 7 2 2 10 2" xfId="44857"/>
    <cellStyle name="Обычный 7 2 2 10 3" xfId="44858"/>
    <cellStyle name="Обычный 7 2 2 10 4" xfId="45283"/>
    <cellStyle name="Обычный 7 2 2 10 5" xfId="46497"/>
    <cellStyle name="Обычный 7 2 2 2" xfId="491"/>
    <cellStyle name="Обычный 7 2 2 2 2" xfId="43414"/>
    <cellStyle name="Обычный 7 2 2 2 2 2" xfId="43415"/>
    <cellStyle name="Обычный 7 2 2 2 2 2 2" xfId="44859"/>
    <cellStyle name="Обычный 7 2 2 2 2 3" xfId="43416"/>
    <cellStyle name="Обычный 7 2 2 2 2 3 2" xfId="44860"/>
    <cellStyle name="Обычный 7 2 2 2 2 3 3" xfId="44861"/>
    <cellStyle name="Обычный 7 2 2 2 2 3 4" xfId="45285"/>
    <cellStyle name="Обычный 7 2 2 2 2 3 5" xfId="46499"/>
    <cellStyle name="Обычный 7 2 2 2 2 4" xfId="43765"/>
    <cellStyle name="Обычный 7 2 2 2 2 4 2" xfId="44862"/>
    <cellStyle name="Обычный 7 2 2 2 2 4 3" xfId="44863"/>
    <cellStyle name="Обычный 7 2 2 2 2 4 4" xfId="45286"/>
    <cellStyle name="Обычный 7 2 2 2 2 4 5" xfId="46500"/>
    <cellStyle name="Обычный 7 2 2 2 2 5" xfId="44035"/>
    <cellStyle name="Обычный 7 2 2 2 3" xfId="43417"/>
    <cellStyle name="Обычный 7 2 2 2 3 2" xfId="44864"/>
    <cellStyle name="Обычный 7 2 2 2 4" xfId="43418"/>
    <cellStyle name="Обычный 7 2 2 2 5" xfId="44865"/>
    <cellStyle name="Обычный 7 2 2 2 6" xfId="44866"/>
    <cellStyle name="Обычный 7 2 2 2 7" xfId="45284"/>
    <cellStyle name="Обычный 7 2 2 2 8" xfId="46498"/>
    <cellStyle name="Обычный 7 2 2 3" xfId="5353"/>
    <cellStyle name="Обычный 7 2 2 3 2" xfId="43419"/>
    <cellStyle name="Обычный 7 2 2 3 2 2" xfId="44867"/>
    <cellStyle name="Обычный 7 2 2 3 3" xfId="43420"/>
    <cellStyle name="Обычный 7 2 2 3 4" xfId="44868"/>
    <cellStyle name="Обычный 7 2 2 3 5" xfId="44869"/>
    <cellStyle name="Обычный 7 2 2 3 6" xfId="45339"/>
    <cellStyle name="Обычный 7 2 2 3 7" xfId="46501"/>
    <cellStyle name="Обычный 7 2 2 4" xfId="43421"/>
    <cellStyle name="Обычный 7 2 2 4 2" xfId="43422"/>
    <cellStyle name="Обычный 7 2 2 4 3" xfId="43423"/>
    <cellStyle name="Обычный 7 2 2 4 4" xfId="46502"/>
    <cellStyle name="Обычный 7 2 2 5" xfId="43424"/>
    <cellStyle name="Обычный 7 2 2 5 2" xfId="46503"/>
    <cellStyle name="Обычный 7 2 2 6" xfId="43425"/>
    <cellStyle name="Обычный 7 2 2 6 2" xfId="46504"/>
    <cellStyle name="Обычный 7 2 2 7" xfId="44870"/>
    <cellStyle name="Обычный 7 2 2 8" xfId="45282"/>
    <cellStyle name="Обычный 7 2 2 9" xfId="46496"/>
    <cellStyle name="Обычный 7 2 3" xfId="5352"/>
    <cellStyle name="Обычный 7 2 3 2" xfId="44871"/>
    <cellStyle name="Обычный 7 2 3 2 2" xfId="44872"/>
    <cellStyle name="Обычный 7 2 3 2 2 2" xfId="44873"/>
    <cellStyle name="Обычный 7 2 3 2 2 2 2" xfId="44874"/>
    <cellStyle name="Обычный 7 2 3 2 2 3" xfId="44875"/>
    <cellStyle name="Обычный 7 2 3 2 3" xfId="44876"/>
    <cellStyle name="Обычный 7 2 3 2 3 2" xfId="44877"/>
    <cellStyle name="Обычный 7 2 3 2 4" xfId="44878"/>
    <cellStyle name="Обычный 7 2 3 2 5" xfId="46506"/>
    <cellStyle name="Обычный 7 2 3 3" xfId="44879"/>
    <cellStyle name="Обычный 7 2 3 3 2" xfId="44880"/>
    <cellStyle name="Обычный 7 2 3 3 2 2" xfId="44881"/>
    <cellStyle name="Обычный 7 2 3 3 3" xfId="44882"/>
    <cellStyle name="Обычный 7 2 3 4" xfId="44883"/>
    <cellStyle name="Обычный 7 2 3 4 2" xfId="44884"/>
    <cellStyle name="Обычный 7 2 3 5" xfId="44885"/>
    <cellStyle name="Обычный 7 2 3 6" xfId="44886"/>
    <cellStyle name="Обычный 7 2 3 7" xfId="44887"/>
    <cellStyle name="Обычный 7 2 3 8" xfId="45287"/>
    <cellStyle name="Обычный 7 2 3 9" xfId="46505"/>
    <cellStyle name="Обычный 7 2 4" xfId="43426"/>
    <cellStyle name="Обычный 7 2 4 2" xfId="44888"/>
    <cellStyle name="Обычный 7 2 4 2 2" xfId="44889"/>
    <cellStyle name="Обычный 7 2 4 2 2 2" xfId="44890"/>
    <cellStyle name="Обычный 7 2 4 2 3" xfId="44891"/>
    <cellStyle name="Обычный 7 2 4 2 4" xfId="46508"/>
    <cellStyle name="Обычный 7 2 4 3" xfId="44892"/>
    <cellStyle name="Обычный 7 2 4 3 2" xfId="44893"/>
    <cellStyle name="Обычный 7 2 4 4" xfId="44894"/>
    <cellStyle name="Обычный 7 2 4 5" xfId="44895"/>
    <cellStyle name="Обычный 7 2 4 6" xfId="44896"/>
    <cellStyle name="Обычный 7 2 4 7" xfId="45315"/>
    <cellStyle name="Обычный 7 2 4 8" xfId="46507"/>
    <cellStyle name="Обычный 7 2 4 9" xfId="43851"/>
    <cellStyle name="Обычный 7 2 5" xfId="44015"/>
    <cellStyle name="Обычный 7 2 5 2" xfId="44897"/>
    <cellStyle name="Обычный 7 2 5 2 2" xfId="44898"/>
    <cellStyle name="Обычный 7 2 5 2 2 2" xfId="44899"/>
    <cellStyle name="Обычный 7 2 5 2 3" xfId="44900"/>
    <cellStyle name="Обычный 7 2 5 3" xfId="44901"/>
    <cellStyle name="Обычный 7 2 5 3 2" xfId="44902"/>
    <cellStyle name="Обычный 7 2 5 4" xfId="44903"/>
    <cellStyle name="Обычный 7 2 5 5" xfId="45367"/>
    <cellStyle name="Обычный 7 2 5 6" xfId="46509"/>
    <cellStyle name="Обычный 7 2 6" xfId="44904"/>
    <cellStyle name="Обычный 7 2 6 2" xfId="44905"/>
    <cellStyle name="Обычный 7 2 6 2 2" xfId="44906"/>
    <cellStyle name="Обычный 7 2 6 2 2 2" xfId="44907"/>
    <cellStyle name="Обычный 7 2 6 2 3" xfId="44908"/>
    <cellStyle name="Обычный 7 2 6 3" xfId="44909"/>
    <cellStyle name="Обычный 7 2 6 3 2" xfId="44910"/>
    <cellStyle name="Обычный 7 2 6 4" xfId="44911"/>
    <cellStyle name="Обычный 7 2 7" xfId="44912"/>
    <cellStyle name="Обычный 7 2 7 2" xfId="44913"/>
    <cellStyle name="Обычный 7 2 7 2 2" xfId="44914"/>
    <cellStyle name="Обычный 7 2 7 3" xfId="44915"/>
    <cellStyle name="Обычный 7 2 8" xfId="43766"/>
    <cellStyle name="Обычный 7 2 8 2" xfId="44916"/>
    <cellStyle name="Обычный 7 2 8 3" xfId="44917"/>
    <cellStyle name="Обычный 7 2 8 4" xfId="44918"/>
    <cellStyle name="Обычный 7 2 8 5" xfId="45288"/>
    <cellStyle name="Обычный 7 2 8 6" xfId="46510"/>
    <cellStyle name="Обычный 7 2 9" xfId="43767"/>
    <cellStyle name="Обычный 7 2 9 2" xfId="44919"/>
    <cellStyle name="Обычный 7 2 9 3" xfId="44920"/>
    <cellStyle name="Обычный 7 2 9 4" xfId="45289"/>
    <cellStyle name="Обычный 7 2 9 5" xfId="46511"/>
    <cellStyle name="Обычный 7 3" xfId="492"/>
    <cellStyle name="Обычный 7 3 2" xfId="43427"/>
    <cellStyle name="Обычный 7 3 2 2" xfId="44922"/>
    <cellStyle name="Обычный 7 3 2 2 2" xfId="44923"/>
    <cellStyle name="Обычный 7 3 2 2 2 2" xfId="44924"/>
    <cellStyle name="Обычный 7 3 2 2 2 2 2" xfId="44925"/>
    <cellStyle name="Обычный 7 3 2 2 2 3" xfId="44926"/>
    <cellStyle name="Обычный 7 3 2 2 3" xfId="44927"/>
    <cellStyle name="Обычный 7 3 2 2 3 2" xfId="44928"/>
    <cellStyle name="Обычный 7 3 2 2 4" xfId="44929"/>
    <cellStyle name="Обычный 7 3 2 2 5" xfId="46514"/>
    <cellStyle name="Обычный 7 3 2 3" xfId="44930"/>
    <cellStyle name="Обычный 7 3 2 3 2" xfId="44931"/>
    <cellStyle name="Обычный 7 3 2 3 2 2" xfId="44932"/>
    <cellStyle name="Обычный 7 3 2 3 3" xfId="44933"/>
    <cellStyle name="Обычный 7 3 2 4" xfId="44934"/>
    <cellStyle name="Обычный 7 3 2 4 2" xfId="44935"/>
    <cellStyle name="Обычный 7 3 2 5" xfId="44936"/>
    <cellStyle name="Обычный 7 3 2 6" xfId="46513"/>
    <cellStyle name="Обычный 7 3 2 7" xfId="44921"/>
    <cellStyle name="Обычный 7 3 3" xfId="44937"/>
    <cellStyle name="Обычный 7 3 3 2" xfId="44938"/>
    <cellStyle name="Обычный 7 3 3 2 2" xfId="44939"/>
    <cellStyle name="Обычный 7 3 3 2 2 2" xfId="44940"/>
    <cellStyle name="Обычный 7 3 3 2 3" xfId="44941"/>
    <cellStyle name="Обычный 7 3 3 3" xfId="44942"/>
    <cellStyle name="Обычный 7 3 3 3 2" xfId="44943"/>
    <cellStyle name="Обычный 7 3 3 4" xfId="44944"/>
    <cellStyle name="Обычный 7 3 3 5" xfId="46515"/>
    <cellStyle name="Обычный 7 3 4" xfId="44945"/>
    <cellStyle name="Обычный 7 3 4 2" xfId="44946"/>
    <cellStyle name="Обычный 7 3 4 2 2" xfId="44947"/>
    <cellStyle name="Обычный 7 3 4 2 2 2" xfId="44948"/>
    <cellStyle name="Обычный 7 3 4 2 3" xfId="44949"/>
    <cellStyle name="Обычный 7 3 4 3" xfId="44950"/>
    <cellStyle name="Обычный 7 3 4 3 2" xfId="44951"/>
    <cellStyle name="Обычный 7 3 4 4" xfId="44952"/>
    <cellStyle name="Обычный 7 3 5" xfId="44953"/>
    <cellStyle name="Обычный 7 3 5 2" xfId="44954"/>
    <cellStyle name="Обычный 7 3 5 2 2" xfId="44955"/>
    <cellStyle name="Обычный 7 3 5 2 2 2" xfId="44956"/>
    <cellStyle name="Обычный 7 3 5 2 3" xfId="44957"/>
    <cellStyle name="Обычный 7 3 5 3" xfId="44958"/>
    <cellStyle name="Обычный 7 3 5 3 2" xfId="44959"/>
    <cellStyle name="Обычный 7 3 5 4" xfId="44960"/>
    <cellStyle name="Обычный 7 3 6" xfId="44961"/>
    <cellStyle name="Обычный 7 3 6 2" xfId="44962"/>
    <cellStyle name="Обычный 7 3 6 2 2" xfId="44963"/>
    <cellStyle name="Обычный 7 3 6 3" xfId="44964"/>
    <cellStyle name="Обычный 7 3 7" xfId="44965"/>
    <cellStyle name="Обычный 7 3 7 2" xfId="44966"/>
    <cellStyle name="Обычный 7 3 8" xfId="44967"/>
    <cellStyle name="Обычный 7 3 9" xfId="46512"/>
    <cellStyle name="Обычный 7 4" xfId="43428"/>
    <cellStyle name="Обычный 7 4 2" xfId="44969"/>
    <cellStyle name="Обычный 7 4 2 2" xfId="44970"/>
    <cellStyle name="Обычный 7 4 2 2 2" xfId="44971"/>
    <cellStyle name="Обычный 7 4 2 3" xfId="44972"/>
    <cellStyle name="Обычный 7 4 2 4" xfId="46517"/>
    <cellStyle name="Обычный 7 4 3" xfId="44973"/>
    <cellStyle name="Обычный 7 4 3 2" xfId="44974"/>
    <cellStyle name="Обычный 7 4 4" xfId="44975"/>
    <cellStyle name="Обычный 7 4 5" xfId="46516"/>
    <cellStyle name="Обычный 7 4 6" xfId="44968"/>
    <cellStyle name="Обычный 7 5" xfId="43429"/>
    <cellStyle name="Обычный 7 5 2" xfId="46518"/>
    <cellStyle name="Обычный 7 5 3" xfId="44976"/>
    <cellStyle name="Обычный 7 6" xfId="43430"/>
    <cellStyle name="Обычный 7 6 2" xfId="43431"/>
    <cellStyle name="Обычный 7 6 2 2" xfId="46519"/>
    <cellStyle name="Обычный 7 6 3" xfId="43432"/>
    <cellStyle name="Обычный 7 7" xfId="43433"/>
    <cellStyle name="Обычный 7 7 2" xfId="46520"/>
    <cellStyle name="Обычный 7 7 3" xfId="45427"/>
    <cellStyle name="Обычный 7 8" xfId="46521"/>
    <cellStyle name="Обычный 7 9" xfId="46522"/>
    <cellStyle name="Обычный 70" xfId="17610"/>
    <cellStyle name="Обычный 71" xfId="17611"/>
    <cellStyle name="Обычный 72" xfId="17612"/>
    <cellStyle name="Обычный 73" xfId="17613"/>
    <cellStyle name="Обычный 74" xfId="17614"/>
    <cellStyle name="Обычный 75" xfId="17615"/>
    <cellStyle name="Обычный 76" xfId="17616"/>
    <cellStyle name="Обычный 77" xfId="17617"/>
    <cellStyle name="Обычный 78" xfId="17618"/>
    <cellStyle name="Обычный 79" xfId="17619"/>
    <cellStyle name="Обычный 8" xfId="493"/>
    <cellStyle name="Обычный 8 10" xfId="46523"/>
    <cellStyle name="Обычный 8 11" xfId="43768"/>
    <cellStyle name="Обычный 8 2" xfId="494"/>
    <cellStyle name="Обычный 8 2 10" xfId="46524"/>
    <cellStyle name="Обычный 8 2 11" xfId="43853"/>
    <cellStyle name="Обычный 8 2 2" xfId="43434"/>
    <cellStyle name="Обычный 8 2 2 2" xfId="44977"/>
    <cellStyle name="Обычный 8 2 2 2 2" xfId="44978"/>
    <cellStyle name="Обычный 8 2 2 2 2 2" xfId="44979"/>
    <cellStyle name="Обычный 8 2 2 2 3" xfId="44980"/>
    <cellStyle name="Обычный 8 2 2 2 4" xfId="46526"/>
    <cellStyle name="Обычный 8 2 2 3" xfId="44981"/>
    <cellStyle name="Обычный 8 2 2 3 2" xfId="44982"/>
    <cellStyle name="Обычный 8 2 2 3 3" xfId="46527"/>
    <cellStyle name="Обычный 8 2 2 4" xfId="44983"/>
    <cellStyle name="Обычный 8 2 2 4 2" xfId="46528"/>
    <cellStyle name="Обычный 8 2 2 5" xfId="44984"/>
    <cellStyle name="Обычный 8 2 2 5 2" xfId="46529"/>
    <cellStyle name="Обычный 8 2 2 6" xfId="44985"/>
    <cellStyle name="Обычный 8 2 2 6 2" xfId="46530"/>
    <cellStyle name="Обычный 8 2 2 7" xfId="45341"/>
    <cellStyle name="Обычный 8 2 2 8" xfId="46525"/>
    <cellStyle name="Обычный 8 2 2 9" xfId="43915"/>
    <cellStyle name="Обычный 8 2 3" xfId="43435"/>
    <cellStyle name="Обычный 8 2 3 2" xfId="44986"/>
    <cellStyle name="Обычный 8 2 3 2 2" xfId="44987"/>
    <cellStyle name="Обычный 8 2 3 2 2 2" xfId="44988"/>
    <cellStyle name="Обычный 8 2 3 2 3" xfId="44989"/>
    <cellStyle name="Обычный 8 2 3 2 4" xfId="46531"/>
    <cellStyle name="Обычный 8 2 3 3" xfId="44990"/>
    <cellStyle name="Обычный 8 2 3 3 2" xfId="44991"/>
    <cellStyle name="Обычный 8 2 3 3 3" xfId="46532"/>
    <cellStyle name="Обычный 8 2 3 4" xfId="44992"/>
    <cellStyle name="Обычный 8 2 4" xfId="44993"/>
    <cellStyle name="Обычный 8 2 4 2" xfId="44994"/>
    <cellStyle name="Обычный 8 2 4 2 2" xfId="44995"/>
    <cellStyle name="Обычный 8 2 4 3" xfId="44996"/>
    <cellStyle name="Обычный 8 2 4 4" xfId="46533"/>
    <cellStyle name="Обычный 8 2 5" xfId="44997"/>
    <cellStyle name="Обычный 8 2 5 2" xfId="44998"/>
    <cellStyle name="Обычный 8 2 6" xfId="44999"/>
    <cellStyle name="Обычный 8 2 7" xfId="45000"/>
    <cellStyle name="Обычный 8 2 8" xfId="45001"/>
    <cellStyle name="Обычный 8 2 9" xfId="45317"/>
    <cellStyle name="Обычный 8 28" xfId="495"/>
    <cellStyle name="Обычный 8 28 2" xfId="496"/>
    <cellStyle name="Обычный 8 3" xfId="497"/>
    <cellStyle name="Обычный 8 3 2" xfId="44037"/>
    <cellStyle name="Обычный 8 3 2 2" xfId="45002"/>
    <cellStyle name="Обычный 8 3 2 2 2" xfId="45003"/>
    <cellStyle name="Обычный 8 3 2 3" xfId="45004"/>
    <cellStyle name="Обычный 8 3 3" xfId="45005"/>
    <cellStyle name="Обычный 8 3 3 2" xfId="45006"/>
    <cellStyle name="Обычный 8 3 4" xfId="45007"/>
    <cellStyle name="Обычный 8 3 5" xfId="45008"/>
    <cellStyle name="Обычный 8 3 6" xfId="46534"/>
    <cellStyle name="Обычный 8 3 7" xfId="43854"/>
    <cellStyle name="Обычный 8 4" xfId="5354"/>
    <cellStyle name="Обычный 8 4 2" xfId="45009"/>
    <cellStyle name="Обычный 8 4 2 2" xfId="45010"/>
    <cellStyle name="Обычный 8 4 2 2 2" xfId="45011"/>
    <cellStyle name="Обычный 8 4 2 3" xfId="45012"/>
    <cellStyle name="Обычный 8 4 2 4" xfId="46536"/>
    <cellStyle name="Обычный 8 4 3" xfId="45013"/>
    <cellStyle name="Обычный 8 4 3 2" xfId="45014"/>
    <cellStyle name="Обычный 8 4 4" xfId="45015"/>
    <cellStyle name="Обычный 8 4 5" xfId="45016"/>
    <cellStyle name="Обычный 8 4 6" xfId="45017"/>
    <cellStyle name="Обычный 8 4 7" xfId="45340"/>
    <cellStyle name="Обычный 8 4 8" xfId="46535"/>
    <cellStyle name="Обычный 8 5" xfId="43852"/>
    <cellStyle name="Обычный 8 5 2" xfId="45018"/>
    <cellStyle name="Обычный 8 5 2 2" xfId="45019"/>
    <cellStyle name="Обычный 8 5 2 2 2" xfId="45020"/>
    <cellStyle name="Обычный 8 5 2 3" xfId="45021"/>
    <cellStyle name="Обычный 8 5 2 4" xfId="46538"/>
    <cellStyle name="Обычный 8 5 3" xfId="45022"/>
    <cellStyle name="Обычный 8 5 3 2" xfId="45023"/>
    <cellStyle name="Обычный 8 5 4" xfId="45024"/>
    <cellStyle name="Обычный 8 5 5" xfId="45025"/>
    <cellStyle name="Обычный 8 5 6" xfId="45026"/>
    <cellStyle name="Обычный 8 5 7" xfId="45316"/>
    <cellStyle name="Обычный 8 5 8" xfId="46537"/>
    <cellStyle name="Обычный 8 6" xfId="44036"/>
    <cellStyle name="Обычный 8 6 2" xfId="45027"/>
    <cellStyle name="Обычный 8 6 2 2" xfId="45028"/>
    <cellStyle name="Обычный 8 6 3" xfId="45029"/>
    <cellStyle name="Обычный 8 6 4" xfId="45382"/>
    <cellStyle name="Обычный 8 6 5" xfId="46539"/>
    <cellStyle name="Обычный 8 7" xfId="45030"/>
    <cellStyle name="Обычный 8 7 2" xfId="45031"/>
    <cellStyle name="Обычный 8 7 3" xfId="46540"/>
    <cellStyle name="Обычный 8 8" xfId="45032"/>
    <cellStyle name="Обычный 8 8 2" xfId="46541"/>
    <cellStyle name="Обычный 8 9" xfId="45033"/>
    <cellStyle name="Обычный 8_Прил 6.1, 6,2, 6,3 факт ЕИ" xfId="498"/>
    <cellStyle name="Обычный 80" xfId="17620"/>
    <cellStyle name="Обычный 81" xfId="17621"/>
    <cellStyle name="Обычный 82" xfId="17622"/>
    <cellStyle name="Обычный 83" xfId="17623"/>
    <cellStyle name="Обычный 84" xfId="17624"/>
    <cellStyle name="Обычный 85" xfId="17625"/>
    <cellStyle name="Обычный 86" xfId="17626"/>
    <cellStyle name="Обычный 87" xfId="17627"/>
    <cellStyle name="Обычный 88" xfId="17628"/>
    <cellStyle name="Обычный 89" xfId="17629"/>
    <cellStyle name="Обычный 9" xfId="499"/>
    <cellStyle name="Обычный 9 2" xfId="500"/>
    <cellStyle name="Обычный 9 2 2" xfId="17462"/>
    <cellStyle name="Обычный 9 2 2 2" xfId="43436"/>
    <cellStyle name="Обычный 9 2 2 2 2" xfId="43437"/>
    <cellStyle name="Обычный 9 2 2 2 2 2" xfId="43438"/>
    <cellStyle name="Обычный 9 2 2 2 2 3" xfId="43439"/>
    <cellStyle name="Обычный 9 2 2 2 3" xfId="43440"/>
    <cellStyle name="Обычный 9 2 2 2 4" xfId="43441"/>
    <cellStyle name="Обычный 9 2 2 2 5" xfId="46543"/>
    <cellStyle name="Обычный 9 2 2 3" xfId="43442"/>
    <cellStyle name="Обычный 9 2 2 3 2" xfId="43443"/>
    <cellStyle name="Обычный 9 2 2 3 3" xfId="43444"/>
    <cellStyle name="Обычный 9 2 2 4" xfId="43445"/>
    <cellStyle name="Обычный 9 2 2 5" xfId="43446"/>
    <cellStyle name="Обычный 9 2 3" xfId="43447"/>
    <cellStyle name="Обычный 9 2 3 2" xfId="43448"/>
    <cellStyle name="Обычный 9 2 3 2 2" xfId="43449"/>
    <cellStyle name="Обычный 9 2 3 2 3" xfId="43450"/>
    <cellStyle name="Обычный 9 2 3 3" xfId="43451"/>
    <cellStyle name="Обычный 9 2 3 4" xfId="43452"/>
    <cellStyle name="Обычный 9 2 3 5" xfId="46542"/>
    <cellStyle name="Обычный 9 3" xfId="2996"/>
    <cellStyle name="Обычный 9 4" xfId="2994"/>
    <cellStyle name="Обычный 9 4 2" xfId="46544"/>
    <cellStyle name="Обычный 90" xfId="17630"/>
    <cellStyle name="Обычный 91" xfId="17631"/>
    <cellStyle name="Обычный 92" xfId="17632"/>
    <cellStyle name="Обычный 93" xfId="17633"/>
    <cellStyle name="Обычный 94" xfId="17634"/>
    <cellStyle name="Обычный 95" xfId="17635"/>
    <cellStyle name="Обычный 96" xfId="17636"/>
    <cellStyle name="Обычный 97" xfId="17637"/>
    <cellStyle name="Обычный 98" xfId="17638"/>
    <cellStyle name="Обычный 99" xfId="17639"/>
    <cellStyle name="Обычный_Красн.Погран.управление ФСБ два 120 кв. жил. дома, 440 кВт250 кВт" xfId="46929"/>
    <cellStyle name="Обычный_Расчёт по ТП мощность74429  на 2009-2013 г налог 20. без рент 0,03" xfId="41998"/>
    <cellStyle name="Обычный_Стоимость м часа ПЭС" xfId="46928"/>
    <cellStyle name="Обычный_Стоимость м часа ПЭС 3" xfId="41999"/>
    <cellStyle name="Обычный_тарифы на 2002г с 1-01" xfId="46927"/>
    <cellStyle name="Обычный_тарифы на 2002г с 1-01 2" xfId="41997"/>
    <cellStyle name="Плохой 2" xfId="501"/>
    <cellStyle name="Плохой 2 2" xfId="502"/>
    <cellStyle name="Плохой 2 2 2" xfId="43453"/>
    <cellStyle name="Плохой 2 2 2 2" xfId="46546"/>
    <cellStyle name="Плохой 2 2 3" xfId="46545"/>
    <cellStyle name="Плохой 2 3" xfId="2999"/>
    <cellStyle name="Плохой 2 3 2" xfId="45034"/>
    <cellStyle name="Плохой 2 4" xfId="2997"/>
    <cellStyle name="Плохой 3" xfId="43454"/>
    <cellStyle name="Плохой 3 2" xfId="43455"/>
    <cellStyle name="Плохой 4" xfId="43456"/>
    <cellStyle name="Плохой 4 2" xfId="43457"/>
    <cellStyle name="Плохой 5" xfId="43458"/>
    <cellStyle name="Плохой 5 2" xfId="43459"/>
    <cellStyle name="Плохой 6" xfId="43460"/>
    <cellStyle name="Плохой 6 2" xfId="43461"/>
    <cellStyle name="Плохой 6 2 2" xfId="46548"/>
    <cellStyle name="Плохой 6 3" xfId="46547"/>
    <cellStyle name="Плохой 7" xfId="43462"/>
    <cellStyle name="Плохой 7 2" xfId="43463"/>
    <cellStyle name="Плохой 8" xfId="43464"/>
    <cellStyle name="Плохой 8 2" xfId="43465"/>
    <cellStyle name="Плохой 9" xfId="43466"/>
    <cellStyle name="Плохой 9 2" xfId="43467"/>
    <cellStyle name="По центру с переносом" xfId="43468"/>
    <cellStyle name="По ширине с переносом" xfId="43469"/>
    <cellStyle name="Поле ввода" xfId="43470"/>
    <cellStyle name="Поле ввода 2" xfId="46549"/>
    <cellStyle name="Поле ввода 2 2" xfId="46550"/>
    <cellStyle name="Поле ввода 3" xfId="46551"/>
    <cellStyle name="Поле ввода 4" xfId="46552"/>
    <cellStyle name="Пояснение 2" xfId="503"/>
    <cellStyle name="Пояснение 2 2" xfId="504"/>
    <cellStyle name="Пояснение 2 2 2" xfId="43471"/>
    <cellStyle name="Пояснение 2 2 2 2" xfId="46554"/>
    <cellStyle name="Пояснение 2 2 3" xfId="46553"/>
    <cellStyle name="Пояснение 2 3" xfId="3002"/>
    <cellStyle name="Пояснение 2 3 2" xfId="45035"/>
    <cellStyle name="Пояснение 2 4" xfId="3000"/>
    <cellStyle name="Пояснение 3" xfId="43472"/>
    <cellStyle name="Пояснение 3 2" xfId="43473"/>
    <cellStyle name="Пояснение 4" xfId="43474"/>
    <cellStyle name="Пояснение 4 2" xfId="43475"/>
    <cellStyle name="Пояснение 5" xfId="43476"/>
    <cellStyle name="Пояснение 5 2" xfId="43477"/>
    <cellStyle name="Пояснение 6" xfId="43478"/>
    <cellStyle name="Пояснение 6 2" xfId="43479"/>
    <cellStyle name="Пояснение 6 2 2" xfId="46556"/>
    <cellStyle name="Пояснение 6 3" xfId="46555"/>
    <cellStyle name="Пояснение 7" xfId="43480"/>
    <cellStyle name="Пояснение 7 2" xfId="43481"/>
    <cellStyle name="Пояснение 8" xfId="43482"/>
    <cellStyle name="Пояснение 8 2" xfId="43483"/>
    <cellStyle name="Пояснение 9" xfId="43484"/>
    <cellStyle name="Пояснение 9 2" xfId="43485"/>
    <cellStyle name="Примечание 10" xfId="43486"/>
    <cellStyle name="Примечание 10 2" xfId="43487"/>
    <cellStyle name="Примечание 10_46EE.2011(v1.0)" xfId="43488"/>
    <cellStyle name="Примечание 11" xfId="43489"/>
    <cellStyle name="Примечание 11 2" xfId="43490"/>
    <cellStyle name="Примечание 11_46EE.2011(v1.0)" xfId="43491"/>
    <cellStyle name="Примечание 12" xfId="43492"/>
    <cellStyle name="Примечание 12 2" xfId="43493"/>
    <cellStyle name="Примечание 12_46EE.2011(v1.0)" xfId="43494"/>
    <cellStyle name="Примечание 2" xfId="28"/>
    <cellStyle name="Примечание 2 10" xfId="45036"/>
    <cellStyle name="Примечание 2 10 2" xfId="46557"/>
    <cellStyle name="Примечание 2 11" xfId="45037"/>
    <cellStyle name="Примечание 2 12" xfId="45038"/>
    <cellStyle name="Примечание 2 13" xfId="45290"/>
    <cellStyle name="Примечание 2 2" xfId="29"/>
    <cellStyle name="Примечание 2 2 10" xfId="506"/>
    <cellStyle name="Примечание 2 2 10 10" xfId="21702"/>
    <cellStyle name="Примечание 2 2 10 10 2" xfId="37063"/>
    <cellStyle name="Примечание 2 2 10 11" xfId="11131"/>
    <cellStyle name="Примечание 2 2 10 12" xfId="26653"/>
    <cellStyle name="Примечание 2 2 10 2" xfId="772"/>
    <cellStyle name="Примечание 2 2 10 2 10" xfId="11356"/>
    <cellStyle name="Примечание 2 2 10 2 11" xfId="26873"/>
    <cellStyle name="Примечание 2 2 10 2 2" xfId="1688"/>
    <cellStyle name="Примечание 2 2 10 2 2 2" xfId="3007"/>
    <cellStyle name="Примечание 2 2 10 2 2 2 2" xfId="8202"/>
    <cellStyle name="Примечание 2 2 10 2 2 2 2 2" xfId="19128"/>
    <cellStyle name="Примечание 2 2 10 2 2 2 2 3" xfId="34489"/>
    <cellStyle name="Примечание 2 2 10 2 2 2 3" xfId="24090"/>
    <cellStyle name="Примечание 2 2 10 2 2 2 3 2" xfId="39451"/>
    <cellStyle name="Примечание 2 2 10 2 2 2 4" xfId="13565"/>
    <cellStyle name="Примечание 2 2 10 2 2 2 5" xfId="29041"/>
    <cellStyle name="Примечание 2 2 10 2 2 3" xfId="5355"/>
    <cellStyle name="Примечание 2 2 10 2 2 3 2" xfId="10519"/>
    <cellStyle name="Примечание 2 2 10 2 2 3 2 2" xfId="21453"/>
    <cellStyle name="Примечание 2 2 10 2 2 3 2 3" xfId="36814"/>
    <cellStyle name="Примечание 2 2 10 2 2 3 3" xfId="26406"/>
    <cellStyle name="Примечание 2 2 10 2 2 3 3 2" xfId="41767"/>
    <cellStyle name="Примечание 2 2 10 2 2 3 4" xfId="15890"/>
    <cellStyle name="Примечание 2 2 10 2 2 3 5" xfId="31357"/>
    <cellStyle name="Примечание 2 2 10 2 2 4" xfId="6932"/>
    <cellStyle name="Примечание 2 2 10 2 2 4 2" xfId="17830"/>
    <cellStyle name="Примечание 2 2 10 2 2 4 3" xfId="33191"/>
    <cellStyle name="Примечание 2 2 10 2 2 5" xfId="22820"/>
    <cellStyle name="Примечание 2 2 10 2 2 5 2" xfId="38181"/>
    <cellStyle name="Примечание 2 2 10 2 2 6" xfId="12266"/>
    <cellStyle name="Примечание 2 2 10 2 2 7" xfId="27771"/>
    <cellStyle name="Примечание 2 2 10 2 3" xfId="2178"/>
    <cellStyle name="Примечание 2 2 10 2 3 2" xfId="7414"/>
    <cellStyle name="Примечание 2 2 10 2 3 2 2" xfId="18316"/>
    <cellStyle name="Примечание 2 2 10 2 3 2 3" xfId="33677"/>
    <cellStyle name="Примечание 2 2 10 2 3 3" xfId="23302"/>
    <cellStyle name="Примечание 2 2 10 2 3 3 2" xfId="38663"/>
    <cellStyle name="Примечание 2 2 10 2 3 4" xfId="12753"/>
    <cellStyle name="Примечание 2 2 10 2 3 5" xfId="28253"/>
    <cellStyle name="Примечание 2 2 10 2 4" xfId="2894"/>
    <cellStyle name="Примечание 2 2 10 2 4 2" xfId="8101"/>
    <cellStyle name="Примечание 2 2 10 2 4 2 2" xfId="19021"/>
    <cellStyle name="Примечание 2 2 10 2 4 2 3" xfId="34382"/>
    <cellStyle name="Примечание 2 2 10 2 4 3" xfId="23989"/>
    <cellStyle name="Примечание 2 2 10 2 4 3 2" xfId="39350"/>
    <cellStyle name="Примечание 2 2 10 2 4 4" xfId="13458"/>
    <cellStyle name="Примечание 2 2 10 2 4 5" xfId="28940"/>
    <cellStyle name="Примечание 2 2 10 2 5" xfId="2512"/>
    <cellStyle name="Примечание 2 2 10 2 5 2" xfId="7745"/>
    <cellStyle name="Примечание 2 2 10 2 5 2 2" xfId="18647"/>
    <cellStyle name="Примечание 2 2 10 2 5 2 3" xfId="34008"/>
    <cellStyle name="Примечание 2 2 10 2 5 3" xfId="23633"/>
    <cellStyle name="Примечание 2 2 10 2 5 3 2" xfId="38994"/>
    <cellStyle name="Примечание 2 2 10 2 5 4" xfId="13084"/>
    <cellStyle name="Примечание 2 2 10 2 5 5" xfId="28584"/>
    <cellStyle name="Примечание 2 2 10 2 6" xfId="4226"/>
    <cellStyle name="Примечание 2 2 10 2 6 2" xfId="9413"/>
    <cellStyle name="Примечание 2 2 10 2 6 2 2" xfId="20340"/>
    <cellStyle name="Примечание 2 2 10 2 6 2 3" xfId="35701"/>
    <cellStyle name="Примечание 2 2 10 2 6 3" xfId="25301"/>
    <cellStyle name="Примечание 2 2 10 2 6 3 2" xfId="40662"/>
    <cellStyle name="Примечание 2 2 10 2 6 4" xfId="14777"/>
    <cellStyle name="Примечание 2 2 10 2 6 5" xfId="30252"/>
    <cellStyle name="Примечание 2 2 10 2 7" xfId="4958"/>
    <cellStyle name="Примечание 2 2 10 2 7 2" xfId="10145"/>
    <cellStyle name="Примечание 2 2 10 2 7 2 2" xfId="21072"/>
    <cellStyle name="Примечание 2 2 10 2 7 2 3" xfId="36433"/>
    <cellStyle name="Примечание 2 2 10 2 7 3" xfId="26033"/>
    <cellStyle name="Примечание 2 2 10 2 7 3 2" xfId="41394"/>
    <cellStyle name="Примечание 2 2 10 2 7 4" xfId="15509"/>
    <cellStyle name="Примечание 2 2 10 2 7 5" xfId="30984"/>
    <cellStyle name="Примечание 2 2 10 2 8" xfId="6034"/>
    <cellStyle name="Примечание 2 2 10 2 8 2" xfId="16833"/>
    <cellStyle name="Примечание 2 2 10 2 8 3" xfId="32300"/>
    <cellStyle name="Примечание 2 2 10 2 9" xfId="21922"/>
    <cellStyle name="Примечание 2 2 10 2 9 2" xfId="37283"/>
    <cellStyle name="Примечание 2 2 10 3" xfId="1152"/>
    <cellStyle name="Примечание 2 2 10 3 2" xfId="3008"/>
    <cellStyle name="Примечание 2 2 10 3 2 2" xfId="8203"/>
    <cellStyle name="Примечание 2 2 10 3 2 2 2" xfId="19129"/>
    <cellStyle name="Примечание 2 2 10 3 2 2 3" xfId="34490"/>
    <cellStyle name="Примечание 2 2 10 3 2 3" xfId="24091"/>
    <cellStyle name="Примечание 2 2 10 3 2 3 2" xfId="39452"/>
    <cellStyle name="Примечание 2 2 10 3 2 4" xfId="13566"/>
    <cellStyle name="Примечание 2 2 10 3 2 5" xfId="29042"/>
    <cellStyle name="Примечание 2 2 10 3 3" xfId="5356"/>
    <cellStyle name="Примечание 2 2 10 3 3 2" xfId="10520"/>
    <cellStyle name="Примечание 2 2 10 3 3 2 2" xfId="21454"/>
    <cellStyle name="Примечание 2 2 10 3 3 2 3" xfId="36815"/>
    <cellStyle name="Примечание 2 2 10 3 3 3" xfId="26407"/>
    <cellStyle name="Примечание 2 2 10 3 3 3 2" xfId="41768"/>
    <cellStyle name="Примечание 2 2 10 3 3 4" xfId="15891"/>
    <cellStyle name="Примечание 2 2 10 3 3 5" xfId="31358"/>
    <cellStyle name="Примечание 2 2 10 3 4" xfId="6406"/>
    <cellStyle name="Примечание 2 2 10 3 4 2" xfId="16456"/>
    <cellStyle name="Примечание 2 2 10 3 4 3" xfId="31923"/>
    <cellStyle name="Примечание 2 2 10 3 5" xfId="22294"/>
    <cellStyle name="Примечание 2 2 10 3 5 2" xfId="37655"/>
    <cellStyle name="Примечание 2 2 10 3 6" xfId="11733"/>
    <cellStyle name="Примечание 2 2 10 3 7" xfId="27245"/>
    <cellStyle name="Примечание 2 2 10 4" xfId="1917"/>
    <cellStyle name="Примечание 2 2 10 4 2" xfId="7153"/>
    <cellStyle name="Примечание 2 2 10 4 2 2" xfId="18055"/>
    <cellStyle name="Примечание 2 2 10 4 2 3" xfId="33416"/>
    <cellStyle name="Примечание 2 2 10 4 3" xfId="23041"/>
    <cellStyle name="Примечание 2 2 10 4 3 2" xfId="38402"/>
    <cellStyle name="Примечание 2 2 10 4 4" xfId="12492"/>
    <cellStyle name="Примечание 2 2 10 4 5" xfId="27992"/>
    <cellStyle name="Примечание 2 2 10 5" xfId="1657"/>
    <cellStyle name="Примечание 2 2 10 5 2" xfId="6903"/>
    <cellStyle name="Примечание 2 2 10 5 2 2" xfId="17799"/>
    <cellStyle name="Примечание 2 2 10 5 2 3" xfId="33160"/>
    <cellStyle name="Примечание 2 2 10 5 3" xfId="22791"/>
    <cellStyle name="Примечание 2 2 10 5 3 2" xfId="38152"/>
    <cellStyle name="Примечание 2 2 10 5 4" xfId="12235"/>
    <cellStyle name="Примечание 2 2 10 5 5" xfId="27742"/>
    <cellStyle name="Примечание 2 2 10 6" xfId="2893"/>
    <cellStyle name="Примечание 2 2 10 6 2" xfId="8100"/>
    <cellStyle name="Примечание 2 2 10 6 2 2" xfId="19020"/>
    <cellStyle name="Примечание 2 2 10 6 2 3" xfId="34381"/>
    <cellStyle name="Примечание 2 2 10 6 3" xfId="23988"/>
    <cellStyle name="Примечание 2 2 10 6 3 2" xfId="39349"/>
    <cellStyle name="Примечание 2 2 10 6 4" xfId="13457"/>
    <cellStyle name="Примечание 2 2 10 6 5" xfId="28939"/>
    <cellStyle name="Примечание 2 2 10 7" xfId="4006"/>
    <cellStyle name="Примечание 2 2 10 7 2" xfId="9193"/>
    <cellStyle name="Примечание 2 2 10 7 2 2" xfId="20120"/>
    <cellStyle name="Примечание 2 2 10 7 2 3" xfId="35481"/>
    <cellStyle name="Примечание 2 2 10 7 3" xfId="25081"/>
    <cellStyle name="Примечание 2 2 10 7 3 2" xfId="40442"/>
    <cellStyle name="Примечание 2 2 10 7 4" xfId="14557"/>
    <cellStyle name="Примечание 2 2 10 7 5" xfId="30032"/>
    <cellStyle name="Примечание 2 2 10 8" xfId="4864"/>
    <cellStyle name="Примечание 2 2 10 8 2" xfId="10051"/>
    <cellStyle name="Примечание 2 2 10 8 2 2" xfId="20978"/>
    <cellStyle name="Примечание 2 2 10 8 2 3" xfId="36339"/>
    <cellStyle name="Примечание 2 2 10 8 3" xfId="25939"/>
    <cellStyle name="Примечание 2 2 10 8 3 2" xfId="41300"/>
    <cellStyle name="Примечание 2 2 10 8 4" xfId="15415"/>
    <cellStyle name="Примечание 2 2 10 8 5" xfId="30890"/>
    <cellStyle name="Примечание 2 2 10 9" xfId="5814"/>
    <cellStyle name="Примечание 2 2 10 9 2" xfId="17055"/>
    <cellStyle name="Примечание 2 2 10 9 3" xfId="32522"/>
    <cellStyle name="Примечание 2 2 11" xfId="507"/>
    <cellStyle name="Примечание 2 2 11 10" xfId="21703"/>
    <cellStyle name="Примечание 2 2 11 10 2" xfId="37064"/>
    <cellStyle name="Примечание 2 2 11 11" xfId="11132"/>
    <cellStyle name="Примечание 2 2 11 12" xfId="26654"/>
    <cellStyle name="Примечание 2 2 11 2" xfId="771"/>
    <cellStyle name="Примечание 2 2 11 2 10" xfId="11355"/>
    <cellStyle name="Примечание 2 2 11 2 11" xfId="26872"/>
    <cellStyle name="Примечание 2 2 11 2 2" xfId="1335"/>
    <cellStyle name="Примечание 2 2 11 2 2 2" xfId="3011"/>
    <cellStyle name="Примечание 2 2 11 2 2 2 2" xfId="8206"/>
    <cellStyle name="Примечание 2 2 11 2 2 2 2 2" xfId="19132"/>
    <cellStyle name="Примечание 2 2 11 2 2 2 2 3" xfId="34493"/>
    <cellStyle name="Примечание 2 2 11 2 2 2 3" xfId="24094"/>
    <cellStyle name="Примечание 2 2 11 2 2 2 3 2" xfId="39455"/>
    <cellStyle name="Примечание 2 2 11 2 2 2 4" xfId="13569"/>
    <cellStyle name="Примечание 2 2 11 2 2 2 5" xfId="29045"/>
    <cellStyle name="Примечание 2 2 11 2 2 3" xfId="5357"/>
    <cellStyle name="Примечание 2 2 11 2 2 3 2" xfId="10521"/>
    <cellStyle name="Примечание 2 2 11 2 2 3 2 2" xfId="21455"/>
    <cellStyle name="Примечание 2 2 11 2 2 3 2 3" xfId="36816"/>
    <cellStyle name="Примечание 2 2 11 2 2 3 3" xfId="26408"/>
    <cellStyle name="Примечание 2 2 11 2 2 3 3 2" xfId="41769"/>
    <cellStyle name="Примечание 2 2 11 2 2 3 4" xfId="15892"/>
    <cellStyle name="Примечание 2 2 11 2 2 3 5" xfId="31359"/>
    <cellStyle name="Примечание 2 2 11 2 2 4" xfId="6588"/>
    <cellStyle name="Примечание 2 2 11 2 2 4 2" xfId="16273"/>
    <cellStyle name="Примечание 2 2 11 2 2 4 3" xfId="31740"/>
    <cellStyle name="Примечание 2 2 11 2 2 5" xfId="22476"/>
    <cellStyle name="Примечание 2 2 11 2 2 5 2" xfId="37837"/>
    <cellStyle name="Примечание 2 2 11 2 2 6" xfId="11916"/>
    <cellStyle name="Примечание 2 2 11 2 2 7" xfId="27427"/>
    <cellStyle name="Примечание 2 2 11 2 3" xfId="2177"/>
    <cellStyle name="Примечание 2 2 11 2 3 2" xfId="7413"/>
    <cellStyle name="Примечание 2 2 11 2 3 2 2" xfId="18315"/>
    <cellStyle name="Примечание 2 2 11 2 3 2 3" xfId="33676"/>
    <cellStyle name="Примечание 2 2 11 2 3 3" xfId="23301"/>
    <cellStyle name="Примечание 2 2 11 2 3 3 2" xfId="38662"/>
    <cellStyle name="Примечание 2 2 11 2 3 4" xfId="12752"/>
    <cellStyle name="Примечание 2 2 11 2 3 5" xfId="28252"/>
    <cellStyle name="Примечание 2 2 11 2 4" xfId="1551"/>
    <cellStyle name="Примечание 2 2 11 2 4 2" xfId="6798"/>
    <cellStyle name="Примечание 2 2 11 2 4 2 2" xfId="17693"/>
    <cellStyle name="Примечание 2 2 11 2 4 2 3" xfId="33054"/>
    <cellStyle name="Примечание 2 2 11 2 4 3" xfId="22686"/>
    <cellStyle name="Примечание 2 2 11 2 4 3 2" xfId="38047"/>
    <cellStyle name="Примечание 2 2 11 2 4 4" xfId="12129"/>
    <cellStyle name="Примечание 2 2 11 2 4 5" xfId="27637"/>
    <cellStyle name="Примечание 2 2 11 2 5" xfId="3803"/>
    <cellStyle name="Примечание 2 2 11 2 5 2" xfId="8990"/>
    <cellStyle name="Примечание 2 2 11 2 5 2 2" xfId="19917"/>
    <cellStyle name="Примечание 2 2 11 2 5 2 3" xfId="35278"/>
    <cellStyle name="Примечание 2 2 11 2 5 3" xfId="24878"/>
    <cellStyle name="Примечание 2 2 11 2 5 3 2" xfId="40239"/>
    <cellStyle name="Примечание 2 2 11 2 5 4" xfId="14354"/>
    <cellStyle name="Примечание 2 2 11 2 5 5" xfId="29829"/>
    <cellStyle name="Примечание 2 2 11 2 6" xfId="4225"/>
    <cellStyle name="Примечание 2 2 11 2 6 2" xfId="9412"/>
    <cellStyle name="Примечание 2 2 11 2 6 2 2" xfId="20339"/>
    <cellStyle name="Примечание 2 2 11 2 6 2 3" xfId="35700"/>
    <cellStyle name="Примечание 2 2 11 2 6 3" xfId="25300"/>
    <cellStyle name="Примечание 2 2 11 2 6 3 2" xfId="40661"/>
    <cellStyle name="Примечание 2 2 11 2 6 4" xfId="14776"/>
    <cellStyle name="Примечание 2 2 11 2 6 5" xfId="30251"/>
    <cellStyle name="Примечание 2 2 11 2 7" xfId="4588"/>
    <cellStyle name="Примечание 2 2 11 2 7 2" xfId="9775"/>
    <cellStyle name="Примечание 2 2 11 2 7 2 2" xfId="20702"/>
    <cellStyle name="Примечание 2 2 11 2 7 2 3" xfId="36063"/>
    <cellStyle name="Примечание 2 2 11 2 7 3" xfId="25663"/>
    <cellStyle name="Примечание 2 2 11 2 7 3 2" xfId="41024"/>
    <cellStyle name="Примечание 2 2 11 2 7 4" xfId="15139"/>
    <cellStyle name="Примечание 2 2 11 2 7 5" xfId="30614"/>
    <cellStyle name="Примечание 2 2 11 2 8" xfId="6033"/>
    <cellStyle name="Примечание 2 2 11 2 8 2" xfId="16834"/>
    <cellStyle name="Примечание 2 2 11 2 8 3" xfId="32301"/>
    <cellStyle name="Примечание 2 2 11 2 9" xfId="21921"/>
    <cellStyle name="Примечание 2 2 11 2 9 2" xfId="37282"/>
    <cellStyle name="Примечание 2 2 11 3" xfId="1178"/>
    <cellStyle name="Примечание 2 2 11 3 2" xfId="3012"/>
    <cellStyle name="Примечание 2 2 11 3 2 2" xfId="8207"/>
    <cellStyle name="Примечание 2 2 11 3 2 2 2" xfId="19133"/>
    <cellStyle name="Примечание 2 2 11 3 2 2 3" xfId="34494"/>
    <cellStyle name="Примечание 2 2 11 3 2 3" xfId="24095"/>
    <cellStyle name="Примечание 2 2 11 3 2 3 2" xfId="39456"/>
    <cellStyle name="Примечание 2 2 11 3 2 4" xfId="13570"/>
    <cellStyle name="Примечание 2 2 11 3 2 5" xfId="29046"/>
    <cellStyle name="Примечание 2 2 11 3 3" xfId="5358"/>
    <cellStyle name="Примечание 2 2 11 3 3 2" xfId="10522"/>
    <cellStyle name="Примечание 2 2 11 3 3 2 2" xfId="21456"/>
    <cellStyle name="Примечание 2 2 11 3 3 2 3" xfId="36817"/>
    <cellStyle name="Примечание 2 2 11 3 3 3" xfId="26409"/>
    <cellStyle name="Примечание 2 2 11 3 3 3 2" xfId="41770"/>
    <cellStyle name="Примечание 2 2 11 3 3 4" xfId="15893"/>
    <cellStyle name="Примечание 2 2 11 3 3 5" xfId="31360"/>
    <cellStyle name="Примечание 2 2 11 3 4" xfId="6432"/>
    <cellStyle name="Примечание 2 2 11 3 4 2" xfId="16430"/>
    <cellStyle name="Примечание 2 2 11 3 4 3" xfId="31897"/>
    <cellStyle name="Примечание 2 2 11 3 5" xfId="22320"/>
    <cellStyle name="Примечание 2 2 11 3 5 2" xfId="37681"/>
    <cellStyle name="Примечание 2 2 11 3 6" xfId="11759"/>
    <cellStyle name="Примечание 2 2 11 3 7" xfId="27271"/>
    <cellStyle name="Примечание 2 2 11 4" xfId="1918"/>
    <cellStyle name="Примечание 2 2 11 4 2" xfId="7154"/>
    <cellStyle name="Примечание 2 2 11 4 2 2" xfId="18056"/>
    <cellStyle name="Примечание 2 2 11 4 2 3" xfId="33417"/>
    <cellStyle name="Примечание 2 2 11 4 3" xfId="23042"/>
    <cellStyle name="Примечание 2 2 11 4 3 2" xfId="38403"/>
    <cellStyle name="Примечание 2 2 11 4 4" xfId="12493"/>
    <cellStyle name="Примечание 2 2 11 4 5" xfId="27993"/>
    <cellStyle name="Примечание 2 2 11 5" xfId="2696"/>
    <cellStyle name="Примечание 2 2 11 5 2" xfId="7927"/>
    <cellStyle name="Примечание 2 2 11 5 2 2" xfId="18831"/>
    <cellStyle name="Примечание 2 2 11 5 2 3" xfId="34192"/>
    <cellStyle name="Примечание 2 2 11 5 3" xfId="23815"/>
    <cellStyle name="Примечание 2 2 11 5 3 2" xfId="39176"/>
    <cellStyle name="Примечание 2 2 11 5 4" xfId="13268"/>
    <cellStyle name="Примечание 2 2 11 5 5" xfId="28766"/>
    <cellStyle name="Примечание 2 2 11 6" xfId="3553"/>
    <cellStyle name="Примечание 2 2 11 6 2" xfId="8740"/>
    <cellStyle name="Примечание 2 2 11 6 2 2" xfId="19667"/>
    <cellStyle name="Примечание 2 2 11 6 2 3" xfId="35028"/>
    <cellStyle name="Примечание 2 2 11 6 3" xfId="24628"/>
    <cellStyle name="Примечание 2 2 11 6 3 2" xfId="39989"/>
    <cellStyle name="Примечание 2 2 11 6 4" xfId="14104"/>
    <cellStyle name="Примечание 2 2 11 6 5" xfId="29579"/>
    <cellStyle name="Примечание 2 2 11 7" xfId="4007"/>
    <cellStyle name="Примечание 2 2 11 7 2" xfId="9194"/>
    <cellStyle name="Примечание 2 2 11 7 2 2" xfId="20121"/>
    <cellStyle name="Примечание 2 2 11 7 2 3" xfId="35482"/>
    <cellStyle name="Примечание 2 2 11 7 3" xfId="25082"/>
    <cellStyle name="Примечание 2 2 11 7 3 2" xfId="40443"/>
    <cellStyle name="Примечание 2 2 11 7 4" xfId="14558"/>
    <cellStyle name="Примечание 2 2 11 7 5" xfId="30033"/>
    <cellStyle name="Примечание 2 2 11 8" xfId="4706"/>
    <cellStyle name="Примечание 2 2 11 8 2" xfId="9893"/>
    <cellStyle name="Примечание 2 2 11 8 2 2" xfId="20820"/>
    <cellStyle name="Примечание 2 2 11 8 2 3" xfId="36181"/>
    <cellStyle name="Примечание 2 2 11 8 3" xfId="25781"/>
    <cellStyle name="Примечание 2 2 11 8 3 2" xfId="41142"/>
    <cellStyle name="Примечание 2 2 11 8 4" xfId="15257"/>
    <cellStyle name="Примечание 2 2 11 8 5" xfId="30732"/>
    <cellStyle name="Примечание 2 2 11 9" xfId="5815"/>
    <cellStyle name="Примечание 2 2 11 9 2" xfId="17054"/>
    <cellStyle name="Примечание 2 2 11 9 3" xfId="32521"/>
    <cellStyle name="Примечание 2 2 12" xfId="508"/>
    <cellStyle name="Примечание 2 2 12 10" xfId="21704"/>
    <cellStyle name="Примечание 2 2 12 10 2" xfId="37065"/>
    <cellStyle name="Примечание 2 2 12 11" xfId="11133"/>
    <cellStyle name="Примечание 2 2 12 12" xfId="26655"/>
    <cellStyle name="Примечание 2 2 12 2" xfId="770"/>
    <cellStyle name="Примечание 2 2 12 2 10" xfId="11354"/>
    <cellStyle name="Примечание 2 2 12 2 11" xfId="26871"/>
    <cellStyle name="Примечание 2 2 12 2 2" xfId="1582"/>
    <cellStyle name="Примечание 2 2 12 2 2 2" xfId="3015"/>
    <cellStyle name="Примечание 2 2 12 2 2 2 2" xfId="8210"/>
    <cellStyle name="Примечание 2 2 12 2 2 2 2 2" xfId="19136"/>
    <cellStyle name="Примечание 2 2 12 2 2 2 2 3" xfId="34497"/>
    <cellStyle name="Примечание 2 2 12 2 2 2 3" xfId="24098"/>
    <cellStyle name="Примечание 2 2 12 2 2 2 3 2" xfId="39459"/>
    <cellStyle name="Примечание 2 2 12 2 2 2 4" xfId="13573"/>
    <cellStyle name="Примечание 2 2 12 2 2 2 5" xfId="29049"/>
    <cellStyle name="Примечание 2 2 12 2 2 3" xfId="5359"/>
    <cellStyle name="Примечание 2 2 12 2 2 3 2" xfId="10523"/>
    <cellStyle name="Примечание 2 2 12 2 2 3 2 2" xfId="21457"/>
    <cellStyle name="Примечание 2 2 12 2 2 3 2 3" xfId="36818"/>
    <cellStyle name="Примечание 2 2 12 2 2 3 3" xfId="26410"/>
    <cellStyle name="Примечание 2 2 12 2 2 3 3 2" xfId="41771"/>
    <cellStyle name="Примечание 2 2 12 2 2 3 4" xfId="15894"/>
    <cellStyle name="Примечание 2 2 12 2 2 3 5" xfId="31361"/>
    <cellStyle name="Примечание 2 2 12 2 2 4" xfId="6829"/>
    <cellStyle name="Примечание 2 2 12 2 2 4 2" xfId="17724"/>
    <cellStyle name="Примечание 2 2 12 2 2 4 3" xfId="33085"/>
    <cellStyle name="Примечание 2 2 12 2 2 5" xfId="22717"/>
    <cellStyle name="Примечание 2 2 12 2 2 5 2" xfId="38078"/>
    <cellStyle name="Примечание 2 2 12 2 2 6" xfId="12160"/>
    <cellStyle name="Примечание 2 2 12 2 2 7" xfId="27668"/>
    <cellStyle name="Примечание 2 2 12 2 3" xfId="2176"/>
    <cellStyle name="Примечание 2 2 12 2 3 2" xfId="7412"/>
    <cellStyle name="Примечание 2 2 12 2 3 2 2" xfId="18314"/>
    <cellStyle name="Примечание 2 2 12 2 3 2 3" xfId="33675"/>
    <cellStyle name="Примечание 2 2 12 2 3 3" xfId="23300"/>
    <cellStyle name="Примечание 2 2 12 2 3 3 2" xfId="38661"/>
    <cellStyle name="Примечание 2 2 12 2 3 4" xfId="12751"/>
    <cellStyle name="Примечание 2 2 12 2 3 5" xfId="28251"/>
    <cellStyle name="Примечание 2 2 12 2 4" xfId="1763"/>
    <cellStyle name="Примечание 2 2 12 2 4 2" xfId="7002"/>
    <cellStyle name="Примечание 2 2 12 2 4 2 2" xfId="17904"/>
    <cellStyle name="Примечание 2 2 12 2 4 2 3" xfId="33265"/>
    <cellStyle name="Примечание 2 2 12 2 4 3" xfId="22890"/>
    <cellStyle name="Примечание 2 2 12 2 4 3 2" xfId="38251"/>
    <cellStyle name="Примечание 2 2 12 2 4 4" xfId="12341"/>
    <cellStyle name="Примечание 2 2 12 2 4 5" xfId="27841"/>
    <cellStyle name="Примечание 2 2 12 2 5" xfId="1908"/>
    <cellStyle name="Примечание 2 2 12 2 5 2" xfId="7144"/>
    <cellStyle name="Примечание 2 2 12 2 5 2 2" xfId="18046"/>
    <cellStyle name="Примечание 2 2 12 2 5 2 3" xfId="33407"/>
    <cellStyle name="Примечание 2 2 12 2 5 3" xfId="23032"/>
    <cellStyle name="Примечание 2 2 12 2 5 3 2" xfId="38393"/>
    <cellStyle name="Примечание 2 2 12 2 5 4" xfId="12483"/>
    <cellStyle name="Примечание 2 2 12 2 5 5" xfId="27983"/>
    <cellStyle name="Примечание 2 2 12 2 6" xfId="4224"/>
    <cellStyle name="Примечание 2 2 12 2 6 2" xfId="9411"/>
    <cellStyle name="Примечание 2 2 12 2 6 2 2" xfId="20338"/>
    <cellStyle name="Примечание 2 2 12 2 6 2 3" xfId="35699"/>
    <cellStyle name="Примечание 2 2 12 2 6 3" xfId="25299"/>
    <cellStyle name="Примечание 2 2 12 2 6 3 2" xfId="40660"/>
    <cellStyle name="Примечание 2 2 12 2 6 4" xfId="14775"/>
    <cellStyle name="Примечание 2 2 12 2 6 5" xfId="30250"/>
    <cellStyle name="Примечание 2 2 12 2 7" xfId="4957"/>
    <cellStyle name="Примечание 2 2 12 2 7 2" xfId="10144"/>
    <cellStyle name="Примечание 2 2 12 2 7 2 2" xfId="21071"/>
    <cellStyle name="Примечание 2 2 12 2 7 2 3" xfId="36432"/>
    <cellStyle name="Примечание 2 2 12 2 7 3" xfId="26032"/>
    <cellStyle name="Примечание 2 2 12 2 7 3 2" xfId="41393"/>
    <cellStyle name="Примечание 2 2 12 2 7 4" xfId="15508"/>
    <cellStyle name="Примечание 2 2 12 2 7 5" xfId="30983"/>
    <cellStyle name="Примечание 2 2 12 2 8" xfId="6032"/>
    <cellStyle name="Примечание 2 2 12 2 8 2" xfId="16835"/>
    <cellStyle name="Примечание 2 2 12 2 8 3" xfId="32302"/>
    <cellStyle name="Примечание 2 2 12 2 9" xfId="21920"/>
    <cellStyle name="Примечание 2 2 12 2 9 2" xfId="37281"/>
    <cellStyle name="Примечание 2 2 12 3" xfId="1380"/>
    <cellStyle name="Примечание 2 2 12 3 2" xfId="3016"/>
    <cellStyle name="Примечание 2 2 12 3 2 2" xfId="8211"/>
    <cellStyle name="Примечание 2 2 12 3 2 2 2" xfId="19137"/>
    <cellStyle name="Примечание 2 2 12 3 2 2 3" xfId="34498"/>
    <cellStyle name="Примечание 2 2 12 3 2 3" xfId="24099"/>
    <cellStyle name="Примечание 2 2 12 3 2 3 2" xfId="39460"/>
    <cellStyle name="Примечание 2 2 12 3 2 4" xfId="13574"/>
    <cellStyle name="Примечание 2 2 12 3 2 5" xfId="29050"/>
    <cellStyle name="Примечание 2 2 12 3 3" xfId="5360"/>
    <cellStyle name="Примечание 2 2 12 3 3 2" xfId="10524"/>
    <cellStyle name="Примечание 2 2 12 3 3 2 2" xfId="21458"/>
    <cellStyle name="Примечание 2 2 12 3 3 2 3" xfId="36819"/>
    <cellStyle name="Примечание 2 2 12 3 3 3" xfId="26411"/>
    <cellStyle name="Примечание 2 2 12 3 3 3 2" xfId="41772"/>
    <cellStyle name="Примечание 2 2 12 3 3 4" xfId="15895"/>
    <cellStyle name="Примечание 2 2 12 3 3 5" xfId="31362"/>
    <cellStyle name="Примечание 2 2 12 3 4" xfId="6630"/>
    <cellStyle name="Примечание 2 2 12 3 4 2" xfId="16229"/>
    <cellStyle name="Примечание 2 2 12 3 4 3" xfId="31696"/>
    <cellStyle name="Примечание 2 2 12 3 5" xfId="22518"/>
    <cellStyle name="Примечание 2 2 12 3 5 2" xfId="37879"/>
    <cellStyle name="Примечание 2 2 12 3 6" xfId="11960"/>
    <cellStyle name="Примечание 2 2 12 3 7" xfId="27469"/>
    <cellStyle name="Примечание 2 2 12 4" xfId="1919"/>
    <cellStyle name="Примечание 2 2 12 4 2" xfId="7155"/>
    <cellStyle name="Примечание 2 2 12 4 2 2" xfId="18057"/>
    <cellStyle name="Примечание 2 2 12 4 2 3" xfId="33418"/>
    <cellStyle name="Примечание 2 2 12 4 3" xfId="23043"/>
    <cellStyle name="Примечание 2 2 12 4 3 2" xfId="38404"/>
    <cellStyle name="Примечание 2 2 12 4 4" xfId="12494"/>
    <cellStyle name="Примечание 2 2 12 4 5" xfId="27994"/>
    <cellStyle name="Примечание 2 2 12 5" xfId="1021"/>
    <cellStyle name="Примечание 2 2 12 5 2" xfId="6279"/>
    <cellStyle name="Примечание 2 2 12 5 2 2" xfId="16585"/>
    <cellStyle name="Примечание 2 2 12 5 2 3" xfId="32052"/>
    <cellStyle name="Примечание 2 2 12 5 3" xfId="22167"/>
    <cellStyle name="Примечание 2 2 12 5 3 2" xfId="37528"/>
    <cellStyle name="Примечание 2 2 12 5 4" xfId="11604"/>
    <cellStyle name="Примечание 2 2 12 5 5" xfId="27118"/>
    <cellStyle name="Примечание 2 2 12 6" xfId="2421"/>
    <cellStyle name="Примечание 2 2 12 6 2" xfId="7657"/>
    <cellStyle name="Примечание 2 2 12 6 2 2" xfId="18559"/>
    <cellStyle name="Примечание 2 2 12 6 2 3" xfId="33920"/>
    <cellStyle name="Примечание 2 2 12 6 3" xfId="23545"/>
    <cellStyle name="Примечание 2 2 12 6 3 2" xfId="38906"/>
    <cellStyle name="Примечание 2 2 12 6 4" xfId="12996"/>
    <cellStyle name="Примечание 2 2 12 6 5" xfId="28496"/>
    <cellStyle name="Примечание 2 2 12 7" xfId="4008"/>
    <cellStyle name="Примечание 2 2 12 7 2" xfId="9195"/>
    <cellStyle name="Примечание 2 2 12 7 2 2" xfId="20122"/>
    <cellStyle name="Примечание 2 2 12 7 2 3" xfId="35483"/>
    <cellStyle name="Примечание 2 2 12 7 3" xfId="25083"/>
    <cellStyle name="Примечание 2 2 12 7 3 2" xfId="40444"/>
    <cellStyle name="Примечание 2 2 12 7 4" xfId="14559"/>
    <cellStyle name="Примечание 2 2 12 7 5" xfId="30034"/>
    <cellStyle name="Примечание 2 2 12 8" xfId="4705"/>
    <cellStyle name="Примечание 2 2 12 8 2" xfId="9892"/>
    <cellStyle name="Примечание 2 2 12 8 2 2" xfId="20819"/>
    <cellStyle name="Примечание 2 2 12 8 2 3" xfId="36180"/>
    <cellStyle name="Примечание 2 2 12 8 3" xfId="25780"/>
    <cellStyle name="Примечание 2 2 12 8 3 2" xfId="41141"/>
    <cellStyle name="Примечание 2 2 12 8 4" xfId="15256"/>
    <cellStyle name="Примечание 2 2 12 8 5" xfId="30731"/>
    <cellStyle name="Примечание 2 2 12 9" xfId="5816"/>
    <cellStyle name="Примечание 2 2 12 9 2" xfId="17053"/>
    <cellStyle name="Примечание 2 2 12 9 3" xfId="32520"/>
    <cellStyle name="Примечание 2 2 13" xfId="509"/>
    <cellStyle name="Примечание 2 2 13 10" xfId="21705"/>
    <cellStyle name="Примечание 2 2 13 10 2" xfId="37066"/>
    <cellStyle name="Примечание 2 2 13 11" xfId="11134"/>
    <cellStyle name="Примечание 2 2 13 12" xfId="26656"/>
    <cellStyle name="Примечание 2 2 13 2" xfId="769"/>
    <cellStyle name="Примечание 2 2 13 2 10" xfId="11353"/>
    <cellStyle name="Примечание 2 2 13 2 11" xfId="26870"/>
    <cellStyle name="Примечание 2 2 13 2 2" xfId="1572"/>
    <cellStyle name="Примечание 2 2 13 2 2 2" xfId="3019"/>
    <cellStyle name="Примечание 2 2 13 2 2 2 2" xfId="8214"/>
    <cellStyle name="Примечание 2 2 13 2 2 2 2 2" xfId="19140"/>
    <cellStyle name="Примечание 2 2 13 2 2 2 2 3" xfId="34501"/>
    <cellStyle name="Примечание 2 2 13 2 2 2 3" xfId="24102"/>
    <cellStyle name="Примечание 2 2 13 2 2 2 3 2" xfId="39463"/>
    <cellStyle name="Примечание 2 2 13 2 2 2 4" xfId="13577"/>
    <cellStyle name="Примечание 2 2 13 2 2 2 5" xfId="29053"/>
    <cellStyle name="Примечание 2 2 13 2 2 3" xfId="5361"/>
    <cellStyle name="Примечание 2 2 13 2 2 3 2" xfId="10525"/>
    <cellStyle name="Примечание 2 2 13 2 2 3 2 2" xfId="21459"/>
    <cellStyle name="Примечание 2 2 13 2 2 3 2 3" xfId="36820"/>
    <cellStyle name="Примечание 2 2 13 2 2 3 3" xfId="26412"/>
    <cellStyle name="Примечание 2 2 13 2 2 3 3 2" xfId="41773"/>
    <cellStyle name="Примечание 2 2 13 2 2 3 4" xfId="15896"/>
    <cellStyle name="Примечание 2 2 13 2 2 3 5" xfId="31363"/>
    <cellStyle name="Примечание 2 2 13 2 2 4" xfId="6819"/>
    <cellStyle name="Примечание 2 2 13 2 2 4 2" xfId="17714"/>
    <cellStyle name="Примечание 2 2 13 2 2 4 3" xfId="33075"/>
    <cellStyle name="Примечание 2 2 13 2 2 5" xfId="22707"/>
    <cellStyle name="Примечание 2 2 13 2 2 5 2" xfId="38068"/>
    <cellStyle name="Примечание 2 2 13 2 2 6" xfId="12150"/>
    <cellStyle name="Примечание 2 2 13 2 2 7" xfId="27658"/>
    <cellStyle name="Примечание 2 2 13 2 3" xfId="2175"/>
    <cellStyle name="Примечание 2 2 13 2 3 2" xfId="7411"/>
    <cellStyle name="Примечание 2 2 13 2 3 2 2" xfId="18313"/>
    <cellStyle name="Примечание 2 2 13 2 3 2 3" xfId="33674"/>
    <cellStyle name="Примечание 2 2 13 2 3 3" xfId="23299"/>
    <cellStyle name="Примечание 2 2 13 2 3 3 2" xfId="38660"/>
    <cellStyle name="Примечание 2 2 13 2 3 4" xfId="12750"/>
    <cellStyle name="Примечание 2 2 13 2 3 5" xfId="28250"/>
    <cellStyle name="Примечание 2 2 13 2 4" xfId="1692"/>
    <cellStyle name="Примечание 2 2 13 2 4 2" xfId="6936"/>
    <cellStyle name="Примечание 2 2 13 2 4 2 2" xfId="17834"/>
    <cellStyle name="Примечание 2 2 13 2 4 2 3" xfId="33195"/>
    <cellStyle name="Примечание 2 2 13 2 4 3" xfId="22824"/>
    <cellStyle name="Примечание 2 2 13 2 4 3 2" xfId="38185"/>
    <cellStyle name="Примечание 2 2 13 2 4 4" xfId="12270"/>
    <cellStyle name="Примечание 2 2 13 2 4 5" xfId="27775"/>
    <cellStyle name="Примечание 2 2 13 2 5" xfId="3619"/>
    <cellStyle name="Примечание 2 2 13 2 5 2" xfId="8806"/>
    <cellStyle name="Примечание 2 2 13 2 5 2 2" xfId="19733"/>
    <cellStyle name="Примечание 2 2 13 2 5 2 3" xfId="35094"/>
    <cellStyle name="Примечание 2 2 13 2 5 3" xfId="24694"/>
    <cellStyle name="Примечание 2 2 13 2 5 3 2" xfId="40055"/>
    <cellStyle name="Примечание 2 2 13 2 5 4" xfId="14170"/>
    <cellStyle name="Примечание 2 2 13 2 5 5" xfId="29645"/>
    <cellStyle name="Примечание 2 2 13 2 6" xfId="4223"/>
    <cellStyle name="Примечание 2 2 13 2 6 2" xfId="9410"/>
    <cellStyle name="Примечание 2 2 13 2 6 2 2" xfId="20337"/>
    <cellStyle name="Примечание 2 2 13 2 6 2 3" xfId="35698"/>
    <cellStyle name="Примечание 2 2 13 2 6 3" xfId="25298"/>
    <cellStyle name="Примечание 2 2 13 2 6 3 2" xfId="40659"/>
    <cellStyle name="Примечание 2 2 13 2 6 4" xfId="14774"/>
    <cellStyle name="Примечание 2 2 13 2 6 5" xfId="30249"/>
    <cellStyle name="Примечание 2 2 13 2 7" xfId="4589"/>
    <cellStyle name="Примечание 2 2 13 2 7 2" xfId="9776"/>
    <cellStyle name="Примечание 2 2 13 2 7 2 2" xfId="20703"/>
    <cellStyle name="Примечание 2 2 13 2 7 2 3" xfId="36064"/>
    <cellStyle name="Примечание 2 2 13 2 7 3" xfId="25664"/>
    <cellStyle name="Примечание 2 2 13 2 7 3 2" xfId="41025"/>
    <cellStyle name="Примечание 2 2 13 2 7 4" xfId="15140"/>
    <cellStyle name="Примечание 2 2 13 2 7 5" xfId="30615"/>
    <cellStyle name="Примечание 2 2 13 2 8" xfId="6031"/>
    <cellStyle name="Примечание 2 2 13 2 8 2" xfId="16836"/>
    <cellStyle name="Примечание 2 2 13 2 8 3" xfId="32303"/>
    <cellStyle name="Примечание 2 2 13 2 9" xfId="21919"/>
    <cellStyle name="Примечание 2 2 13 2 9 2" xfId="37280"/>
    <cellStyle name="Примечание 2 2 13 3" xfId="1682"/>
    <cellStyle name="Примечание 2 2 13 3 2" xfId="3020"/>
    <cellStyle name="Примечание 2 2 13 3 2 2" xfId="8215"/>
    <cellStyle name="Примечание 2 2 13 3 2 2 2" xfId="19141"/>
    <cellStyle name="Примечание 2 2 13 3 2 2 3" xfId="34502"/>
    <cellStyle name="Примечание 2 2 13 3 2 3" xfId="24103"/>
    <cellStyle name="Примечание 2 2 13 3 2 3 2" xfId="39464"/>
    <cellStyle name="Примечание 2 2 13 3 2 4" xfId="13578"/>
    <cellStyle name="Примечание 2 2 13 3 2 5" xfId="29054"/>
    <cellStyle name="Примечание 2 2 13 3 3" xfId="5362"/>
    <cellStyle name="Примечание 2 2 13 3 3 2" xfId="10526"/>
    <cellStyle name="Примечание 2 2 13 3 3 2 2" xfId="21460"/>
    <cellStyle name="Примечание 2 2 13 3 3 2 3" xfId="36821"/>
    <cellStyle name="Примечание 2 2 13 3 3 3" xfId="26413"/>
    <cellStyle name="Примечание 2 2 13 3 3 3 2" xfId="41774"/>
    <cellStyle name="Примечание 2 2 13 3 3 4" xfId="15897"/>
    <cellStyle name="Примечание 2 2 13 3 3 5" xfId="31364"/>
    <cellStyle name="Примечание 2 2 13 3 4" xfId="6926"/>
    <cellStyle name="Примечание 2 2 13 3 4 2" xfId="17824"/>
    <cellStyle name="Примечание 2 2 13 3 4 3" xfId="33185"/>
    <cellStyle name="Примечание 2 2 13 3 5" xfId="22814"/>
    <cellStyle name="Примечание 2 2 13 3 5 2" xfId="38175"/>
    <cellStyle name="Примечание 2 2 13 3 6" xfId="12260"/>
    <cellStyle name="Примечание 2 2 13 3 7" xfId="27765"/>
    <cellStyle name="Примечание 2 2 13 4" xfId="1920"/>
    <cellStyle name="Примечание 2 2 13 4 2" xfId="7156"/>
    <cellStyle name="Примечание 2 2 13 4 2 2" xfId="18058"/>
    <cellStyle name="Примечание 2 2 13 4 2 3" xfId="33419"/>
    <cellStyle name="Примечание 2 2 13 4 3" xfId="23044"/>
    <cellStyle name="Примечание 2 2 13 4 3 2" xfId="38405"/>
    <cellStyle name="Примечание 2 2 13 4 4" xfId="12495"/>
    <cellStyle name="Примечание 2 2 13 4 5" xfId="27995"/>
    <cellStyle name="Примечание 2 2 13 5" xfId="2508"/>
    <cellStyle name="Примечание 2 2 13 5 2" xfId="7741"/>
    <cellStyle name="Примечание 2 2 13 5 2 2" xfId="18643"/>
    <cellStyle name="Примечание 2 2 13 5 2 3" xfId="34004"/>
    <cellStyle name="Примечание 2 2 13 5 3" xfId="23629"/>
    <cellStyle name="Примечание 2 2 13 5 3 2" xfId="38990"/>
    <cellStyle name="Примечание 2 2 13 5 4" xfId="13080"/>
    <cellStyle name="Примечание 2 2 13 5 5" xfId="28580"/>
    <cellStyle name="Примечание 2 2 13 6" xfId="1428"/>
    <cellStyle name="Примечание 2 2 13 6 2" xfId="6676"/>
    <cellStyle name="Примечание 2 2 13 6 2 2" xfId="16182"/>
    <cellStyle name="Примечание 2 2 13 6 2 3" xfId="31649"/>
    <cellStyle name="Примечание 2 2 13 6 3" xfId="22564"/>
    <cellStyle name="Примечание 2 2 13 6 3 2" xfId="37925"/>
    <cellStyle name="Примечание 2 2 13 6 4" xfId="12007"/>
    <cellStyle name="Примечание 2 2 13 6 5" xfId="27515"/>
    <cellStyle name="Примечание 2 2 13 7" xfId="4009"/>
    <cellStyle name="Примечание 2 2 13 7 2" xfId="9196"/>
    <cellStyle name="Примечание 2 2 13 7 2 2" xfId="20123"/>
    <cellStyle name="Примечание 2 2 13 7 2 3" xfId="35484"/>
    <cellStyle name="Примечание 2 2 13 7 3" xfId="25084"/>
    <cellStyle name="Примечание 2 2 13 7 3 2" xfId="40445"/>
    <cellStyle name="Примечание 2 2 13 7 4" xfId="14560"/>
    <cellStyle name="Примечание 2 2 13 7 5" xfId="30035"/>
    <cellStyle name="Примечание 2 2 13 8" xfId="4704"/>
    <cellStyle name="Примечание 2 2 13 8 2" xfId="9891"/>
    <cellStyle name="Примечание 2 2 13 8 2 2" xfId="20818"/>
    <cellStyle name="Примечание 2 2 13 8 2 3" xfId="36179"/>
    <cellStyle name="Примечание 2 2 13 8 3" xfId="25779"/>
    <cellStyle name="Примечание 2 2 13 8 3 2" xfId="41140"/>
    <cellStyle name="Примечание 2 2 13 8 4" xfId="15255"/>
    <cellStyle name="Примечание 2 2 13 8 5" xfId="30730"/>
    <cellStyle name="Примечание 2 2 13 9" xfId="5817"/>
    <cellStyle name="Примечание 2 2 13 9 2" xfId="17052"/>
    <cellStyle name="Примечание 2 2 13 9 3" xfId="32519"/>
    <cellStyle name="Примечание 2 2 14" xfId="510"/>
    <cellStyle name="Примечание 2 2 14 10" xfId="21706"/>
    <cellStyle name="Примечание 2 2 14 10 2" xfId="37067"/>
    <cellStyle name="Примечание 2 2 14 11" xfId="11135"/>
    <cellStyle name="Примечание 2 2 14 12" xfId="26657"/>
    <cellStyle name="Примечание 2 2 14 2" xfId="768"/>
    <cellStyle name="Примечание 2 2 14 2 10" xfId="11352"/>
    <cellStyle name="Примечание 2 2 14 2 11" xfId="26869"/>
    <cellStyle name="Примечание 2 2 14 2 2" xfId="1071"/>
    <cellStyle name="Примечание 2 2 14 2 2 2" xfId="3023"/>
    <cellStyle name="Примечание 2 2 14 2 2 2 2" xfId="8218"/>
    <cellStyle name="Примечание 2 2 14 2 2 2 2 2" xfId="19144"/>
    <cellStyle name="Примечание 2 2 14 2 2 2 2 3" xfId="34505"/>
    <cellStyle name="Примечание 2 2 14 2 2 2 3" xfId="24106"/>
    <cellStyle name="Примечание 2 2 14 2 2 2 3 2" xfId="39467"/>
    <cellStyle name="Примечание 2 2 14 2 2 2 4" xfId="13581"/>
    <cellStyle name="Примечание 2 2 14 2 2 2 5" xfId="29057"/>
    <cellStyle name="Примечание 2 2 14 2 2 3" xfId="5363"/>
    <cellStyle name="Примечание 2 2 14 2 2 3 2" xfId="10527"/>
    <cellStyle name="Примечание 2 2 14 2 2 3 2 2" xfId="21461"/>
    <cellStyle name="Примечание 2 2 14 2 2 3 2 3" xfId="36822"/>
    <cellStyle name="Примечание 2 2 14 2 2 3 3" xfId="26414"/>
    <cellStyle name="Примечание 2 2 14 2 2 3 3 2" xfId="41775"/>
    <cellStyle name="Примечание 2 2 14 2 2 3 4" xfId="15898"/>
    <cellStyle name="Примечание 2 2 14 2 2 3 5" xfId="31365"/>
    <cellStyle name="Примечание 2 2 14 2 2 4" xfId="6328"/>
    <cellStyle name="Примечание 2 2 14 2 2 4 2" xfId="16536"/>
    <cellStyle name="Примечание 2 2 14 2 2 4 3" xfId="32003"/>
    <cellStyle name="Примечание 2 2 14 2 2 5" xfId="22216"/>
    <cellStyle name="Примечание 2 2 14 2 2 5 2" xfId="37577"/>
    <cellStyle name="Примечание 2 2 14 2 2 6" xfId="11653"/>
    <cellStyle name="Примечание 2 2 14 2 2 7" xfId="27167"/>
    <cellStyle name="Примечание 2 2 14 2 3" xfId="2174"/>
    <cellStyle name="Примечание 2 2 14 2 3 2" xfId="7410"/>
    <cellStyle name="Примечание 2 2 14 2 3 2 2" xfId="18312"/>
    <cellStyle name="Примечание 2 2 14 2 3 2 3" xfId="33673"/>
    <cellStyle name="Примечание 2 2 14 2 3 3" xfId="23298"/>
    <cellStyle name="Примечание 2 2 14 2 3 3 2" xfId="38659"/>
    <cellStyle name="Примечание 2 2 14 2 3 4" xfId="12749"/>
    <cellStyle name="Примечание 2 2 14 2 3 5" xfId="28249"/>
    <cellStyle name="Примечание 2 2 14 2 4" xfId="1522"/>
    <cellStyle name="Примечание 2 2 14 2 4 2" xfId="6769"/>
    <cellStyle name="Примечание 2 2 14 2 4 2 2" xfId="17664"/>
    <cellStyle name="Примечание 2 2 14 2 4 2 3" xfId="33025"/>
    <cellStyle name="Примечание 2 2 14 2 4 3" xfId="22657"/>
    <cellStyle name="Примечание 2 2 14 2 4 3 2" xfId="38018"/>
    <cellStyle name="Примечание 2 2 14 2 4 4" xfId="12100"/>
    <cellStyle name="Примечание 2 2 14 2 4 5" xfId="27608"/>
    <cellStyle name="Примечание 2 2 14 2 5" xfId="2693"/>
    <cellStyle name="Примечание 2 2 14 2 5 2" xfId="7924"/>
    <cellStyle name="Примечание 2 2 14 2 5 2 2" xfId="18828"/>
    <cellStyle name="Примечание 2 2 14 2 5 2 3" xfId="34189"/>
    <cellStyle name="Примечание 2 2 14 2 5 3" xfId="23812"/>
    <cellStyle name="Примечание 2 2 14 2 5 3 2" xfId="39173"/>
    <cellStyle name="Примечание 2 2 14 2 5 4" xfId="13265"/>
    <cellStyle name="Примечание 2 2 14 2 5 5" xfId="28763"/>
    <cellStyle name="Примечание 2 2 14 2 6" xfId="4222"/>
    <cellStyle name="Примечание 2 2 14 2 6 2" xfId="9409"/>
    <cellStyle name="Примечание 2 2 14 2 6 2 2" xfId="20336"/>
    <cellStyle name="Примечание 2 2 14 2 6 2 3" xfId="35697"/>
    <cellStyle name="Примечание 2 2 14 2 6 3" xfId="25297"/>
    <cellStyle name="Примечание 2 2 14 2 6 3 2" xfId="40658"/>
    <cellStyle name="Примечание 2 2 14 2 6 4" xfId="14773"/>
    <cellStyle name="Примечание 2 2 14 2 6 5" xfId="30248"/>
    <cellStyle name="Примечание 2 2 14 2 7" xfId="4956"/>
    <cellStyle name="Примечание 2 2 14 2 7 2" xfId="10143"/>
    <cellStyle name="Примечание 2 2 14 2 7 2 2" xfId="21070"/>
    <cellStyle name="Примечание 2 2 14 2 7 2 3" xfId="36431"/>
    <cellStyle name="Примечание 2 2 14 2 7 3" xfId="26031"/>
    <cellStyle name="Примечание 2 2 14 2 7 3 2" xfId="41392"/>
    <cellStyle name="Примечание 2 2 14 2 7 4" xfId="15507"/>
    <cellStyle name="Примечание 2 2 14 2 7 5" xfId="30982"/>
    <cellStyle name="Примечание 2 2 14 2 8" xfId="6030"/>
    <cellStyle name="Примечание 2 2 14 2 8 2" xfId="16837"/>
    <cellStyle name="Примечание 2 2 14 2 8 3" xfId="32304"/>
    <cellStyle name="Примечание 2 2 14 2 9" xfId="21918"/>
    <cellStyle name="Примечание 2 2 14 2 9 2" xfId="37279"/>
    <cellStyle name="Примечание 2 2 14 3" xfId="88"/>
    <cellStyle name="Примечание 2 2 14 3 2" xfId="3024"/>
    <cellStyle name="Примечание 2 2 14 3 2 2" xfId="8219"/>
    <cellStyle name="Примечание 2 2 14 3 2 2 2" xfId="19145"/>
    <cellStyle name="Примечание 2 2 14 3 2 2 3" xfId="34506"/>
    <cellStyle name="Примечание 2 2 14 3 2 3" xfId="24107"/>
    <cellStyle name="Примечание 2 2 14 3 2 3 2" xfId="39468"/>
    <cellStyle name="Примечание 2 2 14 3 2 4" xfId="13582"/>
    <cellStyle name="Примечание 2 2 14 3 2 5" xfId="29058"/>
    <cellStyle name="Примечание 2 2 14 3 3" xfId="5364"/>
    <cellStyle name="Примечание 2 2 14 3 3 2" xfId="10528"/>
    <cellStyle name="Примечание 2 2 14 3 3 2 2" xfId="21462"/>
    <cellStyle name="Примечание 2 2 14 3 3 2 3" xfId="36823"/>
    <cellStyle name="Примечание 2 2 14 3 3 3" xfId="26415"/>
    <cellStyle name="Примечание 2 2 14 3 3 3 2" xfId="41776"/>
    <cellStyle name="Примечание 2 2 14 3 3 4" xfId="15899"/>
    <cellStyle name="Примечание 2 2 14 3 3 5" xfId="31366"/>
    <cellStyle name="Примечание 2 2 14 3 4" xfId="5614"/>
    <cellStyle name="Примечание 2 2 14 3 4 2" xfId="17383"/>
    <cellStyle name="Примечание 2 2 14 3 4 3" xfId="32850"/>
    <cellStyle name="Примечание 2 2 14 3 5" xfId="21450"/>
    <cellStyle name="Примечание 2 2 14 3 5 2" xfId="36811"/>
    <cellStyle name="Примечание 2 2 14 3 6" xfId="10802"/>
    <cellStyle name="Примечание 2 2 14 3 7" xfId="15887"/>
    <cellStyle name="Примечание 2 2 14 4" xfId="1921"/>
    <cellStyle name="Примечание 2 2 14 4 2" xfId="7157"/>
    <cellStyle name="Примечание 2 2 14 4 2 2" xfId="18059"/>
    <cellStyle name="Примечание 2 2 14 4 2 3" xfId="33420"/>
    <cellStyle name="Примечание 2 2 14 4 3" xfId="23045"/>
    <cellStyle name="Примечание 2 2 14 4 3 2" xfId="38406"/>
    <cellStyle name="Примечание 2 2 14 4 4" xfId="12496"/>
    <cellStyle name="Примечание 2 2 14 4 5" xfId="27996"/>
    <cellStyle name="Примечание 2 2 14 5" xfId="1133"/>
    <cellStyle name="Примечание 2 2 14 5 2" xfId="6388"/>
    <cellStyle name="Примечание 2 2 14 5 2 2" xfId="16475"/>
    <cellStyle name="Примечание 2 2 14 5 2 3" xfId="31942"/>
    <cellStyle name="Примечание 2 2 14 5 3" xfId="22276"/>
    <cellStyle name="Примечание 2 2 14 5 3 2" xfId="37637"/>
    <cellStyle name="Примечание 2 2 14 5 4" xfId="11714"/>
    <cellStyle name="Примечание 2 2 14 5 5" xfId="27227"/>
    <cellStyle name="Примечание 2 2 14 6" xfId="2422"/>
    <cellStyle name="Примечание 2 2 14 6 2" xfId="7658"/>
    <cellStyle name="Примечание 2 2 14 6 2 2" xfId="18560"/>
    <cellStyle name="Примечание 2 2 14 6 2 3" xfId="33921"/>
    <cellStyle name="Примечание 2 2 14 6 3" xfId="23546"/>
    <cellStyle name="Примечание 2 2 14 6 3 2" xfId="38907"/>
    <cellStyle name="Примечание 2 2 14 6 4" xfId="12997"/>
    <cellStyle name="Примечание 2 2 14 6 5" xfId="28497"/>
    <cellStyle name="Примечание 2 2 14 7" xfId="4010"/>
    <cellStyle name="Примечание 2 2 14 7 2" xfId="9197"/>
    <cellStyle name="Примечание 2 2 14 7 2 2" xfId="20124"/>
    <cellStyle name="Примечание 2 2 14 7 2 3" xfId="35485"/>
    <cellStyle name="Примечание 2 2 14 7 3" xfId="25085"/>
    <cellStyle name="Примечание 2 2 14 7 3 2" xfId="40446"/>
    <cellStyle name="Примечание 2 2 14 7 4" xfId="14561"/>
    <cellStyle name="Примечание 2 2 14 7 5" xfId="30036"/>
    <cellStyle name="Примечание 2 2 14 8" xfId="4703"/>
    <cellStyle name="Примечание 2 2 14 8 2" xfId="9890"/>
    <cellStyle name="Примечание 2 2 14 8 2 2" xfId="20817"/>
    <cellStyle name="Примечание 2 2 14 8 2 3" xfId="36178"/>
    <cellStyle name="Примечание 2 2 14 8 3" xfId="25778"/>
    <cellStyle name="Примечание 2 2 14 8 3 2" xfId="41139"/>
    <cellStyle name="Примечание 2 2 14 8 4" xfId="15254"/>
    <cellStyle name="Примечание 2 2 14 8 5" xfId="30729"/>
    <cellStyle name="Примечание 2 2 14 9" xfId="5818"/>
    <cellStyle name="Примечание 2 2 14 9 2" xfId="17051"/>
    <cellStyle name="Примечание 2 2 14 9 3" xfId="32518"/>
    <cellStyle name="Примечание 2 2 15" xfId="511"/>
    <cellStyle name="Примечание 2 2 15 10" xfId="21707"/>
    <cellStyle name="Примечание 2 2 15 10 2" xfId="37068"/>
    <cellStyle name="Примечание 2 2 15 11" xfId="11136"/>
    <cellStyle name="Примечание 2 2 15 12" xfId="26658"/>
    <cellStyle name="Примечание 2 2 15 2" xfId="767"/>
    <cellStyle name="Примечание 2 2 15 2 10" xfId="11351"/>
    <cellStyle name="Примечание 2 2 15 2 11" xfId="26868"/>
    <cellStyle name="Примечание 2 2 15 2 2" xfId="1258"/>
    <cellStyle name="Примечание 2 2 15 2 2 2" xfId="3027"/>
    <cellStyle name="Примечание 2 2 15 2 2 2 2" xfId="8222"/>
    <cellStyle name="Примечание 2 2 15 2 2 2 2 2" xfId="19148"/>
    <cellStyle name="Примечание 2 2 15 2 2 2 2 3" xfId="34509"/>
    <cellStyle name="Примечание 2 2 15 2 2 2 3" xfId="24110"/>
    <cellStyle name="Примечание 2 2 15 2 2 2 3 2" xfId="39471"/>
    <cellStyle name="Примечание 2 2 15 2 2 2 4" xfId="13585"/>
    <cellStyle name="Примечание 2 2 15 2 2 2 5" xfId="29061"/>
    <cellStyle name="Примечание 2 2 15 2 2 3" xfId="5365"/>
    <cellStyle name="Примечание 2 2 15 2 2 3 2" xfId="10529"/>
    <cellStyle name="Примечание 2 2 15 2 2 3 2 2" xfId="21463"/>
    <cellStyle name="Примечание 2 2 15 2 2 3 2 3" xfId="36824"/>
    <cellStyle name="Примечание 2 2 15 2 2 3 3" xfId="26416"/>
    <cellStyle name="Примечание 2 2 15 2 2 3 3 2" xfId="41777"/>
    <cellStyle name="Примечание 2 2 15 2 2 3 4" xfId="15900"/>
    <cellStyle name="Примечание 2 2 15 2 2 3 5" xfId="31367"/>
    <cellStyle name="Примечание 2 2 15 2 2 4" xfId="6511"/>
    <cellStyle name="Примечание 2 2 15 2 2 4 2" xfId="16350"/>
    <cellStyle name="Примечание 2 2 15 2 2 4 3" xfId="31817"/>
    <cellStyle name="Примечание 2 2 15 2 2 5" xfId="22399"/>
    <cellStyle name="Примечание 2 2 15 2 2 5 2" xfId="37760"/>
    <cellStyle name="Примечание 2 2 15 2 2 6" xfId="11839"/>
    <cellStyle name="Примечание 2 2 15 2 2 7" xfId="27350"/>
    <cellStyle name="Примечание 2 2 15 2 3" xfId="2173"/>
    <cellStyle name="Примечание 2 2 15 2 3 2" xfId="7409"/>
    <cellStyle name="Примечание 2 2 15 2 3 2 2" xfId="18311"/>
    <cellStyle name="Примечание 2 2 15 2 3 2 3" xfId="33672"/>
    <cellStyle name="Примечание 2 2 15 2 3 3" xfId="23297"/>
    <cellStyle name="Примечание 2 2 15 2 3 3 2" xfId="38658"/>
    <cellStyle name="Примечание 2 2 15 2 3 4" xfId="12748"/>
    <cellStyle name="Примечание 2 2 15 2 3 5" xfId="28248"/>
    <cellStyle name="Примечание 2 2 15 2 4" xfId="1370"/>
    <cellStyle name="Примечание 2 2 15 2 4 2" xfId="6621"/>
    <cellStyle name="Примечание 2 2 15 2 4 2 2" xfId="16239"/>
    <cellStyle name="Примечание 2 2 15 2 4 2 3" xfId="31706"/>
    <cellStyle name="Примечание 2 2 15 2 4 3" xfId="22509"/>
    <cellStyle name="Примечание 2 2 15 2 4 3 2" xfId="37870"/>
    <cellStyle name="Примечание 2 2 15 2 4 4" xfId="11950"/>
    <cellStyle name="Примечание 2 2 15 2 4 5" xfId="27460"/>
    <cellStyle name="Примечание 2 2 15 2 5" xfId="3804"/>
    <cellStyle name="Примечание 2 2 15 2 5 2" xfId="8991"/>
    <cellStyle name="Примечание 2 2 15 2 5 2 2" xfId="19918"/>
    <cellStyle name="Примечание 2 2 15 2 5 2 3" xfId="35279"/>
    <cellStyle name="Примечание 2 2 15 2 5 3" xfId="24879"/>
    <cellStyle name="Примечание 2 2 15 2 5 3 2" xfId="40240"/>
    <cellStyle name="Примечание 2 2 15 2 5 4" xfId="14355"/>
    <cellStyle name="Примечание 2 2 15 2 5 5" xfId="29830"/>
    <cellStyle name="Примечание 2 2 15 2 6" xfId="4221"/>
    <cellStyle name="Примечание 2 2 15 2 6 2" xfId="9408"/>
    <cellStyle name="Примечание 2 2 15 2 6 2 2" xfId="20335"/>
    <cellStyle name="Примечание 2 2 15 2 6 2 3" xfId="35696"/>
    <cellStyle name="Примечание 2 2 15 2 6 3" xfId="25296"/>
    <cellStyle name="Примечание 2 2 15 2 6 3 2" xfId="40657"/>
    <cellStyle name="Примечание 2 2 15 2 6 4" xfId="14772"/>
    <cellStyle name="Примечание 2 2 15 2 6 5" xfId="30247"/>
    <cellStyle name="Примечание 2 2 15 2 7" xfId="4590"/>
    <cellStyle name="Примечание 2 2 15 2 7 2" xfId="9777"/>
    <cellStyle name="Примечание 2 2 15 2 7 2 2" xfId="20704"/>
    <cellStyle name="Примечание 2 2 15 2 7 2 3" xfId="36065"/>
    <cellStyle name="Примечание 2 2 15 2 7 3" xfId="25665"/>
    <cellStyle name="Примечание 2 2 15 2 7 3 2" xfId="41026"/>
    <cellStyle name="Примечание 2 2 15 2 7 4" xfId="15141"/>
    <cellStyle name="Примечание 2 2 15 2 7 5" xfId="30616"/>
    <cellStyle name="Примечание 2 2 15 2 8" xfId="6029"/>
    <cellStyle name="Примечание 2 2 15 2 8 2" xfId="16838"/>
    <cellStyle name="Примечание 2 2 15 2 8 3" xfId="32305"/>
    <cellStyle name="Примечание 2 2 15 2 9" xfId="21917"/>
    <cellStyle name="Примечание 2 2 15 2 9 2" xfId="37278"/>
    <cellStyle name="Примечание 2 2 15 3" xfId="1622"/>
    <cellStyle name="Примечание 2 2 15 3 2" xfId="3028"/>
    <cellStyle name="Примечание 2 2 15 3 2 2" xfId="8223"/>
    <cellStyle name="Примечание 2 2 15 3 2 2 2" xfId="19149"/>
    <cellStyle name="Примечание 2 2 15 3 2 2 3" xfId="34510"/>
    <cellStyle name="Примечание 2 2 15 3 2 3" xfId="24111"/>
    <cellStyle name="Примечание 2 2 15 3 2 3 2" xfId="39472"/>
    <cellStyle name="Примечание 2 2 15 3 2 4" xfId="13586"/>
    <cellStyle name="Примечание 2 2 15 3 2 5" xfId="29062"/>
    <cellStyle name="Примечание 2 2 15 3 3" xfId="5366"/>
    <cellStyle name="Примечание 2 2 15 3 3 2" xfId="10530"/>
    <cellStyle name="Примечание 2 2 15 3 3 2 2" xfId="21464"/>
    <cellStyle name="Примечание 2 2 15 3 3 2 3" xfId="36825"/>
    <cellStyle name="Примечание 2 2 15 3 3 3" xfId="26417"/>
    <cellStyle name="Примечание 2 2 15 3 3 3 2" xfId="41778"/>
    <cellStyle name="Примечание 2 2 15 3 3 4" xfId="15901"/>
    <cellStyle name="Примечание 2 2 15 3 3 5" xfId="31368"/>
    <cellStyle name="Примечание 2 2 15 3 4" xfId="6868"/>
    <cellStyle name="Примечание 2 2 15 3 4 2" xfId="17764"/>
    <cellStyle name="Примечание 2 2 15 3 4 3" xfId="33125"/>
    <cellStyle name="Примечание 2 2 15 3 5" xfId="22756"/>
    <cellStyle name="Примечание 2 2 15 3 5 2" xfId="38117"/>
    <cellStyle name="Примечание 2 2 15 3 6" xfId="12200"/>
    <cellStyle name="Примечание 2 2 15 3 7" xfId="27707"/>
    <cellStyle name="Примечание 2 2 15 4" xfId="1922"/>
    <cellStyle name="Примечание 2 2 15 4 2" xfId="7158"/>
    <cellStyle name="Примечание 2 2 15 4 2 2" xfId="18060"/>
    <cellStyle name="Примечание 2 2 15 4 2 3" xfId="33421"/>
    <cellStyle name="Примечание 2 2 15 4 3" xfId="23046"/>
    <cellStyle name="Примечание 2 2 15 4 3 2" xfId="38407"/>
    <cellStyle name="Примечание 2 2 15 4 4" xfId="12497"/>
    <cellStyle name="Примечание 2 2 15 4 5" xfId="27997"/>
    <cellStyle name="Примечание 2 2 15 5" xfId="2699"/>
    <cellStyle name="Примечание 2 2 15 5 2" xfId="7928"/>
    <cellStyle name="Примечание 2 2 15 5 2 2" xfId="18832"/>
    <cellStyle name="Примечание 2 2 15 5 2 3" xfId="34193"/>
    <cellStyle name="Примечание 2 2 15 5 3" xfId="23816"/>
    <cellStyle name="Примечание 2 2 15 5 3 2" xfId="39177"/>
    <cellStyle name="Примечание 2 2 15 5 4" xfId="13269"/>
    <cellStyle name="Примечание 2 2 15 5 5" xfId="28767"/>
    <cellStyle name="Примечание 2 2 15 6" xfId="3554"/>
    <cellStyle name="Примечание 2 2 15 6 2" xfId="8741"/>
    <cellStyle name="Примечание 2 2 15 6 2 2" xfId="19668"/>
    <cellStyle name="Примечание 2 2 15 6 2 3" xfId="35029"/>
    <cellStyle name="Примечание 2 2 15 6 3" xfId="24629"/>
    <cellStyle name="Примечание 2 2 15 6 3 2" xfId="39990"/>
    <cellStyle name="Примечание 2 2 15 6 4" xfId="14105"/>
    <cellStyle name="Примечание 2 2 15 6 5" xfId="29580"/>
    <cellStyle name="Примечание 2 2 15 7" xfId="4011"/>
    <cellStyle name="Примечание 2 2 15 7 2" xfId="9198"/>
    <cellStyle name="Примечание 2 2 15 7 2 2" xfId="20125"/>
    <cellStyle name="Примечание 2 2 15 7 2 3" xfId="35486"/>
    <cellStyle name="Примечание 2 2 15 7 3" xfId="25086"/>
    <cellStyle name="Примечание 2 2 15 7 3 2" xfId="40447"/>
    <cellStyle name="Примечание 2 2 15 7 4" xfId="14562"/>
    <cellStyle name="Примечание 2 2 15 7 5" xfId="30037"/>
    <cellStyle name="Примечание 2 2 15 8" xfId="4702"/>
    <cellStyle name="Примечание 2 2 15 8 2" xfId="9889"/>
    <cellStyle name="Примечание 2 2 15 8 2 2" xfId="20816"/>
    <cellStyle name="Примечание 2 2 15 8 2 3" xfId="36177"/>
    <cellStyle name="Примечание 2 2 15 8 3" xfId="25777"/>
    <cellStyle name="Примечание 2 2 15 8 3 2" xfId="41138"/>
    <cellStyle name="Примечание 2 2 15 8 4" xfId="15253"/>
    <cellStyle name="Примечание 2 2 15 8 5" xfId="30728"/>
    <cellStyle name="Примечание 2 2 15 9" xfId="5819"/>
    <cellStyle name="Примечание 2 2 15 9 2" xfId="17050"/>
    <cellStyle name="Примечание 2 2 15 9 3" xfId="32517"/>
    <cellStyle name="Примечание 2 2 16" xfId="512"/>
    <cellStyle name="Примечание 2 2 16 10" xfId="21708"/>
    <cellStyle name="Примечание 2 2 16 10 2" xfId="37069"/>
    <cellStyle name="Примечание 2 2 16 11" xfId="11137"/>
    <cellStyle name="Примечание 2 2 16 12" xfId="26659"/>
    <cellStyle name="Примечание 2 2 16 2" xfId="766"/>
    <cellStyle name="Примечание 2 2 16 2 10" xfId="11350"/>
    <cellStyle name="Примечание 2 2 16 2 11" xfId="26867"/>
    <cellStyle name="Примечание 2 2 16 2 2" xfId="1684"/>
    <cellStyle name="Примечание 2 2 16 2 2 2" xfId="3031"/>
    <cellStyle name="Примечание 2 2 16 2 2 2 2" xfId="8226"/>
    <cellStyle name="Примечание 2 2 16 2 2 2 2 2" xfId="19152"/>
    <cellStyle name="Примечание 2 2 16 2 2 2 2 3" xfId="34513"/>
    <cellStyle name="Примечание 2 2 16 2 2 2 3" xfId="24114"/>
    <cellStyle name="Примечание 2 2 16 2 2 2 3 2" xfId="39475"/>
    <cellStyle name="Примечание 2 2 16 2 2 2 4" xfId="13589"/>
    <cellStyle name="Примечание 2 2 16 2 2 2 5" xfId="29065"/>
    <cellStyle name="Примечание 2 2 16 2 2 3" xfId="5367"/>
    <cellStyle name="Примечание 2 2 16 2 2 3 2" xfId="10531"/>
    <cellStyle name="Примечание 2 2 16 2 2 3 2 2" xfId="21465"/>
    <cellStyle name="Примечание 2 2 16 2 2 3 2 3" xfId="36826"/>
    <cellStyle name="Примечание 2 2 16 2 2 3 3" xfId="26418"/>
    <cellStyle name="Примечание 2 2 16 2 2 3 3 2" xfId="41779"/>
    <cellStyle name="Примечание 2 2 16 2 2 3 4" xfId="15902"/>
    <cellStyle name="Примечание 2 2 16 2 2 3 5" xfId="31369"/>
    <cellStyle name="Примечание 2 2 16 2 2 4" xfId="6928"/>
    <cellStyle name="Примечание 2 2 16 2 2 4 2" xfId="17826"/>
    <cellStyle name="Примечание 2 2 16 2 2 4 3" xfId="33187"/>
    <cellStyle name="Примечание 2 2 16 2 2 5" xfId="22816"/>
    <cellStyle name="Примечание 2 2 16 2 2 5 2" xfId="38177"/>
    <cellStyle name="Примечание 2 2 16 2 2 6" xfId="12262"/>
    <cellStyle name="Примечание 2 2 16 2 2 7" xfId="27767"/>
    <cellStyle name="Примечание 2 2 16 2 3" xfId="2172"/>
    <cellStyle name="Примечание 2 2 16 2 3 2" xfId="7408"/>
    <cellStyle name="Примечание 2 2 16 2 3 2 2" xfId="18310"/>
    <cellStyle name="Примечание 2 2 16 2 3 2 3" xfId="33671"/>
    <cellStyle name="Примечание 2 2 16 2 3 3" xfId="23296"/>
    <cellStyle name="Примечание 2 2 16 2 3 3 2" xfId="38657"/>
    <cellStyle name="Примечание 2 2 16 2 3 4" xfId="12747"/>
    <cellStyle name="Примечание 2 2 16 2 3 5" xfId="28247"/>
    <cellStyle name="Примечание 2 2 16 2 4" xfId="2813"/>
    <cellStyle name="Примечание 2 2 16 2 4 2" xfId="8031"/>
    <cellStyle name="Примечание 2 2 16 2 4 2 2" xfId="18943"/>
    <cellStyle name="Примечание 2 2 16 2 4 2 3" xfId="34304"/>
    <cellStyle name="Примечание 2 2 16 2 4 3" xfId="23919"/>
    <cellStyle name="Примечание 2 2 16 2 4 3 2" xfId="39280"/>
    <cellStyle name="Примечание 2 2 16 2 4 4" xfId="13380"/>
    <cellStyle name="Примечание 2 2 16 2 4 5" xfId="28870"/>
    <cellStyle name="Примечание 2 2 16 2 5" xfId="2706"/>
    <cellStyle name="Примечание 2 2 16 2 5 2" xfId="7935"/>
    <cellStyle name="Примечание 2 2 16 2 5 2 2" xfId="18839"/>
    <cellStyle name="Примечание 2 2 16 2 5 2 3" xfId="34200"/>
    <cellStyle name="Примечание 2 2 16 2 5 3" xfId="23823"/>
    <cellStyle name="Примечание 2 2 16 2 5 3 2" xfId="39184"/>
    <cellStyle name="Примечание 2 2 16 2 5 4" xfId="13276"/>
    <cellStyle name="Примечание 2 2 16 2 5 5" xfId="28774"/>
    <cellStyle name="Примечание 2 2 16 2 6" xfId="4220"/>
    <cellStyle name="Примечание 2 2 16 2 6 2" xfId="9407"/>
    <cellStyle name="Примечание 2 2 16 2 6 2 2" xfId="20334"/>
    <cellStyle name="Примечание 2 2 16 2 6 2 3" xfId="35695"/>
    <cellStyle name="Примечание 2 2 16 2 6 3" xfId="25295"/>
    <cellStyle name="Примечание 2 2 16 2 6 3 2" xfId="40656"/>
    <cellStyle name="Примечание 2 2 16 2 6 4" xfId="14771"/>
    <cellStyle name="Примечание 2 2 16 2 6 5" xfId="30246"/>
    <cellStyle name="Примечание 2 2 16 2 7" xfId="4955"/>
    <cellStyle name="Примечание 2 2 16 2 7 2" xfId="10142"/>
    <cellStyle name="Примечание 2 2 16 2 7 2 2" xfId="21069"/>
    <cellStyle name="Примечание 2 2 16 2 7 2 3" xfId="36430"/>
    <cellStyle name="Примечание 2 2 16 2 7 3" xfId="26030"/>
    <cellStyle name="Примечание 2 2 16 2 7 3 2" xfId="41391"/>
    <cellStyle name="Примечание 2 2 16 2 7 4" xfId="15506"/>
    <cellStyle name="Примечание 2 2 16 2 7 5" xfId="30981"/>
    <cellStyle name="Примечание 2 2 16 2 8" xfId="6028"/>
    <cellStyle name="Примечание 2 2 16 2 8 2" xfId="16839"/>
    <cellStyle name="Примечание 2 2 16 2 8 3" xfId="32306"/>
    <cellStyle name="Примечание 2 2 16 2 9" xfId="21916"/>
    <cellStyle name="Примечание 2 2 16 2 9 2" xfId="37277"/>
    <cellStyle name="Примечание 2 2 16 3" xfId="56"/>
    <cellStyle name="Примечание 2 2 16 3 2" xfId="3032"/>
    <cellStyle name="Примечание 2 2 16 3 2 2" xfId="8227"/>
    <cellStyle name="Примечание 2 2 16 3 2 2 2" xfId="19153"/>
    <cellStyle name="Примечание 2 2 16 3 2 2 3" xfId="34514"/>
    <cellStyle name="Примечание 2 2 16 3 2 3" xfId="24115"/>
    <cellStyle name="Примечание 2 2 16 3 2 3 2" xfId="39476"/>
    <cellStyle name="Примечание 2 2 16 3 2 4" xfId="13590"/>
    <cellStyle name="Примечание 2 2 16 3 2 5" xfId="29066"/>
    <cellStyle name="Примечание 2 2 16 3 3" xfId="5368"/>
    <cellStyle name="Примечание 2 2 16 3 3 2" xfId="10532"/>
    <cellStyle name="Примечание 2 2 16 3 3 2 2" xfId="21466"/>
    <cellStyle name="Примечание 2 2 16 3 3 2 3" xfId="36827"/>
    <cellStyle name="Примечание 2 2 16 3 3 3" xfId="26419"/>
    <cellStyle name="Примечание 2 2 16 3 3 3 2" xfId="41780"/>
    <cellStyle name="Примечание 2 2 16 3 3 4" xfId="15903"/>
    <cellStyle name="Примечание 2 2 16 3 3 5" xfId="31370"/>
    <cellStyle name="Примечание 2 2 16 3 4" xfId="5583"/>
    <cellStyle name="Примечание 2 2 16 3 4 2" xfId="17415"/>
    <cellStyle name="Примечание 2 2 16 3 4 3" xfId="32882"/>
    <cellStyle name="Примечание 2 2 16 3 5" xfId="17422"/>
    <cellStyle name="Примечание 2 2 16 3 5 2" xfId="32889"/>
    <cellStyle name="Примечание 2 2 16 3 6" xfId="10770"/>
    <cellStyle name="Примечание 2 2 16 3 7" xfId="10763"/>
    <cellStyle name="Примечание 2 2 16 4" xfId="1923"/>
    <cellStyle name="Примечание 2 2 16 4 2" xfId="7159"/>
    <cellStyle name="Примечание 2 2 16 4 2 2" xfId="18061"/>
    <cellStyle name="Примечание 2 2 16 4 2 3" xfId="33422"/>
    <cellStyle name="Примечание 2 2 16 4 3" xfId="23047"/>
    <cellStyle name="Примечание 2 2 16 4 3 2" xfId="38408"/>
    <cellStyle name="Примечание 2 2 16 4 4" xfId="12498"/>
    <cellStyle name="Примечание 2 2 16 4 5" xfId="27998"/>
    <cellStyle name="Примечание 2 2 16 5" xfId="2700"/>
    <cellStyle name="Примечание 2 2 16 5 2" xfId="7929"/>
    <cellStyle name="Примечание 2 2 16 5 2 2" xfId="18833"/>
    <cellStyle name="Примечание 2 2 16 5 2 3" xfId="34194"/>
    <cellStyle name="Примечание 2 2 16 5 3" xfId="23817"/>
    <cellStyle name="Примечание 2 2 16 5 3 2" xfId="39178"/>
    <cellStyle name="Примечание 2 2 16 5 4" xfId="13270"/>
    <cellStyle name="Примечание 2 2 16 5 5" xfId="28768"/>
    <cellStyle name="Примечание 2 2 16 6" xfId="3555"/>
    <cellStyle name="Примечание 2 2 16 6 2" xfId="8742"/>
    <cellStyle name="Примечание 2 2 16 6 2 2" xfId="19669"/>
    <cellStyle name="Примечание 2 2 16 6 2 3" xfId="35030"/>
    <cellStyle name="Примечание 2 2 16 6 3" xfId="24630"/>
    <cellStyle name="Примечание 2 2 16 6 3 2" xfId="39991"/>
    <cellStyle name="Примечание 2 2 16 6 4" xfId="14106"/>
    <cellStyle name="Примечание 2 2 16 6 5" xfId="29581"/>
    <cellStyle name="Примечание 2 2 16 7" xfId="4012"/>
    <cellStyle name="Примечание 2 2 16 7 2" xfId="9199"/>
    <cellStyle name="Примечание 2 2 16 7 2 2" xfId="20126"/>
    <cellStyle name="Примечание 2 2 16 7 2 3" xfId="35487"/>
    <cellStyle name="Примечание 2 2 16 7 3" xfId="25087"/>
    <cellStyle name="Примечание 2 2 16 7 3 2" xfId="40448"/>
    <cellStyle name="Примечание 2 2 16 7 4" xfId="14563"/>
    <cellStyle name="Примечание 2 2 16 7 5" xfId="30038"/>
    <cellStyle name="Примечание 2 2 16 8" xfId="4701"/>
    <cellStyle name="Примечание 2 2 16 8 2" xfId="9888"/>
    <cellStyle name="Примечание 2 2 16 8 2 2" xfId="20815"/>
    <cellStyle name="Примечание 2 2 16 8 2 3" xfId="36176"/>
    <cellStyle name="Примечание 2 2 16 8 3" xfId="25776"/>
    <cellStyle name="Примечание 2 2 16 8 3 2" xfId="41137"/>
    <cellStyle name="Примечание 2 2 16 8 4" xfId="15252"/>
    <cellStyle name="Примечание 2 2 16 8 5" xfId="30727"/>
    <cellStyle name="Примечание 2 2 16 9" xfId="5820"/>
    <cellStyle name="Примечание 2 2 16 9 2" xfId="17049"/>
    <cellStyle name="Примечание 2 2 16 9 3" xfId="32516"/>
    <cellStyle name="Примечание 2 2 17" xfId="513"/>
    <cellStyle name="Примечание 2 2 17 10" xfId="21709"/>
    <cellStyle name="Примечание 2 2 17 10 2" xfId="37070"/>
    <cellStyle name="Примечание 2 2 17 11" xfId="11138"/>
    <cellStyle name="Примечание 2 2 17 12" xfId="26660"/>
    <cellStyle name="Примечание 2 2 17 2" xfId="765"/>
    <cellStyle name="Примечание 2 2 17 2 10" xfId="11349"/>
    <cellStyle name="Примечание 2 2 17 2 11" xfId="26866"/>
    <cellStyle name="Примечание 2 2 17 2 2" xfId="55"/>
    <cellStyle name="Примечание 2 2 17 2 2 2" xfId="3035"/>
    <cellStyle name="Примечание 2 2 17 2 2 2 2" xfId="8230"/>
    <cellStyle name="Примечание 2 2 17 2 2 2 2 2" xfId="19156"/>
    <cellStyle name="Примечание 2 2 17 2 2 2 2 3" xfId="34517"/>
    <cellStyle name="Примечание 2 2 17 2 2 2 3" xfId="24118"/>
    <cellStyle name="Примечание 2 2 17 2 2 2 3 2" xfId="39479"/>
    <cellStyle name="Примечание 2 2 17 2 2 2 4" xfId="13593"/>
    <cellStyle name="Примечание 2 2 17 2 2 2 5" xfId="29069"/>
    <cellStyle name="Примечание 2 2 17 2 2 3" xfId="5369"/>
    <cellStyle name="Примечание 2 2 17 2 2 3 2" xfId="10533"/>
    <cellStyle name="Примечание 2 2 17 2 2 3 2 2" xfId="21467"/>
    <cellStyle name="Примечание 2 2 17 2 2 3 2 3" xfId="36828"/>
    <cellStyle name="Примечание 2 2 17 2 2 3 3" xfId="26420"/>
    <cellStyle name="Примечание 2 2 17 2 2 3 3 2" xfId="41781"/>
    <cellStyle name="Примечание 2 2 17 2 2 3 4" xfId="15904"/>
    <cellStyle name="Примечание 2 2 17 2 2 3 5" xfId="31371"/>
    <cellStyle name="Примечание 2 2 17 2 2 4" xfId="5582"/>
    <cellStyle name="Примечание 2 2 17 2 2 4 2" xfId="17416"/>
    <cellStyle name="Примечание 2 2 17 2 2 4 3" xfId="32883"/>
    <cellStyle name="Примечание 2 2 17 2 2 5" xfId="16947"/>
    <cellStyle name="Примечание 2 2 17 2 2 5 2" xfId="32414"/>
    <cellStyle name="Примечание 2 2 17 2 2 6" xfId="10769"/>
    <cellStyle name="Примечание 2 2 17 2 2 7" xfId="11242"/>
    <cellStyle name="Примечание 2 2 17 2 3" xfId="2171"/>
    <cellStyle name="Примечание 2 2 17 2 3 2" xfId="7407"/>
    <cellStyle name="Примечание 2 2 17 2 3 2 2" xfId="18309"/>
    <cellStyle name="Примечание 2 2 17 2 3 2 3" xfId="33670"/>
    <cellStyle name="Примечание 2 2 17 2 3 3" xfId="23295"/>
    <cellStyle name="Примечание 2 2 17 2 3 3 2" xfId="38656"/>
    <cellStyle name="Примечание 2 2 17 2 3 4" xfId="12746"/>
    <cellStyle name="Примечание 2 2 17 2 3 5" xfId="28246"/>
    <cellStyle name="Примечание 2 2 17 2 4" xfId="2862"/>
    <cellStyle name="Примечание 2 2 17 2 4 2" xfId="8069"/>
    <cellStyle name="Примечание 2 2 17 2 4 2 2" xfId="18989"/>
    <cellStyle name="Примечание 2 2 17 2 4 2 3" xfId="34350"/>
    <cellStyle name="Примечание 2 2 17 2 4 3" xfId="23957"/>
    <cellStyle name="Примечание 2 2 17 2 4 3 2" xfId="39318"/>
    <cellStyle name="Примечание 2 2 17 2 4 4" xfId="13426"/>
    <cellStyle name="Примечание 2 2 17 2 4 5" xfId="28908"/>
    <cellStyle name="Примечание 2 2 17 2 5" xfId="3618"/>
    <cellStyle name="Примечание 2 2 17 2 5 2" xfId="8805"/>
    <cellStyle name="Примечание 2 2 17 2 5 2 2" xfId="19732"/>
    <cellStyle name="Примечание 2 2 17 2 5 2 3" xfId="35093"/>
    <cellStyle name="Примечание 2 2 17 2 5 3" xfId="24693"/>
    <cellStyle name="Примечание 2 2 17 2 5 3 2" xfId="40054"/>
    <cellStyle name="Примечание 2 2 17 2 5 4" xfId="14169"/>
    <cellStyle name="Примечание 2 2 17 2 5 5" xfId="29644"/>
    <cellStyle name="Примечание 2 2 17 2 6" xfId="4219"/>
    <cellStyle name="Примечание 2 2 17 2 6 2" xfId="9406"/>
    <cellStyle name="Примечание 2 2 17 2 6 2 2" xfId="20333"/>
    <cellStyle name="Примечание 2 2 17 2 6 2 3" xfId="35694"/>
    <cellStyle name="Примечание 2 2 17 2 6 3" xfId="25294"/>
    <cellStyle name="Примечание 2 2 17 2 6 3 2" xfId="40655"/>
    <cellStyle name="Примечание 2 2 17 2 6 4" xfId="14770"/>
    <cellStyle name="Примечание 2 2 17 2 6 5" xfId="30245"/>
    <cellStyle name="Примечание 2 2 17 2 7" xfId="4591"/>
    <cellStyle name="Примечание 2 2 17 2 7 2" xfId="9778"/>
    <cellStyle name="Примечание 2 2 17 2 7 2 2" xfId="20705"/>
    <cellStyle name="Примечание 2 2 17 2 7 2 3" xfId="36066"/>
    <cellStyle name="Примечание 2 2 17 2 7 3" xfId="25666"/>
    <cellStyle name="Примечание 2 2 17 2 7 3 2" xfId="41027"/>
    <cellStyle name="Примечание 2 2 17 2 7 4" xfId="15142"/>
    <cellStyle name="Примечание 2 2 17 2 7 5" xfId="30617"/>
    <cellStyle name="Примечание 2 2 17 2 8" xfId="6027"/>
    <cellStyle name="Примечание 2 2 17 2 8 2" xfId="16840"/>
    <cellStyle name="Примечание 2 2 17 2 8 3" xfId="32307"/>
    <cellStyle name="Примечание 2 2 17 2 9" xfId="21915"/>
    <cellStyle name="Примечание 2 2 17 2 9 2" xfId="37276"/>
    <cellStyle name="Примечание 2 2 17 3" xfId="1135"/>
    <cellStyle name="Примечание 2 2 17 3 2" xfId="3036"/>
    <cellStyle name="Примечание 2 2 17 3 2 2" xfId="8231"/>
    <cellStyle name="Примечание 2 2 17 3 2 2 2" xfId="19157"/>
    <cellStyle name="Примечание 2 2 17 3 2 2 3" xfId="34518"/>
    <cellStyle name="Примечание 2 2 17 3 2 3" xfId="24119"/>
    <cellStyle name="Примечание 2 2 17 3 2 3 2" xfId="39480"/>
    <cellStyle name="Примечание 2 2 17 3 2 4" xfId="13594"/>
    <cellStyle name="Примечание 2 2 17 3 2 5" xfId="29070"/>
    <cellStyle name="Примечание 2 2 17 3 3" xfId="5370"/>
    <cellStyle name="Примечание 2 2 17 3 3 2" xfId="10534"/>
    <cellStyle name="Примечание 2 2 17 3 3 2 2" xfId="21468"/>
    <cellStyle name="Примечание 2 2 17 3 3 2 3" xfId="36829"/>
    <cellStyle name="Примечание 2 2 17 3 3 3" xfId="26421"/>
    <cellStyle name="Примечание 2 2 17 3 3 3 2" xfId="41782"/>
    <cellStyle name="Примечание 2 2 17 3 3 4" xfId="15905"/>
    <cellStyle name="Примечание 2 2 17 3 3 5" xfId="31372"/>
    <cellStyle name="Примечание 2 2 17 3 4" xfId="6390"/>
    <cellStyle name="Примечание 2 2 17 3 4 2" xfId="16473"/>
    <cellStyle name="Примечание 2 2 17 3 4 3" xfId="31940"/>
    <cellStyle name="Примечание 2 2 17 3 5" xfId="22278"/>
    <cellStyle name="Примечание 2 2 17 3 5 2" xfId="37639"/>
    <cellStyle name="Примечание 2 2 17 3 6" xfId="11716"/>
    <cellStyle name="Примечание 2 2 17 3 7" xfId="27229"/>
    <cellStyle name="Примечание 2 2 17 4" xfId="1924"/>
    <cellStyle name="Примечание 2 2 17 4 2" xfId="7160"/>
    <cellStyle name="Примечание 2 2 17 4 2 2" xfId="18062"/>
    <cellStyle name="Примечание 2 2 17 4 2 3" xfId="33423"/>
    <cellStyle name="Примечание 2 2 17 4 3" xfId="23048"/>
    <cellStyle name="Примечание 2 2 17 4 3 2" xfId="38409"/>
    <cellStyle name="Примечание 2 2 17 4 4" xfId="12499"/>
    <cellStyle name="Примечание 2 2 17 4 5" xfId="27999"/>
    <cellStyle name="Примечание 2 2 17 5" xfId="1899"/>
    <cellStyle name="Примечание 2 2 17 5 2" xfId="7138"/>
    <cellStyle name="Примечание 2 2 17 5 2 2" xfId="18040"/>
    <cellStyle name="Примечание 2 2 17 5 2 3" xfId="33401"/>
    <cellStyle name="Примечание 2 2 17 5 3" xfId="23026"/>
    <cellStyle name="Примечание 2 2 17 5 3 2" xfId="38387"/>
    <cellStyle name="Примечание 2 2 17 5 4" xfId="12477"/>
    <cellStyle name="Примечание 2 2 17 5 5" xfId="27977"/>
    <cellStyle name="Примечание 2 2 17 6" xfId="1068"/>
    <cellStyle name="Примечание 2 2 17 6 2" xfId="6325"/>
    <cellStyle name="Примечание 2 2 17 6 2 2" xfId="16539"/>
    <cellStyle name="Примечание 2 2 17 6 2 3" xfId="32006"/>
    <cellStyle name="Примечание 2 2 17 6 3" xfId="22213"/>
    <cellStyle name="Примечание 2 2 17 6 3 2" xfId="37574"/>
    <cellStyle name="Примечание 2 2 17 6 4" xfId="11650"/>
    <cellStyle name="Примечание 2 2 17 6 5" xfId="27164"/>
    <cellStyle name="Примечание 2 2 17 7" xfId="4013"/>
    <cellStyle name="Примечание 2 2 17 7 2" xfId="9200"/>
    <cellStyle name="Примечание 2 2 17 7 2 2" xfId="20127"/>
    <cellStyle name="Примечание 2 2 17 7 2 3" xfId="35488"/>
    <cellStyle name="Примечание 2 2 17 7 3" xfId="25088"/>
    <cellStyle name="Примечание 2 2 17 7 3 2" xfId="40449"/>
    <cellStyle name="Примечание 2 2 17 7 4" xfId="14564"/>
    <cellStyle name="Примечание 2 2 17 7 5" xfId="30039"/>
    <cellStyle name="Примечание 2 2 17 8" xfId="4700"/>
    <cellStyle name="Примечание 2 2 17 8 2" xfId="9887"/>
    <cellStyle name="Примечание 2 2 17 8 2 2" xfId="20814"/>
    <cellStyle name="Примечание 2 2 17 8 2 3" xfId="36175"/>
    <cellStyle name="Примечание 2 2 17 8 3" xfId="25775"/>
    <cellStyle name="Примечание 2 2 17 8 3 2" xfId="41136"/>
    <cellStyle name="Примечание 2 2 17 8 4" xfId="15251"/>
    <cellStyle name="Примечание 2 2 17 8 5" xfId="30726"/>
    <cellStyle name="Примечание 2 2 17 9" xfId="5821"/>
    <cellStyle name="Примечание 2 2 17 9 2" xfId="17048"/>
    <cellStyle name="Примечание 2 2 17 9 3" xfId="32515"/>
    <cellStyle name="Примечание 2 2 18" xfId="514"/>
    <cellStyle name="Примечание 2 2 18 10" xfId="21710"/>
    <cellStyle name="Примечание 2 2 18 10 2" xfId="37071"/>
    <cellStyle name="Примечание 2 2 18 11" xfId="11139"/>
    <cellStyle name="Примечание 2 2 18 12" xfId="26661"/>
    <cellStyle name="Примечание 2 2 18 2" xfId="764"/>
    <cellStyle name="Примечание 2 2 18 2 10" xfId="11348"/>
    <cellStyle name="Примечание 2 2 18 2 11" xfId="26865"/>
    <cellStyle name="Примечание 2 2 18 2 2" xfId="1130"/>
    <cellStyle name="Примечание 2 2 18 2 2 2" xfId="3039"/>
    <cellStyle name="Примечание 2 2 18 2 2 2 2" xfId="8234"/>
    <cellStyle name="Примечание 2 2 18 2 2 2 2 2" xfId="19160"/>
    <cellStyle name="Примечание 2 2 18 2 2 2 2 3" xfId="34521"/>
    <cellStyle name="Примечание 2 2 18 2 2 2 3" xfId="24122"/>
    <cellStyle name="Примечание 2 2 18 2 2 2 3 2" xfId="39483"/>
    <cellStyle name="Примечание 2 2 18 2 2 2 4" xfId="13597"/>
    <cellStyle name="Примечание 2 2 18 2 2 2 5" xfId="29073"/>
    <cellStyle name="Примечание 2 2 18 2 2 3" xfId="5371"/>
    <cellStyle name="Примечание 2 2 18 2 2 3 2" xfId="10535"/>
    <cellStyle name="Примечание 2 2 18 2 2 3 2 2" xfId="21469"/>
    <cellStyle name="Примечание 2 2 18 2 2 3 2 3" xfId="36830"/>
    <cellStyle name="Примечание 2 2 18 2 2 3 3" xfId="26422"/>
    <cellStyle name="Примечание 2 2 18 2 2 3 3 2" xfId="41783"/>
    <cellStyle name="Примечание 2 2 18 2 2 3 4" xfId="15906"/>
    <cellStyle name="Примечание 2 2 18 2 2 3 5" xfId="31373"/>
    <cellStyle name="Примечание 2 2 18 2 2 4" xfId="6385"/>
    <cellStyle name="Примечание 2 2 18 2 2 4 2" xfId="16478"/>
    <cellStyle name="Примечание 2 2 18 2 2 4 3" xfId="31945"/>
    <cellStyle name="Примечание 2 2 18 2 2 5" xfId="22273"/>
    <cellStyle name="Примечание 2 2 18 2 2 5 2" xfId="37634"/>
    <cellStyle name="Примечание 2 2 18 2 2 6" xfId="11711"/>
    <cellStyle name="Примечание 2 2 18 2 2 7" xfId="27224"/>
    <cellStyle name="Примечание 2 2 18 2 3" xfId="2170"/>
    <cellStyle name="Примечание 2 2 18 2 3 2" xfId="7406"/>
    <cellStyle name="Примечание 2 2 18 2 3 2 2" xfId="18308"/>
    <cellStyle name="Примечание 2 2 18 2 3 2 3" xfId="33669"/>
    <cellStyle name="Примечание 2 2 18 2 3 3" xfId="23294"/>
    <cellStyle name="Примечание 2 2 18 2 3 3 2" xfId="38655"/>
    <cellStyle name="Примечание 2 2 18 2 3 4" xfId="12745"/>
    <cellStyle name="Примечание 2 2 18 2 3 5" xfId="28245"/>
    <cellStyle name="Примечание 2 2 18 2 4" xfId="2779"/>
    <cellStyle name="Примечание 2 2 18 2 4 2" xfId="8008"/>
    <cellStyle name="Примечание 2 2 18 2 4 2 2" xfId="18912"/>
    <cellStyle name="Примечание 2 2 18 2 4 2 3" xfId="34273"/>
    <cellStyle name="Примечание 2 2 18 2 4 3" xfId="23896"/>
    <cellStyle name="Примечание 2 2 18 2 4 3 2" xfId="39257"/>
    <cellStyle name="Примечание 2 2 18 2 4 4" xfId="13349"/>
    <cellStyle name="Примечание 2 2 18 2 4 5" xfId="28847"/>
    <cellStyle name="Примечание 2 2 18 2 5" xfId="3391"/>
    <cellStyle name="Примечание 2 2 18 2 5 2" xfId="8585"/>
    <cellStyle name="Примечание 2 2 18 2 5 2 2" xfId="19512"/>
    <cellStyle name="Примечание 2 2 18 2 5 2 3" xfId="34873"/>
    <cellStyle name="Примечание 2 2 18 2 5 3" xfId="24473"/>
    <cellStyle name="Примечание 2 2 18 2 5 3 2" xfId="39834"/>
    <cellStyle name="Примечание 2 2 18 2 5 4" xfId="13949"/>
    <cellStyle name="Примечание 2 2 18 2 5 5" xfId="29424"/>
    <cellStyle name="Примечание 2 2 18 2 6" xfId="4218"/>
    <cellStyle name="Примечание 2 2 18 2 6 2" xfId="9405"/>
    <cellStyle name="Примечание 2 2 18 2 6 2 2" xfId="20332"/>
    <cellStyle name="Примечание 2 2 18 2 6 2 3" xfId="35693"/>
    <cellStyle name="Примечание 2 2 18 2 6 3" xfId="25293"/>
    <cellStyle name="Примечание 2 2 18 2 6 3 2" xfId="40654"/>
    <cellStyle name="Примечание 2 2 18 2 6 4" xfId="14769"/>
    <cellStyle name="Примечание 2 2 18 2 6 5" xfId="30244"/>
    <cellStyle name="Примечание 2 2 18 2 7" xfId="4954"/>
    <cellStyle name="Примечание 2 2 18 2 7 2" xfId="10141"/>
    <cellStyle name="Примечание 2 2 18 2 7 2 2" xfId="21068"/>
    <cellStyle name="Примечание 2 2 18 2 7 2 3" xfId="36429"/>
    <cellStyle name="Примечание 2 2 18 2 7 3" xfId="26029"/>
    <cellStyle name="Примечание 2 2 18 2 7 3 2" xfId="41390"/>
    <cellStyle name="Примечание 2 2 18 2 7 4" xfId="15505"/>
    <cellStyle name="Примечание 2 2 18 2 7 5" xfId="30980"/>
    <cellStyle name="Примечание 2 2 18 2 8" xfId="6026"/>
    <cellStyle name="Примечание 2 2 18 2 8 2" xfId="16841"/>
    <cellStyle name="Примечание 2 2 18 2 8 3" xfId="32308"/>
    <cellStyle name="Примечание 2 2 18 2 9" xfId="21914"/>
    <cellStyle name="Примечание 2 2 18 2 9 2" xfId="37275"/>
    <cellStyle name="Примечание 2 2 18 3" xfId="1513"/>
    <cellStyle name="Примечание 2 2 18 3 2" xfId="3040"/>
    <cellStyle name="Примечание 2 2 18 3 2 2" xfId="8235"/>
    <cellStyle name="Примечание 2 2 18 3 2 2 2" xfId="19161"/>
    <cellStyle name="Примечание 2 2 18 3 2 2 3" xfId="34522"/>
    <cellStyle name="Примечание 2 2 18 3 2 3" xfId="24123"/>
    <cellStyle name="Примечание 2 2 18 3 2 3 2" xfId="39484"/>
    <cellStyle name="Примечание 2 2 18 3 2 4" xfId="13598"/>
    <cellStyle name="Примечание 2 2 18 3 2 5" xfId="29074"/>
    <cellStyle name="Примечание 2 2 18 3 3" xfId="5372"/>
    <cellStyle name="Примечание 2 2 18 3 3 2" xfId="10536"/>
    <cellStyle name="Примечание 2 2 18 3 3 2 2" xfId="21470"/>
    <cellStyle name="Примечание 2 2 18 3 3 2 3" xfId="36831"/>
    <cellStyle name="Примечание 2 2 18 3 3 3" xfId="26423"/>
    <cellStyle name="Примечание 2 2 18 3 3 3 2" xfId="41784"/>
    <cellStyle name="Примечание 2 2 18 3 3 4" xfId="15907"/>
    <cellStyle name="Примечание 2 2 18 3 3 5" xfId="31374"/>
    <cellStyle name="Примечание 2 2 18 3 4" xfId="6760"/>
    <cellStyle name="Примечание 2 2 18 3 4 2" xfId="17655"/>
    <cellStyle name="Примечание 2 2 18 3 4 3" xfId="33016"/>
    <cellStyle name="Примечание 2 2 18 3 5" xfId="22648"/>
    <cellStyle name="Примечание 2 2 18 3 5 2" xfId="38009"/>
    <cellStyle name="Примечание 2 2 18 3 6" xfId="12091"/>
    <cellStyle name="Примечание 2 2 18 3 7" xfId="27599"/>
    <cellStyle name="Примечание 2 2 18 4" xfId="1925"/>
    <cellStyle name="Примечание 2 2 18 4 2" xfId="7161"/>
    <cellStyle name="Примечание 2 2 18 4 2 2" xfId="18063"/>
    <cellStyle name="Примечание 2 2 18 4 2 3" xfId="33424"/>
    <cellStyle name="Примечание 2 2 18 4 3" xfId="23049"/>
    <cellStyle name="Примечание 2 2 18 4 3 2" xfId="38410"/>
    <cellStyle name="Примечание 2 2 18 4 4" xfId="12500"/>
    <cellStyle name="Примечание 2 2 18 4 5" xfId="28000"/>
    <cellStyle name="Примечание 2 2 18 5" xfId="2701"/>
    <cellStyle name="Примечание 2 2 18 5 2" xfId="7930"/>
    <cellStyle name="Примечание 2 2 18 5 2 2" xfId="18834"/>
    <cellStyle name="Примечание 2 2 18 5 2 3" xfId="34195"/>
    <cellStyle name="Примечание 2 2 18 5 3" xfId="23818"/>
    <cellStyle name="Примечание 2 2 18 5 3 2" xfId="39179"/>
    <cellStyle name="Примечание 2 2 18 5 4" xfId="13271"/>
    <cellStyle name="Примечание 2 2 18 5 5" xfId="28769"/>
    <cellStyle name="Примечание 2 2 18 6" xfId="3556"/>
    <cellStyle name="Примечание 2 2 18 6 2" xfId="8743"/>
    <cellStyle name="Примечание 2 2 18 6 2 2" xfId="19670"/>
    <cellStyle name="Примечание 2 2 18 6 2 3" xfId="35031"/>
    <cellStyle name="Примечание 2 2 18 6 3" xfId="24631"/>
    <cellStyle name="Примечание 2 2 18 6 3 2" xfId="39992"/>
    <cellStyle name="Примечание 2 2 18 6 4" xfId="14107"/>
    <cellStyle name="Примечание 2 2 18 6 5" xfId="29582"/>
    <cellStyle name="Примечание 2 2 18 7" xfId="4014"/>
    <cellStyle name="Примечание 2 2 18 7 2" xfId="9201"/>
    <cellStyle name="Примечание 2 2 18 7 2 2" xfId="20128"/>
    <cellStyle name="Примечание 2 2 18 7 2 3" xfId="35489"/>
    <cellStyle name="Примечание 2 2 18 7 3" xfId="25089"/>
    <cellStyle name="Примечание 2 2 18 7 3 2" xfId="40450"/>
    <cellStyle name="Примечание 2 2 18 7 4" xfId="14565"/>
    <cellStyle name="Примечание 2 2 18 7 5" xfId="30040"/>
    <cellStyle name="Примечание 2 2 18 8" xfId="4699"/>
    <cellStyle name="Примечание 2 2 18 8 2" xfId="9886"/>
    <cellStyle name="Примечание 2 2 18 8 2 2" xfId="20813"/>
    <cellStyle name="Примечание 2 2 18 8 2 3" xfId="36174"/>
    <cellStyle name="Примечание 2 2 18 8 3" xfId="25774"/>
    <cellStyle name="Примечание 2 2 18 8 3 2" xfId="41135"/>
    <cellStyle name="Примечание 2 2 18 8 4" xfId="15250"/>
    <cellStyle name="Примечание 2 2 18 8 5" xfId="30725"/>
    <cellStyle name="Примечание 2 2 18 9" xfId="5822"/>
    <cellStyle name="Примечание 2 2 18 9 2" xfId="17047"/>
    <cellStyle name="Примечание 2 2 18 9 3" xfId="32514"/>
    <cellStyle name="Примечание 2 2 19" xfId="515"/>
    <cellStyle name="Примечание 2 2 19 10" xfId="21711"/>
    <cellStyle name="Примечание 2 2 19 10 2" xfId="37072"/>
    <cellStyle name="Примечание 2 2 19 11" xfId="11140"/>
    <cellStyle name="Примечание 2 2 19 12" xfId="26662"/>
    <cellStyle name="Примечание 2 2 19 2" xfId="763"/>
    <cellStyle name="Примечание 2 2 19 2 10" xfId="11347"/>
    <cellStyle name="Примечание 2 2 19 2 11" xfId="26864"/>
    <cellStyle name="Примечание 2 2 19 2 2" xfId="1007"/>
    <cellStyle name="Примечание 2 2 19 2 2 2" xfId="3043"/>
    <cellStyle name="Примечание 2 2 19 2 2 2 2" xfId="8238"/>
    <cellStyle name="Примечание 2 2 19 2 2 2 2 2" xfId="19164"/>
    <cellStyle name="Примечание 2 2 19 2 2 2 2 3" xfId="34525"/>
    <cellStyle name="Примечание 2 2 19 2 2 2 3" xfId="24126"/>
    <cellStyle name="Примечание 2 2 19 2 2 2 3 2" xfId="39487"/>
    <cellStyle name="Примечание 2 2 19 2 2 2 4" xfId="13601"/>
    <cellStyle name="Примечание 2 2 19 2 2 2 5" xfId="29077"/>
    <cellStyle name="Примечание 2 2 19 2 2 3" xfId="5373"/>
    <cellStyle name="Примечание 2 2 19 2 2 3 2" xfId="10537"/>
    <cellStyle name="Примечание 2 2 19 2 2 3 2 2" xfId="21471"/>
    <cellStyle name="Примечание 2 2 19 2 2 3 2 3" xfId="36832"/>
    <cellStyle name="Примечание 2 2 19 2 2 3 3" xfId="26424"/>
    <cellStyle name="Примечание 2 2 19 2 2 3 3 2" xfId="41785"/>
    <cellStyle name="Примечание 2 2 19 2 2 3 4" xfId="15908"/>
    <cellStyle name="Примечание 2 2 19 2 2 3 5" xfId="31375"/>
    <cellStyle name="Примечание 2 2 19 2 2 4" xfId="6266"/>
    <cellStyle name="Примечание 2 2 19 2 2 4 2" xfId="16599"/>
    <cellStyle name="Примечание 2 2 19 2 2 4 3" xfId="32066"/>
    <cellStyle name="Примечание 2 2 19 2 2 5" xfId="22154"/>
    <cellStyle name="Примечание 2 2 19 2 2 5 2" xfId="37515"/>
    <cellStyle name="Примечание 2 2 19 2 2 6" xfId="11590"/>
    <cellStyle name="Примечание 2 2 19 2 2 7" xfId="27105"/>
    <cellStyle name="Примечание 2 2 19 2 3" xfId="2169"/>
    <cellStyle name="Примечание 2 2 19 2 3 2" xfId="7405"/>
    <cellStyle name="Примечание 2 2 19 2 3 2 2" xfId="18307"/>
    <cellStyle name="Примечание 2 2 19 2 3 2 3" xfId="33668"/>
    <cellStyle name="Примечание 2 2 19 2 3 3" xfId="23293"/>
    <cellStyle name="Примечание 2 2 19 2 3 3 2" xfId="38654"/>
    <cellStyle name="Примечание 2 2 19 2 3 4" xfId="12744"/>
    <cellStyle name="Примечание 2 2 19 2 3 5" xfId="28244"/>
    <cellStyle name="Примечание 2 2 19 2 4" xfId="2863"/>
    <cellStyle name="Примечание 2 2 19 2 4 2" xfId="8070"/>
    <cellStyle name="Примечание 2 2 19 2 4 2 2" xfId="18990"/>
    <cellStyle name="Примечание 2 2 19 2 4 2 3" xfId="34351"/>
    <cellStyle name="Примечание 2 2 19 2 4 3" xfId="23958"/>
    <cellStyle name="Примечание 2 2 19 2 4 3 2" xfId="39319"/>
    <cellStyle name="Примечание 2 2 19 2 4 4" xfId="13427"/>
    <cellStyle name="Примечание 2 2 19 2 4 5" xfId="28909"/>
    <cellStyle name="Примечание 2 2 19 2 5" xfId="3805"/>
    <cellStyle name="Примечание 2 2 19 2 5 2" xfId="8992"/>
    <cellStyle name="Примечание 2 2 19 2 5 2 2" xfId="19919"/>
    <cellStyle name="Примечание 2 2 19 2 5 2 3" xfId="35280"/>
    <cellStyle name="Примечание 2 2 19 2 5 3" xfId="24880"/>
    <cellStyle name="Примечание 2 2 19 2 5 3 2" xfId="40241"/>
    <cellStyle name="Примечание 2 2 19 2 5 4" xfId="14356"/>
    <cellStyle name="Примечание 2 2 19 2 5 5" xfId="29831"/>
    <cellStyle name="Примечание 2 2 19 2 6" xfId="4217"/>
    <cellStyle name="Примечание 2 2 19 2 6 2" xfId="9404"/>
    <cellStyle name="Примечание 2 2 19 2 6 2 2" xfId="20331"/>
    <cellStyle name="Примечание 2 2 19 2 6 2 3" xfId="35692"/>
    <cellStyle name="Примечание 2 2 19 2 6 3" xfId="25292"/>
    <cellStyle name="Примечание 2 2 19 2 6 3 2" xfId="40653"/>
    <cellStyle name="Примечание 2 2 19 2 6 4" xfId="14768"/>
    <cellStyle name="Примечание 2 2 19 2 6 5" xfId="30243"/>
    <cellStyle name="Примечание 2 2 19 2 7" xfId="4592"/>
    <cellStyle name="Примечание 2 2 19 2 7 2" xfId="9779"/>
    <cellStyle name="Примечание 2 2 19 2 7 2 2" xfId="20706"/>
    <cellStyle name="Примечание 2 2 19 2 7 2 3" xfId="36067"/>
    <cellStyle name="Примечание 2 2 19 2 7 3" xfId="25667"/>
    <cellStyle name="Примечание 2 2 19 2 7 3 2" xfId="41028"/>
    <cellStyle name="Примечание 2 2 19 2 7 4" xfId="15143"/>
    <cellStyle name="Примечание 2 2 19 2 7 5" xfId="30618"/>
    <cellStyle name="Примечание 2 2 19 2 8" xfId="6025"/>
    <cellStyle name="Примечание 2 2 19 2 8 2" xfId="16842"/>
    <cellStyle name="Примечание 2 2 19 2 8 3" xfId="32309"/>
    <cellStyle name="Примечание 2 2 19 2 9" xfId="21913"/>
    <cellStyle name="Примечание 2 2 19 2 9 2" xfId="37274"/>
    <cellStyle name="Примечание 2 2 19 3" xfId="1151"/>
    <cellStyle name="Примечание 2 2 19 3 2" xfId="3044"/>
    <cellStyle name="Примечание 2 2 19 3 2 2" xfId="8239"/>
    <cellStyle name="Примечание 2 2 19 3 2 2 2" xfId="19165"/>
    <cellStyle name="Примечание 2 2 19 3 2 2 3" xfId="34526"/>
    <cellStyle name="Примечание 2 2 19 3 2 3" xfId="24127"/>
    <cellStyle name="Примечание 2 2 19 3 2 3 2" xfId="39488"/>
    <cellStyle name="Примечание 2 2 19 3 2 4" xfId="13602"/>
    <cellStyle name="Примечание 2 2 19 3 2 5" xfId="29078"/>
    <cellStyle name="Примечание 2 2 19 3 3" xfId="5374"/>
    <cellStyle name="Примечание 2 2 19 3 3 2" xfId="10538"/>
    <cellStyle name="Примечание 2 2 19 3 3 2 2" xfId="21472"/>
    <cellStyle name="Примечание 2 2 19 3 3 2 3" xfId="36833"/>
    <cellStyle name="Примечание 2 2 19 3 3 3" xfId="26425"/>
    <cellStyle name="Примечание 2 2 19 3 3 3 2" xfId="41786"/>
    <cellStyle name="Примечание 2 2 19 3 3 4" xfId="15909"/>
    <cellStyle name="Примечание 2 2 19 3 3 5" xfId="31376"/>
    <cellStyle name="Примечание 2 2 19 3 4" xfId="6405"/>
    <cellStyle name="Примечание 2 2 19 3 4 2" xfId="16457"/>
    <cellStyle name="Примечание 2 2 19 3 4 3" xfId="31924"/>
    <cellStyle name="Примечание 2 2 19 3 5" xfId="22293"/>
    <cellStyle name="Примечание 2 2 19 3 5 2" xfId="37654"/>
    <cellStyle name="Примечание 2 2 19 3 6" xfId="11732"/>
    <cellStyle name="Примечание 2 2 19 3 7" xfId="27244"/>
    <cellStyle name="Примечание 2 2 19 4" xfId="1926"/>
    <cellStyle name="Примечание 2 2 19 4 2" xfId="7162"/>
    <cellStyle name="Примечание 2 2 19 4 2 2" xfId="18064"/>
    <cellStyle name="Примечание 2 2 19 4 2 3" xfId="33425"/>
    <cellStyle name="Примечание 2 2 19 4 3" xfId="23050"/>
    <cellStyle name="Примечание 2 2 19 4 3 2" xfId="38411"/>
    <cellStyle name="Примечание 2 2 19 4 4" xfId="12501"/>
    <cellStyle name="Примечание 2 2 19 4 5" xfId="28001"/>
    <cellStyle name="Примечание 2 2 19 5" xfId="1897"/>
    <cellStyle name="Примечание 2 2 19 5 2" xfId="7136"/>
    <cellStyle name="Примечание 2 2 19 5 2 2" xfId="18038"/>
    <cellStyle name="Примечание 2 2 19 5 2 3" xfId="33399"/>
    <cellStyle name="Примечание 2 2 19 5 3" xfId="23024"/>
    <cellStyle name="Примечание 2 2 19 5 3 2" xfId="38385"/>
    <cellStyle name="Примечание 2 2 19 5 4" xfId="12475"/>
    <cellStyle name="Примечание 2 2 19 5 5" xfId="27975"/>
    <cellStyle name="Примечание 2 2 19 6" xfId="3557"/>
    <cellStyle name="Примечание 2 2 19 6 2" xfId="8744"/>
    <cellStyle name="Примечание 2 2 19 6 2 2" xfId="19671"/>
    <cellStyle name="Примечание 2 2 19 6 2 3" xfId="35032"/>
    <cellStyle name="Примечание 2 2 19 6 3" xfId="24632"/>
    <cellStyle name="Примечание 2 2 19 6 3 2" xfId="39993"/>
    <cellStyle name="Примечание 2 2 19 6 4" xfId="14108"/>
    <cellStyle name="Примечание 2 2 19 6 5" xfId="29583"/>
    <cellStyle name="Примечание 2 2 19 7" xfId="4015"/>
    <cellStyle name="Примечание 2 2 19 7 2" xfId="9202"/>
    <cellStyle name="Примечание 2 2 19 7 2 2" xfId="20129"/>
    <cellStyle name="Примечание 2 2 19 7 2 3" xfId="35490"/>
    <cellStyle name="Примечание 2 2 19 7 3" xfId="25090"/>
    <cellStyle name="Примечание 2 2 19 7 3 2" xfId="40451"/>
    <cellStyle name="Примечание 2 2 19 7 4" xfId="14566"/>
    <cellStyle name="Примечание 2 2 19 7 5" xfId="30041"/>
    <cellStyle name="Примечание 2 2 19 8" xfId="4698"/>
    <cellStyle name="Примечание 2 2 19 8 2" xfId="9885"/>
    <cellStyle name="Примечание 2 2 19 8 2 2" xfId="20812"/>
    <cellStyle name="Примечание 2 2 19 8 2 3" xfId="36173"/>
    <cellStyle name="Примечание 2 2 19 8 3" xfId="25773"/>
    <cellStyle name="Примечание 2 2 19 8 3 2" xfId="41134"/>
    <cellStyle name="Примечание 2 2 19 8 4" xfId="15249"/>
    <cellStyle name="Примечание 2 2 19 8 5" xfId="30724"/>
    <cellStyle name="Примечание 2 2 19 9" xfId="5823"/>
    <cellStyle name="Примечание 2 2 19 9 2" xfId="17046"/>
    <cellStyle name="Примечание 2 2 19 9 3" xfId="32513"/>
    <cellStyle name="Примечание 2 2 2" xfId="516"/>
    <cellStyle name="Примечание 2 2 2 10" xfId="21712"/>
    <cellStyle name="Примечание 2 2 2 10 2" xfId="37073"/>
    <cellStyle name="Примечание 2 2 2 11" xfId="11141"/>
    <cellStyle name="Примечание 2 2 2 12" xfId="26663"/>
    <cellStyle name="Примечание 2 2 2 13" xfId="43770"/>
    <cellStyle name="Примечание 2 2 2 2" xfId="762"/>
    <cellStyle name="Примечание 2 2 2 2 10" xfId="11346"/>
    <cellStyle name="Примечание 2 2 2 2 11" xfId="26863"/>
    <cellStyle name="Примечание 2 2 2 2 12" xfId="43857"/>
    <cellStyle name="Примечание 2 2 2 2 2" xfId="64"/>
    <cellStyle name="Примечание 2 2 2 2 2 2" xfId="3047"/>
    <cellStyle name="Примечание 2 2 2 2 2 2 2" xfId="8242"/>
    <cellStyle name="Примечание 2 2 2 2 2 2 2 2" xfId="19168"/>
    <cellStyle name="Примечание 2 2 2 2 2 2 2 3" xfId="34529"/>
    <cellStyle name="Примечание 2 2 2 2 2 2 2 4" xfId="46558"/>
    <cellStyle name="Примечание 2 2 2 2 2 2 3" xfId="24130"/>
    <cellStyle name="Примечание 2 2 2 2 2 2 3 2" xfId="39491"/>
    <cellStyle name="Примечание 2 2 2 2 2 2 4" xfId="13605"/>
    <cellStyle name="Примечание 2 2 2 2 2 2 5" xfId="29081"/>
    <cellStyle name="Примечание 2 2 2 2 2 3" xfId="5375"/>
    <cellStyle name="Примечание 2 2 2 2 2 3 2" xfId="10539"/>
    <cellStyle name="Примечание 2 2 2 2 2 3 2 2" xfId="21473"/>
    <cellStyle name="Примечание 2 2 2 2 2 3 2 3" xfId="36834"/>
    <cellStyle name="Примечание 2 2 2 2 2 3 3" xfId="26426"/>
    <cellStyle name="Примечание 2 2 2 2 2 3 3 2" xfId="41787"/>
    <cellStyle name="Примечание 2 2 2 2 2 3 4" xfId="15910"/>
    <cellStyle name="Примечание 2 2 2 2 2 3 5" xfId="31377"/>
    <cellStyle name="Примечание 2 2 2 2 2 3 6" xfId="45039"/>
    <cellStyle name="Примечание 2 2 2 2 2 4" xfId="5591"/>
    <cellStyle name="Примечание 2 2 2 2 2 4 2" xfId="17407"/>
    <cellStyle name="Примечание 2 2 2 2 2 4 3" xfId="32874"/>
    <cellStyle name="Примечание 2 2 2 2 2 5" xfId="19123"/>
    <cellStyle name="Примечание 2 2 2 2 2 5 2" xfId="34484"/>
    <cellStyle name="Примечание 2 2 2 2 2 6" xfId="10778"/>
    <cellStyle name="Примечание 2 2 2 2 2 7" xfId="13560"/>
    <cellStyle name="Примечание 2 2 2 2 2 8" xfId="44002"/>
    <cellStyle name="Примечание 2 2 2 2 3" xfId="2168"/>
    <cellStyle name="Примечание 2 2 2 2 3 2" xfId="7404"/>
    <cellStyle name="Примечание 2 2 2 2 3 2 2" xfId="18306"/>
    <cellStyle name="Примечание 2 2 2 2 3 2 3" xfId="33667"/>
    <cellStyle name="Примечание 2 2 2 2 3 2 4" xfId="46559"/>
    <cellStyle name="Примечание 2 2 2 2 3 3" xfId="23292"/>
    <cellStyle name="Примечание 2 2 2 2 3 3 2" xfId="38653"/>
    <cellStyle name="Примечание 2 2 2 2 3 4" xfId="12743"/>
    <cellStyle name="Примечание 2 2 2 2 3 5" xfId="28243"/>
    <cellStyle name="Примечание 2 2 2 2 4" xfId="2778"/>
    <cellStyle name="Примечание 2 2 2 2 4 2" xfId="8007"/>
    <cellStyle name="Примечание 2 2 2 2 4 2 2" xfId="18911"/>
    <cellStyle name="Примечание 2 2 2 2 4 2 3" xfId="34272"/>
    <cellStyle name="Примечание 2 2 2 2 4 3" xfId="23895"/>
    <cellStyle name="Примечание 2 2 2 2 4 3 2" xfId="39256"/>
    <cellStyle name="Примечание 2 2 2 2 4 4" xfId="13348"/>
    <cellStyle name="Примечание 2 2 2 2 4 5" xfId="28846"/>
    <cellStyle name="Примечание 2 2 2 2 5" xfId="3429"/>
    <cellStyle name="Примечание 2 2 2 2 5 2" xfId="8619"/>
    <cellStyle name="Примечание 2 2 2 2 5 2 2" xfId="19546"/>
    <cellStyle name="Примечание 2 2 2 2 5 2 3" xfId="34907"/>
    <cellStyle name="Примечание 2 2 2 2 5 3" xfId="24507"/>
    <cellStyle name="Примечание 2 2 2 2 5 3 2" xfId="39868"/>
    <cellStyle name="Примечание 2 2 2 2 5 4" xfId="13983"/>
    <cellStyle name="Примечание 2 2 2 2 5 5" xfId="29458"/>
    <cellStyle name="Примечание 2 2 2 2 6" xfId="4216"/>
    <cellStyle name="Примечание 2 2 2 2 6 2" xfId="9403"/>
    <cellStyle name="Примечание 2 2 2 2 6 2 2" xfId="20330"/>
    <cellStyle name="Примечание 2 2 2 2 6 2 3" xfId="35691"/>
    <cellStyle name="Примечание 2 2 2 2 6 3" xfId="25291"/>
    <cellStyle name="Примечание 2 2 2 2 6 3 2" xfId="40652"/>
    <cellStyle name="Примечание 2 2 2 2 6 4" xfId="14767"/>
    <cellStyle name="Примечание 2 2 2 2 6 5" xfId="30242"/>
    <cellStyle name="Примечание 2 2 2 2 7" xfId="4953"/>
    <cellStyle name="Примечание 2 2 2 2 7 2" xfId="10140"/>
    <cellStyle name="Примечание 2 2 2 2 7 2 2" xfId="21067"/>
    <cellStyle name="Примечание 2 2 2 2 7 2 3" xfId="36428"/>
    <cellStyle name="Примечание 2 2 2 2 7 3" xfId="26028"/>
    <cellStyle name="Примечание 2 2 2 2 7 3 2" xfId="41389"/>
    <cellStyle name="Примечание 2 2 2 2 7 4" xfId="15504"/>
    <cellStyle name="Примечание 2 2 2 2 7 5" xfId="30979"/>
    <cellStyle name="Примечание 2 2 2 2 8" xfId="6024"/>
    <cellStyle name="Примечание 2 2 2 2 8 2" xfId="16843"/>
    <cellStyle name="Примечание 2 2 2 2 8 3" xfId="32310"/>
    <cellStyle name="Примечание 2 2 2 2 9" xfId="21912"/>
    <cellStyle name="Примечание 2 2 2 2 9 2" xfId="37273"/>
    <cellStyle name="Примечание 2 2 2 3" xfId="93"/>
    <cellStyle name="Примечание 2 2 2 3 2" xfId="3048"/>
    <cellStyle name="Примечание 2 2 2 3 2 2" xfId="8243"/>
    <cellStyle name="Примечание 2 2 2 3 2 2 2" xfId="19169"/>
    <cellStyle name="Примечание 2 2 2 3 2 2 3" xfId="34530"/>
    <cellStyle name="Примечание 2 2 2 3 2 2 4" xfId="45040"/>
    <cellStyle name="Примечание 2 2 2 3 2 3" xfId="24131"/>
    <cellStyle name="Примечание 2 2 2 3 2 3 2" xfId="39492"/>
    <cellStyle name="Примечание 2 2 2 3 2 3 3" xfId="45041"/>
    <cellStyle name="Примечание 2 2 2 3 2 4" xfId="13606"/>
    <cellStyle name="Примечание 2 2 2 3 2 5" xfId="29082"/>
    <cellStyle name="Примечание 2 2 2 3 2 6" xfId="44003"/>
    <cellStyle name="Примечание 2 2 2 3 3" xfId="5376"/>
    <cellStyle name="Примечание 2 2 2 3 3 2" xfId="10540"/>
    <cellStyle name="Примечание 2 2 2 3 3 2 2" xfId="21474"/>
    <cellStyle name="Примечание 2 2 2 3 3 2 3" xfId="36835"/>
    <cellStyle name="Примечание 2 2 2 3 3 2 4" xfId="46560"/>
    <cellStyle name="Примечание 2 2 2 3 3 3" xfId="26427"/>
    <cellStyle name="Примечание 2 2 2 3 3 3 2" xfId="41788"/>
    <cellStyle name="Примечание 2 2 2 3 3 4" xfId="15911"/>
    <cellStyle name="Примечание 2 2 2 3 3 5" xfId="31378"/>
    <cellStyle name="Примечание 2 2 2 3 4" xfId="5619"/>
    <cellStyle name="Примечание 2 2 2 3 4 2" xfId="17378"/>
    <cellStyle name="Примечание 2 2 2 3 4 3" xfId="32845"/>
    <cellStyle name="Примечание 2 2 2 3 4 4" xfId="45042"/>
    <cellStyle name="Примечание 2 2 2 3 5" xfId="17433"/>
    <cellStyle name="Примечание 2 2 2 3 5 2" xfId="32900"/>
    <cellStyle name="Примечание 2 2 2 3 6" xfId="10807"/>
    <cellStyle name="Примечание 2 2 2 3 7" xfId="10752"/>
    <cellStyle name="Примечание 2 2 2 3 8" xfId="43858"/>
    <cellStyle name="Примечание 2 2 2 4" xfId="1927"/>
    <cellStyle name="Примечание 2 2 2 4 2" xfId="7163"/>
    <cellStyle name="Примечание 2 2 2 4 2 2" xfId="18065"/>
    <cellStyle name="Примечание 2 2 2 4 2 3" xfId="33426"/>
    <cellStyle name="Примечание 2 2 2 4 3" xfId="23051"/>
    <cellStyle name="Примечание 2 2 2 4 3 2" xfId="38412"/>
    <cellStyle name="Примечание 2 2 2 4 3 3" xfId="45043"/>
    <cellStyle name="Примечание 2 2 2 4 4" xfId="12502"/>
    <cellStyle name="Примечание 2 2 2 4 5" xfId="28002"/>
    <cellStyle name="Примечание 2 2 2 4 6" xfId="43856"/>
    <cellStyle name="Примечание 2 2 2 5" xfId="2702"/>
    <cellStyle name="Примечание 2 2 2 5 2" xfId="7931"/>
    <cellStyle name="Примечание 2 2 2 5 2 2" xfId="18835"/>
    <cellStyle name="Примечание 2 2 2 5 2 3" xfId="34196"/>
    <cellStyle name="Примечание 2 2 2 5 2 4" xfId="45044"/>
    <cellStyle name="Примечание 2 2 2 5 3" xfId="23819"/>
    <cellStyle name="Примечание 2 2 2 5 3 2" xfId="39180"/>
    <cellStyle name="Примечание 2 2 2 5 3 3" xfId="45045"/>
    <cellStyle name="Примечание 2 2 2 5 4" xfId="13272"/>
    <cellStyle name="Примечание 2 2 2 5 5" xfId="28770"/>
    <cellStyle name="Примечание 2 2 2 5 6" xfId="44001"/>
    <cellStyle name="Примечание 2 2 2 6" xfId="2053"/>
    <cellStyle name="Примечание 2 2 2 6 2" xfId="7289"/>
    <cellStyle name="Примечание 2 2 2 6 2 2" xfId="18191"/>
    <cellStyle name="Примечание 2 2 2 6 2 3" xfId="33552"/>
    <cellStyle name="Примечание 2 2 2 6 2 4" xfId="46562"/>
    <cellStyle name="Примечание 2 2 2 6 3" xfId="23177"/>
    <cellStyle name="Примечание 2 2 2 6 3 2" xfId="38538"/>
    <cellStyle name="Примечание 2 2 2 6 3 3" xfId="46561"/>
    <cellStyle name="Примечание 2 2 2 6 4" xfId="12628"/>
    <cellStyle name="Примечание 2 2 2 6 5" xfId="28128"/>
    <cellStyle name="Примечание 2 2 2 7" xfId="4016"/>
    <cellStyle name="Примечание 2 2 2 7 2" xfId="9203"/>
    <cellStyle name="Примечание 2 2 2 7 2 2" xfId="20130"/>
    <cellStyle name="Примечание 2 2 2 7 2 3" xfId="35491"/>
    <cellStyle name="Примечание 2 2 2 7 3" xfId="25091"/>
    <cellStyle name="Примечание 2 2 2 7 3 2" xfId="40452"/>
    <cellStyle name="Примечание 2 2 2 7 4" xfId="14567"/>
    <cellStyle name="Примечание 2 2 2 7 5" xfId="30042"/>
    <cellStyle name="Примечание 2 2 2 7 6" xfId="45046"/>
    <cellStyle name="Примечание 2 2 2 8" xfId="4697"/>
    <cellStyle name="Примечание 2 2 2 8 2" xfId="9884"/>
    <cellStyle name="Примечание 2 2 2 8 2 2" xfId="20811"/>
    <cellStyle name="Примечание 2 2 2 8 2 3" xfId="36172"/>
    <cellStyle name="Примечание 2 2 2 8 3" xfId="25772"/>
    <cellStyle name="Примечание 2 2 2 8 3 2" xfId="41133"/>
    <cellStyle name="Примечание 2 2 2 8 4" xfId="15248"/>
    <cellStyle name="Примечание 2 2 2 8 5" xfId="30723"/>
    <cellStyle name="Примечание 2 2 2 8 6" xfId="45047"/>
    <cellStyle name="Примечание 2 2 2 9" xfId="5824"/>
    <cellStyle name="Примечание 2 2 2 9 2" xfId="17045"/>
    <cellStyle name="Примечание 2 2 2 9 3" xfId="32512"/>
    <cellStyle name="Примечание 2 2 2 9 4" xfId="45292"/>
    <cellStyle name="Примечание 2 2 20" xfId="517"/>
    <cellStyle name="Примечание 2 2 20 10" xfId="21713"/>
    <cellStyle name="Примечание 2 2 20 10 2" xfId="37074"/>
    <cellStyle name="Примечание 2 2 20 11" xfId="11142"/>
    <cellStyle name="Примечание 2 2 20 12" xfId="26664"/>
    <cellStyle name="Примечание 2 2 20 2" xfId="761"/>
    <cellStyle name="Примечание 2 2 20 2 10" xfId="11345"/>
    <cellStyle name="Примечание 2 2 20 2 11" xfId="26862"/>
    <cellStyle name="Примечание 2 2 20 2 2" xfId="1502"/>
    <cellStyle name="Примечание 2 2 20 2 2 2" xfId="3051"/>
    <cellStyle name="Примечание 2 2 20 2 2 2 2" xfId="8246"/>
    <cellStyle name="Примечание 2 2 20 2 2 2 2 2" xfId="19172"/>
    <cellStyle name="Примечание 2 2 20 2 2 2 2 3" xfId="34533"/>
    <cellStyle name="Примечание 2 2 20 2 2 2 3" xfId="24134"/>
    <cellStyle name="Примечание 2 2 20 2 2 2 3 2" xfId="39495"/>
    <cellStyle name="Примечание 2 2 20 2 2 2 4" xfId="13609"/>
    <cellStyle name="Примечание 2 2 20 2 2 2 5" xfId="29085"/>
    <cellStyle name="Примечание 2 2 20 2 2 3" xfId="5377"/>
    <cellStyle name="Примечание 2 2 20 2 2 3 2" xfId="10541"/>
    <cellStyle name="Примечание 2 2 20 2 2 3 2 2" xfId="21475"/>
    <cellStyle name="Примечание 2 2 20 2 2 3 2 3" xfId="36836"/>
    <cellStyle name="Примечание 2 2 20 2 2 3 3" xfId="26428"/>
    <cellStyle name="Примечание 2 2 20 2 2 3 3 2" xfId="41789"/>
    <cellStyle name="Примечание 2 2 20 2 2 3 4" xfId="15912"/>
    <cellStyle name="Примечание 2 2 20 2 2 3 5" xfId="31379"/>
    <cellStyle name="Примечание 2 2 20 2 2 4" xfId="6749"/>
    <cellStyle name="Примечание 2 2 20 2 2 4 2" xfId="17644"/>
    <cellStyle name="Примечание 2 2 20 2 2 4 3" xfId="33005"/>
    <cellStyle name="Примечание 2 2 20 2 2 5" xfId="22637"/>
    <cellStyle name="Примечание 2 2 20 2 2 5 2" xfId="37998"/>
    <cellStyle name="Примечание 2 2 20 2 2 6" xfId="12080"/>
    <cellStyle name="Примечание 2 2 20 2 2 7" xfId="27588"/>
    <cellStyle name="Примечание 2 2 20 2 3" xfId="2167"/>
    <cellStyle name="Примечание 2 2 20 2 3 2" xfId="7403"/>
    <cellStyle name="Примечание 2 2 20 2 3 2 2" xfId="18305"/>
    <cellStyle name="Примечание 2 2 20 2 3 2 3" xfId="33666"/>
    <cellStyle name="Примечание 2 2 20 2 3 3" xfId="23291"/>
    <cellStyle name="Примечание 2 2 20 2 3 3 2" xfId="38652"/>
    <cellStyle name="Примечание 2 2 20 2 3 4" xfId="12742"/>
    <cellStyle name="Примечание 2 2 20 2 3 5" xfId="28242"/>
    <cellStyle name="Примечание 2 2 20 2 4" xfId="2864"/>
    <cellStyle name="Примечание 2 2 20 2 4 2" xfId="8071"/>
    <cellStyle name="Примечание 2 2 20 2 4 2 2" xfId="18991"/>
    <cellStyle name="Примечание 2 2 20 2 4 2 3" xfId="34352"/>
    <cellStyle name="Примечание 2 2 20 2 4 3" xfId="23959"/>
    <cellStyle name="Примечание 2 2 20 2 4 3 2" xfId="39320"/>
    <cellStyle name="Примечание 2 2 20 2 4 4" xfId="13428"/>
    <cellStyle name="Примечание 2 2 20 2 4 5" xfId="28910"/>
    <cellStyle name="Примечание 2 2 20 2 5" xfId="3617"/>
    <cellStyle name="Примечание 2 2 20 2 5 2" xfId="8804"/>
    <cellStyle name="Примечание 2 2 20 2 5 2 2" xfId="19731"/>
    <cellStyle name="Примечание 2 2 20 2 5 2 3" xfId="35092"/>
    <cellStyle name="Примечание 2 2 20 2 5 3" xfId="24692"/>
    <cellStyle name="Примечание 2 2 20 2 5 3 2" xfId="40053"/>
    <cellStyle name="Примечание 2 2 20 2 5 4" xfId="14168"/>
    <cellStyle name="Примечание 2 2 20 2 5 5" xfId="29643"/>
    <cellStyle name="Примечание 2 2 20 2 6" xfId="4215"/>
    <cellStyle name="Примечание 2 2 20 2 6 2" xfId="9402"/>
    <cellStyle name="Примечание 2 2 20 2 6 2 2" xfId="20329"/>
    <cellStyle name="Примечание 2 2 20 2 6 2 3" xfId="35690"/>
    <cellStyle name="Примечание 2 2 20 2 6 3" xfId="25290"/>
    <cellStyle name="Примечание 2 2 20 2 6 3 2" xfId="40651"/>
    <cellStyle name="Примечание 2 2 20 2 6 4" xfId="14766"/>
    <cellStyle name="Примечание 2 2 20 2 6 5" xfId="30241"/>
    <cellStyle name="Примечание 2 2 20 2 7" xfId="4593"/>
    <cellStyle name="Примечание 2 2 20 2 7 2" xfId="9780"/>
    <cellStyle name="Примечание 2 2 20 2 7 2 2" xfId="20707"/>
    <cellStyle name="Примечание 2 2 20 2 7 2 3" xfId="36068"/>
    <cellStyle name="Примечание 2 2 20 2 7 3" xfId="25668"/>
    <cellStyle name="Примечание 2 2 20 2 7 3 2" xfId="41029"/>
    <cellStyle name="Примечание 2 2 20 2 7 4" xfId="15144"/>
    <cellStyle name="Примечание 2 2 20 2 7 5" xfId="30619"/>
    <cellStyle name="Примечание 2 2 20 2 8" xfId="6023"/>
    <cellStyle name="Примечание 2 2 20 2 8 2" xfId="16844"/>
    <cellStyle name="Примечание 2 2 20 2 8 3" xfId="32311"/>
    <cellStyle name="Примечание 2 2 20 2 9" xfId="21911"/>
    <cellStyle name="Примечание 2 2 20 2 9 2" xfId="37272"/>
    <cellStyle name="Примечание 2 2 20 3" xfId="1577"/>
    <cellStyle name="Примечание 2 2 20 3 2" xfId="3052"/>
    <cellStyle name="Примечание 2 2 20 3 2 2" xfId="8247"/>
    <cellStyle name="Примечание 2 2 20 3 2 2 2" xfId="19173"/>
    <cellStyle name="Примечание 2 2 20 3 2 2 3" xfId="34534"/>
    <cellStyle name="Примечание 2 2 20 3 2 3" xfId="24135"/>
    <cellStyle name="Примечание 2 2 20 3 2 3 2" xfId="39496"/>
    <cellStyle name="Примечание 2 2 20 3 2 4" xfId="13610"/>
    <cellStyle name="Примечание 2 2 20 3 2 5" xfId="29086"/>
    <cellStyle name="Примечание 2 2 20 3 3" xfId="5378"/>
    <cellStyle name="Примечание 2 2 20 3 3 2" xfId="10542"/>
    <cellStyle name="Примечание 2 2 20 3 3 2 2" xfId="21476"/>
    <cellStyle name="Примечание 2 2 20 3 3 2 3" xfId="36837"/>
    <cellStyle name="Примечание 2 2 20 3 3 3" xfId="26429"/>
    <cellStyle name="Примечание 2 2 20 3 3 3 2" xfId="41790"/>
    <cellStyle name="Примечание 2 2 20 3 3 4" xfId="15913"/>
    <cellStyle name="Примечание 2 2 20 3 3 5" xfId="31380"/>
    <cellStyle name="Примечание 2 2 20 3 4" xfId="6824"/>
    <cellStyle name="Примечание 2 2 20 3 4 2" xfId="17719"/>
    <cellStyle name="Примечание 2 2 20 3 4 3" xfId="33080"/>
    <cellStyle name="Примечание 2 2 20 3 5" xfId="22712"/>
    <cellStyle name="Примечание 2 2 20 3 5 2" xfId="38073"/>
    <cellStyle name="Примечание 2 2 20 3 6" xfId="12155"/>
    <cellStyle name="Примечание 2 2 20 3 7" xfId="27663"/>
    <cellStyle name="Примечание 2 2 20 4" xfId="1928"/>
    <cellStyle name="Примечание 2 2 20 4 2" xfId="7164"/>
    <cellStyle name="Примечание 2 2 20 4 2 2" xfId="18066"/>
    <cellStyle name="Примечание 2 2 20 4 2 3" xfId="33427"/>
    <cellStyle name="Примечание 2 2 20 4 3" xfId="23052"/>
    <cellStyle name="Примечание 2 2 20 4 3 2" xfId="38413"/>
    <cellStyle name="Примечание 2 2 20 4 4" xfId="12503"/>
    <cellStyle name="Примечание 2 2 20 4 5" xfId="28003"/>
    <cellStyle name="Примечание 2 2 20 5" xfId="1895"/>
    <cellStyle name="Примечание 2 2 20 5 2" xfId="7134"/>
    <cellStyle name="Примечание 2 2 20 5 2 2" xfId="18036"/>
    <cellStyle name="Примечание 2 2 20 5 2 3" xfId="33397"/>
    <cellStyle name="Примечание 2 2 20 5 3" xfId="23022"/>
    <cellStyle name="Примечание 2 2 20 5 3 2" xfId="38383"/>
    <cellStyle name="Примечание 2 2 20 5 4" xfId="12473"/>
    <cellStyle name="Примечание 2 2 20 5 5" xfId="27973"/>
    <cellStyle name="Примечание 2 2 20 6" xfId="3558"/>
    <cellStyle name="Примечание 2 2 20 6 2" xfId="8745"/>
    <cellStyle name="Примечание 2 2 20 6 2 2" xfId="19672"/>
    <cellStyle name="Примечание 2 2 20 6 2 3" xfId="35033"/>
    <cellStyle name="Примечание 2 2 20 6 3" xfId="24633"/>
    <cellStyle name="Примечание 2 2 20 6 3 2" xfId="39994"/>
    <cellStyle name="Примечание 2 2 20 6 4" xfId="14109"/>
    <cellStyle name="Примечание 2 2 20 6 5" xfId="29584"/>
    <cellStyle name="Примечание 2 2 20 7" xfId="4017"/>
    <cellStyle name="Примечание 2 2 20 7 2" xfId="9204"/>
    <cellStyle name="Примечание 2 2 20 7 2 2" xfId="20131"/>
    <cellStyle name="Примечание 2 2 20 7 2 3" xfId="35492"/>
    <cellStyle name="Примечание 2 2 20 7 3" xfId="25092"/>
    <cellStyle name="Примечание 2 2 20 7 3 2" xfId="40453"/>
    <cellStyle name="Примечание 2 2 20 7 4" xfId="14568"/>
    <cellStyle name="Примечание 2 2 20 7 5" xfId="30043"/>
    <cellStyle name="Примечание 2 2 20 8" xfId="4696"/>
    <cellStyle name="Примечание 2 2 20 8 2" xfId="9883"/>
    <cellStyle name="Примечание 2 2 20 8 2 2" xfId="20810"/>
    <cellStyle name="Примечание 2 2 20 8 2 3" xfId="36171"/>
    <cellStyle name="Примечание 2 2 20 8 3" xfId="25771"/>
    <cellStyle name="Примечание 2 2 20 8 3 2" xfId="41132"/>
    <cellStyle name="Примечание 2 2 20 8 4" xfId="15247"/>
    <cellStyle name="Примечание 2 2 20 8 5" xfId="30722"/>
    <cellStyle name="Примечание 2 2 20 9" xfId="5825"/>
    <cellStyle name="Примечание 2 2 20 9 2" xfId="17044"/>
    <cellStyle name="Примечание 2 2 20 9 3" xfId="32511"/>
    <cellStyle name="Примечание 2 2 21" xfId="518"/>
    <cellStyle name="Примечание 2 2 21 10" xfId="21714"/>
    <cellStyle name="Примечание 2 2 21 10 2" xfId="37075"/>
    <cellStyle name="Примечание 2 2 21 11" xfId="11143"/>
    <cellStyle name="Примечание 2 2 21 12" xfId="26665"/>
    <cellStyle name="Примечание 2 2 21 2" xfId="760"/>
    <cellStyle name="Примечание 2 2 21 2 10" xfId="11344"/>
    <cellStyle name="Примечание 2 2 21 2 11" xfId="26861"/>
    <cellStyle name="Примечание 2 2 21 2 2" xfId="1297"/>
    <cellStyle name="Примечание 2 2 21 2 2 2" xfId="3055"/>
    <cellStyle name="Примечание 2 2 21 2 2 2 2" xfId="8250"/>
    <cellStyle name="Примечание 2 2 21 2 2 2 2 2" xfId="19176"/>
    <cellStyle name="Примечание 2 2 21 2 2 2 2 3" xfId="34537"/>
    <cellStyle name="Примечание 2 2 21 2 2 2 3" xfId="24138"/>
    <cellStyle name="Примечание 2 2 21 2 2 2 3 2" xfId="39499"/>
    <cellStyle name="Примечание 2 2 21 2 2 2 4" xfId="13613"/>
    <cellStyle name="Примечание 2 2 21 2 2 2 5" xfId="29089"/>
    <cellStyle name="Примечание 2 2 21 2 2 3" xfId="5379"/>
    <cellStyle name="Примечание 2 2 21 2 2 3 2" xfId="10543"/>
    <cellStyle name="Примечание 2 2 21 2 2 3 2 2" xfId="21477"/>
    <cellStyle name="Примечание 2 2 21 2 2 3 2 3" xfId="36838"/>
    <cellStyle name="Примечание 2 2 21 2 2 3 3" xfId="26430"/>
    <cellStyle name="Примечание 2 2 21 2 2 3 3 2" xfId="41791"/>
    <cellStyle name="Примечание 2 2 21 2 2 3 4" xfId="15914"/>
    <cellStyle name="Примечание 2 2 21 2 2 3 5" xfId="31381"/>
    <cellStyle name="Примечание 2 2 21 2 2 4" xfId="6550"/>
    <cellStyle name="Примечание 2 2 21 2 2 4 2" xfId="16311"/>
    <cellStyle name="Примечание 2 2 21 2 2 4 3" xfId="31778"/>
    <cellStyle name="Примечание 2 2 21 2 2 5" xfId="22438"/>
    <cellStyle name="Примечание 2 2 21 2 2 5 2" xfId="37799"/>
    <cellStyle name="Примечание 2 2 21 2 2 6" xfId="11878"/>
    <cellStyle name="Примечание 2 2 21 2 2 7" xfId="27389"/>
    <cellStyle name="Примечание 2 2 21 2 3" xfId="2166"/>
    <cellStyle name="Примечание 2 2 21 2 3 2" xfId="7402"/>
    <cellStyle name="Примечание 2 2 21 2 3 2 2" xfId="18304"/>
    <cellStyle name="Примечание 2 2 21 2 3 2 3" xfId="33665"/>
    <cellStyle name="Примечание 2 2 21 2 3 3" xfId="23290"/>
    <cellStyle name="Примечание 2 2 21 2 3 3 2" xfId="38651"/>
    <cellStyle name="Примечание 2 2 21 2 3 4" xfId="12741"/>
    <cellStyle name="Примечание 2 2 21 2 3 5" xfId="28241"/>
    <cellStyle name="Примечание 2 2 21 2 4" xfId="2777"/>
    <cellStyle name="Примечание 2 2 21 2 4 2" xfId="8006"/>
    <cellStyle name="Примечание 2 2 21 2 4 2 2" xfId="18910"/>
    <cellStyle name="Примечание 2 2 21 2 4 2 3" xfId="34271"/>
    <cellStyle name="Примечание 2 2 21 2 4 3" xfId="23894"/>
    <cellStyle name="Примечание 2 2 21 2 4 3 2" xfId="39255"/>
    <cellStyle name="Примечание 2 2 21 2 4 4" xfId="13347"/>
    <cellStyle name="Примечание 2 2 21 2 4 5" xfId="28845"/>
    <cellStyle name="Примечание 2 2 21 2 5" xfId="3430"/>
    <cellStyle name="Примечание 2 2 21 2 5 2" xfId="8620"/>
    <cellStyle name="Примечание 2 2 21 2 5 2 2" xfId="19547"/>
    <cellStyle name="Примечание 2 2 21 2 5 2 3" xfId="34908"/>
    <cellStyle name="Примечание 2 2 21 2 5 3" xfId="24508"/>
    <cellStyle name="Примечание 2 2 21 2 5 3 2" xfId="39869"/>
    <cellStyle name="Примечание 2 2 21 2 5 4" xfId="13984"/>
    <cellStyle name="Примечание 2 2 21 2 5 5" xfId="29459"/>
    <cellStyle name="Примечание 2 2 21 2 6" xfId="4214"/>
    <cellStyle name="Примечание 2 2 21 2 6 2" xfId="9401"/>
    <cellStyle name="Примечание 2 2 21 2 6 2 2" xfId="20328"/>
    <cellStyle name="Примечание 2 2 21 2 6 2 3" xfId="35689"/>
    <cellStyle name="Примечание 2 2 21 2 6 3" xfId="25289"/>
    <cellStyle name="Примечание 2 2 21 2 6 3 2" xfId="40650"/>
    <cellStyle name="Примечание 2 2 21 2 6 4" xfId="14765"/>
    <cellStyle name="Примечание 2 2 21 2 6 5" xfId="30240"/>
    <cellStyle name="Примечание 2 2 21 2 7" xfId="4952"/>
    <cellStyle name="Примечание 2 2 21 2 7 2" xfId="10139"/>
    <cellStyle name="Примечание 2 2 21 2 7 2 2" xfId="21066"/>
    <cellStyle name="Примечание 2 2 21 2 7 2 3" xfId="36427"/>
    <cellStyle name="Примечание 2 2 21 2 7 3" xfId="26027"/>
    <cellStyle name="Примечание 2 2 21 2 7 3 2" xfId="41388"/>
    <cellStyle name="Примечание 2 2 21 2 7 4" xfId="15503"/>
    <cellStyle name="Примечание 2 2 21 2 7 5" xfId="30978"/>
    <cellStyle name="Примечание 2 2 21 2 8" xfId="6022"/>
    <cellStyle name="Примечание 2 2 21 2 8 2" xfId="16845"/>
    <cellStyle name="Примечание 2 2 21 2 8 3" xfId="32312"/>
    <cellStyle name="Примечание 2 2 21 2 9" xfId="21910"/>
    <cellStyle name="Примечание 2 2 21 2 9 2" xfId="37271"/>
    <cellStyle name="Примечание 2 2 21 3" xfId="984"/>
    <cellStyle name="Примечание 2 2 21 3 2" xfId="3056"/>
    <cellStyle name="Примечание 2 2 21 3 2 2" xfId="8251"/>
    <cellStyle name="Примечание 2 2 21 3 2 2 2" xfId="19177"/>
    <cellStyle name="Примечание 2 2 21 3 2 2 3" xfId="34538"/>
    <cellStyle name="Примечание 2 2 21 3 2 3" xfId="24139"/>
    <cellStyle name="Примечание 2 2 21 3 2 3 2" xfId="39500"/>
    <cellStyle name="Примечание 2 2 21 3 2 4" xfId="13614"/>
    <cellStyle name="Примечание 2 2 21 3 2 5" xfId="29090"/>
    <cellStyle name="Примечание 2 2 21 3 3" xfId="5380"/>
    <cellStyle name="Примечание 2 2 21 3 3 2" xfId="10544"/>
    <cellStyle name="Примечание 2 2 21 3 3 2 2" xfId="21478"/>
    <cellStyle name="Примечание 2 2 21 3 3 2 3" xfId="36839"/>
    <cellStyle name="Примечание 2 2 21 3 3 3" xfId="26431"/>
    <cellStyle name="Примечание 2 2 21 3 3 3 2" xfId="41792"/>
    <cellStyle name="Примечание 2 2 21 3 3 4" xfId="15915"/>
    <cellStyle name="Примечание 2 2 21 3 3 5" xfId="31382"/>
    <cellStyle name="Примечание 2 2 21 3 4" xfId="6243"/>
    <cellStyle name="Примечание 2 2 21 3 4 2" xfId="16622"/>
    <cellStyle name="Примечание 2 2 21 3 4 3" xfId="32089"/>
    <cellStyle name="Примечание 2 2 21 3 5" xfId="22131"/>
    <cellStyle name="Примечание 2 2 21 3 5 2" xfId="37492"/>
    <cellStyle name="Примечание 2 2 21 3 6" xfId="11567"/>
    <cellStyle name="Примечание 2 2 21 3 7" xfId="27082"/>
    <cellStyle name="Примечание 2 2 21 4" xfId="1929"/>
    <cellStyle name="Примечание 2 2 21 4 2" xfId="7165"/>
    <cellStyle name="Примечание 2 2 21 4 2 2" xfId="18067"/>
    <cellStyle name="Примечание 2 2 21 4 2 3" xfId="33428"/>
    <cellStyle name="Примечание 2 2 21 4 3" xfId="23053"/>
    <cellStyle name="Примечание 2 2 21 4 3 2" xfId="38414"/>
    <cellStyle name="Примечание 2 2 21 4 4" xfId="12504"/>
    <cellStyle name="Примечание 2 2 21 4 5" xfId="28004"/>
    <cellStyle name="Примечание 2 2 21 5" xfId="2703"/>
    <cellStyle name="Примечание 2 2 21 5 2" xfId="7932"/>
    <cellStyle name="Примечание 2 2 21 5 2 2" xfId="18836"/>
    <cellStyle name="Примечание 2 2 21 5 2 3" xfId="34197"/>
    <cellStyle name="Примечание 2 2 21 5 3" xfId="23820"/>
    <cellStyle name="Примечание 2 2 21 5 3 2" xfId="39181"/>
    <cellStyle name="Примечание 2 2 21 5 4" xfId="13273"/>
    <cellStyle name="Примечание 2 2 21 5 5" xfId="28771"/>
    <cellStyle name="Примечание 2 2 21 6" xfId="3559"/>
    <cellStyle name="Примечание 2 2 21 6 2" xfId="8746"/>
    <cellStyle name="Примечание 2 2 21 6 2 2" xfId="19673"/>
    <cellStyle name="Примечание 2 2 21 6 2 3" xfId="35034"/>
    <cellStyle name="Примечание 2 2 21 6 3" xfId="24634"/>
    <cellStyle name="Примечание 2 2 21 6 3 2" xfId="39995"/>
    <cellStyle name="Примечание 2 2 21 6 4" xfId="14110"/>
    <cellStyle name="Примечание 2 2 21 6 5" xfId="29585"/>
    <cellStyle name="Примечание 2 2 21 7" xfId="4018"/>
    <cellStyle name="Примечание 2 2 21 7 2" xfId="9205"/>
    <cellStyle name="Примечание 2 2 21 7 2 2" xfId="20132"/>
    <cellStyle name="Примечание 2 2 21 7 2 3" xfId="35493"/>
    <cellStyle name="Примечание 2 2 21 7 3" xfId="25093"/>
    <cellStyle name="Примечание 2 2 21 7 3 2" xfId="40454"/>
    <cellStyle name="Примечание 2 2 21 7 4" xfId="14569"/>
    <cellStyle name="Примечание 2 2 21 7 5" xfId="30044"/>
    <cellStyle name="Примечание 2 2 21 8" xfId="4695"/>
    <cellStyle name="Примечание 2 2 21 8 2" xfId="9882"/>
    <cellStyle name="Примечание 2 2 21 8 2 2" xfId="20809"/>
    <cellStyle name="Примечание 2 2 21 8 2 3" xfId="36170"/>
    <cellStyle name="Примечание 2 2 21 8 3" xfId="25770"/>
    <cellStyle name="Примечание 2 2 21 8 3 2" xfId="41131"/>
    <cellStyle name="Примечание 2 2 21 8 4" xfId="15246"/>
    <cellStyle name="Примечание 2 2 21 8 5" xfId="30721"/>
    <cellStyle name="Примечание 2 2 21 9" xfId="5826"/>
    <cellStyle name="Примечание 2 2 21 9 2" xfId="17043"/>
    <cellStyle name="Примечание 2 2 21 9 3" xfId="32510"/>
    <cellStyle name="Примечание 2 2 22" xfId="519"/>
    <cellStyle name="Примечание 2 2 22 10" xfId="21715"/>
    <cellStyle name="Примечание 2 2 22 10 2" xfId="37076"/>
    <cellStyle name="Примечание 2 2 22 11" xfId="11144"/>
    <cellStyle name="Примечание 2 2 22 12" xfId="26666"/>
    <cellStyle name="Примечание 2 2 22 2" xfId="759"/>
    <cellStyle name="Примечание 2 2 22 2 10" xfId="11343"/>
    <cellStyle name="Примечание 2 2 22 2 11" xfId="26860"/>
    <cellStyle name="Примечание 2 2 22 2 2" xfId="1755"/>
    <cellStyle name="Примечание 2 2 22 2 2 2" xfId="3059"/>
    <cellStyle name="Примечание 2 2 22 2 2 2 2" xfId="8254"/>
    <cellStyle name="Примечание 2 2 22 2 2 2 2 2" xfId="19180"/>
    <cellStyle name="Примечание 2 2 22 2 2 2 2 3" xfId="34541"/>
    <cellStyle name="Примечание 2 2 22 2 2 2 3" xfId="24142"/>
    <cellStyle name="Примечание 2 2 22 2 2 2 3 2" xfId="39503"/>
    <cellStyle name="Примечание 2 2 22 2 2 2 4" xfId="13617"/>
    <cellStyle name="Примечание 2 2 22 2 2 2 5" xfId="29093"/>
    <cellStyle name="Примечание 2 2 22 2 2 3" xfId="5381"/>
    <cellStyle name="Примечание 2 2 22 2 2 3 2" xfId="10545"/>
    <cellStyle name="Примечание 2 2 22 2 2 3 2 2" xfId="21479"/>
    <cellStyle name="Примечание 2 2 22 2 2 3 2 3" xfId="36840"/>
    <cellStyle name="Примечание 2 2 22 2 2 3 3" xfId="26432"/>
    <cellStyle name="Примечание 2 2 22 2 2 3 3 2" xfId="41793"/>
    <cellStyle name="Примечание 2 2 22 2 2 3 4" xfId="15916"/>
    <cellStyle name="Примечание 2 2 22 2 2 3 5" xfId="31383"/>
    <cellStyle name="Примечание 2 2 22 2 2 4" xfId="6994"/>
    <cellStyle name="Примечание 2 2 22 2 2 4 2" xfId="17896"/>
    <cellStyle name="Примечание 2 2 22 2 2 4 3" xfId="33257"/>
    <cellStyle name="Примечание 2 2 22 2 2 5" xfId="22882"/>
    <cellStyle name="Примечание 2 2 22 2 2 5 2" xfId="38243"/>
    <cellStyle name="Примечание 2 2 22 2 2 6" xfId="12333"/>
    <cellStyle name="Примечание 2 2 22 2 2 7" xfId="27833"/>
    <cellStyle name="Примечание 2 2 22 2 3" xfId="2165"/>
    <cellStyle name="Примечание 2 2 22 2 3 2" xfId="7401"/>
    <cellStyle name="Примечание 2 2 22 2 3 2 2" xfId="18303"/>
    <cellStyle name="Примечание 2 2 22 2 3 2 3" xfId="33664"/>
    <cellStyle name="Примечание 2 2 22 2 3 3" xfId="23289"/>
    <cellStyle name="Примечание 2 2 22 2 3 3 2" xfId="38650"/>
    <cellStyle name="Примечание 2 2 22 2 3 4" xfId="12740"/>
    <cellStyle name="Примечание 2 2 22 2 3 5" xfId="28240"/>
    <cellStyle name="Примечание 2 2 22 2 4" xfId="1362"/>
    <cellStyle name="Примечание 2 2 22 2 4 2" xfId="6613"/>
    <cellStyle name="Примечание 2 2 22 2 4 2 2" xfId="16247"/>
    <cellStyle name="Примечание 2 2 22 2 4 2 3" xfId="31714"/>
    <cellStyle name="Примечание 2 2 22 2 4 3" xfId="22501"/>
    <cellStyle name="Примечание 2 2 22 2 4 3 2" xfId="37862"/>
    <cellStyle name="Примечание 2 2 22 2 4 4" xfId="11942"/>
    <cellStyle name="Примечание 2 2 22 2 4 5" xfId="27452"/>
    <cellStyle name="Примечание 2 2 22 2 5" xfId="3806"/>
    <cellStyle name="Примечание 2 2 22 2 5 2" xfId="8993"/>
    <cellStyle name="Примечание 2 2 22 2 5 2 2" xfId="19920"/>
    <cellStyle name="Примечание 2 2 22 2 5 2 3" xfId="35281"/>
    <cellStyle name="Примечание 2 2 22 2 5 3" xfId="24881"/>
    <cellStyle name="Примечание 2 2 22 2 5 3 2" xfId="40242"/>
    <cellStyle name="Примечание 2 2 22 2 5 4" xfId="14357"/>
    <cellStyle name="Примечание 2 2 22 2 5 5" xfId="29832"/>
    <cellStyle name="Примечание 2 2 22 2 6" xfId="4213"/>
    <cellStyle name="Примечание 2 2 22 2 6 2" xfId="9400"/>
    <cellStyle name="Примечание 2 2 22 2 6 2 2" xfId="20327"/>
    <cellStyle name="Примечание 2 2 22 2 6 2 3" xfId="35688"/>
    <cellStyle name="Примечание 2 2 22 2 6 3" xfId="25288"/>
    <cellStyle name="Примечание 2 2 22 2 6 3 2" xfId="40649"/>
    <cellStyle name="Примечание 2 2 22 2 6 4" xfId="14764"/>
    <cellStyle name="Примечание 2 2 22 2 6 5" xfId="30239"/>
    <cellStyle name="Примечание 2 2 22 2 7" xfId="4594"/>
    <cellStyle name="Примечание 2 2 22 2 7 2" xfId="9781"/>
    <cellStyle name="Примечание 2 2 22 2 7 2 2" xfId="20708"/>
    <cellStyle name="Примечание 2 2 22 2 7 2 3" xfId="36069"/>
    <cellStyle name="Примечание 2 2 22 2 7 3" xfId="25669"/>
    <cellStyle name="Примечание 2 2 22 2 7 3 2" xfId="41030"/>
    <cellStyle name="Примечание 2 2 22 2 7 4" xfId="15145"/>
    <cellStyle name="Примечание 2 2 22 2 7 5" xfId="30620"/>
    <cellStyle name="Примечание 2 2 22 2 8" xfId="6021"/>
    <cellStyle name="Примечание 2 2 22 2 8 2" xfId="16846"/>
    <cellStyle name="Примечание 2 2 22 2 8 3" xfId="32313"/>
    <cellStyle name="Примечание 2 2 22 2 9" xfId="21909"/>
    <cellStyle name="Примечание 2 2 22 2 9 2" xfId="37270"/>
    <cellStyle name="Примечание 2 2 22 3" xfId="1771"/>
    <cellStyle name="Примечание 2 2 22 3 2" xfId="3060"/>
    <cellStyle name="Примечание 2 2 22 3 2 2" xfId="8255"/>
    <cellStyle name="Примечание 2 2 22 3 2 2 2" xfId="19181"/>
    <cellStyle name="Примечание 2 2 22 3 2 2 3" xfId="34542"/>
    <cellStyle name="Примечание 2 2 22 3 2 3" xfId="24143"/>
    <cellStyle name="Примечание 2 2 22 3 2 3 2" xfId="39504"/>
    <cellStyle name="Примечание 2 2 22 3 2 4" xfId="13618"/>
    <cellStyle name="Примечание 2 2 22 3 2 5" xfId="29094"/>
    <cellStyle name="Примечание 2 2 22 3 3" xfId="5382"/>
    <cellStyle name="Примечание 2 2 22 3 3 2" xfId="10546"/>
    <cellStyle name="Примечание 2 2 22 3 3 2 2" xfId="21480"/>
    <cellStyle name="Примечание 2 2 22 3 3 2 3" xfId="36841"/>
    <cellStyle name="Примечание 2 2 22 3 3 3" xfId="26433"/>
    <cellStyle name="Примечание 2 2 22 3 3 3 2" xfId="41794"/>
    <cellStyle name="Примечание 2 2 22 3 3 4" xfId="15917"/>
    <cellStyle name="Примечание 2 2 22 3 3 5" xfId="31384"/>
    <cellStyle name="Примечание 2 2 22 3 4" xfId="7010"/>
    <cellStyle name="Примечание 2 2 22 3 4 2" xfId="17912"/>
    <cellStyle name="Примечание 2 2 22 3 4 3" xfId="33273"/>
    <cellStyle name="Примечание 2 2 22 3 5" xfId="22898"/>
    <cellStyle name="Примечание 2 2 22 3 5 2" xfId="38259"/>
    <cellStyle name="Примечание 2 2 22 3 6" xfId="12349"/>
    <cellStyle name="Примечание 2 2 22 3 7" xfId="27849"/>
    <cellStyle name="Примечание 2 2 22 4" xfId="1930"/>
    <cellStyle name="Примечание 2 2 22 4 2" xfId="7166"/>
    <cellStyle name="Примечание 2 2 22 4 2 2" xfId="18068"/>
    <cellStyle name="Примечание 2 2 22 4 2 3" xfId="33429"/>
    <cellStyle name="Примечание 2 2 22 4 3" xfId="23054"/>
    <cellStyle name="Примечание 2 2 22 4 3 2" xfId="38415"/>
    <cellStyle name="Примечание 2 2 22 4 4" xfId="12505"/>
    <cellStyle name="Примечание 2 2 22 4 5" xfId="28005"/>
    <cellStyle name="Примечание 2 2 22 5" xfId="1892"/>
    <cellStyle name="Примечание 2 2 22 5 2" xfId="7131"/>
    <cellStyle name="Примечание 2 2 22 5 2 2" xfId="18033"/>
    <cellStyle name="Примечание 2 2 22 5 2 3" xfId="33394"/>
    <cellStyle name="Примечание 2 2 22 5 3" xfId="23019"/>
    <cellStyle name="Примечание 2 2 22 5 3 2" xfId="38380"/>
    <cellStyle name="Примечание 2 2 22 5 4" xfId="12470"/>
    <cellStyle name="Примечание 2 2 22 5 5" xfId="27970"/>
    <cellStyle name="Примечание 2 2 22 6" xfId="3560"/>
    <cellStyle name="Примечание 2 2 22 6 2" xfId="8747"/>
    <cellStyle name="Примечание 2 2 22 6 2 2" xfId="19674"/>
    <cellStyle name="Примечание 2 2 22 6 2 3" xfId="35035"/>
    <cellStyle name="Примечание 2 2 22 6 3" xfId="24635"/>
    <cellStyle name="Примечание 2 2 22 6 3 2" xfId="39996"/>
    <cellStyle name="Примечание 2 2 22 6 4" xfId="14111"/>
    <cellStyle name="Примечание 2 2 22 6 5" xfId="29586"/>
    <cellStyle name="Примечание 2 2 22 7" xfId="4019"/>
    <cellStyle name="Примечание 2 2 22 7 2" xfId="9206"/>
    <cellStyle name="Примечание 2 2 22 7 2 2" xfId="20133"/>
    <cellStyle name="Примечание 2 2 22 7 2 3" xfId="35494"/>
    <cellStyle name="Примечание 2 2 22 7 3" xfId="25094"/>
    <cellStyle name="Примечание 2 2 22 7 3 2" xfId="40455"/>
    <cellStyle name="Примечание 2 2 22 7 4" xfId="14570"/>
    <cellStyle name="Примечание 2 2 22 7 5" xfId="30045"/>
    <cellStyle name="Примечание 2 2 22 8" xfId="4694"/>
    <cellStyle name="Примечание 2 2 22 8 2" xfId="9881"/>
    <cellStyle name="Примечание 2 2 22 8 2 2" xfId="20808"/>
    <cellStyle name="Примечание 2 2 22 8 2 3" xfId="36169"/>
    <cellStyle name="Примечание 2 2 22 8 3" xfId="25769"/>
    <cellStyle name="Примечание 2 2 22 8 3 2" xfId="41130"/>
    <cellStyle name="Примечание 2 2 22 8 4" xfId="15245"/>
    <cellStyle name="Примечание 2 2 22 8 5" xfId="30720"/>
    <cellStyle name="Примечание 2 2 22 9" xfId="5827"/>
    <cellStyle name="Примечание 2 2 22 9 2" xfId="17042"/>
    <cellStyle name="Примечание 2 2 22 9 3" xfId="32509"/>
    <cellStyle name="Примечание 2 2 23" xfId="505"/>
    <cellStyle name="Примечание 2 2 23 10" xfId="11130"/>
    <cellStyle name="Примечание 2 2 23 11" xfId="26652"/>
    <cellStyle name="Примечание 2 2 23 2" xfId="1115"/>
    <cellStyle name="Примечание 2 2 23 2 2" xfId="3062"/>
    <cellStyle name="Примечание 2 2 23 2 2 2" xfId="8257"/>
    <cellStyle name="Примечание 2 2 23 2 2 2 2" xfId="19183"/>
    <cellStyle name="Примечание 2 2 23 2 2 2 3" xfId="34544"/>
    <cellStyle name="Примечание 2 2 23 2 2 3" xfId="24145"/>
    <cellStyle name="Примечание 2 2 23 2 2 3 2" xfId="39506"/>
    <cellStyle name="Примечание 2 2 23 2 2 4" xfId="13620"/>
    <cellStyle name="Примечание 2 2 23 2 2 5" xfId="29096"/>
    <cellStyle name="Примечание 2 2 23 2 3" xfId="5383"/>
    <cellStyle name="Примечание 2 2 23 2 3 2" xfId="10547"/>
    <cellStyle name="Примечание 2 2 23 2 3 2 2" xfId="21481"/>
    <cellStyle name="Примечание 2 2 23 2 3 2 3" xfId="36842"/>
    <cellStyle name="Примечание 2 2 23 2 3 3" xfId="26434"/>
    <cellStyle name="Примечание 2 2 23 2 3 3 2" xfId="41795"/>
    <cellStyle name="Примечание 2 2 23 2 3 4" xfId="15918"/>
    <cellStyle name="Примечание 2 2 23 2 3 5" xfId="31385"/>
    <cellStyle name="Примечание 2 2 23 2 4" xfId="6370"/>
    <cellStyle name="Примечание 2 2 23 2 4 2" xfId="16493"/>
    <cellStyle name="Примечание 2 2 23 2 4 3" xfId="31960"/>
    <cellStyle name="Примечание 2 2 23 2 5" xfId="22258"/>
    <cellStyle name="Примечание 2 2 23 2 5 2" xfId="37619"/>
    <cellStyle name="Примечание 2 2 23 2 6" xfId="11696"/>
    <cellStyle name="Примечание 2 2 23 2 7" xfId="27209"/>
    <cellStyle name="Примечание 2 2 23 3" xfId="1916"/>
    <cellStyle name="Примечание 2 2 23 3 2" xfId="7152"/>
    <cellStyle name="Примечание 2 2 23 3 2 2" xfId="18054"/>
    <cellStyle name="Примечание 2 2 23 3 2 3" xfId="33415"/>
    <cellStyle name="Примечание 2 2 23 3 3" xfId="23040"/>
    <cellStyle name="Примечание 2 2 23 3 3 2" xfId="38401"/>
    <cellStyle name="Примечание 2 2 23 3 4" xfId="12491"/>
    <cellStyle name="Примечание 2 2 23 3 5" xfId="27991"/>
    <cellStyle name="Примечание 2 2 23 4" xfId="2509"/>
    <cellStyle name="Примечание 2 2 23 4 2" xfId="7742"/>
    <cellStyle name="Примечание 2 2 23 4 2 2" xfId="18644"/>
    <cellStyle name="Примечание 2 2 23 4 2 3" xfId="34005"/>
    <cellStyle name="Примечание 2 2 23 4 3" xfId="23630"/>
    <cellStyle name="Примечание 2 2 23 4 3 2" xfId="38991"/>
    <cellStyle name="Примечание 2 2 23 4 4" xfId="13081"/>
    <cellStyle name="Примечание 2 2 23 4 5" xfId="28581"/>
    <cellStyle name="Примечание 2 2 23 5" xfId="3552"/>
    <cellStyle name="Примечание 2 2 23 5 2" xfId="8739"/>
    <cellStyle name="Примечание 2 2 23 5 2 2" xfId="19666"/>
    <cellStyle name="Примечание 2 2 23 5 2 3" xfId="35027"/>
    <cellStyle name="Примечание 2 2 23 5 3" xfId="24627"/>
    <cellStyle name="Примечание 2 2 23 5 3 2" xfId="39988"/>
    <cellStyle name="Примечание 2 2 23 5 4" xfId="14103"/>
    <cellStyle name="Примечание 2 2 23 5 5" xfId="29578"/>
    <cellStyle name="Примечание 2 2 23 6" xfId="4005"/>
    <cellStyle name="Примечание 2 2 23 6 2" xfId="9192"/>
    <cellStyle name="Примечание 2 2 23 6 2 2" xfId="20119"/>
    <cellStyle name="Примечание 2 2 23 6 2 3" xfId="35480"/>
    <cellStyle name="Примечание 2 2 23 6 3" xfId="25080"/>
    <cellStyle name="Примечание 2 2 23 6 3 2" xfId="40441"/>
    <cellStyle name="Примечание 2 2 23 6 4" xfId="14556"/>
    <cellStyle name="Примечание 2 2 23 6 5" xfId="30031"/>
    <cellStyle name="Примечание 2 2 23 7" xfId="4707"/>
    <cellStyle name="Примечание 2 2 23 7 2" xfId="9894"/>
    <cellStyle name="Примечание 2 2 23 7 2 2" xfId="20821"/>
    <cellStyle name="Примечание 2 2 23 7 2 3" xfId="36182"/>
    <cellStyle name="Примечание 2 2 23 7 3" xfId="25782"/>
    <cellStyle name="Примечание 2 2 23 7 3 2" xfId="41143"/>
    <cellStyle name="Примечание 2 2 23 7 4" xfId="15258"/>
    <cellStyle name="Примечание 2 2 23 7 5" xfId="30733"/>
    <cellStyle name="Примечание 2 2 23 8" xfId="5813"/>
    <cellStyle name="Примечание 2 2 23 8 2" xfId="17056"/>
    <cellStyle name="Примечание 2 2 23 8 3" xfId="32523"/>
    <cellStyle name="Примечание 2 2 23 9" xfId="21701"/>
    <cellStyle name="Примечание 2 2 23 9 2" xfId="37062"/>
    <cellStyle name="Примечание 2 2 24" xfId="773"/>
    <cellStyle name="Примечание 2 2 24 10" xfId="11357"/>
    <cellStyle name="Примечание 2 2 24 11" xfId="26874"/>
    <cellStyle name="Примечание 2 2 24 2" xfId="989"/>
    <cellStyle name="Примечание 2 2 24 2 2" xfId="3064"/>
    <cellStyle name="Примечание 2 2 24 2 2 2" xfId="8259"/>
    <cellStyle name="Примечание 2 2 24 2 2 2 2" xfId="19185"/>
    <cellStyle name="Примечание 2 2 24 2 2 2 3" xfId="34546"/>
    <cellStyle name="Примечание 2 2 24 2 2 3" xfId="24147"/>
    <cellStyle name="Примечание 2 2 24 2 2 3 2" xfId="39508"/>
    <cellStyle name="Примечание 2 2 24 2 2 4" xfId="13622"/>
    <cellStyle name="Примечание 2 2 24 2 2 5" xfId="29098"/>
    <cellStyle name="Примечание 2 2 24 2 3" xfId="5384"/>
    <cellStyle name="Примечание 2 2 24 2 3 2" xfId="10548"/>
    <cellStyle name="Примечание 2 2 24 2 3 2 2" xfId="21482"/>
    <cellStyle name="Примечание 2 2 24 2 3 2 3" xfId="36843"/>
    <cellStyle name="Примечание 2 2 24 2 3 3" xfId="26435"/>
    <cellStyle name="Примечание 2 2 24 2 3 3 2" xfId="41796"/>
    <cellStyle name="Примечание 2 2 24 2 3 4" xfId="15919"/>
    <cellStyle name="Примечание 2 2 24 2 3 5" xfId="31386"/>
    <cellStyle name="Примечание 2 2 24 2 4" xfId="6248"/>
    <cellStyle name="Примечание 2 2 24 2 4 2" xfId="16617"/>
    <cellStyle name="Примечание 2 2 24 2 4 3" xfId="32084"/>
    <cellStyle name="Примечание 2 2 24 2 5" xfId="22136"/>
    <cellStyle name="Примечание 2 2 24 2 5 2" xfId="37497"/>
    <cellStyle name="Примечание 2 2 24 2 6" xfId="11572"/>
    <cellStyle name="Примечание 2 2 24 2 7" xfId="27087"/>
    <cellStyle name="Примечание 2 2 24 3" xfId="2179"/>
    <cellStyle name="Примечание 2 2 24 3 2" xfId="7415"/>
    <cellStyle name="Примечание 2 2 24 3 2 2" xfId="18317"/>
    <cellStyle name="Примечание 2 2 24 3 2 3" xfId="33678"/>
    <cellStyle name="Примечание 2 2 24 3 3" xfId="23303"/>
    <cellStyle name="Примечание 2 2 24 3 3 2" xfId="38664"/>
    <cellStyle name="Примечание 2 2 24 3 4" xfId="12754"/>
    <cellStyle name="Примечание 2 2 24 3 5" xfId="28254"/>
    <cellStyle name="Примечание 2 2 24 4" xfId="1106"/>
    <cellStyle name="Примечание 2 2 24 4 2" xfId="6362"/>
    <cellStyle name="Примечание 2 2 24 4 2 2" xfId="16501"/>
    <cellStyle name="Примечание 2 2 24 4 2 3" xfId="31968"/>
    <cellStyle name="Примечание 2 2 24 4 3" xfId="22250"/>
    <cellStyle name="Примечание 2 2 24 4 3 2" xfId="37611"/>
    <cellStyle name="Примечание 2 2 24 4 4" xfId="11688"/>
    <cellStyle name="Примечание 2 2 24 4 5" xfId="27201"/>
    <cellStyle name="Примечание 2 2 24 5" xfId="3620"/>
    <cellStyle name="Примечание 2 2 24 5 2" xfId="8807"/>
    <cellStyle name="Примечание 2 2 24 5 2 2" xfId="19734"/>
    <cellStyle name="Примечание 2 2 24 5 2 3" xfId="35095"/>
    <cellStyle name="Примечание 2 2 24 5 3" xfId="24695"/>
    <cellStyle name="Примечание 2 2 24 5 3 2" xfId="40056"/>
    <cellStyle name="Примечание 2 2 24 5 4" xfId="14171"/>
    <cellStyle name="Примечание 2 2 24 5 5" xfId="29646"/>
    <cellStyle name="Примечание 2 2 24 6" xfId="4227"/>
    <cellStyle name="Примечание 2 2 24 6 2" xfId="9414"/>
    <cellStyle name="Примечание 2 2 24 6 2 2" xfId="20341"/>
    <cellStyle name="Примечание 2 2 24 6 2 3" xfId="35702"/>
    <cellStyle name="Примечание 2 2 24 6 3" xfId="25302"/>
    <cellStyle name="Примечание 2 2 24 6 3 2" xfId="40663"/>
    <cellStyle name="Примечание 2 2 24 6 4" xfId="14778"/>
    <cellStyle name="Примечание 2 2 24 6 5" xfId="30253"/>
    <cellStyle name="Примечание 2 2 24 7" xfId="4587"/>
    <cellStyle name="Примечание 2 2 24 7 2" xfId="9774"/>
    <cellStyle name="Примечание 2 2 24 7 2 2" xfId="20701"/>
    <cellStyle name="Примечание 2 2 24 7 2 3" xfId="36062"/>
    <cellStyle name="Примечание 2 2 24 7 3" xfId="25662"/>
    <cellStyle name="Примечание 2 2 24 7 3 2" xfId="41023"/>
    <cellStyle name="Примечание 2 2 24 7 4" xfId="15138"/>
    <cellStyle name="Примечание 2 2 24 7 5" xfId="30613"/>
    <cellStyle name="Примечание 2 2 24 8" xfId="6035"/>
    <cellStyle name="Примечание 2 2 24 8 2" xfId="16832"/>
    <cellStyle name="Примечание 2 2 24 8 3" xfId="32299"/>
    <cellStyle name="Примечание 2 2 24 9" xfId="21923"/>
    <cellStyle name="Примечание 2 2 24 9 2" xfId="37284"/>
    <cellStyle name="Примечание 2 2 25" xfId="44016"/>
    <cellStyle name="Примечание 2 2 26" xfId="45291"/>
    <cellStyle name="Примечание 2 2 27" xfId="43769"/>
    <cellStyle name="Примечание 2 2 3" xfId="520"/>
    <cellStyle name="Примечание 2 2 3 10" xfId="21716"/>
    <cellStyle name="Примечание 2 2 3 10 2" xfId="37077"/>
    <cellStyle name="Примечание 2 2 3 11" xfId="11145"/>
    <cellStyle name="Примечание 2 2 3 12" xfId="26667"/>
    <cellStyle name="Примечание 2 2 3 13" xfId="43859"/>
    <cellStyle name="Примечание 2 2 3 2" xfId="758"/>
    <cellStyle name="Примечание 2 2 3 2 10" xfId="11342"/>
    <cellStyle name="Примечание 2 2 3 2 11" xfId="26859"/>
    <cellStyle name="Примечание 2 2 3 2 12" xfId="44004"/>
    <cellStyle name="Примечание 2 2 3 2 2" xfId="1156"/>
    <cellStyle name="Примечание 2 2 3 2 2 2" xfId="3067"/>
    <cellStyle name="Примечание 2 2 3 2 2 2 2" xfId="8262"/>
    <cellStyle name="Примечание 2 2 3 2 2 2 2 2" xfId="19188"/>
    <cellStyle name="Примечание 2 2 3 2 2 2 2 3" xfId="34549"/>
    <cellStyle name="Примечание 2 2 3 2 2 2 3" xfId="24150"/>
    <cellStyle name="Примечание 2 2 3 2 2 2 3 2" xfId="39511"/>
    <cellStyle name="Примечание 2 2 3 2 2 2 4" xfId="13625"/>
    <cellStyle name="Примечание 2 2 3 2 2 2 5" xfId="29101"/>
    <cellStyle name="Примечание 2 2 3 2 2 2 6" xfId="46565"/>
    <cellStyle name="Примечание 2 2 3 2 2 3" xfId="5385"/>
    <cellStyle name="Примечание 2 2 3 2 2 3 2" xfId="10549"/>
    <cellStyle name="Примечание 2 2 3 2 2 3 2 2" xfId="21483"/>
    <cellStyle name="Примечание 2 2 3 2 2 3 2 3" xfId="36844"/>
    <cellStyle name="Примечание 2 2 3 2 2 3 3" xfId="26436"/>
    <cellStyle name="Примечание 2 2 3 2 2 3 3 2" xfId="41797"/>
    <cellStyle name="Примечание 2 2 3 2 2 3 4" xfId="15920"/>
    <cellStyle name="Примечание 2 2 3 2 2 3 5" xfId="31387"/>
    <cellStyle name="Примечание 2 2 3 2 2 4" xfId="6410"/>
    <cellStyle name="Примечание 2 2 3 2 2 4 2" xfId="16452"/>
    <cellStyle name="Примечание 2 2 3 2 2 4 3" xfId="31919"/>
    <cellStyle name="Примечание 2 2 3 2 2 5" xfId="22298"/>
    <cellStyle name="Примечание 2 2 3 2 2 5 2" xfId="37659"/>
    <cellStyle name="Примечание 2 2 3 2 2 6" xfId="11737"/>
    <cellStyle name="Примечание 2 2 3 2 2 7" xfId="27249"/>
    <cellStyle name="Примечание 2 2 3 2 3" xfId="2164"/>
    <cellStyle name="Примечание 2 2 3 2 3 2" xfId="7400"/>
    <cellStyle name="Примечание 2 2 3 2 3 2 2" xfId="18302"/>
    <cellStyle name="Примечание 2 2 3 2 3 2 3" xfId="33663"/>
    <cellStyle name="Примечание 2 2 3 2 3 3" xfId="23288"/>
    <cellStyle name="Примечание 2 2 3 2 3 3 2" xfId="38649"/>
    <cellStyle name="Примечание 2 2 3 2 3 4" xfId="12739"/>
    <cellStyle name="Примечание 2 2 3 2 3 5" xfId="28239"/>
    <cellStyle name="Примечание 2 2 3 2 4" xfId="997"/>
    <cellStyle name="Примечание 2 2 3 2 4 2" xfId="6256"/>
    <cellStyle name="Примечание 2 2 3 2 4 2 2" xfId="16609"/>
    <cellStyle name="Примечание 2 2 3 2 4 2 3" xfId="32076"/>
    <cellStyle name="Примечание 2 2 3 2 4 3" xfId="22144"/>
    <cellStyle name="Примечание 2 2 3 2 4 3 2" xfId="37505"/>
    <cellStyle name="Примечание 2 2 3 2 4 4" xfId="11580"/>
    <cellStyle name="Примечание 2 2 3 2 4 5" xfId="27095"/>
    <cellStyle name="Примечание 2 2 3 2 5" xfId="1910"/>
    <cellStyle name="Примечание 2 2 3 2 5 2" xfId="7146"/>
    <cellStyle name="Примечание 2 2 3 2 5 2 2" xfId="18048"/>
    <cellStyle name="Примечание 2 2 3 2 5 2 3" xfId="33409"/>
    <cellStyle name="Примечание 2 2 3 2 5 3" xfId="23034"/>
    <cellStyle name="Примечание 2 2 3 2 5 3 2" xfId="38395"/>
    <cellStyle name="Примечание 2 2 3 2 5 4" xfId="12485"/>
    <cellStyle name="Примечание 2 2 3 2 5 5" xfId="27985"/>
    <cellStyle name="Примечание 2 2 3 2 5 6" xfId="45359"/>
    <cellStyle name="Примечание 2 2 3 2 6" xfId="4212"/>
    <cellStyle name="Примечание 2 2 3 2 6 2" xfId="9399"/>
    <cellStyle name="Примечание 2 2 3 2 6 2 2" xfId="20326"/>
    <cellStyle name="Примечание 2 2 3 2 6 2 3" xfId="35687"/>
    <cellStyle name="Примечание 2 2 3 2 6 3" xfId="25287"/>
    <cellStyle name="Примечание 2 2 3 2 6 3 2" xfId="40648"/>
    <cellStyle name="Примечание 2 2 3 2 6 4" xfId="14763"/>
    <cellStyle name="Примечание 2 2 3 2 6 5" xfId="30238"/>
    <cellStyle name="Примечание 2 2 3 2 6 6" xfId="46564"/>
    <cellStyle name="Примечание 2 2 3 2 7" xfId="4951"/>
    <cellStyle name="Примечание 2 2 3 2 7 2" xfId="10138"/>
    <cellStyle name="Примечание 2 2 3 2 7 2 2" xfId="21065"/>
    <cellStyle name="Примечание 2 2 3 2 7 2 3" xfId="36426"/>
    <cellStyle name="Примечание 2 2 3 2 7 3" xfId="26026"/>
    <cellStyle name="Примечание 2 2 3 2 7 3 2" xfId="41387"/>
    <cellStyle name="Примечание 2 2 3 2 7 4" xfId="15502"/>
    <cellStyle name="Примечание 2 2 3 2 7 5" xfId="30977"/>
    <cellStyle name="Примечание 2 2 3 2 8" xfId="6020"/>
    <cellStyle name="Примечание 2 2 3 2 8 2" xfId="16847"/>
    <cellStyle name="Примечание 2 2 3 2 8 3" xfId="32314"/>
    <cellStyle name="Примечание 2 2 3 2 9" xfId="21908"/>
    <cellStyle name="Примечание 2 2 3 2 9 2" xfId="37269"/>
    <cellStyle name="Примечание 2 2 3 3" xfId="1062"/>
    <cellStyle name="Примечание 2 2 3 3 2" xfId="3068"/>
    <cellStyle name="Примечание 2 2 3 3 2 2" xfId="8263"/>
    <cellStyle name="Примечание 2 2 3 3 2 2 2" xfId="19189"/>
    <cellStyle name="Примечание 2 2 3 3 2 2 3" xfId="34550"/>
    <cellStyle name="Примечание 2 2 3 3 2 3" xfId="24151"/>
    <cellStyle name="Примечание 2 2 3 3 2 3 2" xfId="39512"/>
    <cellStyle name="Примечание 2 2 3 3 2 4" xfId="13626"/>
    <cellStyle name="Примечание 2 2 3 3 2 5" xfId="29102"/>
    <cellStyle name="Примечание 2 2 3 3 2 6" xfId="46567"/>
    <cellStyle name="Примечание 2 2 3 3 3" xfId="5386"/>
    <cellStyle name="Примечание 2 2 3 3 3 2" xfId="10550"/>
    <cellStyle name="Примечание 2 2 3 3 3 2 2" xfId="21484"/>
    <cellStyle name="Примечание 2 2 3 3 3 2 3" xfId="36845"/>
    <cellStyle name="Примечание 2 2 3 3 3 3" xfId="26437"/>
    <cellStyle name="Примечание 2 2 3 3 3 3 2" xfId="41798"/>
    <cellStyle name="Примечание 2 2 3 3 3 4" xfId="15921"/>
    <cellStyle name="Примечание 2 2 3 3 3 5" xfId="31388"/>
    <cellStyle name="Примечание 2 2 3 3 3 6" xfId="46566"/>
    <cellStyle name="Примечание 2 2 3 3 4" xfId="6319"/>
    <cellStyle name="Примечание 2 2 3 3 4 2" xfId="16545"/>
    <cellStyle name="Примечание 2 2 3 3 4 3" xfId="32012"/>
    <cellStyle name="Примечание 2 2 3 3 5" xfId="22207"/>
    <cellStyle name="Примечание 2 2 3 3 5 2" xfId="37568"/>
    <cellStyle name="Примечание 2 2 3 3 6" xfId="11644"/>
    <cellStyle name="Примечание 2 2 3 3 7" xfId="27158"/>
    <cellStyle name="Примечание 2 2 3 4" xfId="1931"/>
    <cellStyle name="Примечание 2 2 3 4 2" xfId="7167"/>
    <cellStyle name="Примечание 2 2 3 4 2 2" xfId="18069"/>
    <cellStyle name="Примечание 2 2 3 4 2 3" xfId="33430"/>
    <cellStyle name="Примечание 2 2 3 4 2 4" xfId="46568"/>
    <cellStyle name="Примечание 2 2 3 4 3" xfId="23055"/>
    <cellStyle name="Примечание 2 2 3 4 3 2" xfId="38416"/>
    <cellStyle name="Примечание 2 2 3 4 4" xfId="12506"/>
    <cellStyle name="Примечание 2 2 3 4 5" xfId="28006"/>
    <cellStyle name="Примечание 2 2 3 5" xfId="2704"/>
    <cellStyle name="Примечание 2 2 3 5 2" xfId="7933"/>
    <cellStyle name="Примечание 2 2 3 5 2 2" xfId="18837"/>
    <cellStyle name="Примечание 2 2 3 5 2 3" xfId="34198"/>
    <cellStyle name="Примечание 2 2 3 5 3" xfId="23821"/>
    <cellStyle name="Примечание 2 2 3 5 3 2" xfId="39182"/>
    <cellStyle name="Примечание 2 2 3 5 4" xfId="13274"/>
    <cellStyle name="Примечание 2 2 3 5 5" xfId="28772"/>
    <cellStyle name="Примечание 2 2 3 6" xfId="3561"/>
    <cellStyle name="Примечание 2 2 3 6 2" xfId="8748"/>
    <cellStyle name="Примечание 2 2 3 6 2 2" xfId="19675"/>
    <cellStyle name="Примечание 2 2 3 6 2 3" xfId="35036"/>
    <cellStyle name="Примечание 2 2 3 6 3" xfId="24636"/>
    <cellStyle name="Примечание 2 2 3 6 3 2" xfId="39997"/>
    <cellStyle name="Примечание 2 2 3 6 4" xfId="14112"/>
    <cellStyle name="Примечание 2 2 3 6 5" xfId="29587"/>
    <cellStyle name="Примечание 2 2 3 6 6" xfId="45048"/>
    <cellStyle name="Примечание 2 2 3 7" xfId="4020"/>
    <cellStyle name="Примечание 2 2 3 7 2" xfId="9207"/>
    <cellStyle name="Примечание 2 2 3 7 2 2" xfId="20134"/>
    <cellStyle name="Примечание 2 2 3 7 2 3" xfId="35495"/>
    <cellStyle name="Примечание 2 2 3 7 3" xfId="25095"/>
    <cellStyle name="Примечание 2 2 3 7 3 2" xfId="40456"/>
    <cellStyle name="Примечание 2 2 3 7 4" xfId="14571"/>
    <cellStyle name="Примечание 2 2 3 7 5" xfId="30046"/>
    <cellStyle name="Примечание 2 2 3 7 6" xfId="46563"/>
    <cellStyle name="Примечание 2 2 3 8" xfId="4693"/>
    <cellStyle name="Примечание 2 2 3 8 2" xfId="9880"/>
    <cellStyle name="Примечание 2 2 3 8 2 2" xfId="20807"/>
    <cellStyle name="Примечание 2 2 3 8 2 3" xfId="36168"/>
    <cellStyle name="Примечание 2 2 3 8 3" xfId="25768"/>
    <cellStyle name="Примечание 2 2 3 8 3 2" xfId="41129"/>
    <cellStyle name="Примечание 2 2 3 8 4" xfId="15244"/>
    <cellStyle name="Примечание 2 2 3 8 5" xfId="30719"/>
    <cellStyle name="Примечание 2 2 3 9" xfId="5828"/>
    <cellStyle name="Примечание 2 2 3 9 2" xfId="17041"/>
    <cellStyle name="Примечание 2 2 3 9 3" xfId="32508"/>
    <cellStyle name="Примечание 2 2 4" xfId="521"/>
    <cellStyle name="Примечание 2 2 4 10" xfId="21717"/>
    <cellStyle name="Примечание 2 2 4 10 2" xfId="37078"/>
    <cellStyle name="Примечание 2 2 4 11" xfId="11146"/>
    <cellStyle name="Примечание 2 2 4 12" xfId="26668"/>
    <cellStyle name="Примечание 2 2 4 13" xfId="43855"/>
    <cellStyle name="Примечание 2 2 4 2" xfId="757"/>
    <cellStyle name="Примечание 2 2 4 2 10" xfId="11341"/>
    <cellStyle name="Примечание 2 2 4 2 11" xfId="26858"/>
    <cellStyle name="Примечание 2 2 4 2 2" xfId="1369"/>
    <cellStyle name="Примечание 2 2 4 2 2 2" xfId="3071"/>
    <cellStyle name="Примечание 2 2 4 2 2 2 2" xfId="8266"/>
    <cellStyle name="Примечание 2 2 4 2 2 2 2 2" xfId="19192"/>
    <cellStyle name="Примечание 2 2 4 2 2 2 2 3" xfId="34553"/>
    <cellStyle name="Примечание 2 2 4 2 2 2 3" xfId="24154"/>
    <cellStyle name="Примечание 2 2 4 2 2 2 3 2" xfId="39515"/>
    <cellStyle name="Примечание 2 2 4 2 2 2 4" xfId="13629"/>
    <cellStyle name="Примечание 2 2 4 2 2 2 5" xfId="29105"/>
    <cellStyle name="Примечание 2 2 4 2 2 3" xfId="5387"/>
    <cellStyle name="Примечание 2 2 4 2 2 3 2" xfId="10551"/>
    <cellStyle name="Примечание 2 2 4 2 2 3 2 2" xfId="21485"/>
    <cellStyle name="Примечание 2 2 4 2 2 3 2 3" xfId="36846"/>
    <cellStyle name="Примечание 2 2 4 2 2 3 3" xfId="26438"/>
    <cellStyle name="Примечание 2 2 4 2 2 3 3 2" xfId="41799"/>
    <cellStyle name="Примечание 2 2 4 2 2 3 4" xfId="15922"/>
    <cellStyle name="Примечание 2 2 4 2 2 3 5" xfId="31389"/>
    <cellStyle name="Примечание 2 2 4 2 2 4" xfId="6620"/>
    <cellStyle name="Примечание 2 2 4 2 2 4 2" xfId="16240"/>
    <cellStyle name="Примечание 2 2 4 2 2 4 3" xfId="31707"/>
    <cellStyle name="Примечание 2 2 4 2 2 5" xfId="22508"/>
    <cellStyle name="Примечание 2 2 4 2 2 5 2" xfId="37869"/>
    <cellStyle name="Примечание 2 2 4 2 2 6" xfId="11949"/>
    <cellStyle name="Примечание 2 2 4 2 2 7" xfId="27459"/>
    <cellStyle name="Примечание 2 2 4 2 3" xfId="2163"/>
    <cellStyle name="Примечание 2 2 4 2 3 2" xfId="7399"/>
    <cellStyle name="Примечание 2 2 4 2 3 2 2" xfId="18301"/>
    <cellStyle name="Примечание 2 2 4 2 3 2 3" xfId="33662"/>
    <cellStyle name="Примечание 2 2 4 2 3 3" xfId="23287"/>
    <cellStyle name="Примечание 2 2 4 2 3 3 2" xfId="38648"/>
    <cellStyle name="Примечание 2 2 4 2 3 4" xfId="12738"/>
    <cellStyle name="Примечание 2 2 4 2 3 5" xfId="28238"/>
    <cellStyle name="Примечание 2 2 4 2 4" xfId="2776"/>
    <cellStyle name="Примечание 2 2 4 2 4 2" xfId="8005"/>
    <cellStyle name="Примечание 2 2 4 2 4 2 2" xfId="18909"/>
    <cellStyle name="Примечание 2 2 4 2 4 2 3" xfId="34270"/>
    <cellStyle name="Примечание 2 2 4 2 4 3" xfId="23893"/>
    <cellStyle name="Примечание 2 2 4 2 4 3 2" xfId="39254"/>
    <cellStyle name="Примечание 2 2 4 2 4 4" xfId="13346"/>
    <cellStyle name="Примечание 2 2 4 2 4 5" xfId="28844"/>
    <cellStyle name="Примечание 2 2 4 2 4 6" xfId="46569"/>
    <cellStyle name="Примечание 2 2 4 2 5" xfId="3616"/>
    <cellStyle name="Примечание 2 2 4 2 5 2" xfId="8803"/>
    <cellStyle name="Примечание 2 2 4 2 5 2 2" xfId="19730"/>
    <cellStyle name="Примечание 2 2 4 2 5 2 3" xfId="35091"/>
    <cellStyle name="Примечание 2 2 4 2 5 3" xfId="24691"/>
    <cellStyle name="Примечание 2 2 4 2 5 3 2" xfId="40052"/>
    <cellStyle name="Примечание 2 2 4 2 5 4" xfId="14167"/>
    <cellStyle name="Примечание 2 2 4 2 5 5" xfId="29642"/>
    <cellStyle name="Примечание 2 2 4 2 6" xfId="4211"/>
    <cellStyle name="Примечание 2 2 4 2 6 2" xfId="9398"/>
    <cellStyle name="Примечание 2 2 4 2 6 2 2" xfId="20325"/>
    <cellStyle name="Примечание 2 2 4 2 6 2 3" xfId="35686"/>
    <cellStyle name="Примечание 2 2 4 2 6 3" xfId="25286"/>
    <cellStyle name="Примечание 2 2 4 2 6 3 2" xfId="40647"/>
    <cellStyle name="Примечание 2 2 4 2 6 4" xfId="14762"/>
    <cellStyle name="Примечание 2 2 4 2 6 5" xfId="30237"/>
    <cellStyle name="Примечание 2 2 4 2 7" xfId="4595"/>
    <cellStyle name="Примечание 2 2 4 2 7 2" xfId="9782"/>
    <cellStyle name="Примечание 2 2 4 2 7 2 2" xfId="20709"/>
    <cellStyle name="Примечание 2 2 4 2 7 2 3" xfId="36070"/>
    <cellStyle name="Примечание 2 2 4 2 7 3" xfId="25670"/>
    <cellStyle name="Примечание 2 2 4 2 7 3 2" xfId="41031"/>
    <cellStyle name="Примечание 2 2 4 2 7 4" xfId="15146"/>
    <cellStyle name="Примечание 2 2 4 2 7 5" xfId="30621"/>
    <cellStyle name="Примечание 2 2 4 2 8" xfId="6019"/>
    <cellStyle name="Примечание 2 2 4 2 8 2" xfId="16848"/>
    <cellStyle name="Примечание 2 2 4 2 8 3" xfId="32315"/>
    <cellStyle name="Примечание 2 2 4 2 9" xfId="21907"/>
    <cellStyle name="Примечание 2 2 4 2 9 2" xfId="37268"/>
    <cellStyle name="Примечание 2 2 4 3" xfId="58"/>
    <cellStyle name="Примечание 2 2 4 3 2" xfId="3072"/>
    <cellStyle name="Примечание 2 2 4 3 2 2" xfId="8267"/>
    <cellStyle name="Примечание 2 2 4 3 2 2 2" xfId="19193"/>
    <cellStyle name="Примечание 2 2 4 3 2 2 3" xfId="34554"/>
    <cellStyle name="Примечание 2 2 4 3 2 3" xfId="24155"/>
    <cellStyle name="Примечание 2 2 4 3 2 3 2" xfId="39516"/>
    <cellStyle name="Примечание 2 2 4 3 2 4" xfId="13630"/>
    <cellStyle name="Примечание 2 2 4 3 2 5" xfId="29106"/>
    <cellStyle name="Примечание 2 2 4 3 2 6" xfId="46570"/>
    <cellStyle name="Примечание 2 2 4 3 3" xfId="5388"/>
    <cellStyle name="Примечание 2 2 4 3 3 2" xfId="10552"/>
    <cellStyle name="Примечание 2 2 4 3 3 2 2" xfId="21486"/>
    <cellStyle name="Примечание 2 2 4 3 3 2 3" xfId="36847"/>
    <cellStyle name="Примечание 2 2 4 3 3 3" xfId="26439"/>
    <cellStyle name="Примечание 2 2 4 3 3 3 2" xfId="41800"/>
    <cellStyle name="Примечание 2 2 4 3 3 4" xfId="15923"/>
    <cellStyle name="Примечание 2 2 4 3 3 5" xfId="31390"/>
    <cellStyle name="Примечание 2 2 4 3 4" xfId="5585"/>
    <cellStyle name="Примечание 2 2 4 3 4 2" xfId="17413"/>
    <cellStyle name="Примечание 2 2 4 3 4 3" xfId="32880"/>
    <cellStyle name="Примечание 2 2 4 3 5" xfId="17424"/>
    <cellStyle name="Примечание 2 2 4 3 5 2" xfId="32891"/>
    <cellStyle name="Примечание 2 2 4 3 6" xfId="10772"/>
    <cellStyle name="Примечание 2 2 4 3 7" xfId="10761"/>
    <cellStyle name="Примечание 2 2 4 4" xfId="1932"/>
    <cellStyle name="Примечание 2 2 4 4 2" xfId="7168"/>
    <cellStyle name="Примечание 2 2 4 4 2 2" xfId="18070"/>
    <cellStyle name="Примечание 2 2 4 4 2 3" xfId="33431"/>
    <cellStyle name="Примечание 2 2 4 4 3" xfId="23056"/>
    <cellStyle name="Примечание 2 2 4 4 3 2" xfId="38417"/>
    <cellStyle name="Примечание 2 2 4 4 4" xfId="12507"/>
    <cellStyle name="Примечание 2 2 4 4 5" xfId="28007"/>
    <cellStyle name="Примечание 2 2 4 5" xfId="1189"/>
    <cellStyle name="Примечание 2 2 4 5 2" xfId="6443"/>
    <cellStyle name="Примечание 2 2 4 5 2 2" xfId="16419"/>
    <cellStyle name="Примечание 2 2 4 5 2 3" xfId="31886"/>
    <cellStyle name="Примечание 2 2 4 5 3" xfId="22331"/>
    <cellStyle name="Примечание 2 2 4 5 3 2" xfId="37692"/>
    <cellStyle name="Примечание 2 2 4 5 4" xfId="11770"/>
    <cellStyle name="Примечание 2 2 4 5 5" xfId="27282"/>
    <cellStyle name="Примечание 2 2 4 6" xfId="3726"/>
    <cellStyle name="Примечание 2 2 4 6 2" xfId="8913"/>
    <cellStyle name="Примечание 2 2 4 6 2 2" xfId="19840"/>
    <cellStyle name="Примечание 2 2 4 6 2 3" xfId="35201"/>
    <cellStyle name="Примечание 2 2 4 6 3" xfId="24801"/>
    <cellStyle name="Примечание 2 2 4 6 3 2" xfId="40162"/>
    <cellStyle name="Примечание 2 2 4 6 4" xfId="14277"/>
    <cellStyle name="Примечание 2 2 4 6 5" xfId="29752"/>
    <cellStyle name="Примечание 2 2 4 6 6" xfId="45318"/>
    <cellStyle name="Примечание 2 2 4 7" xfId="4021"/>
    <cellStyle name="Примечание 2 2 4 7 2" xfId="9208"/>
    <cellStyle name="Примечание 2 2 4 7 2 2" xfId="20135"/>
    <cellStyle name="Примечание 2 2 4 7 2 3" xfId="35496"/>
    <cellStyle name="Примечание 2 2 4 7 3" xfId="25096"/>
    <cellStyle name="Примечание 2 2 4 7 3 2" xfId="40457"/>
    <cellStyle name="Примечание 2 2 4 7 4" xfId="14572"/>
    <cellStyle name="Примечание 2 2 4 7 5" xfId="30047"/>
    <cellStyle name="Примечание 2 2 4 8" xfId="4692"/>
    <cellStyle name="Примечание 2 2 4 8 2" xfId="9879"/>
    <cellStyle name="Примечание 2 2 4 8 2 2" xfId="20806"/>
    <cellStyle name="Примечание 2 2 4 8 2 3" xfId="36167"/>
    <cellStyle name="Примечание 2 2 4 8 3" xfId="25767"/>
    <cellStyle name="Примечание 2 2 4 8 3 2" xfId="41128"/>
    <cellStyle name="Примечание 2 2 4 8 4" xfId="15243"/>
    <cellStyle name="Примечание 2 2 4 8 5" xfId="30718"/>
    <cellStyle name="Примечание 2 2 4 9" xfId="5829"/>
    <cellStyle name="Примечание 2 2 4 9 2" xfId="17040"/>
    <cellStyle name="Примечание 2 2 4 9 3" xfId="32507"/>
    <cellStyle name="Примечание 2 2 5" xfId="522"/>
    <cellStyle name="Примечание 2 2 5 10" xfId="21718"/>
    <cellStyle name="Примечание 2 2 5 10 2" xfId="37079"/>
    <cellStyle name="Примечание 2 2 5 11" xfId="11147"/>
    <cellStyle name="Примечание 2 2 5 12" xfId="26669"/>
    <cellStyle name="Примечание 2 2 5 13" xfId="44000"/>
    <cellStyle name="Примечание 2 2 5 2" xfId="756"/>
    <cellStyle name="Примечание 2 2 5 2 10" xfId="11340"/>
    <cellStyle name="Примечание 2 2 5 2 11" xfId="26857"/>
    <cellStyle name="Примечание 2 2 5 2 2" xfId="1199"/>
    <cellStyle name="Примечание 2 2 5 2 2 2" xfId="3075"/>
    <cellStyle name="Примечание 2 2 5 2 2 2 2" xfId="8270"/>
    <cellStyle name="Примечание 2 2 5 2 2 2 2 2" xfId="19196"/>
    <cellStyle name="Примечание 2 2 5 2 2 2 2 3" xfId="34557"/>
    <cellStyle name="Примечание 2 2 5 2 2 2 3" xfId="24158"/>
    <cellStyle name="Примечание 2 2 5 2 2 2 3 2" xfId="39519"/>
    <cellStyle name="Примечание 2 2 5 2 2 2 4" xfId="13633"/>
    <cellStyle name="Примечание 2 2 5 2 2 2 5" xfId="29109"/>
    <cellStyle name="Примечание 2 2 5 2 2 3" xfId="5389"/>
    <cellStyle name="Примечание 2 2 5 2 2 3 2" xfId="10553"/>
    <cellStyle name="Примечание 2 2 5 2 2 3 2 2" xfId="21487"/>
    <cellStyle name="Примечание 2 2 5 2 2 3 2 3" xfId="36848"/>
    <cellStyle name="Примечание 2 2 5 2 2 3 3" xfId="26440"/>
    <cellStyle name="Примечание 2 2 5 2 2 3 3 2" xfId="41801"/>
    <cellStyle name="Примечание 2 2 5 2 2 3 4" xfId="15924"/>
    <cellStyle name="Примечание 2 2 5 2 2 3 5" xfId="31391"/>
    <cellStyle name="Примечание 2 2 5 2 2 4" xfId="6453"/>
    <cellStyle name="Примечание 2 2 5 2 2 4 2" xfId="16409"/>
    <cellStyle name="Примечание 2 2 5 2 2 4 3" xfId="31876"/>
    <cellStyle name="Примечание 2 2 5 2 2 5" xfId="22341"/>
    <cellStyle name="Примечание 2 2 5 2 2 5 2" xfId="37702"/>
    <cellStyle name="Примечание 2 2 5 2 2 6" xfId="11780"/>
    <cellStyle name="Примечание 2 2 5 2 2 7" xfId="27292"/>
    <cellStyle name="Примечание 2 2 5 2 3" xfId="2162"/>
    <cellStyle name="Примечание 2 2 5 2 3 2" xfId="7398"/>
    <cellStyle name="Примечание 2 2 5 2 3 2 2" xfId="18300"/>
    <cellStyle name="Примечание 2 2 5 2 3 2 3" xfId="33661"/>
    <cellStyle name="Примечание 2 2 5 2 3 3" xfId="23286"/>
    <cellStyle name="Примечание 2 2 5 2 3 3 2" xfId="38647"/>
    <cellStyle name="Примечание 2 2 5 2 3 4" xfId="12737"/>
    <cellStyle name="Примечание 2 2 5 2 3 5" xfId="28237"/>
    <cellStyle name="Примечание 2 2 5 2 4" xfId="1314"/>
    <cellStyle name="Примечание 2 2 5 2 4 2" xfId="6567"/>
    <cellStyle name="Примечание 2 2 5 2 4 2 2" xfId="16294"/>
    <cellStyle name="Примечание 2 2 5 2 4 2 3" xfId="31761"/>
    <cellStyle name="Примечание 2 2 5 2 4 3" xfId="22455"/>
    <cellStyle name="Примечание 2 2 5 2 4 3 2" xfId="37816"/>
    <cellStyle name="Примечание 2 2 5 2 4 4" xfId="11895"/>
    <cellStyle name="Примечание 2 2 5 2 4 5" xfId="27406"/>
    <cellStyle name="Примечание 2 2 5 2 4 6" xfId="46571"/>
    <cellStyle name="Примечание 2 2 5 2 5" xfId="2692"/>
    <cellStyle name="Примечание 2 2 5 2 5 2" xfId="7923"/>
    <cellStyle name="Примечание 2 2 5 2 5 2 2" xfId="18827"/>
    <cellStyle name="Примечание 2 2 5 2 5 2 3" xfId="34188"/>
    <cellStyle name="Примечание 2 2 5 2 5 3" xfId="23811"/>
    <cellStyle name="Примечание 2 2 5 2 5 3 2" xfId="39172"/>
    <cellStyle name="Примечание 2 2 5 2 5 4" xfId="13264"/>
    <cellStyle name="Примечание 2 2 5 2 5 5" xfId="28762"/>
    <cellStyle name="Примечание 2 2 5 2 6" xfId="4210"/>
    <cellStyle name="Примечание 2 2 5 2 6 2" xfId="9397"/>
    <cellStyle name="Примечание 2 2 5 2 6 2 2" xfId="20324"/>
    <cellStyle name="Примечание 2 2 5 2 6 2 3" xfId="35685"/>
    <cellStyle name="Примечание 2 2 5 2 6 3" xfId="25285"/>
    <cellStyle name="Примечание 2 2 5 2 6 3 2" xfId="40646"/>
    <cellStyle name="Примечание 2 2 5 2 6 4" xfId="14761"/>
    <cellStyle name="Примечание 2 2 5 2 6 5" xfId="30236"/>
    <cellStyle name="Примечание 2 2 5 2 7" xfId="4950"/>
    <cellStyle name="Примечание 2 2 5 2 7 2" xfId="10137"/>
    <cellStyle name="Примечание 2 2 5 2 7 2 2" xfId="21064"/>
    <cellStyle name="Примечание 2 2 5 2 7 2 3" xfId="36425"/>
    <cellStyle name="Примечание 2 2 5 2 7 3" xfId="26025"/>
    <cellStyle name="Примечание 2 2 5 2 7 3 2" xfId="41386"/>
    <cellStyle name="Примечание 2 2 5 2 7 4" xfId="15501"/>
    <cellStyle name="Примечание 2 2 5 2 7 5" xfId="30976"/>
    <cellStyle name="Примечание 2 2 5 2 8" xfId="6018"/>
    <cellStyle name="Примечание 2 2 5 2 8 2" xfId="16849"/>
    <cellStyle name="Примечание 2 2 5 2 8 3" xfId="32316"/>
    <cellStyle name="Примечание 2 2 5 2 9" xfId="21906"/>
    <cellStyle name="Примечание 2 2 5 2 9 2" xfId="37267"/>
    <cellStyle name="Примечание 2 2 5 3" xfId="1486"/>
    <cellStyle name="Примечание 2 2 5 3 2" xfId="3076"/>
    <cellStyle name="Примечание 2 2 5 3 2 2" xfId="8271"/>
    <cellStyle name="Примечание 2 2 5 3 2 2 2" xfId="19197"/>
    <cellStyle name="Примечание 2 2 5 3 2 2 3" xfId="34558"/>
    <cellStyle name="Примечание 2 2 5 3 2 3" xfId="24159"/>
    <cellStyle name="Примечание 2 2 5 3 2 3 2" xfId="39520"/>
    <cellStyle name="Примечание 2 2 5 3 2 4" xfId="13634"/>
    <cellStyle name="Примечание 2 2 5 3 2 5" xfId="29110"/>
    <cellStyle name="Примечание 2 2 5 3 3" xfId="5390"/>
    <cellStyle name="Примечание 2 2 5 3 3 2" xfId="10554"/>
    <cellStyle name="Примечание 2 2 5 3 3 2 2" xfId="21488"/>
    <cellStyle name="Примечание 2 2 5 3 3 2 3" xfId="36849"/>
    <cellStyle name="Примечание 2 2 5 3 3 3" xfId="26441"/>
    <cellStyle name="Примечание 2 2 5 3 3 3 2" xfId="41802"/>
    <cellStyle name="Примечание 2 2 5 3 3 4" xfId="15925"/>
    <cellStyle name="Примечание 2 2 5 3 3 5" xfId="31392"/>
    <cellStyle name="Примечание 2 2 5 3 4" xfId="6733"/>
    <cellStyle name="Примечание 2 2 5 3 4 2" xfId="16125"/>
    <cellStyle name="Примечание 2 2 5 3 4 3" xfId="31592"/>
    <cellStyle name="Примечание 2 2 5 3 5" xfId="22621"/>
    <cellStyle name="Примечание 2 2 5 3 5 2" xfId="37982"/>
    <cellStyle name="Примечание 2 2 5 3 6" xfId="12064"/>
    <cellStyle name="Примечание 2 2 5 3 7" xfId="27572"/>
    <cellStyle name="Примечание 2 2 5 4" xfId="1933"/>
    <cellStyle name="Примечание 2 2 5 4 2" xfId="7169"/>
    <cellStyle name="Примечание 2 2 5 4 2 2" xfId="18071"/>
    <cellStyle name="Примечание 2 2 5 4 2 3" xfId="33432"/>
    <cellStyle name="Примечание 2 2 5 4 3" xfId="23057"/>
    <cellStyle name="Примечание 2 2 5 4 3 2" xfId="38418"/>
    <cellStyle name="Примечание 2 2 5 4 4" xfId="12508"/>
    <cellStyle name="Примечание 2 2 5 4 5" xfId="28008"/>
    <cellStyle name="Примечание 2 2 5 5" xfId="2705"/>
    <cellStyle name="Примечание 2 2 5 5 2" xfId="7934"/>
    <cellStyle name="Примечание 2 2 5 5 2 2" xfId="18838"/>
    <cellStyle name="Примечание 2 2 5 5 2 3" xfId="34199"/>
    <cellStyle name="Примечание 2 2 5 5 3" xfId="23822"/>
    <cellStyle name="Примечание 2 2 5 5 3 2" xfId="39183"/>
    <cellStyle name="Примечание 2 2 5 5 4" xfId="13275"/>
    <cellStyle name="Примечание 2 2 5 5 5" xfId="28773"/>
    <cellStyle name="Примечание 2 2 5 6" xfId="3727"/>
    <cellStyle name="Примечание 2 2 5 6 2" xfId="8914"/>
    <cellStyle name="Примечание 2 2 5 6 2 2" xfId="19841"/>
    <cellStyle name="Примечание 2 2 5 6 2 3" xfId="35202"/>
    <cellStyle name="Примечание 2 2 5 6 3" xfId="24802"/>
    <cellStyle name="Примечание 2 2 5 6 3 2" xfId="40163"/>
    <cellStyle name="Примечание 2 2 5 6 4" xfId="14278"/>
    <cellStyle name="Примечание 2 2 5 6 5" xfId="29753"/>
    <cellStyle name="Примечание 2 2 5 6 6" xfId="45358"/>
    <cellStyle name="Примечание 2 2 5 7" xfId="4022"/>
    <cellStyle name="Примечание 2 2 5 7 2" xfId="9209"/>
    <cellStyle name="Примечание 2 2 5 7 2 2" xfId="20136"/>
    <cellStyle name="Примечание 2 2 5 7 2 3" xfId="35497"/>
    <cellStyle name="Примечание 2 2 5 7 3" xfId="25097"/>
    <cellStyle name="Примечание 2 2 5 7 3 2" xfId="40458"/>
    <cellStyle name="Примечание 2 2 5 7 4" xfId="14573"/>
    <cellStyle name="Примечание 2 2 5 7 5" xfId="30048"/>
    <cellStyle name="Примечание 2 2 5 8" xfId="4691"/>
    <cellStyle name="Примечание 2 2 5 8 2" xfId="9878"/>
    <cellStyle name="Примечание 2 2 5 8 2 2" xfId="20805"/>
    <cellStyle name="Примечание 2 2 5 8 2 3" xfId="36166"/>
    <cellStyle name="Примечание 2 2 5 8 3" xfId="25766"/>
    <cellStyle name="Примечание 2 2 5 8 3 2" xfId="41127"/>
    <cellStyle name="Примечание 2 2 5 8 4" xfId="15242"/>
    <cellStyle name="Примечание 2 2 5 8 5" xfId="30717"/>
    <cellStyle name="Примечание 2 2 5 9" xfId="5830"/>
    <cellStyle name="Примечание 2 2 5 9 2" xfId="17039"/>
    <cellStyle name="Примечание 2 2 5 9 3" xfId="32506"/>
    <cellStyle name="Примечание 2 2 6" xfId="523"/>
    <cellStyle name="Примечание 2 2 6 10" xfId="21719"/>
    <cellStyle name="Примечание 2 2 6 10 2" xfId="37080"/>
    <cellStyle name="Примечание 2 2 6 11" xfId="11148"/>
    <cellStyle name="Примечание 2 2 6 12" xfId="26670"/>
    <cellStyle name="Примечание 2 2 6 2" xfId="755"/>
    <cellStyle name="Примечание 2 2 6 2 10" xfId="11339"/>
    <cellStyle name="Примечание 2 2 6 2 11" xfId="26856"/>
    <cellStyle name="Примечание 2 2 6 2 2" xfId="1336"/>
    <cellStyle name="Примечание 2 2 6 2 2 2" xfId="3079"/>
    <cellStyle name="Примечание 2 2 6 2 2 2 2" xfId="8274"/>
    <cellStyle name="Примечание 2 2 6 2 2 2 2 2" xfId="19200"/>
    <cellStyle name="Примечание 2 2 6 2 2 2 2 3" xfId="34561"/>
    <cellStyle name="Примечание 2 2 6 2 2 2 3" xfId="24162"/>
    <cellStyle name="Примечание 2 2 6 2 2 2 3 2" xfId="39523"/>
    <cellStyle name="Примечание 2 2 6 2 2 2 4" xfId="13637"/>
    <cellStyle name="Примечание 2 2 6 2 2 2 5" xfId="29113"/>
    <cellStyle name="Примечание 2 2 6 2 2 3" xfId="5391"/>
    <cellStyle name="Примечание 2 2 6 2 2 3 2" xfId="10555"/>
    <cellStyle name="Примечание 2 2 6 2 2 3 2 2" xfId="21489"/>
    <cellStyle name="Примечание 2 2 6 2 2 3 2 3" xfId="36850"/>
    <cellStyle name="Примечание 2 2 6 2 2 3 3" xfId="26442"/>
    <cellStyle name="Примечание 2 2 6 2 2 3 3 2" xfId="41803"/>
    <cellStyle name="Примечание 2 2 6 2 2 3 4" xfId="15926"/>
    <cellStyle name="Примечание 2 2 6 2 2 3 5" xfId="31393"/>
    <cellStyle name="Примечание 2 2 6 2 2 4" xfId="6589"/>
    <cellStyle name="Примечание 2 2 6 2 2 4 2" xfId="16272"/>
    <cellStyle name="Примечание 2 2 6 2 2 4 3" xfId="31739"/>
    <cellStyle name="Примечание 2 2 6 2 2 5" xfId="22477"/>
    <cellStyle name="Примечание 2 2 6 2 2 5 2" xfId="37838"/>
    <cellStyle name="Примечание 2 2 6 2 2 6" xfId="11917"/>
    <cellStyle name="Примечание 2 2 6 2 2 7" xfId="27428"/>
    <cellStyle name="Примечание 2 2 6 2 3" xfId="2161"/>
    <cellStyle name="Примечание 2 2 6 2 3 2" xfId="7397"/>
    <cellStyle name="Примечание 2 2 6 2 3 2 2" xfId="18299"/>
    <cellStyle name="Примечание 2 2 6 2 3 2 3" xfId="33660"/>
    <cellStyle name="Примечание 2 2 6 2 3 3" xfId="23285"/>
    <cellStyle name="Примечание 2 2 6 2 3 3 2" xfId="38646"/>
    <cellStyle name="Примечание 2 2 6 2 3 4" xfId="12736"/>
    <cellStyle name="Примечание 2 2 6 2 3 5" xfId="28236"/>
    <cellStyle name="Примечание 2 2 6 2 4" xfId="2775"/>
    <cellStyle name="Примечание 2 2 6 2 4 2" xfId="8004"/>
    <cellStyle name="Примечание 2 2 6 2 4 2 2" xfId="18908"/>
    <cellStyle name="Примечание 2 2 6 2 4 2 3" xfId="34269"/>
    <cellStyle name="Примечание 2 2 6 2 4 3" xfId="23892"/>
    <cellStyle name="Примечание 2 2 6 2 4 3 2" xfId="39253"/>
    <cellStyle name="Примечание 2 2 6 2 4 4" xfId="13345"/>
    <cellStyle name="Примечание 2 2 6 2 4 5" xfId="28843"/>
    <cellStyle name="Примечание 2 2 6 2 5" xfId="3807"/>
    <cellStyle name="Примечание 2 2 6 2 5 2" xfId="8994"/>
    <cellStyle name="Примечание 2 2 6 2 5 2 2" xfId="19921"/>
    <cellStyle name="Примечание 2 2 6 2 5 2 3" xfId="35282"/>
    <cellStyle name="Примечание 2 2 6 2 5 3" xfId="24882"/>
    <cellStyle name="Примечание 2 2 6 2 5 3 2" xfId="40243"/>
    <cellStyle name="Примечание 2 2 6 2 5 4" xfId="14358"/>
    <cellStyle name="Примечание 2 2 6 2 5 5" xfId="29833"/>
    <cellStyle name="Примечание 2 2 6 2 6" xfId="4209"/>
    <cellStyle name="Примечание 2 2 6 2 6 2" xfId="9396"/>
    <cellStyle name="Примечание 2 2 6 2 6 2 2" xfId="20323"/>
    <cellStyle name="Примечание 2 2 6 2 6 2 3" xfId="35684"/>
    <cellStyle name="Примечание 2 2 6 2 6 3" xfId="25284"/>
    <cellStyle name="Примечание 2 2 6 2 6 3 2" xfId="40645"/>
    <cellStyle name="Примечание 2 2 6 2 6 4" xfId="14760"/>
    <cellStyle name="Примечание 2 2 6 2 6 5" xfId="30235"/>
    <cellStyle name="Примечание 2 2 6 2 7" xfId="4596"/>
    <cellStyle name="Примечание 2 2 6 2 7 2" xfId="9783"/>
    <cellStyle name="Примечание 2 2 6 2 7 2 2" xfId="20710"/>
    <cellStyle name="Примечание 2 2 6 2 7 2 3" xfId="36071"/>
    <cellStyle name="Примечание 2 2 6 2 7 3" xfId="25671"/>
    <cellStyle name="Примечание 2 2 6 2 7 3 2" xfId="41032"/>
    <cellStyle name="Примечание 2 2 6 2 7 4" xfId="15147"/>
    <cellStyle name="Примечание 2 2 6 2 7 5" xfId="30622"/>
    <cellStyle name="Примечание 2 2 6 2 8" xfId="6017"/>
    <cellStyle name="Примечание 2 2 6 2 8 2" xfId="16850"/>
    <cellStyle name="Примечание 2 2 6 2 8 3" xfId="32317"/>
    <cellStyle name="Примечание 2 2 6 2 9" xfId="21905"/>
    <cellStyle name="Примечание 2 2 6 2 9 2" xfId="37266"/>
    <cellStyle name="Примечание 2 2 6 3" xfId="1244"/>
    <cellStyle name="Примечание 2 2 6 3 2" xfId="3080"/>
    <cellStyle name="Примечание 2 2 6 3 2 2" xfId="8275"/>
    <cellStyle name="Примечание 2 2 6 3 2 2 2" xfId="19201"/>
    <cellStyle name="Примечание 2 2 6 3 2 2 3" xfId="34562"/>
    <cellStyle name="Примечание 2 2 6 3 2 3" xfId="24163"/>
    <cellStyle name="Примечание 2 2 6 3 2 3 2" xfId="39524"/>
    <cellStyle name="Примечание 2 2 6 3 2 4" xfId="13638"/>
    <cellStyle name="Примечание 2 2 6 3 2 5" xfId="29114"/>
    <cellStyle name="Примечание 2 2 6 3 3" xfId="5392"/>
    <cellStyle name="Примечание 2 2 6 3 3 2" xfId="10556"/>
    <cellStyle name="Примечание 2 2 6 3 3 2 2" xfId="21490"/>
    <cellStyle name="Примечание 2 2 6 3 3 2 3" xfId="36851"/>
    <cellStyle name="Примечание 2 2 6 3 3 3" xfId="26443"/>
    <cellStyle name="Примечание 2 2 6 3 3 3 2" xfId="41804"/>
    <cellStyle name="Примечание 2 2 6 3 3 4" xfId="15927"/>
    <cellStyle name="Примечание 2 2 6 3 3 5" xfId="31394"/>
    <cellStyle name="Примечание 2 2 6 3 4" xfId="6497"/>
    <cellStyle name="Примечание 2 2 6 3 4 2" xfId="16364"/>
    <cellStyle name="Примечание 2 2 6 3 4 3" xfId="31831"/>
    <cellStyle name="Примечание 2 2 6 3 5" xfId="22385"/>
    <cellStyle name="Примечание 2 2 6 3 5 2" xfId="37746"/>
    <cellStyle name="Примечание 2 2 6 3 6" xfId="11825"/>
    <cellStyle name="Примечание 2 2 6 3 7" xfId="27336"/>
    <cellStyle name="Примечание 2 2 6 4" xfId="1934"/>
    <cellStyle name="Примечание 2 2 6 4 2" xfId="7170"/>
    <cellStyle name="Примечание 2 2 6 4 2 2" xfId="18072"/>
    <cellStyle name="Примечание 2 2 6 4 2 3" xfId="33433"/>
    <cellStyle name="Примечание 2 2 6 4 3" xfId="23058"/>
    <cellStyle name="Примечание 2 2 6 4 3 2" xfId="38419"/>
    <cellStyle name="Примечание 2 2 6 4 4" xfId="12509"/>
    <cellStyle name="Примечание 2 2 6 4 5" xfId="28009"/>
    <cellStyle name="Примечание 2 2 6 5" xfId="1891"/>
    <cellStyle name="Примечание 2 2 6 5 2" xfId="7130"/>
    <cellStyle name="Примечание 2 2 6 5 2 2" xfId="18032"/>
    <cellStyle name="Примечание 2 2 6 5 2 3" xfId="33393"/>
    <cellStyle name="Примечание 2 2 6 5 3" xfId="23018"/>
    <cellStyle name="Примечание 2 2 6 5 3 2" xfId="38379"/>
    <cellStyle name="Примечание 2 2 6 5 4" xfId="12469"/>
    <cellStyle name="Примечание 2 2 6 5 5" xfId="27969"/>
    <cellStyle name="Примечание 2 2 6 5 6" xfId="46572"/>
    <cellStyle name="Примечание 2 2 6 6" xfId="3404"/>
    <cellStyle name="Примечание 2 2 6 6 2" xfId="8598"/>
    <cellStyle name="Примечание 2 2 6 6 2 2" xfId="19525"/>
    <cellStyle name="Примечание 2 2 6 6 2 3" xfId="34886"/>
    <cellStyle name="Примечание 2 2 6 6 3" xfId="24486"/>
    <cellStyle name="Примечание 2 2 6 6 3 2" xfId="39847"/>
    <cellStyle name="Примечание 2 2 6 6 4" xfId="13962"/>
    <cellStyle name="Примечание 2 2 6 6 5" xfId="29437"/>
    <cellStyle name="Примечание 2 2 6 7" xfId="4023"/>
    <cellStyle name="Примечание 2 2 6 7 2" xfId="9210"/>
    <cellStyle name="Примечание 2 2 6 7 2 2" xfId="20137"/>
    <cellStyle name="Примечание 2 2 6 7 2 3" xfId="35498"/>
    <cellStyle name="Примечание 2 2 6 7 3" xfId="25098"/>
    <cellStyle name="Примечание 2 2 6 7 3 2" xfId="40459"/>
    <cellStyle name="Примечание 2 2 6 7 4" xfId="14574"/>
    <cellStyle name="Примечание 2 2 6 7 5" xfId="30049"/>
    <cellStyle name="Примечание 2 2 6 8" xfId="4690"/>
    <cellStyle name="Примечание 2 2 6 8 2" xfId="9877"/>
    <cellStyle name="Примечание 2 2 6 8 2 2" xfId="20804"/>
    <cellStyle name="Примечание 2 2 6 8 2 3" xfId="36165"/>
    <cellStyle name="Примечание 2 2 6 8 3" xfId="25765"/>
    <cellStyle name="Примечание 2 2 6 8 3 2" xfId="41126"/>
    <cellStyle name="Примечание 2 2 6 8 4" xfId="15241"/>
    <cellStyle name="Примечание 2 2 6 8 5" xfId="30716"/>
    <cellStyle name="Примечание 2 2 6 9" xfId="5831"/>
    <cellStyle name="Примечание 2 2 6 9 2" xfId="17038"/>
    <cellStyle name="Примечание 2 2 6 9 3" xfId="32505"/>
    <cellStyle name="Примечание 2 2 7" xfId="524"/>
    <cellStyle name="Примечание 2 2 7 10" xfId="21720"/>
    <cellStyle name="Примечание 2 2 7 10 2" xfId="37081"/>
    <cellStyle name="Примечание 2 2 7 11" xfId="11149"/>
    <cellStyle name="Примечание 2 2 7 12" xfId="26671"/>
    <cellStyle name="Примечание 2 2 7 2" xfId="754"/>
    <cellStyle name="Примечание 2 2 7 2 10" xfId="11338"/>
    <cellStyle name="Примечание 2 2 7 2 11" xfId="26855"/>
    <cellStyle name="Примечание 2 2 7 2 2" xfId="970"/>
    <cellStyle name="Примечание 2 2 7 2 2 2" xfId="3083"/>
    <cellStyle name="Примечание 2 2 7 2 2 2 2" xfId="8278"/>
    <cellStyle name="Примечание 2 2 7 2 2 2 2 2" xfId="19204"/>
    <cellStyle name="Примечание 2 2 7 2 2 2 2 3" xfId="34565"/>
    <cellStyle name="Примечание 2 2 7 2 2 2 3" xfId="24166"/>
    <cellStyle name="Примечание 2 2 7 2 2 2 3 2" xfId="39527"/>
    <cellStyle name="Примечание 2 2 7 2 2 2 4" xfId="13641"/>
    <cellStyle name="Примечание 2 2 7 2 2 2 5" xfId="29117"/>
    <cellStyle name="Примечание 2 2 7 2 2 3" xfId="5393"/>
    <cellStyle name="Примечание 2 2 7 2 2 3 2" xfId="10557"/>
    <cellStyle name="Примечание 2 2 7 2 2 3 2 2" xfId="21491"/>
    <cellStyle name="Примечание 2 2 7 2 2 3 2 3" xfId="36852"/>
    <cellStyle name="Примечание 2 2 7 2 2 3 3" xfId="26444"/>
    <cellStyle name="Примечание 2 2 7 2 2 3 3 2" xfId="41805"/>
    <cellStyle name="Примечание 2 2 7 2 2 3 4" xfId="15928"/>
    <cellStyle name="Примечание 2 2 7 2 2 3 5" xfId="31395"/>
    <cellStyle name="Примечание 2 2 7 2 2 4" xfId="6230"/>
    <cellStyle name="Примечание 2 2 7 2 2 4 2" xfId="16636"/>
    <cellStyle name="Примечание 2 2 7 2 2 4 3" xfId="32103"/>
    <cellStyle name="Примечание 2 2 7 2 2 5" xfId="22118"/>
    <cellStyle name="Примечание 2 2 7 2 2 5 2" xfId="37479"/>
    <cellStyle name="Примечание 2 2 7 2 2 6" xfId="11553"/>
    <cellStyle name="Примечание 2 2 7 2 2 7" xfId="27069"/>
    <cellStyle name="Примечание 2 2 7 2 3" xfId="2160"/>
    <cellStyle name="Примечание 2 2 7 2 3 2" xfId="7396"/>
    <cellStyle name="Примечание 2 2 7 2 3 2 2" xfId="18298"/>
    <cellStyle name="Примечание 2 2 7 2 3 2 3" xfId="33659"/>
    <cellStyle name="Примечание 2 2 7 2 3 3" xfId="23284"/>
    <cellStyle name="Примечание 2 2 7 2 3 3 2" xfId="38645"/>
    <cellStyle name="Примечание 2 2 7 2 3 4" xfId="12735"/>
    <cellStyle name="Примечание 2 2 7 2 3 5" xfId="28235"/>
    <cellStyle name="Примечание 2 2 7 2 4" xfId="2867"/>
    <cellStyle name="Примечание 2 2 7 2 4 2" xfId="8074"/>
    <cellStyle name="Примечание 2 2 7 2 4 2 2" xfId="18994"/>
    <cellStyle name="Примечание 2 2 7 2 4 2 3" xfId="34355"/>
    <cellStyle name="Примечание 2 2 7 2 4 3" xfId="23962"/>
    <cellStyle name="Примечание 2 2 7 2 4 3 2" xfId="39323"/>
    <cellStyle name="Примечание 2 2 7 2 4 4" xfId="13431"/>
    <cellStyle name="Примечание 2 2 7 2 4 5" xfId="28913"/>
    <cellStyle name="Примечание 2 2 7 2 4 6" xfId="46574"/>
    <cellStyle name="Примечание 2 2 7 2 5" xfId="3394"/>
    <cellStyle name="Примечание 2 2 7 2 5 2" xfId="8588"/>
    <cellStyle name="Примечание 2 2 7 2 5 2 2" xfId="19515"/>
    <cellStyle name="Примечание 2 2 7 2 5 2 3" xfId="34876"/>
    <cellStyle name="Примечание 2 2 7 2 5 3" xfId="24476"/>
    <cellStyle name="Примечание 2 2 7 2 5 3 2" xfId="39837"/>
    <cellStyle name="Примечание 2 2 7 2 5 4" xfId="13952"/>
    <cellStyle name="Примечание 2 2 7 2 5 5" xfId="29427"/>
    <cellStyle name="Примечание 2 2 7 2 6" xfId="4208"/>
    <cellStyle name="Примечание 2 2 7 2 6 2" xfId="9395"/>
    <cellStyle name="Примечание 2 2 7 2 6 2 2" xfId="20322"/>
    <cellStyle name="Примечание 2 2 7 2 6 2 3" xfId="35683"/>
    <cellStyle name="Примечание 2 2 7 2 6 3" xfId="25283"/>
    <cellStyle name="Примечание 2 2 7 2 6 3 2" xfId="40644"/>
    <cellStyle name="Примечание 2 2 7 2 6 4" xfId="14759"/>
    <cellStyle name="Примечание 2 2 7 2 6 5" xfId="30234"/>
    <cellStyle name="Примечание 2 2 7 2 7" xfId="4949"/>
    <cellStyle name="Примечание 2 2 7 2 7 2" xfId="10136"/>
    <cellStyle name="Примечание 2 2 7 2 7 2 2" xfId="21063"/>
    <cellStyle name="Примечание 2 2 7 2 7 2 3" xfId="36424"/>
    <cellStyle name="Примечание 2 2 7 2 7 3" xfId="26024"/>
    <cellStyle name="Примечание 2 2 7 2 7 3 2" xfId="41385"/>
    <cellStyle name="Примечание 2 2 7 2 7 4" xfId="15500"/>
    <cellStyle name="Примечание 2 2 7 2 7 5" xfId="30975"/>
    <cellStyle name="Примечание 2 2 7 2 8" xfId="6016"/>
    <cellStyle name="Примечание 2 2 7 2 8 2" xfId="16851"/>
    <cellStyle name="Примечание 2 2 7 2 8 3" xfId="32318"/>
    <cellStyle name="Примечание 2 2 7 2 9" xfId="21904"/>
    <cellStyle name="Примечание 2 2 7 2 9 2" xfId="37265"/>
    <cellStyle name="Примечание 2 2 7 3" xfId="966"/>
    <cellStyle name="Примечание 2 2 7 3 2" xfId="3084"/>
    <cellStyle name="Примечание 2 2 7 3 2 2" xfId="8279"/>
    <cellStyle name="Примечание 2 2 7 3 2 2 2" xfId="19205"/>
    <cellStyle name="Примечание 2 2 7 3 2 2 3" xfId="34566"/>
    <cellStyle name="Примечание 2 2 7 3 2 3" xfId="24167"/>
    <cellStyle name="Примечание 2 2 7 3 2 3 2" xfId="39528"/>
    <cellStyle name="Примечание 2 2 7 3 2 4" xfId="13642"/>
    <cellStyle name="Примечание 2 2 7 3 2 5" xfId="29118"/>
    <cellStyle name="Примечание 2 2 7 3 3" xfId="5394"/>
    <cellStyle name="Примечание 2 2 7 3 3 2" xfId="10558"/>
    <cellStyle name="Примечание 2 2 7 3 3 2 2" xfId="21492"/>
    <cellStyle name="Примечание 2 2 7 3 3 2 3" xfId="36853"/>
    <cellStyle name="Примечание 2 2 7 3 3 3" xfId="26445"/>
    <cellStyle name="Примечание 2 2 7 3 3 3 2" xfId="41806"/>
    <cellStyle name="Примечание 2 2 7 3 3 4" xfId="15929"/>
    <cellStyle name="Примечание 2 2 7 3 3 5" xfId="31396"/>
    <cellStyle name="Примечание 2 2 7 3 4" xfId="6226"/>
    <cellStyle name="Примечание 2 2 7 3 4 2" xfId="16640"/>
    <cellStyle name="Примечание 2 2 7 3 4 3" xfId="32107"/>
    <cellStyle name="Примечание 2 2 7 3 5" xfId="22114"/>
    <cellStyle name="Примечание 2 2 7 3 5 2" xfId="37475"/>
    <cellStyle name="Примечание 2 2 7 3 6" xfId="11549"/>
    <cellStyle name="Примечание 2 2 7 3 7" xfId="27065"/>
    <cellStyle name="Примечание 2 2 7 4" xfId="1935"/>
    <cellStyle name="Примечание 2 2 7 4 2" xfId="7171"/>
    <cellStyle name="Примечание 2 2 7 4 2 2" xfId="18073"/>
    <cellStyle name="Примечание 2 2 7 4 2 3" xfId="33434"/>
    <cellStyle name="Примечание 2 2 7 4 3" xfId="23059"/>
    <cellStyle name="Примечание 2 2 7 4 3 2" xfId="38420"/>
    <cellStyle name="Примечание 2 2 7 4 4" xfId="12510"/>
    <cellStyle name="Примечание 2 2 7 4 5" xfId="28010"/>
    <cellStyle name="Примечание 2 2 7 5" xfId="1461"/>
    <cellStyle name="Примечание 2 2 7 5 2" xfId="6708"/>
    <cellStyle name="Примечание 2 2 7 5 2 2" xfId="16150"/>
    <cellStyle name="Примечание 2 2 7 5 2 3" xfId="31617"/>
    <cellStyle name="Примечание 2 2 7 5 3" xfId="22596"/>
    <cellStyle name="Примечание 2 2 7 5 3 2" xfId="37957"/>
    <cellStyle name="Примечание 2 2 7 5 4" xfId="12039"/>
    <cellStyle name="Примечание 2 2 7 5 5" xfId="27547"/>
    <cellStyle name="Примечание 2 2 7 5 6" xfId="46573"/>
    <cellStyle name="Примечание 2 2 7 6" xfId="2056"/>
    <cellStyle name="Примечание 2 2 7 6 2" xfId="7292"/>
    <cellStyle name="Примечание 2 2 7 6 2 2" xfId="18194"/>
    <cellStyle name="Примечание 2 2 7 6 2 3" xfId="33555"/>
    <cellStyle name="Примечание 2 2 7 6 3" xfId="23180"/>
    <cellStyle name="Примечание 2 2 7 6 3 2" xfId="38541"/>
    <cellStyle name="Примечание 2 2 7 6 4" xfId="12631"/>
    <cellStyle name="Примечание 2 2 7 6 5" xfId="28131"/>
    <cellStyle name="Примечание 2 2 7 7" xfId="4024"/>
    <cellStyle name="Примечание 2 2 7 7 2" xfId="9211"/>
    <cellStyle name="Примечание 2 2 7 7 2 2" xfId="20138"/>
    <cellStyle name="Примечание 2 2 7 7 2 3" xfId="35499"/>
    <cellStyle name="Примечание 2 2 7 7 3" xfId="25099"/>
    <cellStyle name="Примечание 2 2 7 7 3 2" xfId="40460"/>
    <cellStyle name="Примечание 2 2 7 7 4" xfId="14575"/>
    <cellStyle name="Примечание 2 2 7 7 5" xfId="30050"/>
    <cellStyle name="Примечание 2 2 7 8" xfId="4689"/>
    <cellStyle name="Примечание 2 2 7 8 2" xfId="9876"/>
    <cellStyle name="Примечание 2 2 7 8 2 2" xfId="20803"/>
    <cellStyle name="Примечание 2 2 7 8 2 3" xfId="36164"/>
    <cellStyle name="Примечание 2 2 7 8 3" xfId="25764"/>
    <cellStyle name="Примечание 2 2 7 8 3 2" xfId="41125"/>
    <cellStyle name="Примечание 2 2 7 8 4" xfId="15240"/>
    <cellStyle name="Примечание 2 2 7 8 5" xfId="30715"/>
    <cellStyle name="Примечание 2 2 7 9" xfId="5832"/>
    <cellStyle name="Примечание 2 2 7 9 2" xfId="17037"/>
    <cellStyle name="Примечание 2 2 7 9 3" xfId="32504"/>
    <cellStyle name="Примечание 2 2 8" xfId="525"/>
    <cellStyle name="Примечание 2 2 8 10" xfId="21721"/>
    <cellStyle name="Примечание 2 2 8 10 2" xfId="37082"/>
    <cellStyle name="Примечание 2 2 8 11" xfId="11150"/>
    <cellStyle name="Примечание 2 2 8 12" xfId="26672"/>
    <cellStyle name="Примечание 2 2 8 2" xfId="753"/>
    <cellStyle name="Примечание 2 2 8 2 10" xfId="11337"/>
    <cellStyle name="Примечание 2 2 8 2 11" xfId="26854"/>
    <cellStyle name="Примечание 2 2 8 2 2" xfId="1388"/>
    <cellStyle name="Примечание 2 2 8 2 2 2" xfId="3087"/>
    <cellStyle name="Примечание 2 2 8 2 2 2 2" xfId="8282"/>
    <cellStyle name="Примечание 2 2 8 2 2 2 2 2" xfId="19208"/>
    <cellStyle name="Примечание 2 2 8 2 2 2 2 3" xfId="34569"/>
    <cellStyle name="Примечание 2 2 8 2 2 2 3" xfId="24170"/>
    <cellStyle name="Примечание 2 2 8 2 2 2 3 2" xfId="39531"/>
    <cellStyle name="Примечание 2 2 8 2 2 2 4" xfId="13645"/>
    <cellStyle name="Примечание 2 2 8 2 2 2 5" xfId="29121"/>
    <cellStyle name="Примечание 2 2 8 2 2 3" xfId="5395"/>
    <cellStyle name="Примечание 2 2 8 2 2 3 2" xfId="10559"/>
    <cellStyle name="Примечание 2 2 8 2 2 3 2 2" xfId="21493"/>
    <cellStyle name="Примечание 2 2 8 2 2 3 2 3" xfId="36854"/>
    <cellStyle name="Примечание 2 2 8 2 2 3 3" xfId="26446"/>
    <cellStyle name="Примечание 2 2 8 2 2 3 3 2" xfId="41807"/>
    <cellStyle name="Примечание 2 2 8 2 2 3 4" xfId="15930"/>
    <cellStyle name="Примечание 2 2 8 2 2 3 5" xfId="31397"/>
    <cellStyle name="Примечание 2 2 8 2 2 4" xfId="6638"/>
    <cellStyle name="Примечание 2 2 8 2 2 4 2" xfId="16221"/>
    <cellStyle name="Примечание 2 2 8 2 2 4 3" xfId="31688"/>
    <cellStyle name="Примечание 2 2 8 2 2 5" xfId="22526"/>
    <cellStyle name="Примечание 2 2 8 2 2 5 2" xfId="37887"/>
    <cellStyle name="Примечание 2 2 8 2 2 6" xfId="11968"/>
    <cellStyle name="Примечание 2 2 8 2 2 7" xfId="27477"/>
    <cellStyle name="Примечание 2 2 8 2 3" xfId="2159"/>
    <cellStyle name="Примечание 2 2 8 2 3 2" xfId="7395"/>
    <cellStyle name="Примечание 2 2 8 2 3 2 2" xfId="18297"/>
    <cellStyle name="Примечание 2 2 8 2 3 2 3" xfId="33658"/>
    <cellStyle name="Примечание 2 2 8 2 3 3" xfId="23283"/>
    <cellStyle name="Примечание 2 2 8 2 3 3 2" xfId="38644"/>
    <cellStyle name="Примечание 2 2 8 2 3 4" xfId="12734"/>
    <cellStyle name="Примечание 2 2 8 2 3 5" xfId="28234"/>
    <cellStyle name="Примечание 2 2 8 2 4" xfId="2774"/>
    <cellStyle name="Примечание 2 2 8 2 4 2" xfId="8003"/>
    <cellStyle name="Примечание 2 2 8 2 4 2 2" xfId="18907"/>
    <cellStyle name="Примечание 2 2 8 2 4 2 3" xfId="34268"/>
    <cellStyle name="Примечание 2 2 8 2 4 3" xfId="23891"/>
    <cellStyle name="Примечание 2 2 8 2 4 3 2" xfId="39252"/>
    <cellStyle name="Примечание 2 2 8 2 4 4" xfId="13344"/>
    <cellStyle name="Примечание 2 2 8 2 4 5" xfId="28842"/>
    <cellStyle name="Примечание 2 2 8 2 5" xfId="3615"/>
    <cellStyle name="Примечание 2 2 8 2 5 2" xfId="8802"/>
    <cellStyle name="Примечание 2 2 8 2 5 2 2" xfId="19729"/>
    <cellStyle name="Примечание 2 2 8 2 5 2 3" xfId="35090"/>
    <cellStyle name="Примечание 2 2 8 2 5 3" xfId="24690"/>
    <cellStyle name="Примечание 2 2 8 2 5 3 2" xfId="40051"/>
    <cellStyle name="Примечание 2 2 8 2 5 4" xfId="14166"/>
    <cellStyle name="Примечание 2 2 8 2 5 5" xfId="29641"/>
    <cellStyle name="Примечание 2 2 8 2 6" xfId="4207"/>
    <cellStyle name="Примечание 2 2 8 2 6 2" xfId="9394"/>
    <cellStyle name="Примечание 2 2 8 2 6 2 2" xfId="20321"/>
    <cellStyle name="Примечание 2 2 8 2 6 2 3" xfId="35682"/>
    <cellStyle name="Примечание 2 2 8 2 6 3" xfId="25282"/>
    <cellStyle name="Примечание 2 2 8 2 6 3 2" xfId="40643"/>
    <cellStyle name="Примечание 2 2 8 2 6 4" xfId="14758"/>
    <cellStyle name="Примечание 2 2 8 2 6 5" xfId="30233"/>
    <cellStyle name="Примечание 2 2 8 2 7" xfId="4597"/>
    <cellStyle name="Примечание 2 2 8 2 7 2" xfId="9784"/>
    <cellStyle name="Примечание 2 2 8 2 7 2 2" xfId="20711"/>
    <cellStyle name="Примечание 2 2 8 2 7 2 3" xfId="36072"/>
    <cellStyle name="Примечание 2 2 8 2 7 3" xfId="25672"/>
    <cellStyle name="Примечание 2 2 8 2 7 3 2" xfId="41033"/>
    <cellStyle name="Примечание 2 2 8 2 7 4" xfId="15148"/>
    <cellStyle name="Примечание 2 2 8 2 7 5" xfId="30623"/>
    <cellStyle name="Примечание 2 2 8 2 8" xfId="6015"/>
    <cellStyle name="Примечание 2 2 8 2 8 2" xfId="16852"/>
    <cellStyle name="Примечание 2 2 8 2 8 3" xfId="32319"/>
    <cellStyle name="Примечание 2 2 8 2 9" xfId="21903"/>
    <cellStyle name="Примечание 2 2 8 2 9 2" xfId="37264"/>
    <cellStyle name="Примечание 2 2 8 3" xfId="1194"/>
    <cellStyle name="Примечание 2 2 8 3 2" xfId="3088"/>
    <cellStyle name="Примечание 2 2 8 3 2 2" xfId="8283"/>
    <cellStyle name="Примечание 2 2 8 3 2 2 2" xfId="19209"/>
    <cellStyle name="Примечание 2 2 8 3 2 2 3" xfId="34570"/>
    <cellStyle name="Примечание 2 2 8 3 2 3" xfId="24171"/>
    <cellStyle name="Примечание 2 2 8 3 2 3 2" xfId="39532"/>
    <cellStyle name="Примечание 2 2 8 3 2 4" xfId="13646"/>
    <cellStyle name="Примечание 2 2 8 3 2 5" xfId="29122"/>
    <cellStyle name="Примечание 2 2 8 3 3" xfId="5396"/>
    <cellStyle name="Примечание 2 2 8 3 3 2" xfId="10560"/>
    <cellStyle name="Примечание 2 2 8 3 3 2 2" xfId="21494"/>
    <cellStyle name="Примечание 2 2 8 3 3 2 3" xfId="36855"/>
    <cellStyle name="Примечание 2 2 8 3 3 3" xfId="26447"/>
    <cellStyle name="Примечание 2 2 8 3 3 3 2" xfId="41808"/>
    <cellStyle name="Примечание 2 2 8 3 3 4" xfId="15931"/>
    <cellStyle name="Примечание 2 2 8 3 3 5" xfId="31398"/>
    <cellStyle name="Примечание 2 2 8 3 4" xfId="6448"/>
    <cellStyle name="Примечание 2 2 8 3 4 2" xfId="16414"/>
    <cellStyle name="Примечание 2 2 8 3 4 3" xfId="31881"/>
    <cellStyle name="Примечание 2 2 8 3 5" xfId="22336"/>
    <cellStyle name="Примечание 2 2 8 3 5 2" xfId="37697"/>
    <cellStyle name="Примечание 2 2 8 3 6" xfId="11775"/>
    <cellStyle name="Примечание 2 2 8 3 7" xfId="27287"/>
    <cellStyle name="Примечание 2 2 8 4" xfId="1936"/>
    <cellStyle name="Примечание 2 2 8 4 2" xfId="7172"/>
    <cellStyle name="Примечание 2 2 8 4 2 2" xfId="18074"/>
    <cellStyle name="Примечание 2 2 8 4 2 3" xfId="33435"/>
    <cellStyle name="Примечание 2 2 8 4 3" xfId="23060"/>
    <cellStyle name="Примечание 2 2 8 4 3 2" xfId="38421"/>
    <cellStyle name="Примечание 2 2 8 4 4" xfId="12511"/>
    <cellStyle name="Примечание 2 2 8 4 5" xfId="28011"/>
    <cellStyle name="Примечание 2 2 8 5" xfId="2498"/>
    <cellStyle name="Примечание 2 2 8 5 2" xfId="7734"/>
    <cellStyle name="Примечание 2 2 8 5 2 2" xfId="18636"/>
    <cellStyle name="Примечание 2 2 8 5 2 3" xfId="33997"/>
    <cellStyle name="Примечание 2 2 8 5 3" xfId="23622"/>
    <cellStyle name="Примечание 2 2 8 5 3 2" xfId="38983"/>
    <cellStyle name="Примечание 2 2 8 5 4" xfId="13073"/>
    <cellStyle name="Примечание 2 2 8 5 5" xfId="28573"/>
    <cellStyle name="Примечание 2 2 8 6" xfId="1416"/>
    <cellStyle name="Примечание 2 2 8 6 2" xfId="6664"/>
    <cellStyle name="Примечание 2 2 8 6 2 2" xfId="16194"/>
    <cellStyle name="Примечание 2 2 8 6 2 3" xfId="31661"/>
    <cellStyle name="Примечание 2 2 8 6 3" xfId="22552"/>
    <cellStyle name="Примечание 2 2 8 6 3 2" xfId="37913"/>
    <cellStyle name="Примечание 2 2 8 6 4" xfId="11995"/>
    <cellStyle name="Примечание 2 2 8 6 5" xfId="27503"/>
    <cellStyle name="Примечание 2 2 8 7" xfId="4025"/>
    <cellStyle name="Примечание 2 2 8 7 2" xfId="9212"/>
    <cellStyle name="Примечание 2 2 8 7 2 2" xfId="20139"/>
    <cellStyle name="Примечание 2 2 8 7 2 3" xfId="35500"/>
    <cellStyle name="Примечание 2 2 8 7 3" xfId="25100"/>
    <cellStyle name="Примечание 2 2 8 7 3 2" xfId="40461"/>
    <cellStyle name="Примечание 2 2 8 7 4" xfId="14576"/>
    <cellStyle name="Примечание 2 2 8 7 5" xfId="30051"/>
    <cellStyle name="Примечание 2 2 8 8" xfId="4688"/>
    <cellStyle name="Примечание 2 2 8 8 2" xfId="9875"/>
    <cellStyle name="Примечание 2 2 8 8 2 2" xfId="20802"/>
    <cellStyle name="Примечание 2 2 8 8 2 3" xfId="36163"/>
    <cellStyle name="Примечание 2 2 8 8 3" xfId="25763"/>
    <cellStyle name="Примечание 2 2 8 8 3 2" xfId="41124"/>
    <cellStyle name="Примечание 2 2 8 8 4" xfId="15239"/>
    <cellStyle name="Примечание 2 2 8 8 5" xfId="30714"/>
    <cellStyle name="Примечание 2 2 8 9" xfId="5833"/>
    <cellStyle name="Примечание 2 2 8 9 2" xfId="17036"/>
    <cellStyle name="Примечание 2 2 8 9 3" xfId="32503"/>
    <cellStyle name="Примечание 2 2 9" xfId="526"/>
    <cellStyle name="Примечание 2 2 9 10" xfId="21722"/>
    <cellStyle name="Примечание 2 2 9 10 2" xfId="37083"/>
    <cellStyle name="Примечание 2 2 9 11" xfId="11151"/>
    <cellStyle name="Примечание 2 2 9 12" xfId="26673"/>
    <cellStyle name="Примечание 2 2 9 2" xfId="752"/>
    <cellStyle name="Примечание 2 2 9 2 10" xfId="11336"/>
    <cellStyle name="Примечание 2 2 9 2 11" xfId="26853"/>
    <cellStyle name="Примечание 2 2 9 2 2" xfId="1072"/>
    <cellStyle name="Примечание 2 2 9 2 2 2" xfId="3091"/>
    <cellStyle name="Примечание 2 2 9 2 2 2 2" xfId="8286"/>
    <cellStyle name="Примечание 2 2 9 2 2 2 2 2" xfId="19212"/>
    <cellStyle name="Примечание 2 2 9 2 2 2 2 3" xfId="34573"/>
    <cellStyle name="Примечание 2 2 9 2 2 2 3" xfId="24174"/>
    <cellStyle name="Примечание 2 2 9 2 2 2 3 2" xfId="39535"/>
    <cellStyle name="Примечание 2 2 9 2 2 2 4" xfId="13649"/>
    <cellStyle name="Примечание 2 2 9 2 2 2 5" xfId="29125"/>
    <cellStyle name="Примечание 2 2 9 2 2 3" xfId="5397"/>
    <cellStyle name="Примечание 2 2 9 2 2 3 2" xfId="10561"/>
    <cellStyle name="Примечание 2 2 9 2 2 3 2 2" xfId="21495"/>
    <cellStyle name="Примечание 2 2 9 2 2 3 2 3" xfId="36856"/>
    <cellStyle name="Примечание 2 2 9 2 2 3 3" xfId="26448"/>
    <cellStyle name="Примечание 2 2 9 2 2 3 3 2" xfId="41809"/>
    <cellStyle name="Примечание 2 2 9 2 2 3 4" xfId="15932"/>
    <cellStyle name="Примечание 2 2 9 2 2 3 5" xfId="31399"/>
    <cellStyle name="Примечание 2 2 9 2 2 4" xfId="6329"/>
    <cellStyle name="Примечание 2 2 9 2 2 4 2" xfId="16535"/>
    <cellStyle name="Примечание 2 2 9 2 2 4 3" xfId="32002"/>
    <cellStyle name="Примечание 2 2 9 2 2 5" xfId="22217"/>
    <cellStyle name="Примечание 2 2 9 2 2 5 2" xfId="37578"/>
    <cellStyle name="Примечание 2 2 9 2 2 6" xfId="11654"/>
    <cellStyle name="Примечание 2 2 9 2 2 7" xfId="27168"/>
    <cellStyle name="Примечание 2 2 9 2 3" xfId="2158"/>
    <cellStyle name="Примечание 2 2 9 2 3 2" xfId="7394"/>
    <cellStyle name="Примечание 2 2 9 2 3 2 2" xfId="18296"/>
    <cellStyle name="Примечание 2 2 9 2 3 2 3" xfId="33657"/>
    <cellStyle name="Примечание 2 2 9 2 3 3" xfId="23282"/>
    <cellStyle name="Примечание 2 2 9 2 3 3 2" xfId="38643"/>
    <cellStyle name="Примечание 2 2 9 2 3 4" xfId="12733"/>
    <cellStyle name="Примечание 2 2 9 2 3 5" xfId="28233"/>
    <cellStyle name="Примечание 2 2 9 2 4" xfId="2868"/>
    <cellStyle name="Примечание 2 2 9 2 4 2" xfId="8075"/>
    <cellStyle name="Примечание 2 2 9 2 4 2 2" xfId="18995"/>
    <cellStyle name="Примечание 2 2 9 2 4 2 3" xfId="34356"/>
    <cellStyle name="Примечание 2 2 9 2 4 3" xfId="23963"/>
    <cellStyle name="Примечание 2 2 9 2 4 3 2" xfId="39324"/>
    <cellStyle name="Примечание 2 2 9 2 4 4" xfId="13432"/>
    <cellStyle name="Примечание 2 2 9 2 4 5" xfId="28914"/>
    <cellStyle name="Примечание 2 2 9 2 5" xfId="3431"/>
    <cellStyle name="Примечание 2 2 9 2 5 2" xfId="8621"/>
    <cellStyle name="Примечание 2 2 9 2 5 2 2" xfId="19548"/>
    <cellStyle name="Примечание 2 2 9 2 5 2 3" xfId="34909"/>
    <cellStyle name="Примечание 2 2 9 2 5 3" xfId="24509"/>
    <cellStyle name="Примечание 2 2 9 2 5 3 2" xfId="39870"/>
    <cellStyle name="Примечание 2 2 9 2 5 4" xfId="13985"/>
    <cellStyle name="Примечание 2 2 9 2 5 5" xfId="29460"/>
    <cellStyle name="Примечание 2 2 9 2 6" xfId="4206"/>
    <cellStyle name="Примечание 2 2 9 2 6 2" xfId="9393"/>
    <cellStyle name="Примечание 2 2 9 2 6 2 2" xfId="20320"/>
    <cellStyle name="Примечание 2 2 9 2 6 2 3" xfId="35681"/>
    <cellStyle name="Примечание 2 2 9 2 6 3" xfId="25281"/>
    <cellStyle name="Примечание 2 2 9 2 6 3 2" xfId="40642"/>
    <cellStyle name="Примечание 2 2 9 2 6 4" xfId="14757"/>
    <cellStyle name="Примечание 2 2 9 2 6 5" xfId="30232"/>
    <cellStyle name="Примечание 2 2 9 2 7" xfId="4948"/>
    <cellStyle name="Примечание 2 2 9 2 7 2" xfId="10135"/>
    <cellStyle name="Примечание 2 2 9 2 7 2 2" xfId="21062"/>
    <cellStyle name="Примечание 2 2 9 2 7 2 3" xfId="36423"/>
    <cellStyle name="Примечание 2 2 9 2 7 3" xfId="26023"/>
    <cellStyle name="Примечание 2 2 9 2 7 3 2" xfId="41384"/>
    <cellStyle name="Примечание 2 2 9 2 7 4" xfId="15499"/>
    <cellStyle name="Примечание 2 2 9 2 7 5" xfId="30974"/>
    <cellStyle name="Примечание 2 2 9 2 8" xfId="6014"/>
    <cellStyle name="Примечание 2 2 9 2 8 2" xfId="16853"/>
    <cellStyle name="Примечание 2 2 9 2 8 3" xfId="32320"/>
    <cellStyle name="Примечание 2 2 9 2 9" xfId="21902"/>
    <cellStyle name="Примечание 2 2 9 2 9 2" xfId="37263"/>
    <cellStyle name="Примечание 2 2 9 3" xfId="1487"/>
    <cellStyle name="Примечание 2 2 9 3 2" xfId="3092"/>
    <cellStyle name="Примечание 2 2 9 3 2 2" xfId="8287"/>
    <cellStyle name="Примечание 2 2 9 3 2 2 2" xfId="19213"/>
    <cellStyle name="Примечание 2 2 9 3 2 2 3" xfId="34574"/>
    <cellStyle name="Примечание 2 2 9 3 2 3" xfId="24175"/>
    <cellStyle name="Примечание 2 2 9 3 2 3 2" xfId="39536"/>
    <cellStyle name="Примечание 2 2 9 3 2 4" xfId="13650"/>
    <cellStyle name="Примечание 2 2 9 3 2 5" xfId="29126"/>
    <cellStyle name="Примечание 2 2 9 3 3" xfId="5398"/>
    <cellStyle name="Примечание 2 2 9 3 3 2" xfId="10562"/>
    <cellStyle name="Примечание 2 2 9 3 3 2 2" xfId="21496"/>
    <cellStyle name="Примечание 2 2 9 3 3 2 3" xfId="36857"/>
    <cellStyle name="Примечание 2 2 9 3 3 3" xfId="26449"/>
    <cellStyle name="Примечание 2 2 9 3 3 3 2" xfId="41810"/>
    <cellStyle name="Примечание 2 2 9 3 3 4" xfId="15933"/>
    <cellStyle name="Примечание 2 2 9 3 3 5" xfId="31400"/>
    <cellStyle name="Примечание 2 2 9 3 4" xfId="6734"/>
    <cellStyle name="Примечание 2 2 9 3 4 2" xfId="16124"/>
    <cellStyle name="Примечание 2 2 9 3 4 3" xfId="31591"/>
    <cellStyle name="Примечание 2 2 9 3 5" xfId="22622"/>
    <cellStyle name="Примечание 2 2 9 3 5 2" xfId="37983"/>
    <cellStyle name="Примечание 2 2 9 3 6" xfId="12065"/>
    <cellStyle name="Примечание 2 2 9 3 7" xfId="27573"/>
    <cellStyle name="Примечание 2 2 9 4" xfId="1937"/>
    <cellStyle name="Примечание 2 2 9 4 2" xfId="7173"/>
    <cellStyle name="Примечание 2 2 9 4 2 2" xfId="18075"/>
    <cellStyle name="Примечание 2 2 9 4 2 3" xfId="33436"/>
    <cellStyle name="Примечание 2 2 9 4 3" xfId="23061"/>
    <cellStyle name="Примечание 2 2 9 4 3 2" xfId="38422"/>
    <cellStyle name="Примечание 2 2 9 4 4" xfId="12512"/>
    <cellStyle name="Примечание 2 2 9 4 5" xfId="28012"/>
    <cellStyle name="Примечание 2 2 9 5" xfId="1890"/>
    <cellStyle name="Примечание 2 2 9 5 2" xfId="7129"/>
    <cellStyle name="Примечание 2 2 9 5 2 2" xfId="18031"/>
    <cellStyle name="Примечание 2 2 9 5 2 3" xfId="33392"/>
    <cellStyle name="Примечание 2 2 9 5 3" xfId="23017"/>
    <cellStyle name="Примечание 2 2 9 5 3 2" xfId="38378"/>
    <cellStyle name="Примечание 2 2 9 5 4" xfId="12468"/>
    <cellStyle name="Примечание 2 2 9 5 5" xfId="27968"/>
    <cellStyle name="Примечание 2 2 9 6" xfId="3714"/>
    <cellStyle name="Примечание 2 2 9 6 2" xfId="8901"/>
    <cellStyle name="Примечание 2 2 9 6 2 2" xfId="19828"/>
    <cellStyle name="Примечание 2 2 9 6 2 3" xfId="35189"/>
    <cellStyle name="Примечание 2 2 9 6 3" xfId="24789"/>
    <cellStyle name="Примечание 2 2 9 6 3 2" xfId="40150"/>
    <cellStyle name="Примечание 2 2 9 6 4" xfId="14265"/>
    <cellStyle name="Примечание 2 2 9 6 5" xfId="29740"/>
    <cellStyle name="Примечание 2 2 9 7" xfId="4026"/>
    <cellStyle name="Примечание 2 2 9 7 2" xfId="9213"/>
    <cellStyle name="Примечание 2 2 9 7 2 2" xfId="20140"/>
    <cellStyle name="Примечание 2 2 9 7 2 3" xfId="35501"/>
    <cellStyle name="Примечание 2 2 9 7 3" xfId="25101"/>
    <cellStyle name="Примечание 2 2 9 7 3 2" xfId="40462"/>
    <cellStyle name="Примечание 2 2 9 7 4" xfId="14577"/>
    <cellStyle name="Примечание 2 2 9 7 5" xfId="30052"/>
    <cellStyle name="Примечание 2 2 9 8" xfId="4413"/>
    <cellStyle name="Примечание 2 2 9 8 2" xfId="9600"/>
    <cellStyle name="Примечание 2 2 9 8 2 2" xfId="20527"/>
    <cellStyle name="Примечание 2 2 9 8 2 3" xfId="35888"/>
    <cellStyle name="Примечание 2 2 9 8 3" xfId="25488"/>
    <cellStyle name="Примечание 2 2 9 8 3 2" xfId="40849"/>
    <cellStyle name="Примечание 2 2 9 8 4" xfId="14964"/>
    <cellStyle name="Примечание 2 2 9 8 5" xfId="30439"/>
    <cellStyle name="Примечание 2 2 9 9" xfId="5834"/>
    <cellStyle name="Примечание 2 2 9 9 2" xfId="17035"/>
    <cellStyle name="Примечание 2 2 9 9 3" xfId="32502"/>
    <cellStyle name="Примечание 2 3" xfId="527"/>
    <cellStyle name="Примечание 2 3 10" xfId="528"/>
    <cellStyle name="Примечание 2 3 10 10" xfId="21724"/>
    <cellStyle name="Примечание 2 3 10 10 2" xfId="37085"/>
    <cellStyle name="Примечание 2 3 10 11" xfId="11153"/>
    <cellStyle name="Примечание 2 3 10 12" xfId="26675"/>
    <cellStyle name="Примечание 2 3 10 2" xfId="750"/>
    <cellStyle name="Примечание 2 3 10 2 10" xfId="11334"/>
    <cellStyle name="Примечание 2 3 10 2 11" xfId="26851"/>
    <cellStyle name="Примечание 2 3 10 2 2" xfId="1784"/>
    <cellStyle name="Примечание 2 3 10 2 2 2" xfId="3096"/>
    <cellStyle name="Примечание 2 3 10 2 2 2 2" xfId="8291"/>
    <cellStyle name="Примечание 2 3 10 2 2 2 2 2" xfId="19217"/>
    <cellStyle name="Примечание 2 3 10 2 2 2 2 3" xfId="34578"/>
    <cellStyle name="Примечание 2 3 10 2 2 2 3" xfId="24179"/>
    <cellStyle name="Примечание 2 3 10 2 2 2 3 2" xfId="39540"/>
    <cellStyle name="Примечание 2 3 10 2 2 2 4" xfId="13654"/>
    <cellStyle name="Примечание 2 3 10 2 2 2 5" xfId="29130"/>
    <cellStyle name="Примечание 2 3 10 2 2 3" xfId="5399"/>
    <cellStyle name="Примечание 2 3 10 2 2 3 2" xfId="10563"/>
    <cellStyle name="Примечание 2 3 10 2 2 3 2 2" xfId="21497"/>
    <cellStyle name="Примечание 2 3 10 2 2 3 2 3" xfId="36858"/>
    <cellStyle name="Примечание 2 3 10 2 2 3 3" xfId="26450"/>
    <cellStyle name="Примечание 2 3 10 2 2 3 3 2" xfId="41811"/>
    <cellStyle name="Примечание 2 3 10 2 2 3 4" xfId="15934"/>
    <cellStyle name="Примечание 2 3 10 2 2 3 5" xfId="31401"/>
    <cellStyle name="Примечание 2 3 10 2 2 4" xfId="7023"/>
    <cellStyle name="Примечание 2 3 10 2 2 4 2" xfId="17925"/>
    <cellStyle name="Примечание 2 3 10 2 2 4 3" xfId="33286"/>
    <cellStyle name="Примечание 2 3 10 2 2 5" xfId="22911"/>
    <cellStyle name="Примечание 2 3 10 2 2 5 2" xfId="38272"/>
    <cellStyle name="Примечание 2 3 10 2 2 6" xfId="12362"/>
    <cellStyle name="Примечание 2 3 10 2 2 7" xfId="27862"/>
    <cellStyle name="Примечание 2 3 10 2 3" xfId="2156"/>
    <cellStyle name="Примечание 2 3 10 2 3 2" xfId="7392"/>
    <cellStyle name="Примечание 2 3 10 2 3 2 2" xfId="18294"/>
    <cellStyle name="Примечание 2 3 10 2 3 2 3" xfId="33655"/>
    <cellStyle name="Примечание 2 3 10 2 3 3" xfId="23280"/>
    <cellStyle name="Примечание 2 3 10 2 3 3 2" xfId="38641"/>
    <cellStyle name="Примечание 2 3 10 2 3 4" xfId="12731"/>
    <cellStyle name="Примечание 2 3 10 2 3 5" xfId="28231"/>
    <cellStyle name="Примечание 2 3 10 2 4" xfId="2869"/>
    <cellStyle name="Примечание 2 3 10 2 4 2" xfId="8076"/>
    <cellStyle name="Примечание 2 3 10 2 4 2 2" xfId="18996"/>
    <cellStyle name="Примечание 2 3 10 2 4 2 3" xfId="34357"/>
    <cellStyle name="Примечание 2 3 10 2 4 3" xfId="23964"/>
    <cellStyle name="Примечание 2 3 10 2 4 3 2" xfId="39325"/>
    <cellStyle name="Примечание 2 3 10 2 4 4" xfId="13433"/>
    <cellStyle name="Примечание 2 3 10 2 4 5" xfId="28915"/>
    <cellStyle name="Примечание 2 3 10 2 5" xfId="1207"/>
    <cellStyle name="Примечание 2 3 10 2 5 2" xfId="6460"/>
    <cellStyle name="Примечание 2 3 10 2 5 2 2" xfId="16401"/>
    <cellStyle name="Примечание 2 3 10 2 5 2 3" xfId="31868"/>
    <cellStyle name="Примечание 2 3 10 2 5 3" xfId="22348"/>
    <cellStyle name="Примечание 2 3 10 2 5 3 2" xfId="37709"/>
    <cellStyle name="Примечание 2 3 10 2 5 4" xfId="11788"/>
    <cellStyle name="Примечание 2 3 10 2 5 5" xfId="27299"/>
    <cellStyle name="Примечание 2 3 10 2 6" xfId="4204"/>
    <cellStyle name="Примечание 2 3 10 2 6 2" xfId="9391"/>
    <cellStyle name="Примечание 2 3 10 2 6 2 2" xfId="20318"/>
    <cellStyle name="Примечание 2 3 10 2 6 2 3" xfId="35679"/>
    <cellStyle name="Примечание 2 3 10 2 6 3" xfId="25279"/>
    <cellStyle name="Примечание 2 3 10 2 6 3 2" xfId="40640"/>
    <cellStyle name="Примечание 2 3 10 2 6 4" xfId="14755"/>
    <cellStyle name="Примечание 2 3 10 2 6 5" xfId="30230"/>
    <cellStyle name="Примечание 2 3 10 2 7" xfId="4947"/>
    <cellStyle name="Примечание 2 3 10 2 7 2" xfId="10134"/>
    <cellStyle name="Примечание 2 3 10 2 7 2 2" xfId="21061"/>
    <cellStyle name="Примечание 2 3 10 2 7 2 3" xfId="36422"/>
    <cellStyle name="Примечание 2 3 10 2 7 3" xfId="26022"/>
    <cellStyle name="Примечание 2 3 10 2 7 3 2" xfId="41383"/>
    <cellStyle name="Примечание 2 3 10 2 7 4" xfId="15498"/>
    <cellStyle name="Примечание 2 3 10 2 7 5" xfId="30973"/>
    <cellStyle name="Примечание 2 3 10 2 8" xfId="6012"/>
    <cellStyle name="Примечание 2 3 10 2 8 2" xfId="16855"/>
    <cellStyle name="Примечание 2 3 10 2 8 3" xfId="32322"/>
    <cellStyle name="Примечание 2 3 10 2 9" xfId="21900"/>
    <cellStyle name="Примечание 2 3 10 2 9 2" xfId="37261"/>
    <cellStyle name="Примечание 2 3 10 3" xfId="1707"/>
    <cellStyle name="Примечание 2 3 10 3 2" xfId="3097"/>
    <cellStyle name="Примечание 2 3 10 3 2 2" xfId="8292"/>
    <cellStyle name="Примечание 2 3 10 3 2 2 2" xfId="19218"/>
    <cellStyle name="Примечание 2 3 10 3 2 2 3" xfId="34579"/>
    <cellStyle name="Примечание 2 3 10 3 2 3" xfId="24180"/>
    <cellStyle name="Примечание 2 3 10 3 2 3 2" xfId="39541"/>
    <cellStyle name="Примечание 2 3 10 3 2 4" xfId="13655"/>
    <cellStyle name="Примечание 2 3 10 3 2 5" xfId="29131"/>
    <cellStyle name="Примечание 2 3 10 3 3" xfId="5400"/>
    <cellStyle name="Примечание 2 3 10 3 3 2" xfId="10564"/>
    <cellStyle name="Примечание 2 3 10 3 3 2 2" xfId="21498"/>
    <cellStyle name="Примечание 2 3 10 3 3 2 3" xfId="36859"/>
    <cellStyle name="Примечание 2 3 10 3 3 3" xfId="26451"/>
    <cellStyle name="Примечание 2 3 10 3 3 3 2" xfId="41812"/>
    <cellStyle name="Примечание 2 3 10 3 3 4" xfId="15935"/>
    <cellStyle name="Примечание 2 3 10 3 3 5" xfId="31402"/>
    <cellStyle name="Примечание 2 3 10 3 4" xfId="6949"/>
    <cellStyle name="Примечание 2 3 10 3 4 2" xfId="17849"/>
    <cellStyle name="Примечание 2 3 10 3 4 3" xfId="33210"/>
    <cellStyle name="Примечание 2 3 10 3 5" xfId="22837"/>
    <cellStyle name="Примечание 2 3 10 3 5 2" xfId="38198"/>
    <cellStyle name="Примечание 2 3 10 3 6" xfId="12285"/>
    <cellStyle name="Примечание 2 3 10 3 7" xfId="27788"/>
    <cellStyle name="Примечание 2 3 10 4" xfId="1939"/>
    <cellStyle name="Примечание 2 3 10 4 2" xfId="7175"/>
    <cellStyle name="Примечание 2 3 10 4 2 2" xfId="18077"/>
    <cellStyle name="Примечание 2 3 10 4 2 3" xfId="33438"/>
    <cellStyle name="Примечание 2 3 10 4 3" xfId="23063"/>
    <cellStyle name="Примечание 2 3 10 4 3 2" xfId="38424"/>
    <cellStyle name="Примечание 2 3 10 4 4" xfId="12514"/>
    <cellStyle name="Примечание 2 3 10 4 5" xfId="28014"/>
    <cellStyle name="Примечание 2 3 10 5" xfId="1610"/>
    <cellStyle name="Примечание 2 3 10 5 2" xfId="6857"/>
    <cellStyle name="Примечание 2 3 10 5 2 2" xfId="17752"/>
    <cellStyle name="Примечание 2 3 10 5 2 3" xfId="33113"/>
    <cellStyle name="Примечание 2 3 10 5 3" xfId="22745"/>
    <cellStyle name="Примечание 2 3 10 5 3 2" xfId="38106"/>
    <cellStyle name="Примечание 2 3 10 5 4" xfId="12188"/>
    <cellStyle name="Примечание 2 3 10 5 5" xfId="27696"/>
    <cellStyle name="Примечание 2 3 10 6" xfId="2448"/>
    <cellStyle name="Примечание 2 3 10 6 2" xfId="7684"/>
    <cellStyle name="Примечание 2 3 10 6 2 2" xfId="18586"/>
    <cellStyle name="Примечание 2 3 10 6 2 3" xfId="33947"/>
    <cellStyle name="Примечание 2 3 10 6 3" xfId="23572"/>
    <cellStyle name="Примечание 2 3 10 6 3 2" xfId="38933"/>
    <cellStyle name="Примечание 2 3 10 6 4" xfId="13023"/>
    <cellStyle name="Примечание 2 3 10 6 5" xfId="28523"/>
    <cellStyle name="Примечание 2 3 10 7" xfId="4028"/>
    <cellStyle name="Примечание 2 3 10 7 2" xfId="9215"/>
    <cellStyle name="Примечание 2 3 10 7 2 2" xfId="20142"/>
    <cellStyle name="Примечание 2 3 10 7 2 3" xfId="35503"/>
    <cellStyle name="Примечание 2 3 10 7 3" xfId="25103"/>
    <cellStyle name="Примечание 2 3 10 7 3 2" xfId="40464"/>
    <cellStyle name="Примечание 2 3 10 7 4" xfId="14579"/>
    <cellStyle name="Примечание 2 3 10 7 5" xfId="30054"/>
    <cellStyle name="Примечание 2 3 10 8" xfId="4686"/>
    <cellStyle name="Примечание 2 3 10 8 2" xfId="9873"/>
    <cellStyle name="Примечание 2 3 10 8 2 2" xfId="20800"/>
    <cellStyle name="Примечание 2 3 10 8 2 3" xfId="36161"/>
    <cellStyle name="Примечание 2 3 10 8 3" xfId="25761"/>
    <cellStyle name="Примечание 2 3 10 8 3 2" xfId="41122"/>
    <cellStyle name="Примечание 2 3 10 8 4" xfId="15237"/>
    <cellStyle name="Примечание 2 3 10 8 5" xfId="30712"/>
    <cellStyle name="Примечание 2 3 10 9" xfId="5836"/>
    <cellStyle name="Примечание 2 3 10 9 2" xfId="17033"/>
    <cellStyle name="Примечание 2 3 10 9 3" xfId="32500"/>
    <cellStyle name="Примечание 2 3 11" xfId="529"/>
    <cellStyle name="Примечание 2 3 11 10" xfId="21725"/>
    <cellStyle name="Примечание 2 3 11 10 2" xfId="37086"/>
    <cellStyle name="Примечание 2 3 11 11" xfId="11154"/>
    <cellStyle name="Примечание 2 3 11 12" xfId="26676"/>
    <cellStyle name="Примечание 2 3 11 2" xfId="749"/>
    <cellStyle name="Примечание 2 3 11 2 10" xfId="11333"/>
    <cellStyle name="Примечание 2 3 11 2 11" xfId="26850"/>
    <cellStyle name="Примечание 2 3 11 2 2" xfId="1058"/>
    <cellStyle name="Примечание 2 3 11 2 2 2" xfId="3100"/>
    <cellStyle name="Примечание 2 3 11 2 2 2 2" xfId="8295"/>
    <cellStyle name="Примечание 2 3 11 2 2 2 2 2" xfId="19221"/>
    <cellStyle name="Примечание 2 3 11 2 2 2 2 3" xfId="34582"/>
    <cellStyle name="Примечание 2 3 11 2 2 2 3" xfId="24183"/>
    <cellStyle name="Примечание 2 3 11 2 2 2 3 2" xfId="39544"/>
    <cellStyle name="Примечание 2 3 11 2 2 2 4" xfId="13658"/>
    <cellStyle name="Примечание 2 3 11 2 2 2 5" xfId="29134"/>
    <cellStyle name="Примечание 2 3 11 2 2 3" xfId="5401"/>
    <cellStyle name="Примечание 2 3 11 2 2 3 2" xfId="10565"/>
    <cellStyle name="Примечание 2 3 11 2 2 3 2 2" xfId="21499"/>
    <cellStyle name="Примечание 2 3 11 2 2 3 2 3" xfId="36860"/>
    <cellStyle name="Примечание 2 3 11 2 2 3 3" xfId="26452"/>
    <cellStyle name="Примечание 2 3 11 2 2 3 3 2" xfId="41813"/>
    <cellStyle name="Примечание 2 3 11 2 2 3 4" xfId="15936"/>
    <cellStyle name="Примечание 2 3 11 2 2 3 5" xfId="31403"/>
    <cellStyle name="Примечание 2 3 11 2 2 4" xfId="6315"/>
    <cellStyle name="Примечание 2 3 11 2 2 4 2" xfId="16549"/>
    <cellStyle name="Примечание 2 3 11 2 2 4 3" xfId="32016"/>
    <cellStyle name="Примечание 2 3 11 2 2 5" xfId="22203"/>
    <cellStyle name="Примечание 2 3 11 2 2 5 2" xfId="37564"/>
    <cellStyle name="Примечание 2 3 11 2 2 6" xfId="11640"/>
    <cellStyle name="Примечание 2 3 11 2 2 7" xfId="27154"/>
    <cellStyle name="Примечание 2 3 11 2 3" xfId="2155"/>
    <cellStyle name="Примечание 2 3 11 2 3 2" xfId="7391"/>
    <cellStyle name="Примечание 2 3 11 2 3 2 2" xfId="18293"/>
    <cellStyle name="Примечание 2 3 11 2 3 2 3" xfId="33654"/>
    <cellStyle name="Примечание 2 3 11 2 3 3" xfId="23279"/>
    <cellStyle name="Примечание 2 3 11 2 3 3 2" xfId="38640"/>
    <cellStyle name="Примечание 2 3 11 2 3 4" xfId="12730"/>
    <cellStyle name="Примечание 2 3 11 2 3 5" xfId="28230"/>
    <cellStyle name="Примечание 2 3 11 2 4" xfId="2353"/>
    <cellStyle name="Примечание 2 3 11 2 4 2" xfId="7589"/>
    <cellStyle name="Примечание 2 3 11 2 4 2 2" xfId="18491"/>
    <cellStyle name="Примечание 2 3 11 2 4 2 3" xfId="33852"/>
    <cellStyle name="Примечание 2 3 11 2 4 3" xfId="23477"/>
    <cellStyle name="Примечание 2 3 11 2 4 3 2" xfId="38838"/>
    <cellStyle name="Примечание 2 3 11 2 4 4" xfId="12928"/>
    <cellStyle name="Примечание 2 3 11 2 4 5" xfId="28428"/>
    <cellStyle name="Примечание 2 3 11 2 5" xfId="3614"/>
    <cellStyle name="Примечание 2 3 11 2 5 2" xfId="8801"/>
    <cellStyle name="Примечание 2 3 11 2 5 2 2" xfId="19728"/>
    <cellStyle name="Примечание 2 3 11 2 5 2 3" xfId="35089"/>
    <cellStyle name="Примечание 2 3 11 2 5 3" xfId="24689"/>
    <cellStyle name="Примечание 2 3 11 2 5 3 2" xfId="40050"/>
    <cellStyle name="Примечание 2 3 11 2 5 4" xfId="14165"/>
    <cellStyle name="Примечание 2 3 11 2 5 5" xfId="29640"/>
    <cellStyle name="Примечание 2 3 11 2 6" xfId="4203"/>
    <cellStyle name="Примечание 2 3 11 2 6 2" xfId="9390"/>
    <cellStyle name="Примечание 2 3 11 2 6 2 2" xfId="20317"/>
    <cellStyle name="Примечание 2 3 11 2 6 2 3" xfId="35678"/>
    <cellStyle name="Примечание 2 3 11 2 6 3" xfId="25278"/>
    <cellStyle name="Примечание 2 3 11 2 6 3 2" xfId="40639"/>
    <cellStyle name="Примечание 2 3 11 2 6 4" xfId="14754"/>
    <cellStyle name="Примечание 2 3 11 2 6 5" xfId="30229"/>
    <cellStyle name="Примечание 2 3 11 2 7" xfId="4599"/>
    <cellStyle name="Примечание 2 3 11 2 7 2" xfId="9786"/>
    <cellStyle name="Примечание 2 3 11 2 7 2 2" xfId="20713"/>
    <cellStyle name="Примечание 2 3 11 2 7 2 3" xfId="36074"/>
    <cellStyle name="Примечание 2 3 11 2 7 3" xfId="25674"/>
    <cellStyle name="Примечание 2 3 11 2 7 3 2" xfId="41035"/>
    <cellStyle name="Примечание 2 3 11 2 7 4" xfId="15150"/>
    <cellStyle name="Примечание 2 3 11 2 7 5" xfId="30625"/>
    <cellStyle name="Примечание 2 3 11 2 8" xfId="6011"/>
    <cellStyle name="Примечание 2 3 11 2 8 2" xfId="16856"/>
    <cellStyle name="Примечание 2 3 11 2 8 3" xfId="32323"/>
    <cellStyle name="Примечание 2 3 11 2 9" xfId="21899"/>
    <cellStyle name="Примечание 2 3 11 2 9 2" xfId="37260"/>
    <cellStyle name="Примечание 2 3 11 3" xfId="1609"/>
    <cellStyle name="Примечание 2 3 11 3 2" xfId="3101"/>
    <cellStyle name="Примечание 2 3 11 3 2 2" xfId="8296"/>
    <cellStyle name="Примечание 2 3 11 3 2 2 2" xfId="19222"/>
    <cellStyle name="Примечание 2 3 11 3 2 2 3" xfId="34583"/>
    <cellStyle name="Примечание 2 3 11 3 2 3" xfId="24184"/>
    <cellStyle name="Примечание 2 3 11 3 2 3 2" xfId="39545"/>
    <cellStyle name="Примечание 2 3 11 3 2 4" xfId="13659"/>
    <cellStyle name="Примечание 2 3 11 3 2 5" xfId="29135"/>
    <cellStyle name="Примечание 2 3 11 3 3" xfId="5402"/>
    <cellStyle name="Примечание 2 3 11 3 3 2" xfId="10566"/>
    <cellStyle name="Примечание 2 3 11 3 3 2 2" xfId="21500"/>
    <cellStyle name="Примечание 2 3 11 3 3 2 3" xfId="36861"/>
    <cellStyle name="Примечание 2 3 11 3 3 3" xfId="26453"/>
    <cellStyle name="Примечание 2 3 11 3 3 3 2" xfId="41814"/>
    <cellStyle name="Примечание 2 3 11 3 3 4" xfId="15937"/>
    <cellStyle name="Примечание 2 3 11 3 3 5" xfId="31404"/>
    <cellStyle name="Примечание 2 3 11 3 4" xfId="6856"/>
    <cellStyle name="Примечание 2 3 11 3 4 2" xfId="17751"/>
    <cellStyle name="Примечание 2 3 11 3 4 3" xfId="33112"/>
    <cellStyle name="Примечание 2 3 11 3 5" xfId="22744"/>
    <cellStyle name="Примечание 2 3 11 3 5 2" xfId="38105"/>
    <cellStyle name="Примечание 2 3 11 3 6" xfId="12187"/>
    <cellStyle name="Примечание 2 3 11 3 7" xfId="27695"/>
    <cellStyle name="Примечание 2 3 11 4" xfId="1940"/>
    <cellStyle name="Примечание 2 3 11 4 2" xfId="7176"/>
    <cellStyle name="Примечание 2 3 11 4 2 2" xfId="18078"/>
    <cellStyle name="Примечание 2 3 11 4 2 3" xfId="33439"/>
    <cellStyle name="Примечание 2 3 11 4 3" xfId="23064"/>
    <cellStyle name="Примечание 2 3 11 4 3 2" xfId="38425"/>
    <cellStyle name="Примечание 2 3 11 4 4" xfId="12515"/>
    <cellStyle name="Примечание 2 3 11 4 5" xfId="28015"/>
    <cellStyle name="Примечание 2 3 11 5" xfId="2496"/>
    <cellStyle name="Примечание 2 3 11 5 2" xfId="7732"/>
    <cellStyle name="Примечание 2 3 11 5 2 2" xfId="18634"/>
    <cellStyle name="Примечание 2 3 11 5 2 3" xfId="33995"/>
    <cellStyle name="Примечание 2 3 11 5 3" xfId="23620"/>
    <cellStyle name="Примечание 2 3 11 5 3 2" xfId="38981"/>
    <cellStyle name="Примечание 2 3 11 5 4" xfId="13071"/>
    <cellStyle name="Примечание 2 3 11 5 5" xfId="28571"/>
    <cellStyle name="Примечание 2 3 11 6" xfId="3563"/>
    <cellStyle name="Примечание 2 3 11 6 2" xfId="8750"/>
    <cellStyle name="Примечание 2 3 11 6 2 2" xfId="19677"/>
    <cellStyle name="Примечание 2 3 11 6 2 3" xfId="35038"/>
    <cellStyle name="Примечание 2 3 11 6 3" xfId="24638"/>
    <cellStyle name="Примечание 2 3 11 6 3 2" xfId="39999"/>
    <cellStyle name="Примечание 2 3 11 6 4" xfId="14114"/>
    <cellStyle name="Примечание 2 3 11 6 5" xfId="29589"/>
    <cellStyle name="Примечание 2 3 11 7" xfId="4029"/>
    <cellStyle name="Примечание 2 3 11 7 2" xfId="9216"/>
    <cellStyle name="Примечание 2 3 11 7 2 2" xfId="20143"/>
    <cellStyle name="Примечание 2 3 11 7 2 3" xfId="35504"/>
    <cellStyle name="Примечание 2 3 11 7 3" xfId="25104"/>
    <cellStyle name="Примечание 2 3 11 7 3 2" xfId="40465"/>
    <cellStyle name="Примечание 2 3 11 7 4" xfId="14580"/>
    <cellStyle name="Примечание 2 3 11 7 5" xfId="30055"/>
    <cellStyle name="Примечание 2 3 11 8" xfId="4685"/>
    <cellStyle name="Примечание 2 3 11 8 2" xfId="9872"/>
    <cellStyle name="Примечание 2 3 11 8 2 2" xfId="20799"/>
    <cellStyle name="Примечание 2 3 11 8 2 3" xfId="36160"/>
    <cellStyle name="Примечание 2 3 11 8 3" xfId="25760"/>
    <cellStyle name="Примечание 2 3 11 8 3 2" xfId="41121"/>
    <cellStyle name="Примечание 2 3 11 8 4" xfId="15236"/>
    <cellStyle name="Примечание 2 3 11 8 5" xfId="30711"/>
    <cellStyle name="Примечание 2 3 11 9" xfId="5837"/>
    <cellStyle name="Примечание 2 3 11 9 2" xfId="17032"/>
    <cellStyle name="Примечание 2 3 11 9 3" xfId="32499"/>
    <cellStyle name="Примечание 2 3 12" xfId="530"/>
    <cellStyle name="Примечание 2 3 12 10" xfId="21726"/>
    <cellStyle name="Примечание 2 3 12 10 2" xfId="37087"/>
    <cellStyle name="Примечание 2 3 12 11" xfId="11155"/>
    <cellStyle name="Примечание 2 3 12 12" xfId="26677"/>
    <cellStyle name="Примечание 2 3 12 2" xfId="748"/>
    <cellStyle name="Примечание 2 3 12 2 10" xfId="11332"/>
    <cellStyle name="Примечание 2 3 12 2 11" xfId="26849"/>
    <cellStyle name="Примечание 2 3 12 2 2" xfId="1129"/>
    <cellStyle name="Примечание 2 3 12 2 2 2" xfId="3104"/>
    <cellStyle name="Примечание 2 3 12 2 2 2 2" xfId="8299"/>
    <cellStyle name="Примечание 2 3 12 2 2 2 2 2" xfId="19225"/>
    <cellStyle name="Примечание 2 3 12 2 2 2 2 3" xfId="34586"/>
    <cellStyle name="Примечание 2 3 12 2 2 2 3" xfId="24187"/>
    <cellStyle name="Примечание 2 3 12 2 2 2 3 2" xfId="39548"/>
    <cellStyle name="Примечание 2 3 12 2 2 2 4" xfId="13662"/>
    <cellStyle name="Примечание 2 3 12 2 2 2 5" xfId="29138"/>
    <cellStyle name="Примечание 2 3 12 2 2 3" xfId="5403"/>
    <cellStyle name="Примечание 2 3 12 2 2 3 2" xfId="10567"/>
    <cellStyle name="Примечание 2 3 12 2 2 3 2 2" xfId="21501"/>
    <cellStyle name="Примечание 2 3 12 2 2 3 2 3" xfId="36862"/>
    <cellStyle name="Примечание 2 3 12 2 2 3 3" xfId="26454"/>
    <cellStyle name="Примечание 2 3 12 2 2 3 3 2" xfId="41815"/>
    <cellStyle name="Примечание 2 3 12 2 2 3 4" xfId="15938"/>
    <cellStyle name="Примечание 2 3 12 2 2 3 5" xfId="31405"/>
    <cellStyle name="Примечание 2 3 12 2 2 4" xfId="6384"/>
    <cellStyle name="Примечание 2 3 12 2 2 4 2" xfId="16479"/>
    <cellStyle name="Примечание 2 3 12 2 2 4 3" xfId="31946"/>
    <cellStyle name="Примечание 2 3 12 2 2 5" xfId="22272"/>
    <cellStyle name="Примечание 2 3 12 2 2 5 2" xfId="37633"/>
    <cellStyle name="Примечание 2 3 12 2 2 6" xfId="11710"/>
    <cellStyle name="Примечание 2 3 12 2 2 7" xfId="27223"/>
    <cellStyle name="Примечание 2 3 12 2 3" xfId="2154"/>
    <cellStyle name="Примечание 2 3 12 2 3 2" xfId="7390"/>
    <cellStyle name="Примечание 2 3 12 2 3 2 2" xfId="18292"/>
    <cellStyle name="Примечание 2 3 12 2 3 2 3" xfId="33653"/>
    <cellStyle name="Примечание 2 3 12 2 3 3" xfId="23278"/>
    <cellStyle name="Примечание 2 3 12 2 3 3 2" xfId="38639"/>
    <cellStyle name="Примечание 2 3 12 2 3 4" xfId="12729"/>
    <cellStyle name="Примечание 2 3 12 2 3 5" xfId="28229"/>
    <cellStyle name="Примечание 2 3 12 2 4" xfId="2884"/>
    <cellStyle name="Примечание 2 3 12 2 4 2" xfId="8091"/>
    <cellStyle name="Примечание 2 3 12 2 4 2 2" xfId="19011"/>
    <cellStyle name="Примечание 2 3 12 2 4 2 3" xfId="34372"/>
    <cellStyle name="Примечание 2 3 12 2 4 3" xfId="23979"/>
    <cellStyle name="Примечание 2 3 12 2 4 3 2" xfId="39340"/>
    <cellStyle name="Примечание 2 3 12 2 4 4" xfId="13448"/>
    <cellStyle name="Примечание 2 3 12 2 4 5" xfId="28930"/>
    <cellStyle name="Примечание 2 3 12 2 5" xfId="3432"/>
    <cellStyle name="Примечание 2 3 12 2 5 2" xfId="8622"/>
    <cellStyle name="Примечание 2 3 12 2 5 2 2" xfId="19549"/>
    <cellStyle name="Примечание 2 3 12 2 5 2 3" xfId="34910"/>
    <cellStyle name="Примечание 2 3 12 2 5 3" xfId="24510"/>
    <cellStyle name="Примечание 2 3 12 2 5 3 2" xfId="39871"/>
    <cellStyle name="Примечание 2 3 12 2 5 4" xfId="13986"/>
    <cellStyle name="Примечание 2 3 12 2 5 5" xfId="29461"/>
    <cellStyle name="Примечание 2 3 12 2 6" xfId="4202"/>
    <cellStyle name="Примечание 2 3 12 2 6 2" xfId="9389"/>
    <cellStyle name="Примечание 2 3 12 2 6 2 2" xfId="20316"/>
    <cellStyle name="Примечание 2 3 12 2 6 2 3" xfId="35677"/>
    <cellStyle name="Примечание 2 3 12 2 6 3" xfId="25277"/>
    <cellStyle name="Примечание 2 3 12 2 6 3 2" xfId="40638"/>
    <cellStyle name="Примечание 2 3 12 2 6 4" xfId="14753"/>
    <cellStyle name="Примечание 2 3 12 2 6 5" xfId="30228"/>
    <cellStyle name="Примечание 2 3 12 2 7" xfId="4946"/>
    <cellStyle name="Примечание 2 3 12 2 7 2" xfId="10133"/>
    <cellStyle name="Примечание 2 3 12 2 7 2 2" xfId="21060"/>
    <cellStyle name="Примечание 2 3 12 2 7 2 3" xfId="36421"/>
    <cellStyle name="Примечание 2 3 12 2 7 3" xfId="26021"/>
    <cellStyle name="Примечание 2 3 12 2 7 3 2" xfId="41382"/>
    <cellStyle name="Примечание 2 3 12 2 7 4" xfId="15497"/>
    <cellStyle name="Примечание 2 3 12 2 7 5" xfId="30972"/>
    <cellStyle name="Примечание 2 3 12 2 8" xfId="6010"/>
    <cellStyle name="Примечание 2 3 12 2 8 2" xfId="16857"/>
    <cellStyle name="Примечание 2 3 12 2 8 3" xfId="32324"/>
    <cellStyle name="Примечание 2 3 12 2 9" xfId="21898"/>
    <cellStyle name="Примечание 2 3 12 2 9 2" xfId="37259"/>
    <cellStyle name="Примечание 2 3 12 3" xfId="1275"/>
    <cellStyle name="Примечание 2 3 12 3 2" xfId="3105"/>
    <cellStyle name="Примечание 2 3 12 3 2 2" xfId="8300"/>
    <cellStyle name="Примечание 2 3 12 3 2 2 2" xfId="19226"/>
    <cellStyle name="Примечание 2 3 12 3 2 2 3" xfId="34587"/>
    <cellStyle name="Примечание 2 3 12 3 2 3" xfId="24188"/>
    <cellStyle name="Примечание 2 3 12 3 2 3 2" xfId="39549"/>
    <cellStyle name="Примечание 2 3 12 3 2 4" xfId="13663"/>
    <cellStyle name="Примечание 2 3 12 3 2 5" xfId="29139"/>
    <cellStyle name="Примечание 2 3 12 3 3" xfId="5404"/>
    <cellStyle name="Примечание 2 3 12 3 3 2" xfId="10568"/>
    <cellStyle name="Примечание 2 3 12 3 3 2 2" xfId="21502"/>
    <cellStyle name="Примечание 2 3 12 3 3 2 3" xfId="36863"/>
    <cellStyle name="Примечание 2 3 12 3 3 3" xfId="26455"/>
    <cellStyle name="Примечание 2 3 12 3 3 3 2" xfId="41816"/>
    <cellStyle name="Примечание 2 3 12 3 3 4" xfId="15939"/>
    <cellStyle name="Примечание 2 3 12 3 3 5" xfId="31406"/>
    <cellStyle name="Примечание 2 3 12 3 4" xfId="6528"/>
    <cellStyle name="Примечание 2 3 12 3 4 2" xfId="16333"/>
    <cellStyle name="Примечание 2 3 12 3 4 3" xfId="31800"/>
    <cellStyle name="Примечание 2 3 12 3 5" xfId="22416"/>
    <cellStyle name="Примечание 2 3 12 3 5 2" xfId="37777"/>
    <cellStyle name="Примечание 2 3 12 3 6" xfId="11856"/>
    <cellStyle name="Примечание 2 3 12 3 7" xfId="27367"/>
    <cellStyle name="Примечание 2 3 12 4" xfId="1941"/>
    <cellStyle name="Примечание 2 3 12 4 2" xfId="7177"/>
    <cellStyle name="Примечание 2 3 12 4 2 2" xfId="18079"/>
    <cellStyle name="Примечание 2 3 12 4 2 3" xfId="33440"/>
    <cellStyle name="Примечание 2 3 12 4 3" xfId="23065"/>
    <cellStyle name="Примечание 2 3 12 4 3 2" xfId="38426"/>
    <cellStyle name="Примечание 2 3 12 4 4" xfId="12516"/>
    <cellStyle name="Примечание 2 3 12 4 5" xfId="28016"/>
    <cellStyle name="Примечание 2 3 12 5" xfId="1888"/>
    <cellStyle name="Примечание 2 3 12 5 2" xfId="7127"/>
    <cellStyle name="Примечание 2 3 12 5 2 2" xfId="18029"/>
    <cellStyle name="Примечание 2 3 12 5 2 3" xfId="33390"/>
    <cellStyle name="Примечание 2 3 12 5 3" xfId="23015"/>
    <cellStyle name="Примечание 2 3 12 5 3 2" xfId="38376"/>
    <cellStyle name="Примечание 2 3 12 5 4" xfId="12466"/>
    <cellStyle name="Примечание 2 3 12 5 5" xfId="27966"/>
    <cellStyle name="Примечание 2 3 12 6" xfId="3564"/>
    <cellStyle name="Примечание 2 3 12 6 2" xfId="8751"/>
    <cellStyle name="Примечание 2 3 12 6 2 2" xfId="19678"/>
    <cellStyle name="Примечание 2 3 12 6 2 3" xfId="35039"/>
    <cellStyle name="Примечание 2 3 12 6 3" xfId="24639"/>
    <cellStyle name="Примечание 2 3 12 6 3 2" xfId="40000"/>
    <cellStyle name="Примечание 2 3 12 6 4" xfId="14115"/>
    <cellStyle name="Примечание 2 3 12 6 5" xfId="29590"/>
    <cellStyle name="Примечание 2 3 12 7" xfId="4030"/>
    <cellStyle name="Примечание 2 3 12 7 2" xfId="9217"/>
    <cellStyle name="Примечание 2 3 12 7 2 2" xfId="20144"/>
    <cellStyle name="Примечание 2 3 12 7 2 3" xfId="35505"/>
    <cellStyle name="Примечание 2 3 12 7 3" xfId="25105"/>
    <cellStyle name="Примечание 2 3 12 7 3 2" xfId="40466"/>
    <cellStyle name="Примечание 2 3 12 7 4" xfId="14581"/>
    <cellStyle name="Примечание 2 3 12 7 5" xfId="30056"/>
    <cellStyle name="Примечание 2 3 12 8" xfId="4684"/>
    <cellStyle name="Примечание 2 3 12 8 2" xfId="9871"/>
    <cellStyle name="Примечание 2 3 12 8 2 2" xfId="20798"/>
    <cellStyle name="Примечание 2 3 12 8 2 3" xfId="36159"/>
    <cellStyle name="Примечание 2 3 12 8 3" xfId="25759"/>
    <cellStyle name="Примечание 2 3 12 8 3 2" xfId="41120"/>
    <cellStyle name="Примечание 2 3 12 8 4" xfId="15235"/>
    <cellStyle name="Примечание 2 3 12 8 5" xfId="30710"/>
    <cellStyle name="Примечание 2 3 12 9" xfId="5838"/>
    <cellStyle name="Примечание 2 3 12 9 2" xfId="17031"/>
    <cellStyle name="Примечание 2 3 12 9 3" xfId="32498"/>
    <cellStyle name="Примечание 2 3 13" xfId="531"/>
    <cellStyle name="Примечание 2 3 13 10" xfId="21727"/>
    <cellStyle name="Примечание 2 3 13 10 2" xfId="37088"/>
    <cellStyle name="Примечание 2 3 13 11" xfId="11156"/>
    <cellStyle name="Примечание 2 3 13 12" xfId="26678"/>
    <cellStyle name="Примечание 2 3 13 2" xfId="747"/>
    <cellStyle name="Примечание 2 3 13 2 10" xfId="11331"/>
    <cellStyle name="Примечание 2 3 13 2 11" xfId="26848"/>
    <cellStyle name="Примечание 2 3 13 2 2" xfId="1298"/>
    <cellStyle name="Примечание 2 3 13 2 2 2" xfId="3108"/>
    <cellStyle name="Примечание 2 3 13 2 2 2 2" xfId="8303"/>
    <cellStyle name="Примечание 2 3 13 2 2 2 2 2" xfId="19229"/>
    <cellStyle name="Примечание 2 3 13 2 2 2 2 3" xfId="34590"/>
    <cellStyle name="Примечание 2 3 13 2 2 2 3" xfId="24191"/>
    <cellStyle name="Примечание 2 3 13 2 2 2 3 2" xfId="39552"/>
    <cellStyle name="Примечание 2 3 13 2 2 2 4" xfId="13666"/>
    <cellStyle name="Примечание 2 3 13 2 2 2 5" xfId="29142"/>
    <cellStyle name="Примечание 2 3 13 2 2 3" xfId="5405"/>
    <cellStyle name="Примечание 2 3 13 2 2 3 2" xfId="10569"/>
    <cellStyle name="Примечание 2 3 13 2 2 3 2 2" xfId="21503"/>
    <cellStyle name="Примечание 2 3 13 2 2 3 2 3" xfId="36864"/>
    <cellStyle name="Примечание 2 3 13 2 2 3 3" xfId="26456"/>
    <cellStyle name="Примечание 2 3 13 2 2 3 3 2" xfId="41817"/>
    <cellStyle name="Примечание 2 3 13 2 2 3 4" xfId="15940"/>
    <cellStyle name="Примечание 2 3 13 2 2 3 5" xfId="31407"/>
    <cellStyle name="Примечание 2 3 13 2 2 4" xfId="6551"/>
    <cellStyle name="Примечание 2 3 13 2 2 4 2" xfId="16310"/>
    <cellStyle name="Примечание 2 3 13 2 2 4 3" xfId="31777"/>
    <cellStyle name="Примечание 2 3 13 2 2 5" xfId="22439"/>
    <cellStyle name="Примечание 2 3 13 2 2 5 2" xfId="37800"/>
    <cellStyle name="Примечание 2 3 13 2 2 6" xfId="11879"/>
    <cellStyle name="Примечание 2 3 13 2 2 7" xfId="27390"/>
    <cellStyle name="Примечание 2 3 13 2 3" xfId="2153"/>
    <cellStyle name="Примечание 2 3 13 2 3 2" xfId="7389"/>
    <cellStyle name="Примечание 2 3 13 2 3 2 2" xfId="18291"/>
    <cellStyle name="Примечание 2 3 13 2 3 2 3" xfId="33652"/>
    <cellStyle name="Примечание 2 3 13 2 3 3" xfId="23277"/>
    <cellStyle name="Примечание 2 3 13 2 3 3 2" xfId="38638"/>
    <cellStyle name="Примечание 2 3 13 2 3 4" xfId="12728"/>
    <cellStyle name="Примечание 2 3 13 2 3 5" xfId="28228"/>
    <cellStyle name="Примечание 2 3 13 2 4" xfId="2355"/>
    <cellStyle name="Примечание 2 3 13 2 4 2" xfId="7591"/>
    <cellStyle name="Примечание 2 3 13 2 4 2 2" xfId="18493"/>
    <cellStyle name="Примечание 2 3 13 2 4 2 3" xfId="33854"/>
    <cellStyle name="Примечание 2 3 13 2 4 3" xfId="23479"/>
    <cellStyle name="Примечание 2 3 13 2 4 3 2" xfId="38840"/>
    <cellStyle name="Примечание 2 3 13 2 4 4" xfId="12930"/>
    <cellStyle name="Примечание 2 3 13 2 4 5" xfId="28430"/>
    <cellStyle name="Примечание 2 3 13 2 5" xfId="1906"/>
    <cellStyle name="Примечание 2 3 13 2 5 2" xfId="7142"/>
    <cellStyle name="Примечание 2 3 13 2 5 2 2" xfId="18044"/>
    <cellStyle name="Примечание 2 3 13 2 5 2 3" xfId="33405"/>
    <cellStyle name="Примечание 2 3 13 2 5 3" xfId="23030"/>
    <cellStyle name="Примечание 2 3 13 2 5 3 2" xfId="38391"/>
    <cellStyle name="Примечание 2 3 13 2 5 4" xfId="12481"/>
    <cellStyle name="Примечание 2 3 13 2 5 5" xfId="27981"/>
    <cellStyle name="Примечание 2 3 13 2 6" xfId="4201"/>
    <cellStyle name="Примечание 2 3 13 2 6 2" xfId="9388"/>
    <cellStyle name="Примечание 2 3 13 2 6 2 2" xfId="20315"/>
    <cellStyle name="Примечание 2 3 13 2 6 2 3" xfId="35676"/>
    <cellStyle name="Примечание 2 3 13 2 6 3" xfId="25276"/>
    <cellStyle name="Примечание 2 3 13 2 6 3 2" xfId="40637"/>
    <cellStyle name="Примечание 2 3 13 2 6 4" xfId="14752"/>
    <cellStyle name="Примечание 2 3 13 2 6 5" xfId="30227"/>
    <cellStyle name="Примечание 2 3 13 2 7" xfId="4960"/>
    <cellStyle name="Примечание 2 3 13 2 7 2" xfId="10147"/>
    <cellStyle name="Примечание 2 3 13 2 7 2 2" xfId="21074"/>
    <cellStyle name="Примечание 2 3 13 2 7 2 3" xfId="36435"/>
    <cellStyle name="Примечание 2 3 13 2 7 3" xfId="26035"/>
    <cellStyle name="Примечание 2 3 13 2 7 3 2" xfId="41396"/>
    <cellStyle name="Примечание 2 3 13 2 7 4" xfId="15511"/>
    <cellStyle name="Примечание 2 3 13 2 7 5" xfId="30986"/>
    <cellStyle name="Примечание 2 3 13 2 8" xfId="6009"/>
    <cellStyle name="Примечание 2 3 13 2 8 2" xfId="16858"/>
    <cellStyle name="Примечание 2 3 13 2 8 3" xfId="32325"/>
    <cellStyle name="Примечание 2 3 13 2 9" xfId="21897"/>
    <cellStyle name="Примечание 2 3 13 2 9 2" xfId="37258"/>
    <cellStyle name="Примечание 2 3 13 3" xfId="1371"/>
    <cellStyle name="Примечание 2 3 13 3 2" xfId="3109"/>
    <cellStyle name="Примечание 2 3 13 3 2 2" xfId="8304"/>
    <cellStyle name="Примечание 2 3 13 3 2 2 2" xfId="19230"/>
    <cellStyle name="Примечание 2 3 13 3 2 2 3" xfId="34591"/>
    <cellStyle name="Примечание 2 3 13 3 2 3" xfId="24192"/>
    <cellStyle name="Примечание 2 3 13 3 2 3 2" xfId="39553"/>
    <cellStyle name="Примечание 2 3 13 3 2 4" xfId="13667"/>
    <cellStyle name="Примечание 2 3 13 3 2 5" xfId="29143"/>
    <cellStyle name="Примечание 2 3 13 3 3" xfId="5406"/>
    <cellStyle name="Примечание 2 3 13 3 3 2" xfId="10570"/>
    <cellStyle name="Примечание 2 3 13 3 3 2 2" xfId="21504"/>
    <cellStyle name="Примечание 2 3 13 3 3 2 3" xfId="36865"/>
    <cellStyle name="Примечание 2 3 13 3 3 3" xfId="26457"/>
    <cellStyle name="Примечание 2 3 13 3 3 3 2" xfId="41818"/>
    <cellStyle name="Примечание 2 3 13 3 3 4" xfId="15941"/>
    <cellStyle name="Примечание 2 3 13 3 3 5" xfId="31408"/>
    <cellStyle name="Примечание 2 3 13 3 4" xfId="6622"/>
    <cellStyle name="Примечание 2 3 13 3 4 2" xfId="16238"/>
    <cellStyle name="Примечание 2 3 13 3 4 3" xfId="31705"/>
    <cellStyle name="Примечание 2 3 13 3 5" xfId="22510"/>
    <cellStyle name="Примечание 2 3 13 3 5 2" xfId="37871"/>
    <cellStyle name="Примечание 2 3 13 3 6" xfId="11951"/>
    <cellStyle name="Примечание 2 3 13 3 7" xfId="27461"/>
    <cellStyle name="Примечание 2 3 13 4" xfId="1942"/>
    <cellStyle name="Примечание 2 3 13 4 2" xfId="7178"/>
    <cellStyle name="Примечание 2 3 13 4 2 2" xfId="18080"/>
    <cellStyle name="Примечание 2 3 13 4 2 3" xfId="33441"/>
    <cellStyle name="Примечание 2 3 13 4 3" xfId="23066"/>
    <cellStyle name="Примечание 2 3 13 4 3 2" xfId="38427"/>
    <cellStyle name="Примечание 2 3 13 4 4" xfId="12517"/>
    <cellStyle name="Примечание 2 3 13 4 5" xfId="28017"/>
    <cellStyle name="Примечание 2 3 13 5" xfId="2495"/>
    <cellStyle name="Примечание 2 3 13 5 2" xfId="7731"/>
    <cellStyle name="Примечание 2 3 13 5 2 2" xfId="18633"/>
    <cellStyle name="Примечание 2 3 13 5 2 3" xfId="33994"/>
    <cellStyle name="Примечание 2 3 13 5 3" xfId="23619"/>
    <cellStyle name="Примечание 2 3 13 5 3 2" xfId="38980"/>
    <cellStyle name="Примечание 2 3 13 5 4" xfId="13070"/>
    <cellStyle name="Примечание 2 3 13 5 5" xfId="28570"/>
    <cellStyle name="Примечание 2 3 13 6" xfId="3565"/>
    <cellStyle name="Примечание 2 3 13 6 2" xfId="8752"/>
    <cellStyle name="Примечание 2 3 13 6 2 2" xfId="19679"/>
    <cellStyle name="Примечание 2 3 13 6 2 3" xfId="35040"/>
    <cellStyle name="Примечание 2 3 13 6 3" xfId="24640"/>
    <cellStyle name="Примечание 2 3 13 6 3 2" xfId="40001"/>
    <cellStyle name="Примечание 2 3 13 6 4" xfId="14116"/>
    <cellStyle name="Примечание 2 3 13 6 5" xfId="29591"/>
    <cellStyle name="Примечание 2 3 13 7" xfId="4031"/>
    <cellStyle name="Примечание 2 3 13 7 2" xfId="9218"/>
    <cellStyle name="Примечание 2 3 13 7 2 2" xfId="20145"/>
    <cellStyle name="Примечание 2 3 13 7 2 3" xfId="35506"/>
    <cellStyle name="Примечание 2 3 13 7 3" xfId="25106"/>
    <cellStyle name="Примечание 2 3 13 7 3 2" xfId="40467"/>
    <cellStyle name="Примечание 2 3 13 7 4" xfId="14582"/>
    <cellStyle name="Примечание 2 3 13 7 5" xfId="30057"/>
    <cellStyle name="Примечание 2 3 13 8" xfId="4683"/>
    <cellStyle name="Примечание 2 3 13 8 2" xfId="9870"/>
    <cellStyle name="Примечание 2 3 13 8 2 2" xfId="20797"/>
    <cellStyle name="Примечание 2 3 13 8 2 3" xfId="36158"/>
    <cellStyle name="Примечание 2 3 13 8 3" xfId="25758"/>
    <cellStyle name="Примечание 2 3 13 8 3 2" xfId="41119"/>
    <cellStyle name="Примечание 2 3 13 8 4" xfId="15234"/>
    <cellStyle name="Примечание 2 3 13 8 5" xfId="30709"/>
    <cellStyle name="Примечание 2 3 13 9" xfId="5839"/>
    <cellStyle name="Примечание 2 3 13 9 2" xfId="17030"/>
    <cellStyle name="Примечание 2 3 13 9 3" xfId="32497"/>
    <cellStyle name="Примечание 2 3 14" xfId="532"/>
    <cellStyle name="Примечание 2 3 14 10" xfId="21728"/>
    <cellStyle name="Примечание 2 3 14 10 2" xfId="37089"/>
    <cellStyle name="Примечание 2 3 14 11" xfId="11157"/>
    <cellStyle name="Примечание 2 3 14 12" xfId="26679"/>
    <cellStyle name="Примечание 2 3 14 2" xfId="746"/>
    <cellStyle name="Примечание 2 3 14 2 10" xfId="11330"/>
    <cellStyle name="Примечание 2 3 14 2 11" xfId="26847"/>
    <cellStyle name="Примечание 2 3 14 2 2" xfId="1358"/>
    <cellStyle name="Примечание 2 3 14 2 2 2" xfId="3112"/>
    <cellStyle name="Примечание 2 3 14 2 2 2 2" xfId="8307"/>
    <cellStyle name="Примечание 2 3 14 2 2 2 2 2" xfId="19233"/>
    <cellStyle name="Примечание 2 3 14 2 2 2 2 3" xfId="34594"/>
    <cellStyle name="Примечание 2 3 14 2 2 2 3" xfId="24195"/>
    <cellStyle name="Примечание 2 3 14 2 2 2 3 2" xfId="39556"/>
    <cellStyle name="Примечание 2 3 14 2 2 2 4" xfId="13670"/>
    <cellStyle name="Примечание 2 3 14 2 2 2 5" xfId="29146"/>
    <cellStyle name="Примечание 2 3 14 2 2 3" xfId="5407"/>
    <cellStyle name="Примечание 2 3 14 2 2 3 2" xfId="10571"/>
    <cellStyle name="Примечание 2 3 14 2 2 3 2 2" xfId="21505"/>
    <cellStyle name="Примечание 2 3 14 2 2 3 2 3" xfId="36866"/>
    <cellStyle name="Примечание 2 3 14 2 2 3 3" xfId="26458"/>
    <cellStyle name="Примечание 2 3 14 2 2 3 3 2" xfId="41819"/>
    <cellStyle name="Примечание 2 3 14 2 2 3 4" xfId="15942"/>
    <cellStyle name="Примечание 2 3 14 2 2 3 5" xfId="31409"/>
    <cellStyle name="Примечание 2 3 14 2 2 4" xfId="6609"/>
    <cellStyle name="Примечание 2 3 14 2 2 4 2" xfId="16251"/>
    <cellStyle name="Примечание 2 3 14 2 2 4 3" xfId="31718"/>
    <cellStyle name="Примечание 2 3 14 2 2 5" xfId="22497"/>
    <cellStyle name="Примечание 2 3 14 2 2 5 2" xfId="37858"/>
    <cellStyle name="Примечание 2 3 14 2 2 6" xfId="11938"/>
    <cellStyle name="Примечание 2 3 14 2 2 7" xfId="27448"/>
    <cellStyle name="Примечание 2 3 14 2 3" xfId="2152"/>
    <cellStyle name="Примечание 2 3 14 2 3 2" xfId="7388"/>
    <cellStyle name="Примечание 2 3 14 2 3 2 2" xfId="18290"/>
    <cellStyle name="Примечание 2 3 14 2 3 2 3" xfId="33651"/>
    <cellStyle name="Примечание 2 3 14 2 3 3" xfId="23276"/>
    <cellStyle name="Примечание 2 3 14 2 3 3 2" xfId="38637"/>
    <cellStyle name="Примечание 2 3 14 2 3 4" xfId="12727"/>
    <cellStyle name="Примечание 2 3 14 2 3 5" xfId="28227"/>
    <cellStyle name="Примечание 2 3 14 2 4" xfId="1459"/>
    <cellStyle name="Примечание 2 3 14 2 4 2" xfId="6706"/>
    <cellStyle name="Примечание 2 3 14 2 4 2 2" xfId="16152"/>
    <cellStyle name="Примечание 2 3 14 2 4 2 3" xfId="31619"/>
    <cellStyle name="Примечание 2 3 14 2 4 3" xfId="22594"/>
    <cellStyle name="Примечание 2 3 14 2 4 3 2" xfId="37955"/>
    <cellStyle name="Примечание 2 3 14 2 4 4" xfId="12037"/>
    <cellStyle name="Примечание 2 3 14 2 4 5" xfId="27545"/>
    <cellStyle name="Примечание 2 3 14 2 5" xfId="3809"/>
    <cellStyle name="Примечание 2 3 14 2 5 2" xfId="8996"/>
    <cellStyle name="Примечание 2 3 14 2 5 2 2" xfId="19923"/>
    <cellStyle name="Примечание 2 3 14 2 5 2 3" xfId="35284"/>
    <cellStyle name="Примечание 2 3 14 2 5 3" xfId="24884"/>
    <cellStyle name="Примечание 2 3 14 2 5 3 2" xfId="40245"/>
    <cellStyle name="Примечание 2 3 14 2 5 4" xfId="14360"/>
    <cellStyle name="Примечание 2 3 14 2 5 5" xfId="29835"/>
    <cellStyle name="Примечание 2 3 14 2 6" xfId="4200"/>
    <cellStyle name="Примечание 2 3 14 2 6 2" xfId="9387"/>
    <cellStyle name="Примечание 2 3 14 2 6 2 2" xfId="20314"/>
    <cellStyle name="Примечание 2 3 14 2 6 2 3" xfId="35675"/>
    <cellStyle name="Примечание 2 3 14 2 6 3" xfId="25275"/>
    <cellStyle name="Примечание 2 3 14 2 6 3 2" xfId="40636"/>
    <cellStyle name="Примечание 2 3 14 2 6 4" xfId="14751"/>
    <cellStyle name="Примечание 2 3 14 2 6 5" xfId="30226"/>
    <cellStyle name="Примечание 2 3 14 2 7" xfId="4600"/>
    <cellStyle name="Примечание 2 3 14 2 7 2" xfId="9787"/>
    <cellStyle name="Примечание 2 3 14 2 7 2 2" xfId="20714"/>
    <cellStyle name="Примечание 2 3 14 2 7 2 3" xfId="36075"/>
    <cellStyle name="Примечание 2 3 14 2 7 3" xfId="25675"/>
    <cellStyle name="Примечание 2 3 14 2 7 3 2" xfId="41036"/>
    <cellStyle name="Примечание 2 3 14 2 7 4" xfId="15151"/>
    <cellStyle name="Примечание 2 3 14 2 7 5" xfId="30626"/>
    <cellStyle name="Примечание 2 3 14 2 8" xfId="6008"/>
    <cellStyle name="Примечание 2 3 14 2 8 2" xfId="16859"/>
    <cellStyle name="Примечание 2 3 14 2 8 3" xfId="32326"/>
    <cellStyle name="Примечание 2 3 14 2 9" xfId="21896"/>
    <cellStyle name="Примечание 2 3 14 2 9 2" xfId="37257"/>
    <cellStyle name="Примечание 2 3 14 3" xfId="1384"/>
    <cellStyle name="Примечание 2 3 14 3 2" xfId="3113"/>
    <cellStyle name="Примечание 2 3 14 3 2 2" xfId="8308"/>
    <cellStyle name="Примечание 2 3 14 3 2 2 2" xfId="19234"/>
    <cellStyle name="Примечание 2 3 14 3 2 2 3" xfId="34595"/>
    <cellStyle name="Примечание 2 3 14 3 2 3" xfId="24196"/>
    <cellStyle name="Примечание 2 3 14 3 2 3 2" xfId="39557"/>
    <cellStyle name="Примечание 2 3 14 3 2 4" xfId="13671"/>
    <cellStyle name="Примечание 2 3 14 3 2 5" xfId="29147"/>
    <cellStyle name="Примечание 2 3 14 3 3" xfId="5408"/>
    <cellStyle name="Примечание 2 3 14 3 3 2" xfId="10572"/>
    <cellStyle name="Примечание 2 3 14 3 3 2 2" xfId="21506"/>
    <cellStyle name="Примечание 2 3 14 3 3 2 3" xfId="36867"/>
    <cellStyle name="Примечание 2 3 14 3 3 3" xfId="26459"/>
    <cellStyle name="Примечание 2 3 14 3 3 3 2" xfId="41820"/>
    <cellStyle name="Примечание 2 3 14 3 3 4" xfId="15943"/>
    <cellStyle name="Примечание 2 3 14 3 3 5" xfId="31410"/>
    <cellStyle name="Примечание 2 3 14 3 4" xfId="6634"/>
    <cellStyle name="Примечание 2 3 14 3 4 2" xfId="16225"/>
    <cellStyle name="Примечание 2 3 14 3 4 3" xfId="31692"/>
    <cellStyle name="Примечание 2 3 14 3 5" xfId="22522"/>
    <cellStyle name="Примечание 2 3 14 3 5 2" xfId="37883"/>
    <cellStyle name="Примечание 2 3 14 3 6" xfId="11964"/>
    <cellStyle name="Примечание 2 3 14 3 7" xfId="27473"/>
    <cellStyle name="Примечание 2 3 14 4" xfId="1943"/>
    <cellStyle name="Примечание 2 3 14 4 2" xfId="7179"/>
    <cellStyle name="Примечание 2 3 14 4 2 2" xfId="18081"/>
    <cellStyle name="Примечание 2 3 14 4 2 3" xfId="33442"/>
    <cellStyle name="Примечание 2 3 14 4 3" xfId="23067"/>
    <cellStyle name="Примечание 2 3 14 4 3 2" xfId="38428"/>
    <cellStyle name="Примечание 2 3 14 4 4" xfId="12518"/>
    <cellStyle name="Примечание 2 3 14 4 5" xfId="28018"/>
    <cellStyle name="Примечание 2 3 14 5" xfId="2494"/>
    <cellStyle name="Примечание 2 3 14 5 2" xfId="7730"/>
    <cellStyle name="Примечание 2 3 14 5 2 2" xfId="18632"/>
    <cellStyle name="Примечание 2 3 14 5 2 3" xfId="33993"/>
    <cellStyle name="Примечание 2 3 14 5 3" xfId="23618"/>
    <cellStyle name="Примечание 2 3 14 5 3 2" xfId="38979"/>
    <cellStyle name="Примечание 2 3 14 5 4" xfId="13069"/>
    <cellStyle name="Примечание 2 3 14 5 5" xfId="28569"/>
    <cellStyle name="Примечание 2 3 14 6" xfId="3566"/>
    <cellStyle name="Примечание 2 3 14 6 2" xfId="8753"/>
    <cellStyle name="Примечание 2 3 14 6 2 2" xfId="19680"/>
    <cellStyle name="Примечание 2 3 14 6 2 3" xfId="35041"/>
    <cellStyle name="Примечание 2 3 14 6 3" xfId="24641"/>
    <cellStyle name="Примечание 2 3 14 6 3 2" xfId="40002"/>
    <cellStyle name="Примечание 2 3 14 6 4" xfId="14117"/>
    <cellStyle name="Примечание 2 3 14 6 5" xfId="29592"/>
    <cellStyle name="Примечание 2 3 14 7" xfId="4032"/>
    <cellStyle name="Примечание 2 3 14 7 2" xfId="9219"/>
    <cellStyle name="Примечание 2 3 14 7 2 2" xfId="20146"/>
    <cellStyle name="Примечание 2 3 14 7 2 3" xfId="35507"/>
    <cellStyle name="Примечание 2 3 14 7 3" xfId="25107"/>
    <cellStyle name="Примечание 2 3 14 7 3 2" xfId="40468"/>
    <cellStyle name="Примечание 2 3 14 7 4" xfId="14583"/>
    <cellStyle name="Примечание 2 3 14 7 5" xfId="30058"/>
    <cellStyle name="Примечание 2 3 14 8" xfId="4682"/>
    <cellStyle name="Примечание 2 3 14 8 2" xfId="9869"/>
    <cellStyle name="Примечание 2 3 14 8 2 2" xfId="20796"/>
    <cellStyle name="Примечание 2 3 14 8 2 3" xfId="36157"/>
    <cellStyle name="Примечание 2 3 14 8 3" xfId="25757"/>
    <cellStyle name="Примечание 2 3 14 8 3 2" xfId="41118"/>
    <cellStyle name="Примечание 2 3 14 8 4" xfId="15233"/>
    <cellStyle name="Примечание 2 3 14 8 5" xfId="30708"/>
    <cellStyle name="Примечание 2 3 14 9" xfId="5840"/>
    <cellStyle name="Примечание 2 3 14 9 2" xfId="17029"/>
    <cellStyle name="Примечание 2 3 14 9 3" xfId="32496"/>
    <cellStyle name="Примечание 2 3 15" xfId="533"/>
    <cellStyle name="Примечание 2 3 15 10" xfId="21729"/>
    <cellStyle name="Примечание 2 3 15 10 2" xfId="37090"/>
    <cellStyle name="Примечание 2 3 15 11" xfId="11158"/>
    <cellStyle name="Примечание 2 3 15 12" xfId="26680"/>
    <cellStyle name="Примечание 2 3 15 2" xfId="745"/>
    <cellStyle name="Примечание 2 3 15 2 10" xfId="11329"/>
    <cellStyle name="Примечание 2 3 15 2 11" xfId="26846"/>
    <cellStyle name="Примечание 2 3 15 2 2" xfId="1307"/>
    <cellStyle name="Примечание 2 3 15 2 2 2" xfId="3116"/>
    <cellStyle name="Примечание 2 3 15 2 2 2 2" xfId="8311"/>
    <cellStyle name="Примечание 2 3 15 2 2 2 2 2" xfId="19237"/>
    <cellStyle name="Примечание 2 3 15 2 2 2 2 3" xfId="34598"/>
    <cellStyle name="Примечание 2 3 15 2 2 2 3" xfId="24199"/>
    <cellStyle name="Примечание 2 3 15 2 2 2 3 2" xfId="39560"/>
    <cellStyle name="Примечание 2 3 15 2 2 2 4" xfId="13674"/>
    <cellStyle name="Примечание 2 3 15 2 2 2 5" xfId="29150"/>
    <cellStyle name="Примечание 2 3 15 2 2 3" xfId="5409"/>
    <cellStyle name="Примечание 2 3 15 2 2 3 2" xfId="10573"/>
    <cellStyle name="Примечание 2 3 15 2 2 3 2 2" xfId="21507"/>
    <cellStyle name="Примечание 2 3 15 2 2 3 2 3" xfId="36868"/>
    <cellStyle name="Примечание 2 3 15 2 2 3 3" xfId="26460"/>
    <cellStyle name="Примечание 2 3 15 2 2 3 3 2" xfId="41821"/>
    <cellStyle name="Примечание 2 3 15 2 2 3 4" xfId="15944"/>
    <cellStyle name="Примечание 2 3 15 2 2 3 5" xfId="31411"/>
    <cellStyle name="Примечание 2 3 15 2 2 4" xfId="6560"/>
    <cellStyle name="Примечание 2 3 15 2 2 4 2" xfId="16301"/>
    <cellStyle name="Примечание 2 3 15 2 2 4 3" xfId="31768"/>
    <cellStyle name="Примечание 2 3 15 2 2 5" xfId="22448"/>
    <cellStyle name="Примечание 2 3 15 2 2 5 2" xfId="37809"/>
    <cellStyle name="Примечание 2 3 15 2 2 6" xfId="11888"/>
    <cellStyle name="Примечание 2 3 15 2 2 7" xfId="27399"/>
    <cellStyle name="Примечание 2 3 15 2 3" xfId="2151"/>
    <cellStyle name="Примечание 2 3 15 2 3 2" xfId="7387"/>
    <cellStyle name="Примечание 2 3 15 2 3 2 2" xfId="18289"/>
    <cellStyle name="Примечание 2 3 15 2 3 2 3" xfId="33650"/>
    <cellStyle name="Примечание 2 3 15 2 3 3" xfId="23275"/>
    <cellStyle name="Примечание 2 3 15 2 3 3 2" xfId="38636"/>
    <cellStyle name="Примечание 2 3 15 2 3 4" xfId="12726"/>
    <cellStyle name="Примечание 2 3 15 2 3 5" xfId="28226"/>
    <cellStyle name="Примечание 2 3 15 2 4" xfId="2357"/>
    <cellStyle name="Примечание 2 3 15 2 4 2" xfId="7593"/>
    <cellStyle name="Примечание 2 3 15 2 4 2 2" xfId="18495"/>
    <cellStyle name="Примечание 2 3 15 2 4 2 3" xfId="33856"/>
    <cellStyle name="Примечание 2 3 15 2 4 3" xfId="23481"/>
    <cellStyle name="Примечание 2 3 15 2 4 3 2" xfId="38842"/>
    <cellStyle name="Примечание 2 3 15 2 4 4" xfId="12932"/>
    <cellStyle name="Примечание 2 3 15 2 4 5" xfId="28432"/>
    <cellStyle name="Примечание 2 3 15 2 5" xfId="2691"/>
    <cellStyle name="Примечание 2 3 15 2 5 2" xfId="7922"/>
    <cellStyle name="Примечание 2 3 15 2 5 2 2" xfId="18826"/>
    <cellStyle name="Примечание 2 3 15 2 5 2 3" xfId="34187"/>
    <cellStyle name="Примечание 2 3 15 2 5 3" xfId="23810"/>
    <cellStyle name="Примечание 2 3 15 2 5 3 2" xfId="39171"/>
    <cellStyle name="Примечание 2 3 15 2 5 4" xfId="13263"/>
    <cellStyle name="Примечание 2 3 15 2 5 5" xfId="28761"/>
    <cellStyle name="Примечание 2 3 15 2 6" xfId="4199"/>
    <cellStyle name="Примечание 2 3 15 2 6 2" xfId="9386"/>
    <cellStyle name="Примечание 2 3 15 2 6 2 2" xfId="20313"/>
    <cellStyle name="Примечание 2 3 15 2 6 2 3" xfId="35674"/>
    <cellStyle name="Примечание 2 3 15 2 6 3" xfId="25274"/>
    <cellStyle name="Примечание 2 3 15 2 6 3 2" xfId="40635"/>
    <cellStyle name="Примечание 2 3 15 2 6 4" xfId="14750"/>
    <cellStyle name="Примечание 2 3 15 2 6 5" xfId="30225"/>
    <cellStyle name="Примечание 2 3 15 2 7" xfId="4945"/>
    <cellStyle name="Примечание 2 3 15 2 7 2" xfId="10132"/>
    <cellStyle name="Примечание 2 3 15 2 7 2 2" xfId="21059"/>
    <cellStyle name="Примечание 2 3 15 2 7 2 3" xfId="36420"/>
    <cellStyle name="Примечание 2 3 15 2 7 3" xfId="26020"/>
    <cellStyle name="Примечание 2 3 15 2 7 3 2" xfId="41381"/>
    <cellStyle name="Примечание 2 3 15 2 7 4" xfId="15496"/>
    <cellStyle name="Примечание 2 3 15 2 7 5" xfId="30971"/>
    <cellStyle name="Примечание 2 3 15 2 8" xfId="6007"/>
    <cellStyle name="Примечание 2 3 15 2 8 2" xfId="16860"/>
    <cellStyle name="Примечание 2 3 15 2 8 3" xfId="32327"/>
    <cellStyle name="Примечание 2 3 15 2 9" xfId="21895"/>
    <cellStyle name="Примечание 2 3 15 2 9 2" xfId="37256"/>
    <cellStyle name="Примечание 2 3 15 3" xfId="76"/>
    <cellStyle name="Примечание 2 3 15 3 2" xfId="3117"/>
    <cellStyle name="Примечание 2 3 15 3 2 2" xfId="8312"/>
    <cellStyle name="Примечание 2 3 15 3 2 2 2" xfId="19238"/>
    <cellStyle name="Примечание 2 3 15 3 2 2 3" xfId="34599"/>
    <cellStyle name="Примечание 2 3 15 3 2 3" xfId="24200"/>
    <cellStyle name="Примечание 2 3 15 3 2 3 2" xfId="39561"/>
    <cellStyle name="Примечание 2 3 15 3 2 4" xfId="13675"/>
    <cellStyle name="Примечание 2 3 15 3 2 5" xfId="29151"/>
    <cellStyle name="Примечание 2 3 15 3 3" xfId="5410"/>
    <cellStyle name="Примечание 2 3 15 3 3 2" xfId="10574"/>
    <cellStyle name="Примечание 2 3 15 3 3 2 2" xfId="21508"/>
    <cellStyle name="Примечание 2 3 15 3 3 2 3" xfId="36869"/>
    <cellStyle name="Примечание 2 3 15 3 3 3" xfId="26461"/>
    <cellStyle name="Примечание 2 3 15 3 3 3 2" xfId="41822"/>
    <cellStyle name="Примечание 2 3 15 3 3 4" xfId="15945"/>
    <cellStyle name="Примечание 2 3 15 3 3 5" xfId="31412"/>
    <cellStyle name="Примечание 2 3 15 3 4" xfId="5602"/>
    <cellStyle name="Примечание 2 3 15 3 4 2" xfId="17395"/>
    <cellStyle name="Примечание 2 3 15 3 4 3" xfId="32862"/>
    <cellStyle name="Примечание 2 3 15 3 5" xfId="19115"/>
    <cellStyle name="Примечание 2 3 15 3 5 2" xfId="34476"/>
    <cellStyle name="Примечание 2 3 15 3 6" xfId="10790"/>
    <cellStyle name="Примечание 2 3 15 3 7" xfId="13552"/>
    <cellStyle name="Примечание 2 3 15 4" xfId="1944"/>
    <cellStyle name="Примечание 2 3 15 4 2" xfId="7180"/>
    <cellStyle name="Примечание 2 3 15 4 2 2" xfId="18082"/>
    <cellStyle name="Примечание 2 3 15 4 2 3" xfId="33443"/>
    <cellStyle name="Примечание 2 3 15 4 3" xfId="23068"/>
    <cellStyle name="Примечание 2 3 15 4 3 2" xfId="38429"/>
    <cellStyle name="Примечание 2 3 15 4 4" xfId="12519"/>
    <cellStyle name="Примечание 2 3 15 4 5" xfId="28019"/>
    <cellStyle name="Примечание 2 3 15 5" xfId="1885"/>
    <cellStyle name="Примечание 2 3 15 5 2" xfId="7124"/>
    <cellStyle name="Примечание 2 3 15 5 2 2" xfId="18026"/>
    <cellStyle name="Примечание 2 3 15 5 2 3" xfId="33387"/>
    <cellStyle name="Примечание 2 3 15 5 3" xfId="23012"/>
    <cellStyle name="Примечание 2 3 15 5 3 2" xfId="38373"/>
    <cellStyle name="Примечание 2 3 15 5 4" xfId="12463"/>
    <cellStyle name="Примечание 2 3 15 5 5" xfId="27963"/>
    <cellStyle name="Примечание 2 3 15 6" xfId="3715"/>
    <cellStyle name="Примечание 2 3 15 6 2" xfId="8902"/>
    <cellStyle name="Примечание 2 3 15 6 2 2" xfId="19829"/>
    <cellStyle name="Примечание 2 3 15 6 2 3" xfId="35190"/>
    <cellStyle name="Примечание 2 3 15 6 3" xfId="24790"/>
    <cellStyle name="Примечание 2 3 15 6 3 2" xfId="40151"/>
    <cellStyle name="Примечание 2 3 15 6 4" xfId="14266"/>
    <cellStyle name="Примечание 2 3 15 6 5" xfId="29741"/>
    <cellStyle name="Примечание 2 3 15 7" xfId="4033"/>
    <cellStyle name="Примечание 2 3 15 7 2" xfId="9220"/>
    <cellStyle name="Примечание 2 3 15 7 2 2" xfId="20147"/>
    <cellStyle name="Примечание 2 3 15 7 2 3" xfId="35508"/>
    <cellStyle name="Примечание 2 3 15 7 3" xfId="25108"/>
    <cellStyle name="Примечание 2 3 15 7 3 2" xfId="40469"/>
    <cellStyle name="Примечание 2 3 15 7 4" xfId="14584"/>
    <cellStyle name="Примечание 2 3 15 7 5" xfId="30059"/>
    <cellStyle name="Примечание 2 3 15 8" xfId="4412"/>
    <cellStyle name="Примечание 2 3 15 8 2" xfId="9599"/>
    <cellStyle name="Примечание 2 3 15 8 2 2" xfId="20526"/>
    <cellStyle name="Примечание 2 3 15 8 2 3" xfId="35887"/>
    <cellStyle name="Примечание 2 3 15 8 3" xfId="25487"/>
    <cellStyle name="Примечание 2 3 15 8 3 2" xfId="40848"/>
    <cellStyle name="Примечание 2 3 15 8 4" xfId="14963"/>
    <cellStyle name="Примечание 2 3 15 8 5" xfId="30438"/>
    <cellStyle name="Примечание 2 3 15 9" xfId="5841"/>
    <cellStyle name="Примечание 2 3 15 9 2" xfId="17028"/>
    <cellStyle name="Примечание 2 3 15 9 3" xfId="32495"/>
    <cellStyle name="Примечание 2 3 16" xfId="534"/>
    <cellStyle name="Примечание 2 3 16 10" xfId="21730"/>
    <cellStyle name="Примечание 2 3 16 10 2" xfId="37091"/>
    <cellStyle name="Примечание 2 3 16 11" xfId="11159"/>
    <cellStyle name="Примечание 2 3 16 12" xfId="26681"/>
    <cellStyle name="Примечание 2 3 16 2" xfId="744"/>
    <cellStyle name="Примечание 2 3 16 2 10" xfId="11328"/>
    <cellStyle name="Примечание 2 3 16 2 11" xfId="26845"/>
    <cellStyle name="Примечание 2 3 16 2 2" xfId="1455"/>
    <cellStyle name="Примечание 2 3 16 2 2 2" xfId="3120"/>
    <cellStyle name="Примечание 2 3 16 2 2 2 2" xfId="8315"/>
    <cellStyle name="Примечание 2 3 16 2 2 2 2 2" xfId="19241"/>
    <cellStyle name="Примечание 2 3 16 2 2 2 2 3" xfId="34602"/>
    <cellStyle name="Примечание 2 3 16 2 2 2 3" xfId="24203"/>
    <cellStyle name="Примечание 2 3 16 2 2 2 3 2" xfId="39564"/>
    <cellStyle name="Примечание 2 3 16 2 2 2 4" xfId="13678"/>
    <cellStyle name="Примечание 2 3 16 2 2 2 5" xfId="29154"/>
    <cellStyle name="Примечание 2 3 16 2 2 3" xfId="5411"/>
    <cellStyle name="Примечание 2 3 16 2 2 3 2" xfId="10575"/>
    <cellStyle name="Примечание 2 3 16 2 2 3 2 2" xfId="21509"/>
    <cellStyle name="Примечание 2 3 16 2 2 3 2 3" xfId="36870"/>
    <cellStyle name="Примечание 2 3 16 2 2 3 3" xfId="26462"/>
    <cellStyle name="Примечание 2 3 16 2 2 3 3 2" xfId="41823"/>
    <cellStyle name="Примечание 2 3 16 2 2 3 4" xfId="15946"/>
    <cellStyle name="Примечание 2 3 16 2 2 3 5" xfId="31413"/>
    <cellStyle name="Примечание 2 3 16 2 2 4" xfId="6702"/>
    <cellStyle name="Примечание 2 3 16 2 2 4 2" xfId="16156"/>
    <cellStyle name="Примечание 2 3 16 2 2 4 3" xfId="31623"/>
    <cellStyle name="Примечание 2 3 16 2 2 5" xfId="22590"/>
    <cellStyle name="Примечание 2 3 16 2 2 5 2" xfId="37951"/>
    <cellStyle name="Примечание 2 3 16 2 2 6" xfId="12033"/>
    <cellStyle name="Примечание 2 3 16 2 2 7" xfId="27541"/>
    <cellStyle name="Примечание 2 3 16 2 3" xfId="2150"/>
    <cellStyle name="Примечание 2 3 16 2 3 2" xfId="7386"/>
    <cellStyle name="Примечание 2 3 16 2 3 2 2" xfId="18288"/>
    <cellStyle name="Примечание 2 3 16 2 3 2 3" xfId="33649"/>
    <cellStyle name="Примечание 2 3 16 2 3 3" xfId="23274"/>
    <cellStyle name="Примечание 2 3 16 2 3 3 2" xfId="38635"/>
    <cellStyle name="Примечание 2 3 16 2 3 4" xfId="12725"/>
    <cellStyle name="Примечание 2 3 16 2 3 5" xfId="28225"/>
    <cellStyle name="Примечание 2 3 16 2 4" xfId="2358"/>
    <cellStyle name="Примечание 2 3 16 2 4 2" xfId="7594"/>
    <cellStyle name="Примечание 2 3 16 2 4 2 2" xfId="18496"/>
    <cellStyle name="Примечание 2 3 16 2 4 2 3" xfId="33857"/>
    <cellStyle name="Примечание 2 3 16 2 4 3" xfId="23482"/>
    <cellStyle name="Примечание 2 3 16 2 4 3 2" xfId="38843"/>
    <cellStyle name="Примечание 2 3 16 2 4 4" xfId="12933"/>
    <cellStyle name="Примечание 2 3 16 2 4 5" xfId="28433"/>
    <cellStyle name="Примечание 2 3 16 2 5" xfId="3613"/>
    <cellStyle name="Примечание 2 3 16 2 5 2" xfId="8800"/>
    <cellStyle name="Примечание 2 3 16 2 5 2 2" xfId="19727"/>
    <cellStyle name="Примечание 2 3 16 2 5 2 3" xfId="35088"/>
    <cellStyle name="Примечание 2 3 16 2 5 3" xfId="24688"/>
    <cellStyle name="Примечание 2 3 16 2 5 3 2" xfId="40049"/>
    <cellStyle name="Примечание 2 3 16 2 5 4" xfId="14164"/>
    <cellStyle name="Примечание 2 3 16 2 5 5" xfId="29639"/>
    <cellStyle name="Примечание 2 3 16 2 6" xfId="4198"/>
    <cellStyle name="Примечание 2 3 16 2 6 2" xfId="9385"/>
    <cellStyle name="Примечание 2 3 16 2 6 2 2" xfId="20312"/>
    <cellStyle name="Примечание 2 3 16 2 6 2 3" xfId="35673"/>
    <cellStyle name="Примечание 2 3 16 2 6 3" xfId="25273"/>
    <cellStyle name="Примечание 2 3 16 2 6 3 2" xfId="40634"/>
    <cellStyle name="Примечание 2 3 16 2 6 4" xfId="14749"/>
    <cellStyle name="Примечание 2 3 16 2 6 5" xfId="30224"/>
    <cellStyle name="Примечание 2 3 16 2 7" xfId="4601"/>
    <cellStyle name="Примечание 2 3 16 2 7 2" xfId="9788"/>
    <cellStyle name="Примечание 2 3 16 2 7 2 2" xfId="20715"/>
    <cellStyle name="Примечание 2 3 16 2 7 2 3" xfId="36076"/>
    <cellStyle name="Примечание 2 3 16 2 7 3" xfId="25676"/>
    <cellStyle name="Примечание 2 3 16 2 7 3 2" xfId="41037"/>
    <cellStyle name="Примечание 2 3 16 2 7 4" xfId="15152"/>
    <cellStyle name="Примечание 2 3 16 2 7 5" xfId="30627"/>
    <cellStyle name="Примечание 2 3 16 2 8" xfId="6006"/>
    <cellStyle name="Примечание 2 3 16 2 8 2" xfId="16861"/>
    <cellStyle name="Примечание 2 3 16 2 8 3" xfId="32328"/>
    <cellStyle name="Примечание 2 3 16 2 9" xfId="21894"/>
    <cellStyle name="Примечание 2 3 16 2 9 2" xfId="37255"/>
    <cellStyle name="Примечание 2 3 16 3" xfId="1204"/>
    <cellStyle name="Примечание 2 3 16 3 2" xfId="3121"/>
    <cellStyle name="Примечание 2 3 16 3 2 2" xfId="8316"/>
    <cellStyle name="Примечание 2 3 16 3 2 2 2" xfId="19242"/>
    <cellStyle name="Примечание 2 3 16 3 2 2 3" xfId="34603"/>
    <cellStyle name="Примечание 2 3 16 3 2 3" xfId="24204"/>
    <cellStyle name="Примечание 2 3 16 3 2 3 2" xfId="39565"/>
    <cellStyle name="Примечание 2 3 16 3 2 4" xfId="13679"/>
    <cellStyle name="Примечание 2 3 16 3 2 5" xfId="29155"/>
    <cellStyle name="Примечание 2 3 16 3 3" xfId="5412"/>
    <cellStyle name="Примечание 2 3 16 3 3 2" xfId="10576"/>
    <cellStyle name="Примечание 2 3 16 3 3 2 2" xfId="21510"/>
    <cellStyle name="Примечание 2 3 16 3 3 2 3" xfId="36871"/>
    <cellStyle name="Примечание 2 3 16 3 3 3" xfId="26463"/>
    <cellStyle name="Примечание 2 3 16 3 3 3 2" xfId="41824"/>
    <cellStyle name="Примечание 2 3 16 3 3 4" xfId="15947"/>
    <cellStyle name="Примечание 2 3 16 3 3 5" xfId="31414"/>
    <cellStyle name="Примечание 2 3 16 3 4" xfId="6458"/>
    <cellStyle name="Примечание 2 3 16 3 4 2" xfId="16404"/>
    <cellStyle name="Примечание 2 3 16 3 4 3" xfId="31871"/>
    <cellStyle name="Примечание 2 3 16 3 5" xfId="22346"/>
    <cellStyle name="Примечание 2 3 16 3 5 2" xfId="37707"/>
    <cellStyle name="Примечание 2 3 16 3 6" xfId="11785"/>
    <cellStyle name="Примечание 2 3 16 3 7" xfId="27297"/>
    <cellStyle name="Примечание 2 3 16 4" xfId="1945"/>
    <cellStyle name="Примечание 2 3 16 4 2" xfId="7181"/>
    <cellStyle name="Примечание 2 3 16 4 2 2" xfId="18083"/>
    <cellStyle name="Примечание 2 3 16 4 2 3" xfId="33444"/>
    <cellStyle name="Примечание 2 3 16 4 3" xfId="23069"/>
    <cellStyle name="Примечание 2 3 16 4 3 2" xfId="38430"/>
    <cellStyle name="Примечание 2 3 16 4 4" xfId="12520"/>
    <cellStyle name="Примечание 2 3 16 4 5" xfId="28020"/>
    <cellStyle name="Примечание 2 3 16 5" xfId="2493"/>
    <cellStyle name="Примечание 2 3 16 5 2" xfId="7729"/>
    <cellStyle name="Примечание 2 3 16 5 2 2" xfId="18631"/>
    <cellStyle name="Примечание 2 3 16 5 2 3" xfId="33992"/>
    <cellStyle name="Примечание 2 3 16 5 3" xfId="23617"/>
    <cellStyle name="Примечание 2 3 16 5 3 2" xfId="38978"/>
    <cellStyle name="Примечание 2 3 16 5 4" xfId="13068"/>
    <cellStyle name="Примечание 2 3 16 5 5" xfId="28568"/>
    <cellStyle name="Примечание 2 3 16 6" xfId="3445"/>
    <cellStyle name="Примечание 2 3 16 6 2" xfId="8634"/>
    <cellStyle name="Примечание 2 3 16 6 2 2" xfId="19561"/>
    <cellStyle name="Примечание 2 3 16 6 2 3" xfId="34922"/>
    <cellStyle name="Примечание 2 3 16 6 3" xfId="24522"/>
    <cellStyle name="Примечание 2 3 16 6 3 2" xfId="39883"/>
    <cellStyle name="Примечание 2 3 16 6 4" xfId="13998"/>
    <cellStyle name="Примечание 2 3 16 6 5" xfId="29473"/>
    <cellStyle name="Примечание 2 3 16 7" xfId="4034"/>
    <cellStyle name="Примечание 2 3 16 7 2" xfId="9221"/>
    <cellStyle name="Примечание 2 3 16 7 2 2" xfId="20148"/>
    <cellStyle name="Примечание 2 3 16 7 2 3" xfId="35509"/>
    <cellStyle name="Примечание 2 3 16 7 3" xfId="25109"/>
    <cellStyle name="Примечание 2 3 16 7 3 2" xfId="40470"/>
    <cellStyle name="Примечание 2 3 16 7 4" xfId="14585"/>
    <cellStyle name="Примечание 2 3 16 7 5" xfId="30060"/>
    <cellStyle name="Примечание 2 3 16 8" xfId="4866"/>
    <cellStyle name="Примечание 2 3 16 8 2" xfId="10053"/>
    <cellStyle name="Примечание 2 3 16 8 2 2" xfId="20980"/>
    <cellStyle name="Примечание 2 3 16 8 2 3" xfId="36341"/>
    <cellStyle name="Примечание 2 3 16 8 3" xfId="25941"/>
    <cellStyle name="Примечание 2 3 16 8 3 2" xfId="41302"/>
    <cellStyle name="Примечание 2 3 16 8 4" xfId="15417"/>
    <cellStyle name="Примечание 2 3 16 8 5" xfId="30892"/>
    <cellStyle name="Примечание 2 3 16 9" xfId="5842"/>
    <cellStyle name="Примечание 2 3 16 9 2" xfId="17027"/>
    <cellStyle name="Примечание 2 3 16 9 3" xfId="32494"/>
    <cellStyle name="Примечание 2 3 17" xfId="535"/>
    <cellStyle name="Примечание 2 3 17 10" xfId="21731"/>
    <cellStyle name="Примечание 2 3 17 10 2" xfId="37092"/>
    <cellStyle name="Примечание 2 3 17 11" xfId="11160"/>
    <cellStyle name="Примечание 2 3 17 12" xfId="26682"/>
    <cellStyle name="Примечание 2 3 17 2" xfId="743"/>
    <cellStyle name="Примечание 2 3 17 2 10" xfId="11327"/>
    <cellStyle name="Примечание 2 3 17 2 11" xfId="26844"/>
    <cellStyle name="Примечание 2 3 17 2 2" xfId="1296"/>
    <cellStyle name="Примечание 2 3 17 2 2 2" xfId="3124"/>
    <cellStyle name="Примечание 2 3 17 2 2 2 2" xfId="8319"/>
    <cellStyle name="Примечание 2 3 17 2 2 2 2 2" xfId="19245"/>
    <cellStyle name="Примечание 2 3 17 2 2 2 2 3" xfId="34606"/>
    <cellStyle name="Примечание 2 3 17 2 2 2 3" xfId="24207"/>
    <cellStyle name="Примечание 2 3 17 2 2 2 3 2" xfId="39568"/>
    <cellStyle name="Примечание 2 3 17 2 2 2 4" xfId="13682"/>
    <cellStyle name="Примечание 2 3 17 2 2 2 5" xfId="29158"/>
    <cellStyle name="Примечание 2 3 17 2 2 3" xfId="5413"/>
    <cellStyle name="Примечание 2 3 17 2 2 3 2" xfId="10577"/>
    <cellStyle name="Примечание 2 3 17 2 2 3 2 2" xfId="21511"/>
    <cellStyle name="Примечание 2 3 17 2 2 3 2 3" xfId="36872"/>
    <cellStyle name="Примечание 2 3 17 2 2 3 3" xfId="26464"/>
    <cellStyle name="Примечание 2 3 17 2 2 3 3 2" xfId="41825"/>
    <cellStyle name="Примечание 2 3 17 2 2 3 4" xfId="15948"/>
    <cellStyle name="Примечание 2 3 17 2 2 3 5" xfId="31415"/>
    <cellStyle name="Примечание 2 3 17 2 2 4" xfId="6549"/>
    <cellStyle name="Примечание 2 3 17 2 2 4 2" xfId="16312"/>
    <cellStyle name="Примечание 2 3 17 2 2 4 3" xfId="31779"/>
    <cellStyle name="Примечание 2 3 17 2 2 5" xfId="22437"/>
    <cellStyle name="Примечание 2 3 17 2 2 5 2" xfId="37798"/>
    <cellStyle name="Примечание 2 3 17 2 2 6" xfId="11877"/>
    <cellStyle name="Примечание 2 3 17 2 2 7" xfId="27388"/>
    <cellStyle name="Примечание 2 3 17 2 3" xfId="2149"/>
    <cellStyle name="Примечание 2 3 17 2 3 2" xfId="7385"/>
    <cellStyle name="Примечание 2 3 17 2 3 2 2" xfId="18287"/>
    <cellStyle name="Примечание 2 3 17 2 3 2 3" xfId="33648"/>
    <cellStyle name="Примечание 2 3 17 2 3 3" xfId="23273"/>
    <cellStyle name="Примечание 2 3 17 2 3 3 2" xfId="38634"/>
    <cellStyle name="Примечание 2 3 17 2 3 4" xfId="12724"/>
    <cellStyle name="Примечание 2 3 17 2 3 5" xfId="28224"/>
    <cellStyle name="Примечание 2 3 17 2 4" xfId="1718"/>
    <cellStyle name="Примечание 2 3 17 2 4 2" xfId="6958"/>
    <cellStyle name="Примечание 2 3 17 2 4 2 2" xfId="17859"/>
    <cellStyle name="Примечание 2 3 17 2 4 2 3" xfId="33220"/>
    <cellStyle name="Примечание 2 3 17 2 4 3" xfId="22846"/>
    <cellStyle name="Примечание 2 3 17 2 4 3 2" xfId="38207"/>
    <cellStyle name="Примечание 2 3 17 2 4 4" xfId="12296"/>
    <cellStyle name="Примечание 2 3 17 2 4 5" xfId="27797"/>
    <cellStyle name="Примечание 2 3 17 2 5" xfId="1377"/>
    <cellStyle name="Примечание 2 3 17 2 5 2" xfId="6627"/>
    <cellStyle name="Примечание 2 3 17 2 5 2 2" xfId="16232"/>
    <cellStyle name="Примечание 2 3 17 2 5 2 3" xfId="31699"/>
    <cellStyle name="Примечание 2 3 17 2 5 3" xfId="22515"/>
    <cellStyle name="Примечание 2 3 17 2 5 3 2" xfId="37876"/>
    <cellStyle name="Примечание 2 3 17 2 5 4" xfId="11957"/>
    <cellStyle name="Примечание 2 3 17 2 5 5" xfId="27466"/>
    <cellStyle name="Примечание 2 3 17 2 6" xfId="4197"/>
    <cellStyle name="Примечание 2 3 17 2 6 2" xfId="9384"/>
    <cellStyle name="Примечание 2 3 17 2 6 2 2" xfId="20311"/>
    <cellStyle name="Примечание 2 3 17 2 6 2 3" xfId="35672"/>
    <cellStyle name="Примечание 2 3 17 2 6 3" xfId="25272"/>
    <cellStyle name="Примечание 2 3 17 2 6 3 2" xfId="40633"/>
    <cellStyle name="Примечание 2 3 17 2 6 4" xfId="14748"/>
    <cellStyle name="Примечание 2 3 17 2 6 5" xfId="30223"/>
    <cellStyle name="Примечание 2 3 17 2 7" xfId="4944"/>
    <cellStyle name="Примечание 2 3 17 2 7 2" xfId="10131"/>
    <cellStyle name="Примечание 2 3 17 2 7 2 2" xfId="21058"/>
    <cellStyle name="Примечание 2 3 17 2 7 2 3" xfId="36419"/>
    <cellStyle name="Примечание 2 3 17 2 7 3" xfId="26019"/>
    <cellStyle name="Примечание 2 3 17 2 7 3 2" xfId="41380"/>
    <cellStyle name="Примечание 2 3 17 2 7 4" xfId="15495"/>
    <cellStyle name="Примечание 2 3 17 2 7 5" xfId="30970"/>
    <cellStyle name="Примечание 2 3 17 2 8" xfId="6005"/>
    <cellStyle name="Примечание 2 3 17 2 8 2" xfId="16862"/>
    <cellStyle name="Примечание 2 3 17 2 8 3" xfId="32329"/>
    <cellStyle name="Примечание 2 3 17 2 9" xfId="21893"/>
    <cellStyle name="Примечание 2 3 17 2 9 2" xfId="37254"/>
    <cellStyle name="Примечание 2 3 17 3" xfId="1319"/>
    <cellStyle name="Примечание 2 3 17 3 2" xfId="3125"/>
    <cellStyle name="Примечание 2 3 17 3 2 2" xfId="8320"/>
    <cellStyle name="Примечание 2 3 17 3 2 2 2" xfId="19246"/>
    <cellStyle name="Примечание 2 3 17 3 2 2 3" xfId="34607"/>
    <cellStyle name="Примечание 2 3 17 3 2 3" xfId="24208"/>
    <cellStyle name="Примечание 2 3 17 3 2 3 2" xfId="39569"/>
    <cellStyle name="Примечание 2 3 17 3 2 4" xfId="13683"/>
    <cellStyle name="Примечание 2 3 17 3 2 5" xfId="29159"/>
    <cellStyle name="Примечание 2 3 17 3 3" xfId="5414"/>
    <cellStyle name="Примечание 2 3 17 3 3 2" xfId="10578"/>
    <cellStyle name="Примечание 2 3 17 3 3 2 2" xfId="21512"/>
    <cellStyle name="Примечание 2 3 17 3 3 2 3" xfId="36873"/>
    <cellStyle name="Примечание 2 3 17 3 3 3" xfId="26465"/>
    <cellStyle name="Примечание 2 3 17 3 3 3 2" xfId="41826"/>
    <cellStyle name="Примечание 2 3 17 3 3 4" xfId="15949"/>
    <cellStyle name="Примечание 2 3 17 3 3 5" xfId="31416"/>
    <cellStyle name="Примечание 2 3 17 3 4" xfId="6572"/>
    <cellStyle name="Примечание 2 3 17 3 4 2" xfId="16289"/>
    <cellStyle name="Примечание 2 3 17 3 4 3" xfId="31756"/>
    <cellStyle name="Примечание 2 3 17 3 5" xfId="22460"/>
    <cellStyle name="Примечание 2 3 17 3 5 2" xfId="37821"/>
    <cellStyle name="Примечание 2 3 17 3 6" xfId="11900"/>
    <cellStyle name="Примечание 2 3 17 3 7" xfId="27411"/>
    <cellStyle name="Примечание 2 3 17 4" xfId="1946"/>
    <cellStyle name="Примечание 2 3 17 4 2" xfId="7182"/>
    <cellStyle name="Примечание 2 3 17 4 2 2" xfId="18084"/>
    <cellStyle name="Примечание 2 3 17 4 2 3" xfId="33445"/>
    <cellStyle name="Примечание 2 3 17 4 3" xfId="23070"/>
    <cellStyle name="Примечание 2 3 17 4 3 2" xfId="38431"/>
    <cellStyle name="Примечание 2 3 17 4 4" xfId="12521"/>
    <cellStyle name="Примечание 2 3 17 4 5" xfId="28021"/>
    <cellStyle name="Примечание 2 3 17 5" xfId="1883"/>
    <cellStyle name="Примечание 2 3 17 5 2" xfId="7122"/>
    <cellStyle name="Примечание 2 3 17 5 2 2" xfId="18024"/>
    <cellStyle name="Примечание 2 3 17 5 2 3" xfId="33385"/>
    <cellStyle name="Примечание 2 3 17 5 3" xfId="23010"/>
    <cellStyle name="Примечание 2 3 17 5 3 2" xfId="38371"/>
    <cellStyle name="Примечание 2 3 17 5 4" xfId="12461"/>
    <cellStyle name="Примечание 2 3 17 5 5" xfId="27961"/>
    <cellStyle name="Примечание 2 3 17 6" xfId="3567"/>
    <cellStyle name="Примечание 2 3 17 6 2" xfId="8754"/>
    <cellStyle name="Примечание 2 3 17 6 2 2" xfId="19681"/>
    <cellStyle name="Примечание 2 3 17 6 2 3" xfId="35042"/>
    <cellStyle name="Примечание 2 3 17 6 3" xfId="24642"/>
    <cellStyle name="Примечание 2 3 17 6 3 2" xfId="40003"/>
    <cellStyle name="Примечание 2 3 17 6 4" xfId="14118"/>
    <cellStyle name="Примечание 2 3 17 6 5" xfId="29593"/>
    <cellStyle name="Примечание 2 3 17 7" xfId="4035"/>
    <cellStyle name="Примечание 2 3 17 7 2" xfId="9222"/>
    <cellStyle name="Примечание 2 3 17 7 2 2" xfId="20149"/>
    <cellStyle name="Примечание 2 3 17 7 2 3" xfId="35510"/>
    <cellStyle name="Примечание 2 3 17 7 3" xfId="25110"/>
    <cellStyle name="Примечание 2 3 17 7 3 2" xfId="40471"/>
    <cellStyle name="Примечание 2 3 17 7 4" xfId="14586"/>
    <cellStyle name="Примечание 2 3 17 7 5" xfId="30061"/>
    <cellStyle name="Примечание 2 3 17 8" xfId="4681"/>
    <cellStyle name="Примечание 2 3 17 8 2" xfId="9868"/>
    <cellStyle name="Примечание 2 3 17 8 2 2" xfId="20795"/>
    <cellStyle name="Примечание 2 3 17 8 2 3" xfId="36156"/>
    <cellStyle name="Примечание 2 3 17 8 3" xfId="25756"/>
    <cellStyle name="Примечание 2 3 17 8 3 2" xfId="41117"/>
    <cellStyle name="Примечание 2 3 17 8 4" xfId="15232"/>
    <cellStyle name="Примечание 2 3 17 8 5" xfId="30707"/>
    <cellStyle name="Примечание 2 3 17 9" xfId="5843"/>
    <cellStyle name="Примечание 2 3 17 9 2" xfId="17026"/>
    <cellStyle name="Примечание 2 3 17 9 3" xfId="32493"/>
    <cellStyle name="Примечание 2 3 18" xfId="536"/>
    <cellStyle name="Примечание 2 3 18 10" xfId="21732"/>
    <cellStyle name="Примечание 2 3 18 10 2" xfId="37093"/>
    <cellStyle name="Примечание 2 3 18 11" xfId="11161"/>
    <cellStyle name="Примечание 2 3 18 12" xfId="26683"/>
    <cellStyle name="Примечание 2 3 18 2" xfId="742"/>
    <cellStyle name="Примечание 2 3 18 2 10" xfId="11326"/>
    <cellStyle name="Примечание 2 3 18 2 11" xfId="26843"/>
    <cellStyle name="Примечание 2 3 18 2 2" xfId="1520"/>
    <cellStyle name="Примечание 2 3 18 2 2 2" xfId="3128"/>
    <cellStyle name="Примечание 2 3 18 2 2 2 2" xfId="8323"/>
    <cellStyle name="Примечание 2 3 18 2 2 2 2 2" xfId="19249"/>
    <cellStyle name="Примечание 2 3 18 2 2 2 2 3" xfId="34610"/>
    <cellStyle name="Примечание 2 3 18 2 2 2 3" xfId="24211"/>
    <cellStyle name="Примечание 2 3 18 2 2 2 3 2" xfId="39572"/>
    <cellStyle name="Примечание 2 3 18 2 2 2 4" xfId="13686"/>
    <cellStyle name="Примечание 2 3 18 2 2 2 5" xfId="29162"/>
    <cellStyle name="Примечание 2 3 18 2 2 3" xfId="5415"/>
    <cellStyle name="Примечание 2 3 18 2 2 3 2" xfId="10579"/>
    <cellStyle name="Примечание 2 3 18 2 2 3 2 2" xfId="21513"/>
    <cellStyle name="Примечание 2 3 18 2 2 3 2 3" xfId="36874"/>
    <cellStyle name="Примечание 2 3 18 2 2 3 3" xfId="26466"/>
    <cellStyle name="Примечание 2 3 18 2 2 3 3 2" xfId="41827"/>
    <cellStyle name="Примечание 2 3 18 2 2 3 4" xfId="15950"/>
    <cellStyle name="Примечание 2 3 18 2 2 3 5" xfId="31417"/>
    <cellStyle name="Примечание 2 3 18 2 2 4" xfId="6767"/>
    <cellStyle name="Примечание 2 3 18 2 2 4 2" xfId="17662"/>
    <cellStyle name="Примечание 2 3 18 2 2 4 3" xfId="33023"/>
    <cellStyle name="Примечание 2 3 18 2 2 5" xfId="22655"/>
    <cellStyle name="Примечание 2 3 18 2 2 5 2" xfId="38016"/>
    <cellStyle name="Примечание 2 3 18 2 2 6" xfId="12098"/>
    <cellStyle name="Примечание 2 3 18 2 2 7" xfId="27606"/>
    <cellStyle name="Примечание 2 3 18 2 3" xfId="2148"/>
    <cellStyle name="Примечание 2 3 18 2 3 2" xfId="7384"/>
    <cellStyle name="Примечание 2 3 18 2 3 2 2" xfId="18286"/>
    <cellStyle name="Примечание 2 3 18 2 3 2 3" xfId="33647"/>
    <cellStyle name="Примечание 2 3 18 2 3 3" xfId="23272"/>
    <cellStyle name="Примечание 2 3 18 2 3 3 2" xfId="38633"/>
    <cellStyle name="Примечание 2 3 18 2 3 4" xfId="12723"/>
    <cellStyle name="Примечание 2 3 18 2 3 5" xfId="28223"/>
    <cellStyle name="Примечание 2 3 18 2 4" xfId="2359"/>
    <cellStyle name="Примечание 2 3 18 2 4 2" xfId="7595"/>
    <cellStyle name="Примечание 2 3 18 2 4 2 2" xfId="18497"/>
    <cellStyle name="Примечание 2 3 18 2 4 2 3" xfId="33858"/>
    <cellStyle name="Примечание 2 3 18 2 4 3" xfId="23483"/>
    <cellStyle name="Примечание 2 3 18 2 4 3 2" xfId="38844"/>
    <cellStyle name="Примечание 2 3 18 2 4 4" xfId="12934"/>
    <cellStyle name="Примечание 2 3 18 2 4 5" xfId="28434"/>
    <cellStyle name="Примечание 2 3 18 2 5" xfId="3810"/>
    <cellStyle name="Примечание 2 3 18 2 5 2" xfId="8997"/>
    <cellStyle name="Примечание 2 3 18 2 5 2 2" xfId="19924"/>
    <cellStyle name="Примечание 2 3 18 2 5 2 3" xfId="35285"/>
    <cellStyle name="Примечание 2 3 18 2 5 3" xfId="24885"/>
    <cellStyle name="Примечание 2 3 18 2 5 3 2" xfId="40246"/>
    <cellStyle name="Примечание 2 3 18 2 5 4" xfId="14361"/>
    <cellStyle name="Примечание 2 3 18 2 5 5" xfId="29836"/>
    <cellStyle name="Примечание 2 3 18 2 6" xfId="4196"/>
    <cellStyle name="Примечание 2 3 18 2 6 2" xfId="9383"/>
    <cellStyle name="Примечание 2 3 18 2 6 2 2" xfId="20310"/>
    <cellStyle name="Примечание 2 3 18 2 6 2 3" xfId="35671"/>
    <cellStyle name="Примечание 2 3 18 2 6 3" xfId="25271"/>
    <cellStyle name="Примечание 2 3 18 2 6 3 2" xfId="40632"/>
    <cellStyle name="Примечание 2 3 18 2 6 4" xfId="14747"/>
    <cellStyle name="Примечание 2 3 18 2 6 5" xfId="30222"/>
    <cellStyle name="Примечание 2 3 18 2 7" xfId="4602"/>
    <cellStyle name="Примечание 2 3 18 2 7 2" xfId="9789"/>
    <cellStyle name="Примечание 2 3 18 2 7 2 2" xfId="20716"/>
    <cellStyle name="Примечание 2 3 18 2 7 2 3" xfId="36077"/>
    <cellStyle name="Примечание 2 3 18 2 7 3" xfId="25677"/>
    <cellStyle name="Примечание 2 3 18 2 7 3 2" xfId="41038"/>
    <cellStyle name="Примечание 2 3 18 2 7 4" xfId="15153"/>
    <cellStyle name="Примечание 2 3 18 2 7 5" xfId="30628"/>
    <cellStyle name="Примечание 2 3 18 2 8" xfId="6004"/>
    <cellStyle name="Примечание 2 3 18 2 8 2" xfId="16863"/>
    <cellStyle name="Примечание 2 3 18 2 8 3" xfId="32330"/>
    <cellStyle name="Примечание 2 3 18 2 9" xfId="21892"/>
    <cellStyle name="Примечание 2 3 18 2 9 2" xfId="37253"/>
    <cellStyle name="Примечание 2 3 18 3" xfId="59"/>
    <cellStyle name="Примечание 2 3 18 3 2" xfId="3129"/>
    <cellStyle name="Примечание 2 3 18 3 2 2" xfId="8324"/>
    <cellStyle name="Примечание 2 3 18 3 2 2 2" xfId="19250"/>
    <cellStyle name="Примечание 2 3 18 3 2 2 3" xfId="34611"/>
    <cellStyle name="Примечание 2 3 18 3 2 3" xfId="24212"/>
    <cellStyle name="Примечание 2 3 18 3 2 3 2" xfId="39573"/>
    <cellStyle name="Примечание 2 3 18 3 2 4" xfId="13687"/>
    <cellStyle name="Примечание 2 3 18 3 2 5" xfId="29163"/>
    <cellStyle name="Примечание 2 3 18 3 3" xfId="5416"/>
    <cellStyle name="Примечание 2 3 18 3 3 2" xfId="10580"/>
    <cellStyle name="Примечание 2 3 18 3 3 2 2" xfId="21514"/>
    <cellStyle name="Примечание 2 3 18 3 3 2 3" xfId="36875"/>
    <cellStyle name="Примечание 2 3 18 3 3 3" xfId="26467"/>
    <cellStyle name="Примечание 2 3 18 3 3 3 2" xfId="41828"/>
    <cellStyle name="Примечание 2 3 18 3 3 4" xfId="15951"/>
    <cellStyle name="Примечание 2 3 18 3 3 5" xfId="31418"/>
    <cellStyle name="Примечание 2 3 18 3 4" xfId="5586"/>
    <cellStyle name="Примечание 2 3 18 3 4 2" xfId="17412"/>
    <cellStyle name="Примечание 2 3 18 3 4 3" xfId="32879"/>
    <cellStyle name="Примечание 2 3 18 3 5" xfId="19367"/>
    <cellStyle name="Примечание 2 3 18 3 5 2" xfId="34728"/>
    <cellStyle name="Примечание 2 3 18 3 6" xfId="10773"/>
    <cellStyle name="Примечание 2 3 18 3 7" xfId="13804"/>
    <cellStyle name="Примечание 2 3 18 4" xfId="1947"/>
    <cellStyle name="Примечание 2 3 18 4 2" xfId="7183"/>
    <cellStyle name="Примечание 2 3 18 4 2 2" xfId="18085"/>
    <cellStyle name="Примечание 2 3 18 4 2 3" xfId="33446"/>
    <cellStyle name="Примечание 2 3 18 4 3" xfId="23071"/>
    <cellStyle name="Примечание 2 3 18 4 3 2" xfId="38432"/>
    <cellStyle name="Примечание 2 3 18 4 4" xfId="12522"/>
    <cellStyle name="Примечание 2 3 18 4 5" xfId="28022"/>
    <cellStyle name="Примечание 2 3 18 5" xfId="2492"/>
    <cellStyle name="Примечание 2 3 18 5 2" xfId="7728"/>
    <cellStyle name="Примечание 2 3 18 5 2 2" xfId="18630"/>
    <cellStyle name="Примечание 2 3 18 5 2 3" xfId="33991"/>
    <cellStyle name="Примечание 2 3 18 5 3" xfId="23616"/>
    <cellStyle name="Примечание 2 3 18 5 3 2" xfId="38977"/>
    <cellStyle name="Примечание 2 3 18 5 4" xfId="13067"/>
    <cellStyle name="Примечание 2 3 18 5 5" xfId="28567"/>
    <cellStyle name="Примечание 2 3 18 6" xfId="3444"/>
    <cellStyle name="Примечание 2 3 18 6 2" xfId="8633"/>
    <cellStyle name="Примечание 2 3 18 6 2 2" xfId="19560"/>
    <cellStyle name="Примечание 2 3 18 6 2 3" xfId="34921"/>
    <cellStyle name="Примечание 2 3 18 6 3" xfId="24521"/>
    <cellStyle name="Примечание 2 3 18 6 3 2" xfId="39882"/>
    <cellStyle name="Примечание 2 3 18 6 4" xfId="13997"/>
    <cellStyle name="Примечание 2 3 18 6 5" xfId="29472"/>
    <cellStyle name="Примечание 2 3 18 7" xfId="4036"/>
    <cellStyle name="Примечание 2 3 18 7 2" xfId="9223"/>
    <cellStyle name="Примечание 2 3 18 7 2 2" xfId="20150"/>
    <cellStyle name="Примечание 2 3 18 7 2 3" xfId="35511"/>
    <cellStyle name="Примечание 2 3 18 7 3" xfId="25111"/>
    <cellStyle name="Примечание 2 3 18 7 3 2" xfId="40472"/>
    <cellStyle name="Примечание 2 3 18 7 4" xfId="14587"/>
    <cellStyle name="Примечание 2 3 18 7 5" xfId="30062"/>
    <cellStyle name="Примечание 2 3 18 8" xfId="4867"/>
    <cellStyle name="Примечание 2 3 18 8 2" xfId="10054"/>
    <cellStyle name="Примечание 2 3 18 8 2 2" xfId="20981"/>
    <cellStyle name="Примечание 2 3 18 8 2 3" xfId="36342"/>
    <cellStyle name="Примечание 2 3 18 8 3" xfId="25942"/>
    <cellStyle name="Примечание 2 3 18 8 3 2" xfId="41303"/>
    <cellStyle name="Примечание 2 3 18 8 4" xfId="15418"/>
    <cellStyle name="Примечание 2 3 18 8 5" xfId="30893"/>
    <cellStyle name="Примечание 2 3 18 9" xfId="5844"/>
    <cellStyle name="Примечание 2 3 18 9 2" xfId="17025"/>
    <cellStyle name="Примечание 2 3 18 9 3" xfId="32492"/>
    <cellStyle name="Примечание 2 3 19" xfId="537"/>
    <cellStyle name="Примечание 2 3 19 10" xfId="21733"/>
    <cellStyle name="Примечание 2 3 19 10 2" xfId="37094"/>
    <cellStyle name="Примечание 2 3 19 11" xfId="11162"/>
    <cellStyle name="Примечание 2 3 19 12" xfId="26684"/>
    <cellStyle name="Примечание 2 3 19 2" xfId="741"/>
    <cellStyle name="Примечание 2 3 19 2 10" xfId="11325"/>
    <cellStyle name="Примечание 2 3 19 2 11" xfId="26842"/>
    <cellStyle name="Примечание 2 3 19 2 2" xfId="1729"/>
    <cellStyle name="Примечание 2 3 19 2 2 2" xfId="3132"/>
    <cellStyle name="Примечание 2 3 19 2 2 2 2" xfId="8327"/>
    <cellStyle name="Примечание 2 3 19 2 2 2 2 2" xfId="19253"/>
    <cellStyle name="Примечание 2 3 19 2 2 2 2 3" xfId="34614"/>
    <cellStyle name="Примечание 2 3 19 2 2 2 3" xfId="24215"/>
    <cellStyle name="Примечание 2 3 19 2 2 2 3 2" xfId="39576"/>
    <cellStyle name="Примечание 2 3 19 2 2 2 4" xfId="13690"/>
    <cellStyle name="Примечание 2 3 19 2 2 2 5" xfId="29166"/>
    <cellStyle name="Примечание 2 3 19 2 2 3" xfId="5417"/>
    <cellStyle name="Примечание 2 3 19 2 2 3 2" xfId="10581"/>
    <cellStyle name="Примечание 2 3 19 2 2 3 2 2" xfId="21515"/>
    <cellStyle name="Примечание 2 3 19 2 2 3 2 3" xfId="36876"/>
    <cellStyle name="Примечание 2 3 19 2 2 3 3" xfId="26468"/>
    <cellStyle name="Примечание 2 3 19 2 2 3 3 2" xfId="41829"/>
    <cellStyle name="Примечание 2 3 19 2 2 3 4" xfId="15952"/>
    <cellStyle name="Примечание 2 3 19 2 2 3 5" xfId="31419"/>
    <cellStyle name="Примечание 2 3 19 2 2 4" xfId="6969"/>
    <cellStyle name="Примечание 2 3 19 2 2 4 2" xfId="17870"/>
    <cellStyle name="Примечание 2 3 19 2 2 4 3" xfId="33231"/>
    <cellStyle name="Примечание 2 3 19 2 2 5" xfId="22857"/>
    <cellStyle name="Примечание 2 3 19 2 2 5 2" xfId="38218"/>
    <cellStyle name="Примечание 2 3 19 2 2 6" xfId="12307"/>
    <cellStyle name="Примечание 2 3 19 2 2 7" xfId="27808"/>
    <cellStyle name="Примечание 2 3 19 2 3" xfId="2147"/>
    <cellStyle name="Примечание 2 3 19 2 3 2" xfId="7383"/>
    <cellStyle name="Примечание 2 3 19 2 3 2 2" xfId="18285"/>
    <cellStyle name="Примечание 2 3 19 2 3 2 3" xfId="33646"/>
    <cellStyle name="Примечание 2 3 19 2 3 3" xfId="23271"/>
    <cellStyle name="Примечание 2 3 19 2 3 3 2" xfId="38632"/>
    <cellStyle name="Примечание 2 3 19 2 3 4" xfId="12722"/>
    <cellStyle name="Примечание 2 3 19 2 3 5" xfId="28222"/>
    <cellStyle name="Примечание 2 3 19 2 4" xfId="1355"/>
    <cellStyle name="Примечание 2 3 19 2 4 2" xfId="6607"/>
    <cellStyle name="Примечание 2 3 19 2 4 2 2" xfId="16253"/>
    <cellStyle name="Примечание 2 3 19 2 4 2 3" xfId="31720"/>
    <cellStyle name="Примечание 2 3 19 2 4 3" xfId="22495"/>
    <cellStyle name="Примечание 2 3 19 2 4 3 2" xfId="37856"/>
    <cellStyle name="Примечание 2 3 19 2 4 4" xfId="11936"/>
    <cellStyle name="Примечание 2 3 19 2 4 5" xfId="27446"/>
    <cellStyle name="Примечание 2 3 19 2 5" xfId="2690"/>
    <cellStyle name="Примечание 2 3 19 2 5 2" xfId="7921"/>
    <cellStyle name="Примечание 2 3 19 2 5 2 2" xfId="18825"/>
    <cellStyle name="Примечание 2 3 19 2 5 2 3" xfId="34186"/>
    <cellStyle name="Примечание 2 3 19 2 5 3" xfId="23809"/>
    <cellStyle name="Примечание 2 3 19 2 5 3 2" xfId="39170"/>
    <cellStyle name="Примечание 2 3 19 2 5 4" xfId="13262"/>
    <cellStyle name="Примечание 2 3 19 2 5 5" xfId="28760"/>
    <cellStyle name="Примечание 2 3 19 2 6" xfId="4195"/>
    <cellStyle name="Примечание 2 3 19 2 6 2" xfId="9382"/>
    <cellStyle name="Примечание 2 3 19 2 6 2 2" xfId="20309"/>
    <cellStyle name="Примечание 2 3 19 2 6 2 3" xfId="35670"/>
    <cellStyle name="Примечание 2 3 19 2 6 3" xfId="25270"/>
    <cellStyle name="Примечание 2 3 19 2 6 3 2" xfId="40631"/>
    <cellStyle name="Примечание 2 3 19 2 6 4" xfId="14746"/>
    <cellStyle name="Примечание 2 3 19 2 6 5" xfId="30221"/>
    <cellStyle name="Примечание 2 3 19 2 7" xfId="4943"/>
    <cellStyle name="Примечание 2 3 19 2 7 2" xfId="10130"/>
    <cellStyle name="Примечание 2 3 19 2 7 2 2" xfId="21057"/>
    <cellStyle name="Примечание 2 3 19 2 7 2 3" xfId="36418"/>
    <cellStyle name="Примечание 2 3 19 2 7 3" xfId="26018"/>
    <cellStyle name="Примечание 2 3 19 2 7 3 2" xfId="41379"/>
    <cellStyle name="Примечание 2 3 19 2 7 4" xfId="15494"/>
    <cellStyle name="Примечание 2 3 19 2 7 5" xfId="30969"/>
    <cellStyle name="Примечание 2 3 19 2 8" xfId="6003"/>
    <cellStyle name="Примечание 2 3 19 2 8 2" xfId="16864"/>
    <cellStyle name="Примечание 2 3 19 2 8 3" xfId="32331"/>
    <cellStyle name="Примечание 2 3 19 2 9" xfId="21891"/>
    <cellStyle name="Примечание 2 3 19 2 9 2" xfId="37252"/>
    <cellStyle name="Примечание 2 3 19 3" xfId="1607"/>
    <cellStyle name="Примечание 2 3 19 3 2" xfId="3133"/>
    <cellStyle name="Примечание 2 3 19 3 2 2" xfId="8328"/>
    <cellStyle name="Примечание 2 3 19 3 2 2 2" xfId="19254"/>
    <cellStyle name="Примечание 2 3 19 3 2 2 3" xfId="34615"/>
    <cellStyle name="Примечание 2 3 19 3 2 3" xfId="24216"/>
    <cellStyle name="Примечание 2 3 19 3 2 3 2" xfId="39577"/>
    <cellStyle name="Примечание 2 3 19 3 2 4" xfId="13691"/>
    <cellStyle name="Примечание 2 3 19 3 2 5" xfId="29167"/>
    <cellStyle name="Примечание 2 3 19 3 3" xfId="5418"/>
    <cellStyle name="Примечание 2 3 19 3 3 2" xfId="10582"/>
    <cellStyle name="Примечание 2 3 19 3 3 2 2" xfId="21516"/>
    <cellStyle name="Примечание 2 3 19 3 3 2 3" xfId="36877"/>
    <cellStyle name="Примечание 2 3 19 3 3 3" xfId="26469"/>
    <cellStyle name="Примечание 2 3 19 3 3 3 2" xfId="41830"/>
    <cellStyle name="Примечание 2 3 19 3 3 4" xfId="15953"/>
    <cellStyle name="Примечание 2 3 19 3 3 5" xfId="31420"/>
    <cellStyle name="Примечание 2 3 19 3 4" xfId="6854"/>
    <cellStyle name="Примечание 2 3 19 3 4 2" xfId="17749"/>
    <cellStyle name="Примечание 2 3 19 3 4 3" xfId="33110"/>
    <cellStyle name="Примечание 2 3 19 3 5" xfId="22742"/>
    <cellStyle name="Примечание 2 3 19 3 5 2" xfId="38103"/>
    <cellStyle name="Примечание 2 3 19 3 6" xfId="12185"/>
    <cellStyle name="Примечание 2 3 19 3 7" xfId="27693"/>
    <cellStyle name="Примечание 2 3 19 4" xfId="1948"/>
    <cellStyle name="Примечание 2 3 19 4 2" xfId="7184"/>
    <cellStyle name="Примечание 2 3 19 4 2 2" xfId="18086"/>
    <cellStyle name="Примечание 2 3 19 4 2 3" xfId="33447"/>
    <cellStyle name="Примечание 2 3 19 4 3" xfId="23072"/>
    <cellStyle name="Примечание 2 3 19 4 3 2" xfId="38433"/>
    <cellStyle name="Примечание 2 3 19 4 4" xfId="12523"/>
    <cellStyle name="Примечание 2 3 19 4 5" xfId="28023"/>
    <cellStyle name="Примечание 2 3 19 5" xfId="1575"/>
    <cellStyle name="Примечание 2 3 19 5 2" xfId="6822"/>
    <cellStyle name="Примечание 2 3 19 5 2 2" xfId="17717"/>
    <cellStyle name="Примечание 2 3 19 5 2 3" xfId="33078"/>
    <cellStyle name="Примечание 2 3 19 5 3" xfId="22710"/>
    <cellStyle name="Примечание 2 3 19 5 3 2" xfId="38071"/>
    <cellStyle name="Примечание 2 3 19 5 4" xfId="12153"/>
    <cellStyle name="Примечание 2 3 19 5 5" xfId="27661"/>
    <cellStyle name="Примечание 2 3 19 6" xfId="3568"/>
    <cellStyle name="Примечание 2 3 19 6 2" xfId="8755"/>
    <cellStyle name="Примечание 2 3 19 6 2 2" xfId="19682"/>
    <cellStyle name="Примечание 2 3 19 6 2 3" xfId="35043"/>
    <cellStyle name="Примечание 2 3 19 6 3" xfId="24643"/>
    <cellStyle name="Примечание 2 3 19 6 3 2" xfId="40004"/>
    <cellStyle name="Примечание 2 3 19 6 4" xfId="14119"/>
    <cellStyle name="Примечание 2 3 19 6 5" xfId="29594"/>
    <cellStyle name="Примечание 2 3 19 7" xfId="4037"/>
    <cellStyle name="Примечание 2 3 19 7 2" xfId="9224"/>
    <cellStyle name="Примечание 2 3 19 7 2 2" xfId="20151"/>
    <cellStyle name="Примечание 2 3 19 7 2 3" xfId="35512"/>
    <cellStyle name="Примечание 2 3 19 7 3" xfId="25112"/>
    <cellStyle name="Примечание 2 3 19 7 3 2" xfId="40473"/>
    <cellStyle name="Примечание 2 3 19 7 4" xfId="14588"/>
    <cellStyle name="Примечание 2 3 19 7 5" xfId="30063"/>
    <cellStyle name="Примечание 2 3 19 8" xfId="4680"/>
    <cellStyle name="Примечание 2 3 19 8 2" xfId="9867"/>
    <cellStyle name="Примечание 2 3 19 8 2 2" xfId="20794"/>
    <cellStyle name="Примечание 2 3 19 8 2 3" xfId="36155"/>
    <cellStyle name="Примечание 2 3 19 8 3" xfId="25755"/>
    <cellStyle name="Примечание 2 3 19 8 3 2" xfId="41116"/>
    <cellStyle name="Примечание 2 3 19 8 4" xfId="15231"/>
    <cellStyle name="Примечание 2 3 19 8 5" xfId="30706"/>
    <cellStyle name="Примечание 2 3 19 9" xfId="5845"/>
    <cellStyle name="Примечание 2 3 19 9 2" xfId="17024"/>
    <cellStyle name="Примечание 2 3 19 9 3" xfId="32491"/>
    <cellStyle name="Примечание 2 3 2" xfId="538"/>
    <cellStyle name="Примечание 2 3 2 10" xfId="21734"/>
    <cellStyle name="Примечание 2 3 2 10 2" xfId="37095"/>
    <cellStyle name="Примечание 2 3 2 11" xfId="11163"/>
    <cellStyle name="Примечание 2 3 2 12" xfId="26685"/>
    <cellStyle name="Примечание 2 3 2 13" xfId="43861"/>
    <cellStyle name="Примечание 2 3 2 2" xfId="740"/>
    <cellStyle name="Примечание 2 3 2 2 10" xfId="11324"/>
    <cellStyle name="Примечание 2 3 2 2 11" xfId="26841"/>
    <cellStyle name="Примечание 2 3 2 2 12" xfId="43862"/>
    <cellStyle name="Примечание 2 3 2 2 2" xfId="1627"/>
    <cellStyle name="Примечание 2 3 2 2 2 2" xfId="3136"/>
    <cellStyle name="Примечание 2 3 2 2 2 2 2" xfId="8331"/>
    <cellStyle name="Примечание 2 3 2 2 2 2 2 2" xfId="19257"/>
    <cellStyle name="Примечание 2 3 2 2 2 2 2 3" xfId="34618"/>
    <cellStyle name="Примечание 2 3 2 2 2 2 3" xfId="24219"/>
    <cellStyle name="Примечание 2 3 2 2 2 2 3 2" xfId="39580"/>
    <cellStyle name="Примечание 2 3 2 2 2 2 4" xfId="13694"/>
    <cellStyle name="Примечание 2 3 2 2 2 2 5" xfId="29170"/>
    <cellStyle name="Примечание 2 3 2 2 2 3" xfId="5419"/>
    <cellStyle name="Примечание 2 3 2 2 2 3 2" xfId="10583"/>
    <cellStyle name="Примечание 2 3 2 2 2 3 2 2" xfId="21517"/>
    <cellStyle name="Примечание 2 3 2 2 2 3 2 3" xfId="36878"/>
    <cellStyle name="Примечание 2 3 2 2 2 3 3" xfId="26470"/>
    <cellStyle name="Примечание 2 3 2 2 2 3 3 2" xfId="41831"/>
    <cellStyle name="Примечание 2 3 2 2 2 3 4" xfId="15954"/>
    <cellStyle name="Примечание 2 3 2 2 2 3 5" xfId="31421"/>
    <cellStyle name="Примечание 2 3 2 2 2 3 6" xfId="45049"/>
    <cellStyle name="Примечание 2 3 2 2 2 4" xfId="6873"/>
    <cellStyle name="Примечание 2 3 2 2 2 4 2" xfId="17769"/>
    <cellStyle name="Примечание 2 3 2 2 2 4 3" xfId="33130"/>
    <cellStyle name="Примечание 2 3 2 2 2 5" xfId="22761"/>
    <cellStyle name="Примечание 2 3 2 2 2 5 2" xfId="38122"/>
    <cellStyle name="Примечание 2 3 2 2 2 6" xfId="12205"/>
    <cellStyle name="Примечание 2 3 2 2 2 7" xfId="27712"/>
    <cellStyle name="Примечание 2 3 2 2 2 8" xfId="44007"/>
    <cellStyle name="Примечание 2 3 2 2 3" xfId="2146"/>
    <cellStyle name="Примечание 2 3 2 2 3 2" xfId="7382"/>
    <cellStyle name="Примечание 2 3 2 2 3 2 2" xfId="18284"/>
    <cellStyle name="Примечание 2 3 2 2 3 2 3" xfId="33645"/>
    <cellStyle name="Примечание 2 3 2 2 3 3" xfId="23270"/>
    <cellStyle name="Примечание 2 3 2 2 3 3 2" xfId="38631"/>
    <cellStyle name="Примечание 2 3 2 2 3 4" xfId="12721"/>
    <cellStyle name="Примечание 2 3 2 2 3 5" xfId="28221"/>
    <cellStyle name="Примечание 2 3 2 2 4" xfId="2361"/>
    <cellStyle name="Примечание 2 3 2 2 4 2" xfId="7597"/>
    <cellStyle name="Примечание 2 3 2 2 4 2 2" xfId="18499"/>
    <cellStyle name="Примечание 2 3 2 2 4 2 3" xfId="33860"/>
    <cellStyle name="Примечание 2 3 2 2 4 3" xfId="23485"/>
    <cellStyle name="Примечание 2 3 2 2 4 3 2" xfId="38846"/>
    <cellStyle name="Примечание 2 3 2 2 4 4" xfId="12936"/>
    <cellStyle name="Примечание 2 3 2 2 4 5" xfId="28436"/>
    <cellStyle name="Примечание 2 3 2 2 5" xfId="3612"/>
    <cellStyle name="Примечание 2 3 2 2 5 2" xfId="8799"/>
    <cellStyle name="Примечание 2 3 2 2 5 2 2" xfId="19726"/>
    <cellStyle name="Примечание 2 3 2 2 5 2 3" xfId="35087"/>
    <cellStyle name="Примечание 2 3 2 2 5 3" xfId="24687"/>
    <cellStyle name="Примечание 2 3 2 2 5 3 2" xfId="40048"/>
    <cellStyle name="Примечание 2 3 2 2 5 4" xfId="14163"/>
    <cellStyle name="Примечание 2 3 2 2 5 5" xfId="29638"/>
    <cellStyle name="Примечание 2 3 2 2 6" xfId="4194"/>
    <cellStyle name="Примечание 2 3 2 2 6 2" xfId="9381"/>
    <cellStyle name="Примечание 2 3 2 2 6 2 2" xfId="20308"/>
    <cellStyle name="Примечание 2 3 2 2 6 2 3" xfId="35669"/>
    <cellStyle name="Примечание 2 3 2 2 6 3" xfId="25269"/>
    <cellStyle name="Примечание 2 3 2 2 6 3 2" xfId="40630"/>
    <cellStyle name="Примечание 2 3 2 2 6 4" xfId="14745"/>
    <cellStyle name="Примечание 2 3 2 2 6 5" xfId="30220"/>
    <cellStyle name="Примечание 2 3 2 2 7" xfId="4603"/>
    <cellStyle name="Примечание 2 3 2 2 7 2" xfId="9790"/>
    <cellStyle name="Примечание 2 3 2 2 7 2 2" xfId="20717"/>
    <cellStyle name="Примечание 2 3 2 2 7 2 3" xfId="36078"/>
    <cellStyle name="Примечание 2 3 2 2 7 3" xfId="25678"/>
    <cellStyle name="Примечание 2 3 2 2 7 3 2" xfId="41039"/>
    <cellStyle name="Примечание 2 3 2 2 7 4" xfId="15154"/>
    <cellStyle name="Примечание 2 3 2 2 7 5" xfId="30629"/>
    <cellStyle name="Примечание 2 3 2 2 8" xfId="6002"/>
    <cellStyle name="Примечание 2 3 2 2 8 2" xfId="16865"/>
    <cellStyle name="Примечание 2 3 2 2 8 3" xfId="32332"/>
    <cellStyle name="Примечание 2 3 2 2 9" xfId="21890"/>
    <cellStyle name="Примечание 2 3 2 2 9 2" xfId="37251"/>
    <cellStyle name="Примечание 2 3 2 3" xfId="1697"/>
    <cellStyle name="Примечание 2 3 2 3 2" xfId="3137"/>
    <cellStyle name="Примечание 2 3 2 3 2 2" xfId="8332"/>
    <cellStyle name="Примечание 2 3 2 3 2 2 2" xfId="19258"/>
    <cellStyle name="Примечание 2 3 2 3 2 2 3" xfId="34619"/>
    <cellStyle name="Примечание 2 3 2 3 2 2 4" xfId="45050"/>
    <cellStyle name="Примечание 2 3 2 3 2 3" xfId="24220"/>
    <cellStyle name="Примечание 2 3 2 3 2 3 2" xfId="39581"/>
    <cellStyle name="Примечание 2 3 2 3 2 3 3" xfId="45051"/>
    <cellStyle name="Примечание 2 3 2 3 2 4" xfId="13695"/>
    <cellStyle name="Примечание 2 3 2 3 2 5" xfId="29171"/>
    <cellStyle name="Примечание 2 3 2 3 2 6" xfId="44008"/>
    <cellStyle name="Примечание 2 3 2 3 3" xfId="5420"/>
    <cellStyle name="Примечание 2 3 2 3 3 2" xfId="10584"/>
    <cellStyle name="Примечание 2 3 2 3 3 2 2" xfId="21518"/>
    <cellStyle name="Примечание 2 3 2 3 3 2 3" xfId="36879"/>
    <cellStyle name="Примечание 2 3 2 3 3 3" xfId="26471"/>
    <cellStyle name="Примечание 2 3 2 3 3 3 2" xfId="41832"/>
    <cellStyle name="Примечание 2 3 2 3 3 4" xfId="15955"/>
    <cellStyle name="Примечание 2 3 2 3 3 5" xfId="31422"/>
    <cellStyle name="Примечание 2 3 2 3 4" xfId="6941"/>
    <cellStyle name="Примечание 2 3 2 3 4 2" xfId="17839"/>
    <cellStyle name="Примечание 2 3 2 3 4 3" xfId="33200"/>
    <cellStyle name="Примечание 2 3 2 3 4 4" xfId="45052"/>
    <cellStyle name="Примечание 2 3 2 3 5" xfId="22829"/>
    <cellStyle name="Примечание 2 3 2 3 5 2" xfId="38190"/>
    <cellStyle name="Примечание 2 3 2 3 6" xfId="12275"/>
    <cellStyle name="Примечание 2 3 2 3 7" xfId="27780"/>
    <cellStyle name="Примечание 2 3 2 3 8" xfId="43863"/>
    <cellStyle name="Примечание 2 3 2 4" xfId="1949"/>
    <cellStyle name="Примечание 2 3 2 4 2" xfId="7185"/>
    <cellStyle name="Примечание 2 3 2 4 2 2" xfId="18087"/>
    <cellStyle name="Примечание 2 3 2 4 2 3" xfId="33448"/>
    <cellStyle name="Примечание 2 3 2 4 3" xfId="23073"/>
    <cellStyle name="Примечание 2 3 2 4 3 2" xfId="38434"/>
    <cellStyle name="Примечание 2 3 2 4 3 3" xfId="45053"/>
    <cellStyle name="Примечание 2 3 2 4 4" xfId="12524"/>
    <cellStyle name="Примечание 2 3 2 4 4 2" xfId="46575"/>
    <cellStyle name="Примечание 2 3 2 4 5" xfId="28024"/>
    <cellStyle name="Примечание 2 3 2 4 6" xfId="44006"/>
    <cellStyle name="Примечание 2 3 2 5" xfId="2491"/>
    <cellStyle name="Примечание 2 3 2 5 2" xfId="7727"/>
    <cellStyle name="Примечание 2 3 2 5 2 2" xfId="18629"/>
    <cellStyle name="Примечание 2 3 2 5 2 3" xfId="33990"/>
    <cellStyle name="Примечание 2 3 2 5 3" xfId="23615"/>
    <cellStyle name="Примечание 2 3 2 5 3 2" xfId="38976"/>
    <cellStyle name="Примечание 2 3 2 5 4" xfId="13066"/>
    <cellStyle name="Примечание 2 3 2 5 5" xfId="28566"/>
    <cellStyle name="Примечание 2 3 2 6" xfId="2943"/>
    <cellStyle name="Примечание 2 3 2 6 2" xfId="8144"/>
    <cellStyle name="Примечание 2 3 2 6 2 2" xfId="19064"/>
    <cellStyle name="Примечание 2 3 2 6 2 3" xfId="34425"/>
    <cellStyle name="Примечание 2 3 2 6 3" xfId="24032"/>
    <cellStyle name="Примечание 2 3 2 6 3 2" xfId="39393"/>
    <cellStyle name="Примечание 2 3 2 6 4" xfId="13501"/>
    <cellStyle name="Примечание 2 3 2 6 5" xfId="28983"/>
    <cellStyle name="Примечание 2 3 2 6 6" xfId="45054"/>
    <cellStyle name="Примечание 2 3 2 7" xfId="4038"/>
    <cellStyle name="Примечание 2 3 2 7 2" xfId="9225"/>
    <cellStyle name="Примечание 2 3 2 7 2 2" xfId="20152"/>
    <cellStyle name="Примечание 2 3 2 7 2 3" xfId="35513"/>
    <cellStyle name="Примечание 2 3 2 7 3" xfId="25113"/>
    <cellStyle name="Примечание 2 3 2 7 3 2" xfId="40474"/>
    <cellStyle name="Примечание 2 3 2 7 4" xfId="14589"/>
    <cellStyle name="Примечание 2 3 2 7 5" xfId="30064"/>
    <cellStyle name="Примечание 2 3 2 8" xfId="4868"/>
    <cellStyle name="Примечание 2 3 2 8 2" xfId="10055"/>
    <cellStyle name="Примечание 2 3 2 8 2 2" xfId="20982"/>
    <cellStyle name="Примечание 2 3 2 8 2 3" xfId="36343"/>
    <cellStyle name="Примечание 2 3 2 8 3" xfId="25943"/>
    <cellStyle name="Примечание 2 3 2 8 3 2" xfId="41304"/>
    <cellStyle name="Примечание 2 3 2 8 4" xfId="15419"/>
    <cellStyle name="Примечание 2 3 2 8 5" xfId="30894"/>
    <cellStyle name="Примечание 2 3 2 9" xfId="5846"/>
    <cellStyle name="Примечание 2 3 2 9 2" xfId="17023"/>
    <cellStyle name="Примечание 2 3 2 9 3" xfId="32490"/>
    <cellStyle name="Примечание 2 3 20" xfId="539"/>
    <cellStyle name="Примечание 2 3 20 10" xfId="21735"/>
    <cellStyle name="Примечание 2 3 20 10 2" xfId="37096"/>
    <cellStyle name="Примечание 2 3 20 11" xfId="11164"/>
    <cellStyle name="Примечание 2 3 20 12" xfId="26686"/>
    <cellStyle name="Примечание 2 3 20 2" xfId="739"/>
    <cellStyle name="Примечание 2 3 20 2 10" xfId="11323"/>
    <cellStyle name="Примечание 2 3 20 2 11" xfId="26840"/>
    <cellStyle name="Примечание 2 3 20 2 2" xfId="1073"/>
    <cellStyle name="Примечание 2 3 20 2 2 2" xfId="3140"/>
    <cellStyle name="Примечание 2 3 20 2 2 2 2" xfId="8335"/>
    <cellStyle name="Примечание 2 3 20 2 2 2 2 2" xfId="19261"/>
    <cellStyle name="Примечание 2 3 20 2 2 2 2 3" xfId="34622"/>
    <cellStyle name="Примечание 2 3 20 2 2 2 3" xfId="24223"/>
    <cellStyle name="Примечание 2 3 20 2 2 2 3 2" xfId="39584"/>
    <cellStyle name="Примечание 2 3 20 2 2 2 4" xfId="13698"/>
    <cellStyle name="Примечание 2 3 20 2 2 2 5" xfId="29174"/>
    <cellStyle name="Примечание 2 3 20 2 2 3" xfId="5421"/>
    <cellStyle name="Примечание 2 3 20 2 2 3 2" xfId="10585"/>
    <cellStyle name="Примечание 2 3 20 2 2 3 2 2" xfId="21519"/>
    <cellStyle name="Примечание 2 3 20 2 2 3 2 3" xfId="36880"/>
    <cellStyle name="Примечание 2 3 20 2 2 3 3" xfId="26472"/>
    <cellStyle name="Примечание 2 3 20 2 2 3 3 2" xfId="41833"/>
    <cellStyle name="Примечание 2 3 20 2 2 3 4" xfId="15956"/>
    <cellStyle name="Примечание 2 3 20 2 2 3 5" xfId="31423"/>
    <cellStyle name="Примечание 2 3 20 2 2 4" xfId="6330"/>
    <cellStyle name="Примечание 2 3 20 2 2 4 2" xfId="16534"/>
    <cellStyle name="Примечание 2 3 20 2 2 4 3" xfId="32001"/>
    <cellStyle name="Примечание 2 3 20 2 2 5" xfId="22218"/>
    <cellStyle name="Примечание 2 3 20 2 2 5 2" xfId="37579"/>
    <cellStyle name="Примечание 2 3 20 2 2 6" xfId="11655"/>
    <cellStyle name="Примечание 2 3 20 2 2 7" xfId="27169"/>
    <cellStyle name="Примечание 2 3 20 2 3" xfId="2145"/>
    <cellStyle name="Примечание 2 3 20 2 3 2" xfId="7381"/>
    <cellStyle name="Примечание 2 3 20 2 3 2 2" xfId="18283"/>
    <cellStyle name="Примечание 2 3 20 2 3 2 3" xfId="33644"/>
    <cellStyle name="Примечание 2 3 20 2 3 3" xfId="23269"/>
    <cellStyle name="Примечание 2 3 20 2 3 3 2" xfId="38630"/>
    <cellStyle name="Примечание 2 3 20 2 3 4" xfId="12720"/>
    <cellStyle name="Примечание 2 3 20 2 3 5" xfId="28220"/>
    <cellStyle name="Примечание 2 3 20 2 4" xfId="1495"/>
    <cellStyle name="Примечание 2 3 20 2 4 2" xfId="6742"/>
    <cellStyle name="Примечание 2 3 20 2 4 2 2" xfId="16116"/>
    <cellStyle name="Примечание 2 3 20 2 4 2 3" xfId="31583"/>
    <cellStyle name="Примечание 2 3 20 2 4 3" xfId="22630"/>
    <cellStyle name="Примечание 2 3 20 2 4 3 2" xfId="37991"/>
    <cellStyle name="Примечание 2 3 20 2 4 4" xfId="12073"/>
    <cellStyle name="Примечание 2 3 20 2 4 5" xfId="27581"/>
    <cellStyle name="Примечание 2 3 20 2 5" xfId="1035"/>
    <cellStyle name="Примечание 2 3 20 2 5 2" xfId="6293"/>
    <cellStyle name="Примечание 2 3 20 2 5 2 2" xfId="16571"/>
    <cellStyle name="Примечание 2 3 20 2 5 2 3" xfId="32038"/>
    <cellStyle name="Примечание 2 3 20 2 5 3" xfId="22181"/>
    <cellStyle name="Примечание 2 3 20 2 5 3 2" xfId="37542"/>
    <cellStyle name="Примечание 2 3 20 2 5 4" xfId="11618"/>
    <cellStyle name="Примечание 2 3 20 2 5 5" xfId="27132"/>
    <cellStyle name="Примечание 2 3 20 2 6" xfId="4193"/>
    <cellStyle name="Примечание 2 3 20 2 6 2" xfId="9380"/>
    <cellStyle name="Примечание 2 3 20 2 6 2 2" xfId="20307"/>
    <cellStyle name="Примечание 2 3 20 2 6 2 3" xfId="35668"/>
    <cellStyle name="Примечание 2 3 20 2 6 3" xfId="25268"/>
    <cellStyle name="Примечание 2 3 20 2 6 3 2" xfId="40629"/>
    <cellStyle name="Примечание 2 3 20 2 6 4" xfId="14744"/>
    <cellStyle name="Примечание 2 3 20 2 6 5" xfId="30219"/>
    <cellStyle name="Примечание 2 3 20 2 7" xfId="4942"/>
    <cellStyle name="Примечание 2 3 20 2 7 2" xfId="10129"/>
    <cellStyle name="Примечание 2 3 20 2 7 2 2" xfId="21056"/>
    <cellStyle name="Примечание 2 3 20 2 7 2 3" xfId="36417"/>
    <cellStyle name="Примечание 2 3 20 2 7 3" xfId="26017"/>
    <cellStyle name="Примечание 2 3 20 2 7 3 2" xfId="41378"/>
    <cellStyle name="Примечание 2 3 20 2 7 4" xfId="15493"/>
    <cellStyle name="Примечание 2 3 20 2 7 5" xfId="30968"/>
    <cellStyle name="Примечание 2 3 20 2 8" xfId="6001"/>
    <cellStyle name="Примечание 2 3 20 2 8 2" xfId="16866"/>
    <cellStyle name="Примечание 2 3 20 2 8 3" xfId="32333"/>
    <cellStyle name="Примечание 2 3 20 2 9" xfId="21889"/>
    <cellStyle name="Примечание 2 3 20 2 9 2" xfId="37250"/>
    <cellStyle name="Примечание 2 3 20 3" xfId="985"/>
    <cellStyle name="Примечание 2 3 20 3 2" xfId="3141"/>
    <cellStyle name="Примечание 2 3 20 3 2 2" xfId="8336"/>
    <cellStyle name="Примечание 2 3 20 3 2 2 2" xfId="19262"/>
    <cellStyle name="Примечание 2 3 20 3 2 2 3" xfId="34623"/>
    <cellStyle name="Примечание 2 3 20 3 2 3" xfId="24224"/>
    <cellStyle name="Примечание 2 3 20 3 2 3 2" xfId="39585"/>
    <cellStyle name="Примечание 2 3 20 3 2 4" xfId="13699"/>
    <cellStyle name="Примечание 2 3 20 3 2 5" xfId="29175"/>
    <cellStyle name="Примечание 2 3 20 3 3" xfId="5422"/>
    <cellStyle name="Примечание 2 3 20 3 3 2" xfId="10586"/>
    <cellStyle name="Примечание 2 3 20 3 3 2 2" xfId="21520"/>
    <cellStyle name="Примечание 2 3 20 3 3 2 3" xfId="36881"/>
    <cellStyle name="Примечание 2 3 20 3 3 3" xfId="26473"/>
    <cellStyle name="Примечание 2 3 20 3 3 3 2" xfId="41834"/>
    <cellStyle name="Примечание 2 3 20 3 3 4" xfId="15957"/>
    <cellStyle name="Примечание 2 3 20 3 3 5" xfId="31424"/>
    <cellStyle name="Примечание 2 3 20 3 4" xfId="6244"/>
    <cellStyle name="Примечание 2 3 20 3 4 2" xfId="16621"/>
    <cellStyle name="Примечание 2 3 20 3 4 3" xfId="32088"/>
    <cellStyle name="Примечание 2 3 20 3 5" xfId="22132"/>
    <cellStyle name="Примечание 2 3 20 3 5 2" xfId="37493"/>
    <cellStyle name="Примечание 2 3 20 3 6" xfId="11568"/>
    <cellStyle name="Примечание 2 3 20 3 7" xfId="27083"/>
    <cellStyle name="Примечание 2 3 20 4" xfId="1950"/>
    <cellStyle name="Примечание 2 3 20 4 2" xfId="7186"/>
    <cellStyle name="Примечание 2 3 20 4 2 2" xfId="18088"/>
    <cellStyle name="Примечание 2 3 20 4 2 3" xfId="33449"/>
    <cellStyle name="Примечание 2 3 20 4 3" xfId="23074"/>
    <cellStyle name="Примечание 2 3 20 4 3 2" xfId="38435"/>
    <cellStyle name="Примечание 2 3 20 4 4" xfId="12525"/>
    <cellStyle name="Примечание 2 3 20 4 5" xfId="28025"/>
    <cellStyle name="Примечание 2 3 20 5" xfId="1882"/>
    <cellStyle name="Примечание 2 3 20 5 2" xfId="7121"/>
    <cellStyle name="Примечание 2 3 20 5 2 2" xfId="18023"/>
    <cellStyle name="Примечание 2 3 20 5 2 3" xfId="33384"/>
    <cellStyle name="Примечание 2 3 20 5 3" xfId="23009"/>
    <cellStyle name="Примечание 2 3 20 5 3 2" xfId="38370"/>
    <cellStyle name="Примечание 2 3 20 5 4" xfId="12460"/>
    <cellStyle name="Примечание 2 3 20 5 5" xfId="27960"/>
    <cellStyle name="Примечание 2 3 20 6" xfId="3569"/>
    <cellStyle name="Примечание 2 3 20 6 2" xfId="8756"/>
    <cellStyle name="Примечание 2 3 20 6 2 2" xfId="19683"/>
    <cellStyle name="Примечание 2 3 20 6 2 3" xfId="35044"/>
    <cellStyle name="Примечание 2 3 20 6 3" xfId="24644"/>
    <cellStyle name="Примечание 2 3 20 6 3 2" xfId="40005"/>
    <cellStyle name="Примечание 2 3 20 6 4" xfId="14120"/>
    <cellStyle name="Примечание 2 3 20 6 5" xfId="29595"/>
    <cellStyle name="Примечание 2 3 20 7" xfId="4039"/>
    <cellStyle name="Примечание 2 3 20 7 2" xfId="9226"/>
    <cellStyle name="Примечание 2 3 20 7 2 2" xfId="20153"/>
    <cellStyle name="Примечание 2 3 20 7 2 3" xfId="35514"/>
    <cellStyle name="Примечание 2 3 20 7 3" xfId="25114"/>
    <cellStyle name="Примечание 2 3 20 7 3 2" xfId="40475"/>
    <cellStyle name="Примечание 2 3 20 7 4" xfId="14590"/>
    <cellStyle name="Примечание 2 3 20 7 5" xfId="30065"/>
    <cellStyle name="Примечание 2 3 20 8" xfId="4679"/>
    <cellStyle name="Примечание 2 3 20 8 2" xfId="9866"/>
    <cellStyle name="Примечание 2 3 20 8 2 2" xfId="20793"/>
    <cellStyle name="Примечание 2 3 20 8 2 3" xfId="36154"/>
    <cellStyle name="Примечание 2 3 20 8 3" xfId="25754"/>
    <cellStyle name="Примечание 2 3 20 8 3 2" xfId="41115"/>
    <cellStyle name="Примечание 2 3 20 8 4" xfId="15230"/>
    <cellStyle name="Примечание 2 3 20 8 5" xfId="30705"/>
    <cellStyle name="Примечание 2 3 20 9" xfId="5847"/>
    <cellStyle name="Примечание 2 3 20 9 2" xfId="17022"/>
    <cellStyle name="Примечание 2 3 20 9 3" xfId="32489"/>
    <cellStyle name="Примечание 2 3 21" xfId="540"/>
    <cellStyle name="Примечание 2 3 21 10" xfId="21736"/>
    <cellStyle name="Примечание 2 3 21 10 2" xfId="37097"/>
    <cellStyle name="Примечание 2 3 21 11" xfId="11165"/>
    <cellStyle name="Примечание 2 3 21 12" xfId="26687"/>
    <cellStyle name="Примечание 2 3 21 2" xfId="738"/>
    <cellStyle name="Примечание 2 3 21 2 10" xfId="11322"/>
    <cellStyle name="Примечание 2 3 21 2 11" xfId="26839"/>
    <cellStyle name="Примечание 2 3 21 2 2" xfId="1340"/>
    <cellStyle name="Примечание 2 3 21 2 2 2" xfId="3144"/>
    <cellStyle name="Примечание 2 3 21 2 2 2 2" xfId="8339"/>
    <cellStyle name="Примечание 2 3 21 2 2 2 2 2" xfId="19265"/>
    <cellStyle name="Примечание 2 3 21 2 2 2 2 3" xfId="34626"/>
    <cellStyle name="Примечание 2 3 21 2 2 2 3" xfId="24227"/>
    <cellStyle name="Примечание 2 3 21 2 2 2 3 2" xfId="39588"/>
    <cellStyle name="Примечание 2 3 21 2 2 2 4" xfId="13702"/>
    <cellStyle name="Примечание 2 3 21 2 2 2 5" xfId="29178"/>
    <cellStyle name="Примечание 2 3 21 2 2 3" xfId="5423"/>
    <cellStyle name="Примечание 2 3 21 2 2 3 2" xfId="10587"/>
    <cellStyle name="Примечание 2 3 21 2 2 3 2 2" xfId="21521"/>
    <cellStyle name="Примечание 2 3 21 2 2 3 2 3" xfId="36882"/>
    <cellStyle name="Примечание 2 3 21 2 2 3 3" xfId="26474"/>
    <cellStyle name="Примечание 2 3 21 2 2 3 3 2" xfId="41835"/>
    <cellStyle name="Примечание 2 3 21 2 2 3 4" xfId="15958"/>
    <cellStyle name="Примечание 2 3 21 2 2 3 5" xfId="31425"/>
    <cellStyle name="Примечание 2 3 21 2 2 4" xfId="6593"/>
    <cellStyle name="Примечание 2 3 21 2 2 4 2" xfId="16268"/>
    <cellStyle name="Примечание 2 3 21 2 2 4 3" xfId="31735"/>
    <cellStyle name="Примечание 2 3 21 2 2 5" xfId="22481"/>
    <cellStyle name="Примечание 2 3 21 2 2 5 2" xfId="37842"/>
    <cellStyle name="Примечание 2 3 21 2 2 6" xfId="11921"/>
    <cellStyle name="Примечание 2 3 21 2 2 7" xfId="27432"/>
    <cellStyle name="Примечание 2 3 21 2 3" xfId="2144"/>
    <cellStyle name="Примечание 2 3 21 2 3 2" xfId="7380"/>
    <cellStyle name="Примечание 2 3 21 2 3 2 2" xfId="18282"/>
    <cellStyle name="Примечание 2 3 21 2 3 2 3" xfId="33643"/>
    <cellStyle name="Примечание 2 3 21 2 3 3" xfId="23268"/>
    <cellStyle name="Примечание 2 3 21 2 3 3 2" xfId="38629"/>
    <cellStyle name="Примечание 2 3 21 2 3 4" xfId="12719"/>
    <cellStyle name="Примечание 2 3 21 2 3 5" xfId="28219"/>
    <cellStyle name="Примечание 2 3 21 2 4" xfId="2363"/>
    <cellStyle name="Примечание 2 3 21 2 4 2" xfId="7599"/>
    <cellStyle name="Примечание 2 3 21 2 4 2 2" xfId="18501"/>
    <cellStyle name="Примечание 2 3 21 2 4 2 3" xfId="33862"/>
    <cellStyle name="Примечание 2 3 21 2 4 3" xfId="23487"/>
    <cellStyle name="Примечание 2 3 21 2 4 3 2" xfId="38848"/>
    <cellStyle name="Примечание 2 3 21 2 4 4" xfId="12938"/>
    <cellStyle name="Примечание 2 3 21 2 4 5" xfId="28438"/>
    <cellStyle name="Примечание 2 3 21 2 5" xfId="3811"/>
    <cellStyle name="Примечание 2 3 21 2 5 2" xfId="8998"/>
    <cellStyle name="Примечание 2 3 21 2 5 2 2" xfId="19925"/>
    <cellStyle name="Примечание 2 3 21 2 5 2 3" xfId="35286"/>
    <cellStyle name="Примечание 2 3 21 2 5 3" xfId="24886"/>
    <cellStyle name="Примечание 2 3 21 2 5 3 2" xfId="40247"/>
    <cellStyle name="Примечание 2 3 21 2 5 4" xfId="14362"/>
    <cellStyle name="Примечание 2 3 21 2 5 5" xfId="29837"/>
    <cellStyle name="Примечание 2 3 21 2 6" xfId="4192"/>
    <cellStyle name="Примечание 2 3 21 2 6 2" xfId="9379"/>
    <cellStyle name="Примечание 2 3 21 2 6 2 2" xfId="20306"/>
    <cellStyle name="Примечание 2 3 21 2 6 2 3" xfId="35667"/>
    <cellStyle name="Примечание 2 3 21 2 6 3" xfId="25267"/>
    <cellStyle name="Примечание 2 3 21 2 6 3 2" xfId="40628"/>
    <cellStyle name="Примечание 2 3 21 2 6 4" xfId="14743"/>
    <cellStyle name="Примечание 2 3 21 2 6 5" xfId="30218"/>
    <cellStyle name="Примечание 2 3 21 2 7" xfId="4604"/>
    <cellStyle name="Примечание 2 3 21 2 7 2" xfId="9791"/>
    <cellStyle name="Примечание 2 3 21 2 7 2 2" xfId="20718"/>
    <cellStyle name="Примечание 2 3 21 2 7 2 3" xfId="36079"/>
    <cellStyle name="Примечание 2 3 21 2 7 3" xfId="25679"/>
    <cellStyle name="Примечание 2 3 21 2 7 3 2" xfId="41040"/>
    <cellStyle name="Примечание 2 3 21 2 7 4" xfId="15155"/>
    <cellStyle name="Примечание 2 3 21 2 7 5" xfId="30630"/>
    <cellStyle name="Примечание 2 3 21 2 8" xfId="6000"/>
    <cellStyle name="Примечание 2 3 21 2 8 2" xfId="16867"/>
    <cellStyle name="Примечание 2 3 21 2 8 3" xfId="32334"/>
    <cellStyle name="Примечание 2 3 21 2 9" xfId="21888"/>
    <cellStyle name="Примечание 2 3 21 2 9 2" xfId="37249"/>
    <cellStyle name="Примечание 2 3 21 3" xfId="1724"/>
    <cellStyle name="Примечание 2 3 21 3 2" xfId="3145"/>
    <cellStyle name="Примечание 2 3 21 3 2 2" xfId="8340"/>
    <cellStyle name="Примечание 2 3 21 3 2 2 2" xfId="19266"/>
    <cellStyle name="Примечание 2 3 21 3 2 2 3" xfId="34627"/>
    <cellStyle name="Примечание 2 3 21 3 2 3" xfId="24228"/>
    <cellStyle name="Примечание 2 3 21 3 2 3 2" xfId="39589"/>
    <cellStyle name="Примечание 2 3 21 3 2 4" xfId="13703"/>
    <cellStyle name="Примечание 2 3 21 3 2 5" xfId="29179"/>
    <cellStyle name="Примечание 2 3 21 3 3" xfId="5424"/>
    <cellStyle name="Примечание 2 3 21 3 3 2" xfId="10588"/>
    <cellStyle name="Примечание 2 3 21 3 3 2 2" xfId="21522"/>
    <cellStyle name="Примечание 2 3 21 3 3 2 3" xfId="36883"/>
    <cellStyle name="Примечание 2 3 21 3 3 3" xfId="26475"/>
    <cellStyle name="Примечание 2 3 21 3 3 3 2" xfId="41836"/>
    <cellStyle name="Примечание 2 3 21 3 3 4" xfId="15959"/>
    <cellStyle name="Примечание 2 3 21 3 3 5" xfId="31426"/>
    <cellStyle name="Примечание 2 3 21 3 4" xfId="6964"/>
    <cellStyle name="Примечание 2 3 21 3 4 2" xfId="17865"/>
    <cellStyle name="Примечание 2 3 21 3 4 3" xfId="33226"/>
    <cellStyle name="Примечание 2 3 21 3 5" xfId="22852"/>
    <cellStyle name="Примечание 2 3 21 3 5 2" xfId="38213"/>
    <cellStyle name="Примечание 2 3 21 3 6" xfId="12302"/>
    <cellStyle name="Примечание 2 3 21 3 7" xfId="27803"/>
    <cellStyle name="Примечание 2 3 21 4" xfId="1951"/>
    <cellStyle name="Примечание 2 3 21 4 2" xfId="7187"/>
    <cellStyle name="Примечание 2 3 21 4 2 2" xfId="18089"/>
    <cellStyle name="Примечание 2 3 21 4 2 3" xfId="33450"/>
    <cellStyle name="Примечание 2 3 21 4 3" xfId="23075"/>
    <cellStyle name="Примечание 2 3 21 4 3 2" xfId="38436"/>
    <cellStyle name="Примечание 2 3 21 4 4" xfId="12526"/>
    <cellStyle name="Примечание 2 3 21 4 5" xfId="28026"/>
    <cellStyle name="Примечание 2 3 21 5" xfId="2476"/>
    <cellStyle name="Примечание 2 3 21 5 2" xfId="7712"/>
    <cellStyle name="Примечание 2 3 21 5 2 2" xfId="18614"/>
    <cellStyle name="Примечание 2 3 21 5 2 3" xfId="33975"/>
    <cellStyle name="Примечание 2 3 21 5 3" xfId="23600"/>
    <cellStyle name="Примечание 2 3 21 5 3 2" xfId="38961"/>
    <cellStyle name="Примечание 2 3 21 5 4" xfId="13051"/>
    <cellStyle name="Примечание 2 3 21 5 5" xfId="28551"/>
    <cellStyle name="Примечание 2 3 21 6" xfId="2942"/>
    <cellStyle name="Примечание 2 3 21 6 2" xfId="8143"/>
    <cellStyle name="Примечание 2 3 21 6 2 2" xfId="19063"/>
    <cellStyle name="Примечание 2 3 21 6 2 3" xfId="34424"/>
    <cellStyle name="Примечание 2 3 21 6 3" xfId="24031"/>
    <cellStyle name="Примечание 2 3 21 6 3 2" xfId="39392"/>
    <cellStyle name="Примечание 2 3 21 6 4" xfId="13500"/>
    <cellStyle name="Примечание 2 3 21 6 5" xfId="28982"/>
    <cellStyle name="Примечание 2 3 21 7" xfId="4040"/>
    <cellStyle name="Примечание 2 3 21 7 2" xfId="9227"/>
    <cellStyle name="Примечание 2 3 21 7 2 2" xfId="20154"/>
    <cellStyle name="Примечание 2 3 21 7 2 3" xfId="35515"/>
    <cellStyle name="Примечание 2 3 21 7 3" xfId="25115"/>
    <cellStyle name="Примечание 2 3 21 7 3 2" xfId="40476"/>
    <cellStyle name="Примечание 2 3 21 7 4" xfId="14591"/>
    <cellStyle name="Примечание 2 3 21 7 5" xfId="30066"/>
    <cellStyle name="Примечание 2 3 21 8" xfId="4869"/>
    <cellStyle name="Примечание 2 3 21 8 2" xfId="10056"/>
    <cellStyle name="Примечание 2 3 21 8 2 2" xfId="20983"/>
    <cellStyle name="Примечание 2 3 21 8 2 3" xfId="36344"/>
    <cellStyle name="Примечание 2 3 21 8 3" xfId="25944"/>
    <cellStyle name="Примечание 2 3 21 8 3 2" xfId="41305"/>
    <cellStyle name="Примечание 2 3 21 8 4" xfId="15420"/>
    <cellStyle name="Примечание 2 3 21 8 5" xfId="30895"/>
    <cellStyle name="Примечание 2 3 21 9" xfId="5848"/>
    <cellStyle name="Примечание 2 3 21 9 2" xfId="17021"/>
    <cellStyle name="Примечание 2 3 21 9 3" xfId="32488"/>
    <cellStyle name="Примечание 2 3 22" xfId="541"/>
    <cellStyle name="Примечание 2 3 22 10" xfId="21737"/>
    <cellStyle name="Примечание 2 3 22 10 2" xfId="37098"/>
    <cellStyle name="Примечание 2 3 22 11" xfId="11166"/>
    <cellStyle name="Примечание 2 3 22 12" xfId="26688"/>
    <cellStyle name="Примечание 2 3 22 2" xfId="737"/>
    <cellStyle name="Примечание 2 3 22 2 10" xfId="11321"/>
    <cellStyle name="Примечание 2 3 22 2 11" xfId="26838"/>
    <cellStyle name="Примечание 2 3 22 2 2" xfId="1378"/>
    <cellStyle name="Примечание 2 3 22 2 2 2" xfId="3148"/>
    <cellStyle name="Примечание 2 3 22 2 2 2 2" xfId="8343"/>
    <cellStyle name="Примечание 2 3 22 2 2 2 2 2" xfId="19269"/>
    <cellStyle name="Примечание 2 3 22 2 2 2 2 3" xfId="34630"/>
    <cellStyle name="Примечание 2 3 22 2 2 2 3" xfId="24231"/>
    <cellStyle name="Примечание 2 3 22 2 2 2 3 2" xfId="39592"/>
    <cellStyle name="Примечание 2 3 22 2 2 2 4" xfId="13706"/>
    <cellStyle name="Примечание 2 3 22 2 2 2 5" xfId="29182"/>
    <cellStyle name="Примечание 2 3 22 2 2 3" xfId="5425"/>
    <cellStyle name="Примечание 2 3 22 2 2 3 2" xfId="10589"/>
    <cellStyle name="Примечание 2 3 22 2 2 3 2 2" xfId="21523"/>
    <cellStyle name="Примечание 2 3 22 2 2 3 2 3" xfId="36884"/>
    <cellStyle name="Примечание 2 3 22 2 2 3 3" xfId="26476"/>
    <cellStyle name="Примечание 2 3 22 2 2 3 3 2" xfId="41837"/>
    <cellStyle name="Примечание 2 3 22 2 2 3 4" xfId="15960"/>
    <cellStyle name="Примечание 2 3 22 2 2 3 5" xfId="31427"/>
    <cellStyle name="Примечание 2 3 22 2 2 4" xfId="6628"/>
    <cellStyle name="Примечание 2 3 22 2 2 4 2" xfId="16231"/>
    <cellStyle name="Примечание 2 3 22 2 2 4 3" xfId="31698"/>
    <cellStyle name="Примечание 2 3 22 2 2 5" xfId="22516"/>
    <cellStyle name="Примечание 2 3 22 2 2 5 2" xfId="37877"/>
    <cellStyle name="Примечание 2 3 22 2 2 6" xfId="11958"/>
    <cellStyle name="Примечание 2 3 22 2 2 7" xfId="27467"/>
    <cellStyle name="Примечание 2 3 22 2 3" xfId="2143"/>
    <cellStyle name="Примечание 2 3 22 2 3 2" xfId="7379"/>
    <cellStyle name="Примечание 2 3 22 2 3 2 2" xfId="18281"/>
    <cellStyle name="Примечание 2 3 22 2 3 2 3" xfId="33642"/>
    <cellStyle name="Примечание 2 3 22 2 3 3" xfId="23267"/>
    <cellStyle name="Примечание 2 3 22 2 3 3 2" xfId="38628"/>
    <cellStyle name="Примечание 2 3 22 2 3 4" xfId="12718"/>
    <cellStyle name="Примечание 2 3 22 2 3 5" xfId="28218"/>
    <cellStyle name="Примечание 2 3 22 2 4" xfId="1514"/>
    <cellStyle name="Примечание 2 3 22 2 4 2" xfId="6761"/>
    <cellStyle name="Примечание 2 3 22 2 4 2 2" xfId="17656"/>
    <cellStyle name="Примечание 2 3 22 2 4 2 3" xfId="33017"/>
    <cellStyle name="Примечание 2 3 22 2 4 3" xfId="22649"/>
    <cellStyle name="Примечание 2 3 22 2 4 3 2" xfId="38010"/>
    <cellStyle name="Примечание 2 3 22 2 4 4" xfId="12092"/>
    <cellStyle name="Примечание 2 3 22 2 4 5" xfId="27600"/>
    <cellStyle name="Примечание 2 3 22 2 5" xfId="2689"/>
    <cellStyle name="Примечание 2 3 22 2 5 2" xfId="7920"/>
    <cellStyle name="Примечание 2 3 22 2 5 2 2" xfId="18824"/>
    <cellStyle name="Примечание 2 3 22 2 5 2 3" xfId="34185"/>
    <cellStyle name="Примечание 2 3 22 2 5 3" xfId="23808"/>
    <cellStyle name="Примечание 2 3 22 2 5 3 2" xfId="39169"/>
    <cellStyle name="Примечание 2 3 22 2 5 4" xfId="13261"/>
    <cellStyle name="Примечание 2 3 22 2 5 5" xfId="28759"/>
    <cellStyle name="Примечание 2 3 22 2 6" xfId="4191"/>
    <cellStyle name="Примечание 2 3 22 2 6 2" xfId="9378"/>
    <cellStyle name="Примечание 2 3 22 2 6 2 2" xfId="20305"/>
    <cellStyle name="Примечание 2 3 22 2 6 2 3" xfId="35666"/>
    <cellStyle name="Примечание 2 3 22 2 6 3" xfId="25266"/>
    <cellStyle name="Примечание 2 3 22 2 6 3 2" xfId="40627"/>
    <cellStyle name="Примечание 2 3 22 2 6 4" xfId="14742"/>
    <cellStyle name="Примечание 2 3 22 2 6 5" xfId="30217"/>
    <cellStyle name="Примечание 2 3 22 2 7" xfId="4941"/>
    <cellStyle name="Примечание 2 3 22 2 7 2" xfId="10128"/>
    <cellStyle name="Примечание 2 3 22 2 7 2 2" xfId="21055"/>
    <cellStyle name="Примечание 2 3 22 2 7 2 3" xfId="36416"/>
    <cellStyle name="Примечание 2 3 22 2 7 3" xfId="26016"/>
    <cellStyle name="Примечание 2 3 22 2 7 3 2" xfId="41377"/>
    <cellStyle name="Примечание 2 3 22 2 7 4" xfId="15492"/>
    <cellStyle name="Примечание 2 3 22 2 7 5" xfId="30967"/>
    <cellStyle name="Примечание 2 3 22 2 8" xfId="5999"/>
    <cellStyle name="Примечание 2 3 22 2 8 2" xfId="16868"/>
    <cellStyle name="Примечание 2 3 22 2 8 3" xfId="32335"/>
    <cellStyle name="Примечание 2 3 22 2 9" xfId="21887"/>
    <cellStyle name="Примечание 2 3 22 2 9 2" xfId="37248"/>
    <cellStyle name="Примечание 2 3 22 3" xfId="102"/>
    <cellStyle name="Примечание 2 3 22 3 2" xfId="3149"/>
    <cellStyle name="Примечание 2 3 22 3 2 2" xfId="8344"/>
    <cellStyle name="Примечание 2 3 22 3 2 2 2" xfId="19270"/>
    <cellStyle name="Примечание 2 3 22 3 2 2 3" xfId="34631"/>
    <cellStyle name="Примечание 2 3 22 3 2 3" xfId="24232"/>
    <cellStyle name="Примечание 2 3 22 3 2 3 2" xfId="39593"/>
    <cellStyle name="Примечание 2 3 22 3 2 4" xfId="13707"/>
    <cellStyle name="Примечание 2 3 22 3 2 5" xfId="29183"/>
    <cellStyle name="Примечание 2 3 22 3 3" xfId="5426"/>
    <cellStyle name="Примечание 2 3 22 3 3 2" xfId="10590"/>
    <cellStyle name="Примечание 2 3 22 3 3 2 2" xfId="21524"/>
    <cellStyle name="Примечание 2 3 22 3 3 2 3" xfId="36885"/>
    <cellStyle name="Примечание 2 3 22 3 3 3" xfId="26477"/>
    <cellStyle name="Примечание 2 3 22 3 3 3 2" xfId="41838"/>
    <cellStyle name="Примечание 2 3 22 3 3 4" xfId="15961"/>
    <cellStyle name="Примечание 2 3 22 3 3 5" xfId="31428"/>
    <cellStyle name="Примечание 2 3 22 3 4" xfId="5628"/>
    <cellStyle name="Примечание 2 3 22 3 4 2" xfId="17369"/>
    <cellStyle name="Примечание 2 3 22 3 4 3" xfId="32836"/>
    <cellStyle name="Примечание 2 3 22 3 5" xfId="17073"/>
    <cellStyle name="Примечание 2 3 22 3 5 2" xfId="32540"/>
    <cellStyle name="Примечание 2 3 22 3 6" xfId="10816"/>
    <cellStyle name="Примечание 2 3 22 3 7" xfId="11113"/>
    <cellStyle name="Примечание 2 3 22 4" xfId="1952"/>
    <cellStyle name="Примечание 2 3 22 4 2" xfId="7188"/>
    <cellStyle name="Примечание 2 3 22 4 2 2" xfId="18090"/>
    <cellStyle name="Примечание 2 3 22 4 2 3" xfId="33451"/>
    <cellStyle name="Примечание 2 3 22 4 3" xfId="23076"/>
    <cellStyle name="Примечание 2 3 22 4 3 2" xfId="38437"/>
    <cellStyle name="Примечание 2 3 22 4 4" xfId="12527"/>
    <cellStyle name="Примечание 2 3 22 4 5" xfId="28027"/>
    <cellStyle name="Примечание 2 3 22 5" xfId="1727"/>
    <cellStyle name="Примечание 2 3 22 5 2" xfId="6967"/>
    <cellStyle name="Примечание 2 3 22 5 2 2" xfId="17868"/>
    <cellStyle name="Примечание 2 3 22 5 2 3" xfId="33229"/>
    <cellStyle name="Примечание 2 3 22 5 3" xfId="22855"/>
    <cellStyle name="Примечание 2 3 22 5 3 2" xfId="38216"/>
    <cellStyle name="Примечание 2 3 22 5 4" xfId="12305"/>
    <cellStyle name="Примечание 2 3 22 5 5" xfId="27806"/>
    <cellStyle name="Примечание 2 3 22 6" xfId="2425"/>
    <cellStyle name="Примечание 2 3 22 6 2" xfId="7661"/>
    <cellStyle name="Примечание 2 3 22 6 2 2" xfId="18563"/>
    <cellStyle name="Примечание 2 3 22 6 2 3" xfId="33924"/>
    <cellStyle name="Примечание 2 3 22 6 3" xfId="23549"/>
    <cellStyle name="Примечание 2 3 22 6 3 2" xfId="38910"/>
    <cellStyle name="Примечание 2 3 22 6 4" xfId="13000"/>
    <cellStyle name="Примечание 2 3 22 6 5" xfId="28500"/>
    <cellStyle name="Примечание 2 3 22 7" xfId="4041"/>
    <cellStyle name="Примечание 2 3 22 7 2" xfId="9228"/>
    <cellStyle name="Примечание 2 3 22 7 2 2" xfId="20155"/>
    <cellStyle name="Примечание 2 3 22 7 2 3" xfId="35516"/>
    <cellStyle name="Примечание 2 3 22 7 3" xfId="25116"/>
    <cellStyle name="Примечание 2 3 22 7 3 2" xfId="40477"/>
    <cellStyle name="Примечание 2 3 22 7 4" xfId="14592"/>
    <cellStyle name="Примечание 2 3 22 7 5" xfId="30067"/>
    <cellStyle name="Примечание 2 3 22 8" xfId="4678"/>
    <cellStyle name="Примечание 2 3 22 8 2" xfId="9865"/>
    <cellStyle name="Примечание 2 3 22 8 2 2" xfId="20792"/>
    <cellStyle name="Примечание 2 3 22 8 2 3" xfId="36153"/>
    <cellStyle name="Примечание 2 3 22 8 3" xfId="25753"/>
    <cellStyle name="Примечание 2 3 22 8 3 2" xfId="41114"/>
    <cellStyle name="Примечание 2 3 22 8 4" xfId="15229"/>
    <cellStyle name="Примечание 2 3 22 8 5" xfId="30704"/>
    <cellStyle name="Примечание 2 3 22 9" xfId="5849"/>
    <cellStyle name="Примечание 2 3 22 9 2" xfId="17020"/>
    <cellStyle name="Примечание 2 3 22 9 3" xfId="32487"/>
    <cellStyle name="Примечание 2 3 23" xfId="751"/>
    <cellStyle name="Примечание 2 3 23 10" xfId="11335"/>
    <cellStyle name="Примечание 2 3 23 11" xfId="26852"/>
    <cellStyle name="Примечание 2 3 23 2" xfId="1782"/>
    <cellStyle name="Примечание 2 3 23 2 2" xfId="3151"/>
    <cellStyle name="Примечание 2 3 23 2 2 2" xfId="8346"/>
    <cellStyle name="Примечание 2 3 23 2 2 2 2" xfId="19272"/>
    <cellStyle name="Примечание 2 3 23 2 2 2 3" xfId="34633"/>
    <cellStyle name="Примечание 2 3 23 2 2 3" xfId="24234"/>
    <cellStyle name="Примечание 2 3 23 2 2 3 2" xfId="39595"/>
    <cellStyle name="Примечание 2 3 23 2 2 4" xfId="13709"/>
    <cellStyle name="Примечание 2 3 23 2 2 5" xfId="29185"/>
    <cellStyle name="Примечание 2 3 23 2 3" xfId="5427"/>
    <cellStyle name="Примечание 2 3 23 2 3 2" xfId="10591"/>
    <cellStyle name="Примечание 2 3 23 2 3 2 2" xfId="21525"/>
    <cellStyle name="Примечание 2 3 23 2 3 2 3" xfId="36886"/>
    <cellStyle name="Примечание 2 3 23 2 3 3" xfId="26478"/>
    <cellStyle name="Примечание 2 3 23 2 3 3 2" xfId="41839"/>
    <cellStyle name="Примечание 2 3 23 2 3 4" xfId="15962"/>
    <cellStyle name="Примечание 2 3 23 2 3 5" xfId="31429"/>
    <cellStyle name="Примечание 2 3 23 2 4" xfId="7021"/>
    <cellStyle name="Примечание 2 3 23 2 4 2" xfId="17923"/>
    <cellStyle name="Примечание 2 3 23 2 4 3" xfId="33284"/>
    <cellStyle name="Примечание 2 3 23 2 5" xfId="22909"/>
    <cellStyle name="Примечание 2 3 23 2 5 2" xfId="38270"/>
    <cellStyle name="Примечание 2 3 23 2 6" xfId="12360"/>
    <cellStyle name="Примечание 2 3 23 2 7" xfId="27860"/>
    <cellStyle name="Примечание 2 3 23 3" xfId="2157"/>
    <cellStyle name="Примечание 2 3 23 3 2" xfId="7393"/>
    <cellStyle name="Примечание 2 3 23 3 2 2" xfId="18295"/>
    <cellStyle name="Примечание 2 3 23 3 2 3" xfId="33656"/>
    <cellStyle name="Примечание 2 3 23 3 3" xfId="23281"/>
    <cellStyle name="Примечание 2 3 23 3 3 2" xfId="38642"/>
    <cellStyle name="Примечание 2 3 23 3 4" xfId="12732"/>
    <cellStyle name="Примечание 2 3 23 3 5" xfId="28232"/>
    <cellStyle name="Примечание 2 3 23 4" xfId="2773"/>
    <cellStyle name="Примечание 2 3 23 4 2" xfId="8002"/>
    <cellStyle name="Примечание 2 3 23 4 2 2" xfId="18906"/>
    <cellStyle name="Примечание 2 3 23 4 2 3" xfId="34267"/>
    <cellStyle name="Примечание 2 3 23 4 3" xfId="23890"/>
    <cellStyle name="Примечание 2 3 23 4 3 2" xfId="39251"/>
    <cellStyle name="Примечание 2 3 23 4 4" xfId="13343"/>
    <cellStyle name="Примечание 2 3 23 4 5" xfId="28841"/>
    <cellStyle name="Примечание 2 3 23 5" xfId="3808"/>
    <cellStyle name="Примечание 2 3 23 5 2" xfId="8995"/>
    <cellStyle name="Примечание 2 3 23 5 2 2" xfId="19922"/>
    <cellStyle name="Примечание 2 3 23 5 2 3" xfId="35283"/>
    <cellStyle name="Примечание 2 3 23 5 3" xfId="24883"/>
    <cellStyle name="Примечание 2 3 23 5 3 2" xfId="40244"/>
    <cellStyle name="Примечание 2 3 23 5 4" xfId="14359"/>
    <cellStyle name="Примечание 2 3 23 5 5" xfId="29834"/>
    <cellStyle name="Примечание 2 3 23 6" xfId="4205"/>
    <cellStyle name="Примечание 2 3 23 6 2" xfId="9392"/>
    <cellStyle name="Примечание 2 3 23 6 2 2" xfId="20319"/>
    <cellStyle name="Примечание 2 3 23 6 2 3" xfId="35680"/>
    <cellStyle name="Примечание 2 3 23 6 3" xfId="25280"/>
    <cellStyle name="Примечание 2 3 23 6 3 2" xfId="40641"/>
    <cellStyle name="Примечание 2 3 23 6 4" xfId="14756"/>
    <cellStyle name="Примечание 2 3 23 6 5" xfId="30231"/>
    <cellStyle name="Примечание 2 3 23 7" xfId="4598"/>
    <cellStyle name="Примечание 2 3 23 7 2" xfId="9785"/>
    <cellStyle name="Примечание 2 3 23 7 2 2" xfId="20712"/>
    <cellStyle name="Примечание 2 3 23 7 2 3" xfId="36073"/>
    <cellStyle name="Примечание 2 3 23 7 3" xfId="25673"/>
    <cellStyle name="Примечание 2 3 23 7 3 2" xfId="41034"/>
    <cellStyle name="Примечание 2 3 23 7 4" xfId="15149"/>
    <cellStyle name="Примечание 2 3 23 7 5" xfId="30624"/>
    <cellStyle name="Примечание 2 3 23 8" xfId="6013"/>
    <cellStyle name="Примечание 2 3 23 8 2" xfId="16854"/>
    <cellStyle name="Примечание 2 3 23 8 3" xfId="32321"/>
    <cellStyle name="Примечание 2 3 23 9" xfId="21901"/>
    <cellStyle name="Примечание 2 3 23 9 2" xfId="37262"/>
    <cellStyle name="Примечание 2 3 24" xfId="958"/>
    <cellStyle name="Примечание 2 3 24 2" xfId="3152"/>
    <cellStyle name="Примечание 2 3 24 2 2" xfId="8347"/>
    <cellStyle name="Примечание 2 3 24 2 2 2" xfId="19273"/>
    <cellStyle name="Примечание 2 3 24 2 2 3" xfId="34634"/>
    <cellStyle name="Примечание 2 3 24 2 3" xfId="24235"/>
    <cellStyle name="Примечание 2 3 24 2 3 2" xfId="39596"/>
    <cellStyle name="Примечание 2 3 24 2 4" xfId="13710"/>
    <cellStyle name="Примечание 2 3 24 2 5" xfId="29186"/>
    <cellStyle name="Примечание 2 3 24 3" xfId="5428"/>
    <cellStyle name="Примечание 2 3 24 3 2" xfId="10592"/>
    <cellStyle name="Примечание 2 3 24 3 2 2" xfId="21526"/>
    <cellStyle name="Примечание 2 3 24 3 2 3" xfId="36887"/>
    <cellStyle name="Примечание 2 3 24 3 3" xfId="26479"/>
    <cellStyle name="Примечание 2 3 24 3 3 2" xfId="41840"/>
    <cellStyle name="Примечание 2 3 24 3 4" xfId="15963"/>
    <cellStyle name="Примечание 2 3 24 3 5" xfId="31430"/>
    <cellStyle name="Примечание 2 3 24 4" xfId="6220"/>
    <cellStyle name="Примечание 2 3 24 4 2" xfId="16647"/>
    <cellStyle name="Примечание 2 3 24 4 3" xfId="32114"/>
    <cellStyle name="Примечание 2 3 24 5" xfId="22108"/>
    <cellStyle name="Примечание 2 3 24 5 2" xfId="37469"/>
    <cellStyle name="Примечание 2 3 24 6" xfId="11542"/>
    <cellStyle name="Примечание 2 3 24 7" xfId="27059"/>
    <cellStyle name="Примечание 2 3 25" xfId="1938"/>
    <cellStyle name="Примечание 2 3 25 2" xfId="7174"/>
    <cellStyle name="Примечание 2 3 25 2 2" xfId="18076"/>
    <cellStyle name="Примечание 2 3 25 2 3" xfId="33437"/>
    <cellStyle name="Примечание 2 3 25 3" xfId="23062"/>
    <cellStyle name="Примечание 2 3 25 3 2" xfId="38423"/>
    <cellStyle name="Примечание 2 3 25 4" xfId="12513"/>
    <cellStyle name="Примечание 2 3 25 5" xfId="28013"/>
    <cellStyle name="Примечание 2 3 26" xfId="2497"/>
    <cellStyle name="Примечание 2 3 26 2" xfId="7733"/>
    <cellStyle name="Примечание 2 3 26 2 2" xfId="18635"/>
    <cellStyle name="Примечание 2 3 26 2 3" xfId="33996"/>
    <cellStyle name="Примечание 2 3 26 3" xfId="23621"/>
    <cellStyle name="Примечание 2 3 26 3 2" xfId="38982"/>
    <cellStyle name="Примечание 2 3 26 4" xfId="13072"/>
    <cellStyle name="Примечание 2 3 26 5" xfId="28572"/>
    <cellStyle name="Примечание 2 3 27" xfId="3562"/>
    <cellStyle name="Примечание 2 3 27 2" xfId="8749"/>
    <cellStyle name="Примечание 2 3 27 2 2" xfId="19676"/>
    <cellStyle name="Примечание 2 3 27 2 3" xfId="35037"/>
    <cellStyle name="Примечание 2 3 27 3" xfId="24637"/>
    <cellStyle name="Примечание 2 3 27 3 2" xfId="39998"/>
    <cellStyle name="Примечание 2 3 27 4" xfId="14113"/>
    <cellStyle name="Примечание 2 3 27 5" xfId="29588"/>
    <cellStyle name="Примечание 2 3 27 6" xfId="45293"/>
    <cellStyle name="Примечание 2 3 28" xfId="4027"/>
    <cellStyle name="Примечание 2 3 28 2" xfId="9214"/>
    <cellStyle name="Примечание 2 3 28 2 2" xfId="20141"/>
    <cellStyle name="Примечание 2 3 28 2 3" xfId="35502"/>
    <cellStyle name="Примечание 2 3 28 3" xfId="25102"/>
    <cellStyle name="Примечание 2 3 28 3 2" xfId="40463"/>
    <cellStyle name="Примечание 2 3 28 4" xfId="14578"/>
    <cellStyle name="Примечание 2 3 28 5" xfId="30053"/>
    <cellStyle name="Примечание 2 3 29" xfId="4687"/>
    <cellStyle name="Примечание 2 3 29 2" xfId="9874"/>
    <cellStyle name="Примечание 2 3 29 2 2" xfId="20801"/>
    <cellStyle name="Примечание 2 3 29 2 3" xfId="36162"/>
    <cellStyle name="Примечание 2 3 29 3" xfId="25762"/>
    <cellStyle name="Примечание 2 3 29 3 2" xfId="41123"/>
    <cellStyle name="Примечание 2 3 29 4" xfId="15238"/>
    <cellStyle name="Примечание 2 3 29 5" xfId="30713"/>
    <cellStyle name="Примечание 2 3 3" xfId="542"/>
    <cellStyle name="Примечание 2 3 3 10" xfId="21738"/>
    <cellStyle name="Примечание 2 3 3 10 2" xfId="37099"/>
    <cellStyle name="Примечание 2 3 3 11" xfId="11167"/>
    <cellStyle name="Примечание 2 3 3 12" xfId="26689"/>
    <cellStyle name="Примечание 2 3 3 13" xfId="43864"/>
    <cellStyle name="Примечание 2 3 3 2" xfId="736"/>
    <cellStyle name="Примечание 2 3 3 2 10" xfId="11320"/>
    <cellStyle name="Примечание 2 3 3 2 11" xfId="26837"/>
    <cellStyle name="Примечание 2 3 3 2 12" xfId="44009"/>
    <cellStyle name="Примечание 2 3 3 2 2" xfId="1573"/>
    <cellStyle name="Примечание 2 3 3 2 2 2" xfId="3155"/>
    <cellStyle name="Примечание 2 3 3 2 2 2 2" xfId="8350"/>
    <cellStyle name="Примечание 2 3 3 2 2 2 2 2" xfId="19276"/>
    <cellStyle name="Примечание 2 3 3 2 2 2 2 3" xfId="34637"/>
    <cellStyle name="Примечание 2 3 3 2 2 2 3" xfId="24238"/>
    <cellStyle name="Примечание 2 3 3 2 2 2 3 2" xfId="39599"/>
    <cellStyle name="Примечание 2 3 3 2 2 2 4" xfId="13713"/>
    <cellStyle name="Примечание 2 3 3 2 2 2 5" xfId="29189"/>
    <cellStyle name="Примечание 2 3 3 2 2 3" xfId="5429"/>
    <cellStyle name="Примечание 2 3 3 2 2 3 2" xfId="10593"/>
    <cellStyle name="Примечание 2 3 3 2 2 3 2 2" xfId="21527"/>
    <cellStyle name="Примечание 2 3 3 2 2 3 2 3" xfId="36888"/>
    <cellStyle name="Примечание 2 3 3 2 2 3 3" xfId="26480"/>
    <cellStyle name="Примечание 2 3 3 2 2 3 3 2" xfId="41841"/>
    <cellStyle name="Примечание 2 3 3 2 2 3 4" xfId="15964"/>
    <cellStyle name="Примечание 2 3 3 2 2 3 5" xfId="31431"/>
    <cellStyle name="Примечание 2 3 3 2 2 4" xfId="6820"/>
    <cellStyle name="Примечание 2 3 3 2 2 4 2" xfId="17715"/>
    <cellStyle name="Примечание 2 3 3 2 2 4 3" xfId="33076"/>
    <cellStyle name="Примечание 2 3 3 2 2 5" xfId="22708"/>
    <cellStyle name="Примечание 2 3 3 2 2 5 2" xfId="38069"/>
    <cellStyle name="Примечание 2 3 3 2 2 6" xfId="12151"/>
    <cellStyle name="Примечание 2 3 3 2 2 7" xfId="27659"/>
    <cellStyle name="Примечание 2 3 3 2 3" xfId="2142"/>
    <cellStyle name="Примечание 2 3 3 2 3 2" xfId="7378"/>
    <cellStyle name="Примечание 2 3 3 2 3 2 2" xfId="18280"/>
    <cellStyle name="Примечание 2 3 3 2 3 2 3" xfId="33641"/>
    <cellStyle name="Примечание 2 3 3 2 3 3" xfId="23266"/>
    <cellStyle name="Примечание 2 3 3 2 3 3 2" xfId="38627"/>
    <cellStyle name="Примечание 2 3 3 2 3 4" xfId="12717"/>
    <cellStyle name="Примечание 2 3 3 2 3 5" xfId="28217"/>
    <cellStyle name="Примечание 2 3 3 2 4" xfId="2378"/>
    <cellStyle name="Примечание 2 3 3 2 4 2" xfId="7614"/>
    <cellStyle name="Примечание 2 3 3 2 4 2 2" xfId="18516"/>
    <cellStyle name="Примечание 2 3 3 2 4 2 3" xfId="33877"/>
    <cellStyle name="Примечание 2 3 3 2 4 3" xfId="23502"/>
    <cellStyle name="Примечание 2 3 3 2 4 3 2" xfId="38863"/>
    <cellStyle name="Примечание 2 3 3 2 4 4" xfId="12953"/>
    <cellStyle name="Примечание 2 3 3 2 4 5" xfId="28453"/>
    <cellStyle name="Примечание 2 3 3 2 5" xfId="3611"/>
    <cellStyle name="Примечание 2 3 3 2 5 2" xfId="8798"/>
    <cellStyle name="Примечание 2 3 3 2 5 2 2" xfId="19725"/>
    <cellStyle name="Примечание 2 3 3 2 5 2 3" xfId="35086"/>
    <cellStyle name="Примечание 2 3 3 2 5 3" xfId="24686"/>
    <cellStyle name="Примечание 2 3 3 2 5 3 2" xfId="40047"/>
    <cellStyle name="Примечание 2 3 3 2 5 4" xfId="14162"/>
    <cellStyle name="Примечание 2 3 3 2 5 5" xfId="29637"/>
    <cellStyle name="Примечание 2 3 3 2 5 6" xfId="45361"/>
    <cellStyle name="Примечание 2 3 3 2 6" xfId="4190"/>
    <cellStyle name="Примечание 2 3 3 2 6 2" xfId="9377"/>
    <cellStyle name="Примечание 2 3 3 2 6 2 2" xfId="20304"/>
    <cellStyle name="Примечание 2 3 3 2 6 2 3" xfId="35665"/>
    <cellStyle name="Примечание 2 3 3 2 6 3" xfId="25265"/>
    <cellStyle name="Примечание 2 3 3 2 6 3 2" xfId="40626"/>
    <cellStyle name="Примечание 2 3 3 2 6 4" xfId="14741"/>
    <cellStyle name="Примечание 2 3 3 2 6 5" xfId="30216"/>
    <cellStyle name="Примечание 2 3 3 2 7" xfId="4605"/>
    <cellStyle name="Примечание 2 3 3 2 7 2" xfId="9792"/>
    <cellStyle name="Примечание 2 3 3 2 7 2 2" xfId="20719"/>
    <cellStyle name="Примечание 2 3 3 2 7 2 3" xfId="36080"/>
    <cellStyle name="Примечание 2 3 3 2 7 3" xfId="25680"/>
    <cellStyle name="Примечание 2 3 3 2 7 3 2" xfId="41041"/>
    <cellStyle name="Примечание 2 3 3 2 7 4" xfId="15156"/>
    <cellStyle name="Примечание 2 3 3 2 7 5" xfId="30631"/>
    <cellStyle name="Примечание 2 3 3 2 8" xfId="5998"/>
    <cellStyle name="Примечание 2 3 3 2 8 2" xfId="16869"/>
    <cellStyle name="Примечание 2 3 3 2 8 3" xfId="32336"/>
    <cellStyle name="Примечание 2 3 3 2 9" xfId="21886"/>
    <cellStyle name="Примечание 2 3 3 2 9 2" xfId="37247"/>
    <cellStyle name="Примечание 2 3 3 3" xfId="1742"/>
    <cellStyle name="Примечание 2 3 3 3 2" xfId="3156"/>
    <cellStyle name="Примечание 2 3 3 3 2 2" xfId="8351"/>
    <cellStyle name="Примечание 2 3 3 3 2 2 2" xfId="19277"/>
    <cellStyle name="Примечание 2 3 3 3 2 2 3" xfId="34638"/>
    <cellStyle name="Примечание 2 3 3 3 2 3" xfId="24239"/>
    <cellStyle name="Примечание 2 3 3 3 2 3 2" xfId="39600"/>
    <cellStyle name="Примечание 2 3 3 3 2 4" xfId="13714"/>
    <cellStyle name="Примечание 2 3 3 3 2 5" xfId="29190"/>
    <cellStyle name="Примечание 2 3 3 3 3" xfId="5430"/>
    <cellStyle name="Примечание 2 3 3 3 3 2" xfId="10594"/>
    <cellStyle name="Примечание 2 3 3 3 3 2 2" xfId="21528"/>
    <cellStyle name="Примечание 2 3 3 3 3 2 3" xfId="36889"/>
    <cellStyle name="Примечание 2 3 3 3 3 3" xfId="26481"/>
    <cellStyle name="Примечание 2 3 3 3 3 3 2" xfId="41842"/>
    <cellStyle name="Примечание 2 3 3 3 3 4" xfId="15965"/>
    <cellStyle name="Примечание 2 3 3 3 3 5" xfId="31432"/>
    <cellStyle name="Примечание 2 3 3 3 4" xfId="6982"/>
    <cellStyle name="Примечание 2 3 3 3 4 2" xfId="17883"/>
    <cellStyle name="Примечание 2 3 3 3 4 3" xfId="33244"/>
    <cellStyle name="Примечание 2 3 3 3 5" xfId="22870"/>
    <cellStyle name="Примечание 2 3 3 3 5 2" xfId="38231"/>
    <cellStyle name="Примечание 2 3 3 3 6" xfId="12320"/>
    <cellStyle name="Примечание 2 3 3 3 7" xfId="27821"/>
    <cellStyle name="Примечание 2 3 3 4" xfId="1953"/>
    <cellStyle name="Примечание 2 3 3 4 2" xfId="7189"/>
    <cellStyle name="Примечание 2 3 3 4 2 2" xfId="18091"/>
    <cellStyle name="Примечание 2 3 3 4 2 3" xfId="33452"/>
    <cellStyle name="Примечание 2 3 3 4 3" xfId="23077"/>
    <cellStyle name="Примечание 2 3 3 4 3 2" xfId="38438"/>
    <cellStyle name="Примечание 2 3 3 4 4" xfId="12528"/>
    <cellStyle name="Примечание 2 3 3 4 5" xfId="28028"/>
    <cellStyle name="Примечание 2 3 3 5" xfId="1077"/>
    <cellStyle name="Примечание 2 3 3 5 2" xfId="6334"/>
    <cellStyle name="Примечание 2 3 3 5 2 2" xfId="16530"/>
    <cellStyle name="Примечание 2 3 3 5 2 3" xfId="31997"/>
    <cellStyle name="Примечание 2 3 3 5 3" xfId="22222"/>
    <cellStyle name="Примечание 2 3 3 5 3 2" xfId="37583"/>
    <cellStyle name="Примечание 2 3 3 5 4" xfId="11659"/>
    <cellStyle name="Примечание 2 3 3 5 5" xfId="27173"/>
    <cellStyle name="Примечание 2 3 3 6" xfId="2941"/>
    <cellStyle name="Примечание 2 3 3 6 2" xfId="8142"/>
    <cellStyle name="Примечание 2 3 3 6 2 2" xfId="19062"/>
    <cellStyle name="Примечание 2 3 3 6 2 3" xfId="34423"/>
    <cellStyle name="Примечание 2 3 3 6 3" xfId="24030"/>
    <cellStyle name="Примечание 2 3 3 6 3 2" xfId="39391"/>
    <cellStyle name="Примечание 2 3 3 6 4" xfId="13499"/>
    <cellStyle name="Примечание 2 3 3 6 5" xfId="28981"/>
    <cellStyle name="Примечание 2 3 3 6 6" xfId="45320"/>
    <cellStyle name="Примечание 2 3 3 7" xfId="4042"/>
    <cellStyle name="Примечание 2 3 3 7 2" xfId="9229"/>
    <cellStyle name="Примечание 2 3 3 7 2 2" xfId="20156"/>
    <cellStyle name="Примечание 2 3 3 7 2 3" xfId="35517"/>
    <cellStyle name="Примечание 2 3 3 7 3" xfId="25117"/>
    <cellStyle name="Примечание 2 3 3 7 3 2" xfId="40478"/>
    <cellStyle name="Примечание 2 3 3 7 4" xfId="14593"/>
    <cellStyle name="Примечание 2 3 3 7 5" xfId="30068"/>
    <cellStyle name="Примечание 2 3 3 8" xfId="4870"/>
    <cellStyle name="Примечание 2 3 3 8 2" xfId="10057"/>
    <cellStyle name="Примечание 2 3 3 8 2 2" xfId="20984"/>
    <cellStyle name="Примечание 2 3 3 8 2 3" xfId="36345"/>
    <cellStyle name="Примечание 2 3 3 8 3" xfId="25945"/>
    <cellStyle name="Примечание 2 3 3 8 3 2" xfId="41306"/>
    <cellStyle name="Примечание 2 3 3 8 4" xfId="15421"/>
    <cellStyle name="Примечание 2 3 3 8 5" xfId="30896"/>
    <cellStyle name="Примечание 2 3 3 9" xfId="5850"/>
    <cellStyle name="Примечание 2 3 3 9 2" xfId="17019"/>
    <cellStyle name="Примечание 2 3 3 9 3" xfId="32486"/>
    <cellStyle name="Примечание 2 3 30" xfId="5835"/>
    <cellStyle name="Примечание 2 3 30 2" xfId="17034"/>
    <cellStyle name="Примечание 2 3 30 3" xfId="32501"/>
    <cellStyle name="Примечание 2 3 31" xfId="21723"/>
    <cellStyle name="Примечание 2 3 31 2" xfId="37084"/>
    <cellStyle name="Примечание 2 3 32" xfId="11152"/>
    <cellStyle name="Примечание 2 3 33" xfId="26674"/>
    <cellStyle name="Примечание 2 3 34" xfId="43771"/>
    <cellStyle name="Примечание 2 3 4" xfId="543"/>
    <cellStyle name="Примечание 2 3 4 10" xfId="21739"/>
    <cellStyle name="Примечание 2 3 4 10 2" xfId="37100"/>
    <cellStyle name="Примечание 2 3 4 11" xfId="11168"/>
    <cellStyle name="Примечание 2 3 4 12" xfId="26690"/>
    <cellStyle name="Примечание 2 3 4 13" xfId="43860"/>
    <cellStyle name="Примечание 2 3 4 2" xfId="735"/>
    <cellStyle name="Примечание 2 3 4 2 10" xfId="11319"/>
    <cellStyle name="Примечание 2 3 4 2 11" xfId="26836"/>
    <cellStyle name="Примечание 2 3 4 2 2" xfId="1429"/>
    <cellStyle name="Примечание 2 3 4 2 2 2" xfId="3159"/>
    <cellStyle name="Примечание 2 3 4 2 2 2 2" xfId="8354"/>
    <cellStyle name="Примечание 2 3 4 2 2 2 2 2" xfId="19280"/>
    <cellStyle name="Примечание 2 3 4 2 2 2 2 3" xfId="34641"/>
    <cellStyle name="Примечание 2 3 4 2 2 2 3" xfId="24242"/>
    <cellStyle name="Примечание 2 3 4 2 2 2 3 2" xfId="39603"/>
    <cellStyle name="Примечание 2 3 4 2 2 2 4" xfId="13717"/>
    <cellStyle name="Примечание 2 3 4 2 2 2 5" xfId="29193"/>
    <cellStyle name="Примечание 2 3 4 2 2 3" xfId="5431"/>
    <cellStyle name="Примечание 2 3 4 2 2 3 2" xfId="10595"/>
    <cellStyle name="Примечание 2 3 4 2 2 3 2 2" xfId="21529"/>
    <cellStyle name="Примечание 2 3 4 2 2 3 2 3" xfId="36890"/>
    <cellStyle name="Примечание 2 3 4 2 2 3 3" xfId="26482"/>
    <cellStyle name="Примечание 2 3 4 2 2 3 3 2" xfId="41843"/>
    <cellStyle name="Примечание 2 3 4 2 2 3 4" xfId="15966"/>
    <cellStyle name="Примечание 2 3 4 2 2 3 5" xfId="31433"/>
    <cellStyle name="Примечание 2 3 4 2 2 4" xfId="6677"/>
    <cellStyle name="Примечание 2 3 4 2 2 4 2" xfId="16181"/>
    <cellStyle name="Примечание 2 3 4 2 2 4 3" xfId="31648"/>
    <cellStyle name="Примечание 2 3 4 2 2 5" xfId="22565"/>
    <cellStyle name="Примечание 2 3 4 2 2 5 2" xfId="37926"/>
    <cellStyle name="Примечание 2 3 4 2 2 6" xfId="12008"/>
    <cellStyle name="Примечание 2 3 4 2 2 7" xfId="27516"/>
    <cellStyle name="Примечание 2 3 4 2 3" xfId="2141"/>
    <cellStyle name="Примечание 2 3 4 2 3 2" xfId="7377"/>
    <cellStyle name="Примечание 2 3 4 2 3 2 2" xfId="18279"/>
    <cellStyle name="Примечание 2 3 4 2 3 2 3" xfId="33640"/>
    <cellStyle name="Примечание 2 3 4 2 3 3" xfId="23265"/>
    <cellStyle name="Примечание 2 3 4 2 3 3 2" xfId="38626"/>
    <cellStyle name="Примечание 2 3 4 2 3 4" xfId="12716"/>
    <cellStyle name="Примечание 2 3 4 2 3 5" xfId="28216"/>
    <cellStyle name="Примечание 2 3 4 2 4" xfId="2876"/>
    <cellStyle name="Примечание 2 3 4 2 4 2" xfId="8083"/>
    <cellStyle name="Примечание 2 3 4 2 4 2 2" xfId="19003"/>
    <cellStyle name="Примечание 2 3 4 2 4 2 3" xfId="34364"/>
    <cellStyle name="Примечание 2 3 4 2 4 3" xfId="23971"/>
    <cellStyle name="Примечание 2 3 4 2 4 3 2" xfId="39332"/>
    <cellStyle name="Примечание 2 3 4 2 4 4" xfId="13440"/>
    <cellStyle name="Примечание 2 3 4 2 4 5" xfId="28922"/>
    <cellStyle name="Примечание 2 3 4 2 5" xfId="2517"/>
    <cellStyle name="Примечание 2 3 4 2 5 2" xfId="7750"/>
    <cellStyle name="Примечание 2 3 4 2 5 2 2" xfId="18652"/>
    <cellStyle name="Примечание 2 3 4 2 5 2 3" xfId="34013"/>
    <cellStyle name="Примечание 2 3 4 2 5 3" xfId="23638"/>
    <cellStyle name="Примечание 2 3 4 2 5 3 2" xfId="38999"/>
    <cellStyle name="Примечание 2 3 4 2 5 4" xfId="13089"/>
    <cellStyle name="Примечание 2 3 4 2 5 5" xfId="28589"/>
    <cellStyle name="Примечание 2 3 4 2 6" xfId="4189"/>
    <cellStyle name="Примечание 2 3 4 2 6 2" xfId="9376"/>
    <cellStyle name="Примечание 2 3 4 2 6 2 2" xfId="20303"/>
    <cellStyle name="Примечание 2 3 4 2 6 2 3" xfId="35664"/>
    <cellStyle name="Примечание 2 3 4 2 6 3" xfId="25264"/>
    <cellStyle name="Примечание 2 3 4 2 6 3 2" xfId="40625"/>
    <cellStyle name="Примечание 2 3 4 2 6 4" xfId="14740"/>
    <cellStyle name="Примечание 2 3 4 2 6 5" xfId="30215"/>
    <cellStyle name="Примечание 2 3 4 2 7" xfId="4940"/>
    <cellStyle name="Примечание 2 3 4 2 7 2" xfId="10127"/>
    <cellStyle name="Примечание 2 3 4 2 7 2 2" xfId="21054"/>
    <cellStyle name="Примечание 2 3 4 2 7 2 3" xfId="36415"/>
    <cellStyle name="Примечание 2 3 4 2 7 3" xfId="26015"/>
    <cellStyle name="Примечание 2 3 4 2 7 3 2" xfId="41376"/>
    <cellStyle name="Примечание 2 3 4 2 7 4" xfId="15491"/>
    <cellStyle name="Примечание 2 3 4 2 7 5" xfId="30966"/>
    <cellStyle name="Примечание 2 3 4 2 8" xfId="5997"/>
    <cellStyle name="Примечание 2 3 4 2 8 2" xfId="16870"/>
    <cellStyle name="Примечание 2 3 4 2 8 3" xfId="32337"/>
    <cellStyle name="Примечание 2 3 4 2 9" xfId="21885"/>
    <cellStyle name="Примечание 2 3 4 2 9 2" xfId="37246"/>
    <cellStyle name="Примечание 2 3 4 3" xfId="1418"/>
    <cellStyle name="Примечание 2 3 4 3 2" xfId="3160"/>
    <cellStyle name="Примечание 2 3 4 3 2 2" xfId="8355"/>
    <cellStyle name="Примечание 2 3 4 3 2 2 2" xfId="19281"/>
    <cellStyle name="Примечание 2 3 4 3 2 2 3" xfId="34642"/>
    <cellStyle name="Примечание 2 3 4 3 2 3" xfId="24243"/>
    <cellStyle name="Примечание 2 3 4 3 2 3 2" xfId="39604"/>
    <cellStyle name="Примечание 2 3 4 3 2 4" xfId="13718"/>
    <cellStyle name="Примечание 2 3 4 3 2 5" xfId="29194"/>
    <cellStyle name="Примечание 2 3 4 3 3" xfId="5432"/>
    <cellStyle name="Примечание 2 3 4 3 3 2" xfId="10596"/>
    <cellStyle name="Примечание 2 3 4 3 3 2 2" xfId="21530"/>
    <cellStyle name="Примечание 2 3 4 3 3 2 3" xfId="36891"/>
    <cellStyle name="Примечание 2 3 4 3 3 3" xfId="26483"/>
    <cellStyle name="Примечание 2 3 4 3 3 3 2" xfId="41844"/>
    <cellStyle name="Примечание 2 3 4 3 3 4" xfId="15967"/>
    <cellStyle name="Примечание 2 3 4 3 3 5" xfId="31434"/>
    <cellStyle name="Примечание 2 3 4 3 4" xfId="6666"/>
    <cellStyle name="Примечание 2 3 4 3 4 2" xfId="16192"/>
    <cellStyle name="Примечание 2 3 4 3 4 3" xfId="31659"/>
    <cellStyle name="Примечание 2 3 4 3 5" xfId="22554"/>
    <cellStyle name="Примечание 2 3 4 3 5 2" xfId="37915"/>
    <cellStyle name="Примечание 2 3 4 3 6" xfId="11997"/>
    <cellStyle name="Примечание 2 3 4 3 7" xfId="27505"/>
    <cellStyle name="Примечание 2 3 4 4" xfId="1954"/>
    <cellStyle name="Примечание 2 3 4 4 2" xfId="7190"/>
    <cellStyle name="Примечание 2 3 4 4 2 2" xfId="18092"/>
    <cellStyle name="Примечание 2 3 4 4 2 3" xfId="33453"/>
    <cellStyle name="Примечание 2 3 4 4 3" xfId="23078"/>
    <cellStyle name="Примечание 2 3 4 4 3 2" xfId="38439"/>
    <cellStyle name="Примечание 2 3 4 4 4" xfId="12529"/>
    <cellStyle name="Примечание 2 3 4 4 5" xfId="28029"/>
    <cellStyle name="Примечание 2 3 4 5" xfId="2715"/>
    <cellStyle name="Примечание 2 3 4 5 2" xfId="7944"/>
    <cellStyle name="Примечание 2 3 4 5 2 2" xfId="18848"/>
    <cellStyle name="Примечание 2 3 4 5 2 3" xfId="34209"/>
    <cellStyle name="Примечание 2 3 4 5 3" xfId="23832"/>
    <cellStyle name="Примечание 2 3 4 5 3 2" xfId="39193"/>
    <cellStyle name="Примечание 2 3 4 5 4" xfId="13285"/>
    <cellStyle name="Примечание 2 3 4 5 5" xfId="28783"/>
    <cellStyle name="Примечание 2 3 4 6" xfId="3410"/>
    <cellStyle name="Примечание 2 3 4 6 2" xfId="8604"/>
    <cellStyle name="Примечание 2 3 4 6 2 2" xfId="19531"/>
    <cellStyle name="Примечание 2 3 4 6 2 3" xfId="34892"/>
    <cellStyle name="Примечание 2 3 4 6 3" xfId="24492"/>
    <cellStyle name="Примечание 2 3 4 6 3 2" xfId="39853"/>
    <cellStyle name="Примечание 2 3 4 6 4" xfId="13968"/>
    <cellStyle name="Примечание 2 3 4 6 5" xfId="29443"/>
    <cellStyle name="Примечание 2 3 4 6 6" xfId="45319"/>
    <cellStyle name="Примечание 2 3 4 7" xfId="4043"/>
    <cellStyle name="Примечание 2 3 4 7 2" xfId="9230"/>
    <cellStyle name="Примечание 2 3 4 7 2 2" xfId="20157"/>
    <cellStyle name="Примечание 2 3 4 7 2 3" xfId="35518"/>
    <cellStyle name="Примечание 2 3 4 7 3" xfId="25118"/>
    <cellStyle name="Примечание 2 3 4 7 3 2" xfId="40479"/>
    <cellStyle name="Примечание 2 3 4 7 4" xfId="14594"/>
    <cellStyle name="Примечание 2 3 4 7 5" xfId="30069"/>
    <cellStyle name="Примечание 2 3 4 8" xfId="4677"/>
    <cellStyle name="Примечание 2 3 4 8 2" xfId="9864"/>
    <cellStyle name="Примечание 2 3 4 8 2 2" xfId="20791"/>
    <cellStyle name="Примечание 2 3 4 8 2 3" xfId="36152"/>
    <cellStyle name="Примечание 2 3 4 8 3" xfId="25752"/>
    <cellStyle name="Примечание 2 3 4 8 3 2" xfId="41113"/>
    <cellStyle name="Примечание 2 3 4 8 4" xfId="15228"/>
    <cellStyle name="Примечание 2 3 4 8 5" xfId="30703"/>
    <cellStyle name="Примечание 2 3 4 9" xfId="5851"/>
    <cellStyle name="Примечание 2 3 4 9 2" xfId="17018"/>
    <cellStyle name="Примечание 2 3 4 9 3" xfId="32485"/>
    <cellStyle name="Примечание 2 3 5" xfId="544"/>
    <cellStyle name="Примечание 2 3 5 10" xfId="21740"/>
    <cellStyle name="Примечание 2 3 5 10 2" xfId="37101"/>
    <cellStyle name="Примечание 2 3 5 11" xfId="11169"/>
    <cellStyle name="Примечание 2 3 5 12" xfId="26691"/>
    <cellStyle name="Примечание 2 3 5 13" xfId="44005"/>
    <cellStyle name="Примечание 2 3 5 2" xfId="734"/>
    <cellStyle name="Примечание 2 3 5 2 10" xfId="11318"/>
    <cellStyle name="Примечание 2 3 5 2 11" xfId="26835"/>
    <cellStyle name="Примечание 2 3 5 2 2" xfId="1038"/>
    <cellStyle name="Примечание 2 3 5 2 2 2" xfId="3161"/>
    <cellStyle name="Примечание 2 3 5 2 2 2 2" xfId="8356"/>
    <cellStyle name="Примечание 2 3 5 2 2 2 2 2" xfId="19282"/>
    <cellStyle name="Примечание 2 3 5 2 2 2 2 3" xfId="34643"/>
    <cellStyle name="Примечание 2 3 5 2 2 2 3" xfId="24244"/>
    <cellStyle name="Примечание 2 3 5 2 2 2 3 2" xfId="39605"/>
    <cellStyle name="Примечание 2 3 5 2 2 2 4" xfId="13719"/>
    <cellStyle name="Примечание 2 3 5 2 2 2 5" xfId="29195"/>
    <cellStyle name="Примечание 2 3 5 2 2 3" xfId="5433"/>
    <cellStyle name="Примечание 2 3 5 2 2 3 2" xfId="10597"/>
    <cellStyle name="Примечание 2 3 5 2 2 3 2 2" xfId="21531"/>
    <cellStyle name="Примечание 2 3 5 2 2 3 2 3" xfId="36892"/>
    <cellStyle name="Примечание 2 3 5 2 2 3 3" xfId="26484"/>
    <cellStyle name="Примечание 2 3 5 2 2 3 3 2" xfId="41845"/>
    <cellStyle name="Примечание 2 3 5 2 2 3 4" xfId="15968"/>
    <cellStyle name="Примечание 2 3 5 2 2 3 5" xfId="31435"/>
    <cellStyle name="Примечание 2 3 5 2 2 4" xfId="6296"/>
    <cellStyle name="Примечание 2 3 5 2 2 4 2" xfId="16568"/>
    <cellStyle name="Примечание 2 3 5 2 2 4 3" xfId="32035"/>
    <cellStyle name="Примечание 2 3 5 2 2 5" xfId="22184"/>
    <cellStyle name="Примечание 2 3 5 2 2 5 2" xfId="37545"/>
    <cellStyle name="Примечание 2 3 5 2 2 6" xfId="11621"/>
    <cellStyle name="Примечание 2 3 5 2 2 7" xfId="27135"/>
    <cellStyle name="Примечание 2 3 5 2 3" xfId="2140"/>
    <cellStyle name="Примечание 2 3 5 2 3 2" xfId="7376"/>
    <cellStyle name="Примечание 2 3 5 2 3 2 2" xfId="18278"/>
    <cellStyle name="Примечание 2 3 5 2 3 2 3" xfId="33639"/>
    <cellStyle name="Примечание 2 3 5 2 3 3" xfId="23264"/>
    <cellStyle name="Примечание 2 3 5 2 3 3 2" xfId="38625"/>
    <cellStyle name="Примечание 2 3 5 2 3 4" xfId="12715"/>
    <cellStyle name="Примечание 2 3 5 2 3 5" xfId="28215"/>
    <cellStyle name="Примечание 2 3 5 2 4" xfId="2366"/>
    <cellStyle name="Примечание 2 3 5 2 4 2" xfId="7602"/>
    <cellStyle name="Примечание 2 3 5 2 4 2 2" xfId="18504"/>
    <cellStyle name="Примечание 2 3 5 2 4 2 3" xfId="33865"/>
    <cellStyle name="Примечание 2 3 5 2 4 3" xfId="23490"/>
    <cellStyle name="Примечание 2 3 5 2 4 3 2" xfId="38851"/>
    <cellStyle name="Примечание 2 3 5 2 4 4" xfId="12941"/>
    <cellStyle name="Примечание 2 3 5 2 4 5" xfId="28441"/>
    <cellStyle name="Примечание 2 3 5 2 5" xfId="3812"/>
    <cellStyle name="Примечание 2 3 5 2 5 2" xfId="8999"/>
    <cellStyle name="Примечание 2 3 5 2 5 2 2" xfId="19926"/>
    <cellStyle name="Примечание 2 3 5 2 5 2 3" xfId="35287"/>
    <cellStyle name="Примечание 2 3 5 2 5 3" xfId="24887"/>
    <cellStyle name="Примечание 2 3 5 2 5 3 2" xfId="40248"/>
    <cellStyle name="Примечание 2 3 5 2 5 4" xfId="14363"/>
    <cellStyle name="Примечание 2 3 5 2 5 5" xfId="29838"/>
    <cellStyle name="Примечание 2 3 5 2 6" xfId="4188"/>
    <cellStyle name="Примечание 2 3 5 2 6 2" xfId="9375"/>
    <cellStyle name="Примечание 2 3 5 2 6 2 2" xfId="20302"/>
    <cellStyle name="Примечание 2 3 5 2 6 2 3" xfId="35663"/>
    <cellStyle name="Примечание 2 3 5 2 6 3" xfId="25263"/>
    <cellStyle name="Примечание 2 3 5 2 6 3 2" xfId="40624"/>
    <cellStyle name="Примечание 2 3 5 2 6 4" xfId="14739"/>
    <cellStyle name="Примечание 2 3 5 2 6 5" xfId="30214"/>
    <cellStyle name="Примечание 2 3 5 2 7" xfId="4606"/>
    <cellStyle name="Примечание 2 3 5 2 7 2" xfId="9793"/>
    <cellStyle name="Примечание 2 3 5 2 7 2 2" xfId="20720"/>
    <cellStyle name="Примечание 2 3 5 2 7 2 3" xfId="36081"/>
    <cellStyle name="Примечание 2 3 5 2 7 3" xfId="25681"/>
    <cellStyle name="Примечание 2 3 5 2 7 3 2" xfId="41042"/>
    <cellStyle name="Примечание 2 3 5 2 7 4" xfId="15157"/>
    <cellStyle name="Примечание 2 3 5 2 7 5" xfId="30632"/>
    <cellStyle name="Примечание 2 3 5 2 8" xfId="5996"/>
    <cellStyle name="Примечание 2 3 5 2 8 2" xfId="16871"/>
    <cellStyle name="Примечание 2 3 5 2 8 3" xfId="32338"/>
    <cellStyle name="Примечание 2 3 5 2 9" xfId="21884"/>
    <cellStyle name="Примечание 2 3 5 2 9 2" xfId="37245"/>
    <cellStyle name="Примечание 2 3 5 3" xfId="1311"/>
    <cellStyle name="Примечание 2 3 5 3 2" xfId="3162"/>
    <cellStyle name="Примечание 2 3 5 3 2 2" xfId="8357"/>
    <cellStyle name="Примечание 2 3 5 3 2 2 2" xfId="19283"/>
    <cellStyle name="Примечание 2 3 5 3 2 2 3" xfId="34644"/>
    <cellStyle name="Примечание 2 3 5 3 2 3" xfId="24245"/>
    <cellStyle name="Примечание 2 3 5 3 2 3 2" xfId="39606"/>
    <cellStyle name="Примечание 2 3 5 3 2 4" xfId="13720"/>
    <cellStyle name="Примечание 2 3 5 3 2 5" xfId="29196"/>
    <cellStyle name="Примечание 2 3 5 3 3" xfId="5434"/>
    <cellStyle name="Примечание 2 3 5 3 3 2" xfId="10598"/>
    <cellStyle name="Примечание 2 3 5 3 3 2 2" xfId="21532"/>
    <cellStyle name="Примечание 2 3 5 3 3 2 3" xfId="36893"/>
    <cellStyle name="Примечание 2 3 5 3 3 3" xfId="26485"/>
    <cellStyle name="Примечание 2 3 5 3 3 3 2" xfId="41846"/>
    <cellStyle name="Примечание 2 3 5 3 3 4" xfId="15969"/>
    <cellStyle name="Примечание 2 3 5 3 3 5" xfId="31436"/>
    <cellStyle name="Примечание 2 3 5 3 4" xfId="6564"/>
    <cellStyle name="Примечание 2 3 5 3 4 2" xfId="16297"/>
    <cellStyle name="Примечание 2 3 5 3 4 3" xfId="31764"/>
    <cellStyle name="Примечание 2 3 5 3 5" xfId="22452"/>
    <cellStyle name="Примечание 2 3 5 3 5 2" xfId="37813"/>
    <cellStyle name="Примечание 2 3 5 3 6" xfId="11892"/>
    <cellStyle name="Примечание 2 3 5 3 7" xfId="27403"/>
    <cellStyle name="Примечание 2 3 5 4" xfId="1955"/>
    <cellStyle name="Примечание 2 3 5 4 2" xfId="7191"/>
    <cellStyle name="Примечание 2 3 5 4 2 2" xfId="18093"/>
    <cellStyle name="Примечание 2 3 5 4 2 3" xfId="33454"/>
    <cellStyle name="Примечание 2 3 5 4 3" xfId="23079"/>
    <cellStyle name="Примечание 2 3 5 4 3 2" xfId="38440"/>
    <cellStyle name="Примечание 2 3 5 4 4" xfId="12530"/>
    <cellStyle name="Примечание 2 3 5 4 5" xfId="28030"/>
    <cellStyle name="Примечание 2 3 5 5" xfId="2069"/>
    <cellStyle name="Примечание 2 3 5 5 2" xfId="7305"/>
    <cellStyle name="Примечание 2 3 5 5 2 2" xfId="18207"/>
    <cellStyle name="Примечание 2 3 5 5 2 3" xfId="33568"/>
    <cellStyle name="Примечание 2 3 5 5 3" xfId="23193"/>
    <cellStyle name="Примечание 2 3 5 5 3 2" xfId="38554"/>
    <cellStyle name="Примечание 2 3 5 5 4" xfId="12644"/>
    <cellStyle name="Примечание 2 3 5 5 5" xfId="28144"/>
    <cellStyle name="Примечание 2 3 5 6" xfId="2940"/>
    <cellStyle name="Примечание 2 3 5 6 2" xfId="8141"/>
    <cellStyle name="Примечание 2 3 5 6 2 2" xfId="19061"/>
    <cellStyle name="Примечание 2 3 5 6 2 3" xfId="34422"/>
    <cellStyle name="Примечание 2 3 5 6 3" xfId="24029"/>
    <cellStyle name="Примечание 2 3 5 6 3 2" xfId="39390"/>
    <cellStyle name="Примечание 2 3 5 6 4" xfId="13498"/>
    <cellStyle name="Примечание 2 3 5 6 5" xfId="28980"/>
    <cellStyle name="Примечание 2 3 5 6 6" xfId="45360"/>
    <cellStyle name="Примечание 2 3 5 7" xfId="4044"/>
    <cellStyle name="Примечание 2 3 5 7 2" xfId="9231"/>
    <cellStyle name="Примечание 2 3 5 7 2 2" xfId="20158"/>
    <cellStyle name="Примечание 2 3 5 7 2 3" xfId="35519"/>
    <cellStyle name="Примечание 2 3 5 7 3" xfId="25119"/>
    <cellStyle name="Примечание 2 3 5 7 3 2" xfId="40480"/>
    <cellStyle name="Примечание 2 3 5 7 4" xfId="14595"/>
    <cellStyle name="Примечание 2 3 5 7 5" xfId="30070"/>
    <cellStyle name="Примечание 2 3 5 8" xfId="4871"/>
    <cellStyle name="Примечание 2 3 5 8 2" xfId="10058"/>
    <cellStyle name="Примечание 2 3 5 8 2 2" xfId="20985"/>
    <cellStyle name="Примечание 2 3 5 8 2 3" xfId="36346"/>
    <cellStyle name="Примечание 2 3 5 8 3" xfId="25946"/>
    <cellStyle name="Примечание 2 3 5 8 3 2" xfId="41307"/>
    <cellStyle name="Примечание 2 3 5 8 4" xfId="15422"/>
    <cellStyle name="Примечание 2 3 5 8 5" xfId="30897"/>
    <cellStyle name="Примечание 2 3 5 9" xfId="5852"/>
    <cellStyle name="Примечание 2 3 5 9 2" xfId="17017"/>
    <cellStyle name="Примечание 2 3 5 9 3" xfId="32484"/>
    <cellStyle name="Примечание 2 3 6" xfId="545"/>
    <cellStyle name="Примечание 2 3 6 10" xfId="21741"/>
    <cellStyle name="Примечание 2 3 6 10 2" xfId="37102"/>
    <cellStyle name="Примечание 2 3 6 11" xfId="11170"/>
    <cellStyle name="Примечание 2 3 6 12" xfId="26692"/>
    <cellStyle name="Примечание 2 3 6 2" xfId="733"/>
    <cellStyle name="Примечание 2 3 6 2 10" xfId="11317"/>
    <cellStyle name="Примечание 2 3 6 2 11" xfId="26834"/>
    <cellStyle name="Примечание 2 3 6 2 2" xfId="972"/>
    <cellStyle name="Примечание 2 3 6 2 2 2" xfId="3163"/>
    <cellStyle name="Примечание 2 3 6 2 2 2 2" xfId="8358"/>
    <cellStyle name="Примечание 2 3 6 2 2 2 2 2" xfId="19284"/>
    <cellStyle name="Примечание 2 3 6 2 2 2 2 3" xfId="34645"/>
    <cellStyle name="Примечание 2 3 6 2 2 2 3" xfId="24246"/>
    <cellStyle name="Примечание 2 3 6 2 2 2 3 2" xfId="39607"/>
    <cellStyle name="Примечание 2 3 6 2 2 2 4" xfId="13721"/>
    <cellStyle name="Примечание 2 3 6 2 2 2 5" xfId="29197"/>
    <cellStyle name="Примечание 2 3 6 2 2 3" xfId="5435"/>
    <cellStyle name="Примечание 2 3 6 2 2 3 2" xfId="10599"/>
    <cellStyle name="Примечание 2 3 6 2 2 3 2 2" xfId="21533"/>
    <cellStyle name="Примечание 2 3 6 2 2 3 2 3" xfId="36894"/>
    <cellStyle name="Примечание 2 3 6 2 2 3 3" xfId="26486"/>
    <cellStyle name="Примечание 2 3 6 2 2 3 3 2" xfId="41847"/>
    <cellStyle name="Примечание 2 3 6 2 2 3 4" xfId="15970"/>
    <cellStyle name="Примечание 2 3 6 2 2 3 5" xfId="31437"/>
    <cellStyle name="Примечание 2 3 6 2 2 4" xfId="6232"/>
    <cellStyle name="Примечание 2 3 6 2 2 4 2" xfId="16634"/>
    <cellStyle name="Примечание 2 3 6 2 2 4 3" xfId="32101"/>
    <cellStyle name="Примечание 2 3 6 2 2 5" xfId="22120"/>
    <cellStyle name="Примечание 2 3 6 2 2 5 2" xfId="37481"/>
    <cellStyle name="Примечание 2 3 6 2 2 6" xfId="11555"/>
    <cellStyle name="Примечание 2 3 6 2 2 7" xfId="27071"/>
    <cellStyle name="Примечание 2 3 6 2 3" xfId="2139"/>
    <cellStyle name="Примечание 2 3 6 2 3 2" xfId="7375"/>
    <cellStyle name="Примечание 2 3 6 2 3 2 2" xfId="18277"/>
    <cellStyle name="Примечание 2 3 6 2 3 2 3" xfId="33638"/>
    <cellStyle name="Примечание 2 3 6 2 3 3" xfId="23263"/>
    <cellStyle name="Примечание 2 3 6 2 3 3 2" xfId="38624"/>
    <cellStyle name="Примечание 2 3 6 2 3 4" xfId="12714"/>
    <cellStyle name="Примечание 2 3 6 2 3 5" xfId="28214"/>
    <cellStyle name="Примечание 2 3 6 2 4" xfId="2877"/>
    <cellStyle name="Примечание 2 3 6 2 4 2" xfId="8084"/>
    <cellStyle name="Примечание 2 3 6 2 4 2 2" xfId="19004"/>
    <cellStyle name="Примечание 2 3 6 2 4 2 3" xfId="34365"/>
    <cellStyle name="Примечание 2 3 6 2 4 3" xfId="23972"/>
    <cellStyle name="Примечание 2 3 6 2 4 3 2" xfId="39333"/>
    <cellStyle name="Примечание 2 3 6 2 4 4" xfId="13441"/>
    <cellStyle name="Примечание 2 3 6 2 4 5" xfId="28923"/>
    <cellStyle name="Примечание 2 3 6 2 4 6" xfId="46577"/>
    <cellStyle name="Примечание 2 3 6 2 5" xfId="2687"/>
    <cellStyle name="Примечание 2 3 6 2 5 2" xfId="7918"/>
    <cellStyle name="Примечание 2 3 6 2 5 2 2" xfId="18822"/>
    <cellStyle name="Примечание 2 3 6 2 5 2 3" xfId="34183"/>
    <cellStyle name="Примечание 2 3 6 2 5 3" xfId="23806"/>
    <cellStyle name="Примечание 2 3 6 2 5 3 2" xfId="39167"/>
    <cellStyle name="Примечание 2 3 6 2 5 4" xfId="13259"/>
    <cellStyle name="Примечание 2 3 6 2 5 5" xfId="28757"/>
    <cellStyle name="Примечание 2 3 6 2 6" xfId="4187"/>
    <cellStyle name="Примечание 2 3 6 2 6 2" xfId="9374"/>
    <cellStyle name="Примечание 2 3 6 2 6 2 2" xfId="20301"/>
    <cellStyle name="Примечание 2 3 6 2 6 2 3" xfId="35662"/>
    <cellStyle name="Примечание 2 3 6 2 6 3" xfId="25262"/>
    <cellStyle name="Примечание 2 3 6 2 6 3 2" xfId="40623"/>
    <cellStyle name="Примечание 2 3 6 2 6 4" xfId="14738"/>
    <cellStyle name="Примечание 2 3 6 2 6 5" xfId="30213"/>
    <cellStyle name="Примечание 2 3 6 2 7" xfId="4939"/>
    <cellStyle name="Примечание 2 3 6 2 7 2" xfId="10126"/>
    <cellStyle name="Примечание 2 3 6 2 7 2 2" xfId="21053"/>
    <cellStyle name="Примечание 2 3 6 2 7 2 3" xfId="36414"/>
    <cellStyle name="Примечание 2 3 6 2 7 3" xfId="26014"/>
    <cellStyle name="Примечание 2 3 6 2 7 3 2" xfId="41375"/>
    <cellStyle name="Примечание 2 3 6 2 7 4" xfId="15490"/>
    <cellStyle name="Примечание 2 3 6 2 7 5" xfId="30965"/>
    <cellStyle name="Примечание 2 3 6 2 8" xfId="5995"/>
    <cellStyle name="Примечание 2 3 6 2 8 2" xfId="16872"/>
    <cellStyle name="Примечание 2 3 6 2 8 3" xfId="32339"/>
    <cellStyle name="Примечание 2 3 6 2 9" xfId="21883"/>
    <cellStyle name="Примечание 2 3 6 2 9 2" xfId="37244"/>
    <cellStyle name="Примечание 2 3 6 3" xfId="1737"/>
    <cellStyle name="Примечание 2 3 6 3 2" xfId="3164"/>
    <cellStyle name="Примечание 2 3 6 3 2 2" xfId="8359"/>
    <cellStyle name="Примечание 2 3 6 3 2 2 2" xfId="19285"/>
    <cellStyle name="Примечание 2 3 6 3 2 2 3" xfId="34646"/>
    <cellStyle name="Примечание 2 3 6 3 2 3" xfId="24247"/>
    <cellStyle name="Примечание 2 3 6 3 2 3 2" xfId="39608"/>
    <cellStyle name="Примечание 2 3 6 3 2 4" xfId="13722"/>
    <cellStyle name="Примечание 2 3 6 3 2 5" xfId="29198"/>
    <cellStyle name="Примечание 2 3 6 3 3" xfId="5436"/>
    <cellStyle name="Примечание 2 3 6 3 3 2" xfId="10600"/>
    <cellStyle name="Примечание 2 3 6 3 3 2 2" xfId="21534"/>
    <cellStyle name="Примечание 2 3 6 3 3 2 3" xfId="36895"/>
    <cellStyle name="Примечание 2 3 6 3 3 3" xfId="26487"/>
    <cellStyle name="Примечание 2 3 6 3 3 3 2" xfId="41848"/>
    <cellStyle name="Примечание 2 3 6 3 3 4" xfId="15971"/>
    <cellStyle name="Примечание 2 3 6 3 3 5" xfId="31438"/>
    <cellStyle name="Примечание 2 3 6 3 4" xfId="6977"/>
    <cellStyle name="Примечание 2 3 6 3 4 2" xfId="17878"/>
    <cellStyle name="Примечание 2 3 6 3 4 3" xfId="33239"/>
    <cellStyle name="Примечание 2 3 6 3 5" xfId="22865"/>
    <cellStyle name="Примечание 2 3 6 3 5 2" xfId="38226"/>
    <cellStyle name="Примечание 2 3 6 3 6" xfId="12315"/>
    <cellStyle name="Примечание 2 3 6 3 7" xfId="27816"/>
    <cellStyle name="Примечание 2 3 6 4" xfId="1956"/>
    <cellStyle name="Примечание 2 3 6 4 2" xfId="7192"/>
    <cellStyle name="Примечание 2 3 6 4 2 2" xfId="18094"/>
    <cellStyle name="Примечание 2 3 6 4 2 3" xfId="33455"/>
    <cellStyle name="Примечание 2 3 6 4 3" xfId="23080"/>
    <cellStyle name="Примечание 2 3 6 4 3 2" xfId="38441"/>
    <cellStyle name="Примечание 2 3 6 4 4" xfId="12531"/>
    <cellStyle name="Примечание 2 3 6 4 5" xfId="28031"/>
    <cellStyle name="Примечание 2 3 6 5" xfId="2716"/>
    <cellStyle name="Примечание 2 3 6 5 2" xfId="7945"/>
    <cellStyle name="Примечание 2 3 6 5 2 2" xfId="18849"/>
    <cellStyle name="Примечание 2 3 6 5 2 3" xfId="34210"/>
    <cellStyle name="Примечание 2 3 6 5 3" xfId="23833"/>
    <cellStyle name="Примечание 2 3 6 5 3 2" xfId="39194"/>
    <cellStyle name="Примечание 2 3 6 5 4" xfId="13286"/>
    <cellStyle name="Примечание 2 3 6 5 5" xfId="28784"/>
    <cellStyle name="Примечание 2 3 6 5 6" xfId="46576"/>
    <cellStyle name="Примечание 2 3 6 6" xfId="2615"/>
    <cellStyle name="Примечание 2 3 6 6 2" xfId="7847"/>
    <cellStyle name="Примечание 2 3 6 6 2 2" xfId="18750"/>
    <cellStyle name="Примечание 2 3 6 6 2 3" xfId="34111"/>
    <cellStyle name="Примечание 2 3 6 6 3" xfId="23735"/>
    <cellStyle name="Примечание 2 3 6 6 3 2" xfId="39096"/>
    <cellStyle name="Примечание 2 3 6 6 4" xfId="13187"/>
    <cellStyle name="Примечание 2 3 6 6 5" xfId="28686"/>
    <cellStyle name="Примечание 2 3 6 7" xfId="4045"/>
    <cellStyle name="Примечание 2 3 6 7 2" xfId="9232"/>
    <cellStyle name="Примечание 2 3 6 7 2 2" xfId="20159"/>
    <cellStyle name="Примечание 2 3 6 7 2 3" xfId="35520"/>
    <cellStyle name="Примечание 2 3 6 7 3" xfId="25120"/>
    <cellStyle name="Примечание 2 3 6 7 3 2" xfId="40481"/>
    <cellStyle name="Примечание 2 3 6 7 4" xfId="14596"/>
    <cellStyle name="Примечание 2 3 6 7 5" xfId="30071"/>
    <cellStyle name="Примечание 2 3 6 8" xfId="4676"/>
    <cellStyle name="Примечание 2 3 6 8 2" xfId="9863"/>
    <cellStyle name="Примечание 2 3 6 8 2 2" xfId="20790"/>
    <cellStyle name="Примечание 2 3 6 8 2 3" xfId="36151"/>
    <cellStyle name="Примечание 2 3 6 8 3" xfId="25751"/>
    <cellStyle name="Примечание 2 3 6 8 3 2" xfId="41112"/>
    <cellStyle name="Примечание 2 3 6 8 4" xfId="15227"/>
    <cellStyle name="Примечание 2 3 6 8 5" xfId="30702"/>
    <cellStyle name="Примечание 2 3 6 9" xfId="5853"/>
    <cellStyle name="Примечание 2 3 6 9 2" xfId="17016"/>
    <cellStyle name="Примечание 2 3 6 9 3" xfId="32483"/>
    <cellStyle name="Примечание 2 3 7" xfId="546"/>
    <cellStyle name="Примечание 2 3 7 10" xfId="21742"/>
    <cellStyle name="Примечание 2 3 7 10 2" xfId="37103"/>
    <cellStyle name="Примечание 2 3 7 11" xfId="11171"/>
    <cellStyle name="Примечание 2 3 7 12" xfId="26693"/>
    <cellStyle name="Примечание 2 3 7 2" xfId="732"/>
    <cellStyle name="Примечание 2 3 7 2 10" xfId="11316"/>
    <cellStyle name="Примечание 2 3 7 2 11" xfId="26833"/>
    <cellStyle name="Примечание 2 3 7 2 2" xfId="1272"/>
    <cellStyle name="Примечание 2 3 7 2 2 2" xfId="3165"/>
    <cellStyle name="Примечание 2 3 7 2 2 2 2" xfId="8360"/>
    <cellStyle name="Примечание 2 3 7 2 2 2 2 2" xfId="19286"/>
    <cellStyle name="Примечание 2 3 7 2 2 2 2 3" xfId="34647"/>
    <cellStyle name="Примечание 2 3 7 2 2 2 3" xfId="24248"/>
    <cellStyle name="Примечание 2 3 7 2 2 2 3 2" xfId="39609"/>
    <cellStyle name="Примечание 2 3 7 2 2 2 4" xfId="13723"/>
    <cellStyle name="Примечание 2 3 7 2 2 2 5" xfId="29199"/>
    <cellStyle name="Примечание 2 3 7 2 2 3" xfId="5437"/>
    <cellStyle name="Примечание 2 3 7 2 2 3 2" xfId="10601"/>
    <cellStyle name="Примечание 2 3 7 2 2 3 2 2" xfId="21535"/>
    <cellStyle name="Примечание 2 3 7 2 2 3 2 3" xfId="36896"/>
    <cellStyle name="Примечание 2 3 7 2 2 3 3" xfId="26488"/>
    <cellStyle name="Примечание 2 3 7 2 2 3 3 2" xfId="41849"/>
    <cellStyle name="Примечание 2 3 7 2 2 3 4" xfId="15972"/>
    <cellStyle name="Примечание 2 3 7 2 2 3 5" xfId="31439"/>
    <cellStyle name="Примечание 2 3 7 2 2 4" xfId="6525"/>
    <cellStyle name="Примечание 2 3 7 2 2 4 2" xfId="16336"/>
    <cellStyle name="Примечание 2 3 7 2 2 4 3" xfId="31803"/>
    <cellStyle name="Примечание 2 3 7 2 2 5" xfId="22413"/>
    <cellStyle name="Примечание 2 3 7 2 2 5 2" xfId="37774"/>
    <cellStyle name="Примечание 2 3 7 2 2 6" xfId="11853"/>
    <cellStyle name="Примечание 2 3 7 2 2 7" xfId="27364"/>
    <cellStyle name="Примечание 2 3 7 2 3" xfId="2138"/>
    <cellStyle name="Примечание 2 3 7 2 3 2" xfId="7374"/>
    <cellStyle name="Примечание 2 3 7 2 3 2 2" xfId="18276"/>
    <cellStyle name="Примечание 2 3 7 2 3 2 3" xfId="33637"/>
    <cellStyle name="Примечание 2 3 7 2 3 3" xfId="23262"/>
    <cellStyle name="Примечание 2 3 7 2 3 3 2" xfId="38623"/>
    <cellStyle name="Примечание 2 3 7 2 3 4" xfId="12713"/>
    <cellStyle name="Примечание 2 3 7 2 3 5" xfId="28213"/>
    <cellStyle name="Примечание 2 3 7 2 4" xfId="2368"/>
    <cellStyle name="Примечание 2 3 7 2 4 2" xfId="7604"/>
    <cellStyle name="Примечание 2 3 7 2 4 2 2" xfId="18506"/>
    <cellStyle name="Примечание 2 3 7 2 4 2 3" xfId="33867"/>
    <cellStyle name="Примечание 2 3 7 2 4 3" xfId="23492"/>
    <cellStyle name="Примечание 2 3 7 2 4 3 2" xfId="38853"/>
    <cellStyle name="Примечание 2 3 7 2 4 4" xfId="12943"/>
    <cellStyle name="Примечание 2 3 7 2 4 5" xfId="28443"/>
    <cellStyle name="Примечание 2 3 7 2 5" xfId="3610"/>
    <cellStyle name="Примечание 2 3 7 2 5 2" xfId="8797"/>
    <cellStyle name="Примечание 2 3 7 2 5 2 2" xfId="19724"/>
    <cellStyle name="Примечание 2 3 7 2 5 2 3" xfId="35085"/>
    <cellStyle name="Примечание 2 3 7 2 5 3" xfId="24685"/>
    <cellStyle name="Примечание 2 3 7 2 5 3 2" xfId="40046"/>
    <cellStyle name="Примечание 2 3 7 2 5 4" xfId="14161"/>
    <cellStyle name="Примечание 2 3 7 2 5 5" xfId="29636"/>
    <cellStyle name="Примечание 2 3 7 2 6" xfId="4186"/>
    <cellStyle name="Примечание 2 3 7 2 6 2" xfId="9373"/>
    <cellStyle name="Примечание 2 3 7 2 6 2 2" xfId="20300"/>
    <cellStyle name="Примечание 2 3 7 2 6 2 3" xfId="35661"/>
    <cellStyle name="Примечание 2 3 7 2 6 3" xfId="25261"/>
    <cellStyle name="Примечание 2 3 7 2 6 3 2" xfId="40622"/>
    <cellStyle name="Примечание 2 3 7 2 6 4" xfId="14737"/>
    <cellStyle name="Примечание 2 3 7 2 6 5" xfId="30212"/>
    <cellStyle name="Примечание 2 3 7 2 7" xfId="4607"/>
    <cellStyle name="Примечание 2 3 7 2 7 2" xfId="9794"/>
    <cellStyle name="Примечание 2 3 7 2 7 2 2" xfId="20721"/>
    <cellStyle name="Примечание 2 3 7 2 7 2 3" xfId="36082"/>
    <cellStyle name="Примечание 2 3 7 2 7 3" xfId="25682"/>
    <cellStyle name="Примечание 2 3 7 2 7 3 2" xfId="41043"/>
    <cellStyle name="Примечание 2 3 7 2 7 4" xfId="15158"/>
    <cellStyle name="Примечание 2 3 7 2 7 5" xfId="30633"/>
    <cellStyle name="Примечание 2 3 7 2 8" xfId="5994"/>
    <cellStyle name="Примечание 2 3 7 2 8 2" xfId="16873"/>
    <cellStyle name="Примечание 2 3 7 2 8 3" xfId="32340"/>
    <cellStyle name="Примечание 2 3 7 2 9" xfId="21882"/>
    <cellStyle name="Примечание 2 3 7 2 9 2" xfId="37243"/>
    <cellStyle name="Примечание 2 3 7 3" xfId="1080"/>
    <cellStyle name="Примечание 2 3 7 3 2" xfId="3166"/>
    <cellStyle name="Примечание 2 3 7 3 2 2" xfId="8361"/>
    <cellStyle name="Примечание 2 3 7 3 2 2 2" xfId="19287"/>
    <cellStyle name="Примечание 2 3 7 3 2 2 3" xfId="34648"/>
    <cellStyle name="Примечание 2 3 7 3 2 3" xfId="24249"/>
    <cellStyle name="Примечание 2 3 7 3 2 3 2" xfId="39610"/>
    <cellStyle name="Примечание 2 3 7 3 2 4" xfId="13724"/>
    <cellStyle name="Примечание 2 3 7 3 2 5" xfId="29200"/>
    <cellStyle name="Примечание 2 3 7 3 3" xfId="5438"/>
    <cellStyle name="Примечание 2 3 7 3 3 2" xfId="10602"/>
    <cellStyle name="Примечание 2 3 7 3 3 2 2" xfId="21536"/>
    <cellStyle name="Примечание 2 3 7 3 3 2 3" xfId="36897"/>
    <cellStyle name="Примечание 2 3 7 3 3 3" xfId="26489"/>
    <cellStyle name="Примечание 2 3 7 3 3 3 2" xfId="41850"/>
    <cellStyle name="Примечание 2 3 7 3 3 4" xfId="15973"/>
    <cellStyle name="Примечание 2 3 7 3 3 5" xfId="31440"/>
    <cellStyle name="Примечание 2 3 7 3 4" xfId="6337"/>
    <cellStyle name="Примечание 2 3 7 3 4 2" xfId="16527"/>
    <cellStyle name="Примечание 2 3 7 3 4 3" xfId="31994"/>
    <cellStyle name="Примечание 2 3 7 3 5" xfId="22225"/>
    <cellStyle name="Примечание 2 3 7 3 5 2" xfId="37586"/>
    <cellStyle name="Примечание 2 3 7 3 6" xfId="11662"/>
    <cellStyle name="Примечание 2 3 7 3 7" xfId="27176"/>
    <cellStyle name="Примечание 2 3 7 4" xfId="1957"/>
    <cellStyle name="Примечание 2 3 7 4 2" xfId="7193"/>
    <cellStyle name="Примечание 2 3 7 4 2 2" xfId="18095"/>
    <cellStyle name="Примечание 2 3 7 4 2 3" xfId="33456"/>
    <cellStyle name="Примечание 2 3 7 4 3" xfId="23081"/>
    <cellStyle name="Примечание 2 3 7 4 3 2" xfId="38442"/>
    <cellStyle name="Примечание 2 3 7 4 4" xfId="12532"/>
    <cellStyle name="Примечание 2 3 7 4 5" xfId="28032"/>
    <cellStyle name="Примечание 2 3 7 5" xfId="2063"/>
    <cellStyle name="Примечание 2 3 7 5 2" xfId="7299"/>
    <cellStyle name="Примечание 2 3 7 5 2 2" xfId="18201"/>
    <cellStyle name="Примечание 2 3 7 5 2 3" xfId="33562"/>
    <cellStyle name="Примечание 2 3 7 5 3" xfId="23187"/>
    <cellStyle name="Примечание 2 3 7 5 3 2" xfId="38548"/>
    <cellStyle name="Примечание 2 3 7 5 4" xfId="12638"/>
    <cellStyle name="Примечание 2 3 7 5 5" xfId="28138"/>
    <cellStyle name="Примечание 2 3 7 6" xfId="2939"/>
    <cellStyle name="Примечание 2 3 7 6 2" xfId="8140"/>
    <cellStyle name="Примечание 2 3 7 6 2 2" xfId="19060"/>
    <cellStyle name="Примечание 2 3 7 6 2 3" xfId="34421"/>
    <cellStyle name="Примечание 2 3 7 6 3" xfId="24028"/>
    <cellStyle name="Примечание 2 3 7 6 3 2" xfId="39389"/>
    <cellStyle name="Примечание 2 3 7 6 4" xfId="13497"/>
    <cellStyle name="Примечание 2 3 7 6 5" xfId="28979"/>
    <cellStyle name="Примечание 2 3 7 7" xfId="4046"/>
    <cellStyle name="Примечание 2 3 7 7 2" xfId="9233"/>
    <cellStyle name="Примечание 2 3 7 7 2 2" xfId="20160"/>
    <cellStyle name="Примечание 2 3 7 7 2 3" xfId="35521"/>
    <cellStyle name="Примечание 2 3 7 7 3" xfId="25121"/>
    <cellStyle name="Примечание 2 3 7 7 3 2" xfId="40482"/>
    <cellStyle name="Примечание 2 3 7 7 4" xfId="14597"/>
    <cellStyle name="Примечание 2 3 7 7 5" xfId="30072"/>
    <cellStyle name="Примечание 2 3 7 8" xfId="4872"/>
    <cellStyle name="Примечание 2 3 7 8 2" xfId="10059"/>
    <cellStyle name="Примечание 2 3 7 8 2 2" xfId="20986"/>
    <cellStyle name="Примечание 2 3 7 8 2 3" xfId="36347"/>
    <cellStyle name="Примечание 2 3 7 8 3" xfId="25947"/>
    <cellStyle name="Примечание 2 3 7 8 3 2" xfId="41308"/>
    <cellStyle name="Примечание 2 3 7 8 4" xfId="15423"/>
    <cellStyle name="Примечание 2 3 7 8 5" xfId="30898"/>
    <cellStyle name="Примечание 2 3 7 9" xfId="5854"/>
    <cellStyle name="Примечание 2 3 7 9 2" xfId="17015"/>
    <cellStyle name="Примечание 2 3 7 9 3" xfId="32482"/>
    <cellStyle name="Примечание 2 3 8" xfId="547"/>
    <cellStyle name="Примечание 2 3 8 10" xfId="21743"/>
    <cellStyle name="Примечание 2 3 8 10 2" xfId="37104"/>
    <cellStyle name="Примечание 2 3 8 11" xfId="11172"/>
    <cellStyle name="Примечание 2 3 8 12" xfId="26694"/>
    <cellStyle name="Примечание 2 3 8 2" xfId="731"/>
    <cellStyle name="Примечание 2 3 8 2 10" xfId="11315"/>
    <cellStyle name="Примечание 2 3 8 2 11" xfId="26832"/>
    <cellStyle name="Примечание 2 3 8 2 2" xfId="1191"/>
    <cellStyle name="Примечание 2 3 8 2 2 2" xfId="3167"/>
    <cellStyle name="Примечание 2 3 8 2 2 2 2" xfId="8362"/>
    <cellStyle name="Примечание 2 3 8 2 2 2 2 2" xfId="19288"/>
    <cellStyle name="Примечание 2 3 8 2 2 2 2 3" xfId="34649"/>
    <cellStyle name="Примечание 2 3 8 2 2 2 3" xfId="24250"/>
    <cellStyle name="Примечание 2 3 8 2 2 2 3 2" xfId="39611"/>
    <cellStyle name="Примечание 2 3 8 2 2 2 4" xfId="13725"/>
    <cellStyle name="Примечание 2 3 8 2 2 2 5" xfId="29201"/>
    <cellStyle name="Примечание 2 3 8 2 2 3" xfId="5439"/>
    <cellStyle name="Примечание 2 3 8 2 2 3 2" xfId="10603"/>
    <cellStyle name="Примечание 2 3 8 2 2 3 2 2" xfId="21537"/>
    <cellStyle name="Примечание 2 3 8 2 2 3 2 3" xfId="36898"/>
    <cellStyle name="Примечание 2 3 8 2 2 3 3" xfId="26490"/>
    <cellStyle name="Примечание 2 3 8 2 2 3 3 2" xfId="41851"/>
    <cellStyle name="Примечание 2 3 8 2 2 3 4" xfId="15974"/>
    <cellStyle name="Примечание 2 3 8 2 2 3 5" xfId="31441"/>
    <cellStyle name="Примечание 2 3 8 2 2 4" xfId="6445"/>
    <cellStyle name="Примечание 2 3 8 2 2 4 2" xfId="16417"/>
    <cellStyle name="Примечание 2 3 8 2 2 4 3" xfId="31884"/>
    <cellStyle name="Примечание 2 3 8 2 2 5" xfId="22333"/>
    <cellStyle name="Примечание 2 3 8 2 2 5 2" xfId="37694"/>
    <cellStyle name="Примечание 2 3 8 2 2 6" xfId="11772"/>
    <cellStyle name="Примечание 2 3 8 2 2 7" xfId="27284"/>
    <cellStyle name="Примечание 2 3 8 2 3" xfId="2137"/>
    <cellStyle name="Примечание 2 3 8 2 3 2" xfId="7373"/>
    <cellStyle name="Примечание 2 3 8 2 3 2 2" xfId="18275"/>
    <cellStyle name="Примечание 2 3 8 2 3 2 3" xfId="33636"/>
    <cellStyle name="Примечание 2 3 8 2 3 3" xfId="23261"/>
    <cellStyle name="Примечание 2 3 8 2 3 3 2" xfId="38622"/>
    <cellStyle name="Примечание 2 3 8 2 3 4" xfId="12712"/>
    <cellStyle name="Примечание 2 3 8 2 3 5" xfId="28212"/>
    <cellStyle name="Примечание 2 3 8 2 4" xfId="2878"/>
    <cellStyle name="Примечание 2 3 8 2 4 2" xfId="8085"/>
    <cellStyle name="Примечание 2 3 8 2 4 2 2" xfId="19005"/>
    <cellStyle name="Примечание 2 3 8 2 4 2 3" xfId="34366"/>
    <cellStyle name="Примечание 2 3 8 2 4 3" xfId="23973"/>
    <cellStyle name="Примечание 2 3 8 2 4 3 2" xfId="39334"/>
    <cellStyle name="Примечание 2 3 8 2 4 4" xfId="13442"/>
    <cellStyle name="Примечание 2 3 8 2 4 5" xfId="28924"/>
    <cellStyle name="Примечание 2 3 8 2 5" xfId="2518"/>
    <cellStyle name="Примечание 2 3 8 2 5 2" xfId="7751"/>
    <cellStyle name="Примечание 2 3 8 2 5 2 2" xfId="18653"/>
    <cellStyle name="Примечание 2 3 8 2 5 2 3" xfId="34014"/>
    <cellStyle name="Примечание 2 3 8 2 5 3" xfId="23639"/>
    <cellStyle name="Примечание 2 3 8 2 5 3 2" xfId="39000"/>
    <cellStyle name="Примечание 2 3 8 2 5 4" xfId="13090"/>
    <cellStyle name="Примечание 2 3 8 2 5 5" xfId="28590"/>
    <cellStyle name="Примечание 2 3 8 2 6" xfId="4185"/>
    <cellStyle name="Примечание 2 3 8 2 6 2" xfId="9372"/>
    <cellStyle name="Примечание 2 3 8 2 6 2 2" xfId="20299"/>
    <cellStyle name="Примечание 2 3 8 2 6 2 3" xfId="35660"/>
    <cellStyle name="Примечание 2 3 8 2 6 3" xfId="25260"/>
    <cellStyle name="Примечание 2 3 8 2 6 3 2" xfId="40621"/>
    <cellStyle name="Примечание 2 3 8 2 6 4" xfId="14736"/>
    <cellStyle name="Примечание 2 3 8 2 6 5" xfId="30211"/>
    <cellStyle name="Примечание 2 3 8 2 7" xfId="4938"/>
    <cellStyle name="Примечание 2 3 8 2 7 2" xfId="10125"/>
    <cellStyle name="Примечание 2 3 8 2 7 2 2" xfId="21052"/>
    <cellStyle name="Примечание 2 3 8 2 7 2 3" xfId="36413"/>
    <cellStyle name="Примечание 2 3 8 2 7 3" xfId="26013"/>
    <cellStyle name="Примечание 2 3 8 2 7 3 2" xfId="41374"/>
    <cellStyle name="Примечание 2 3 8 2 7 4" xfId="15489"/>
    <cellStyle name="Примечание 2 3 8 2 7 5" xfId="30964"/>
    <cellStyle name="Примечание 2 3 8 2 8" xfId="5993"/>
    <cellStyle name="Примечание 2 3 8 2 8 2" xfId="16874"/>
    <cellStyle name="Примечание 2 3 8 2 8 3" xfId="32341"/>
    <cellStyle name="Примечание 2 3 8 2 9" xfId="21881"/>
    <cellStyle name="Примечание 2 3 8 2 9 2" xfId="37242"/>
    <cellStyle name="Примечание 2 3 8 3" xfId="1095"/>
    <cellStyle name="Примечание 2 3 8 3 2" xfId="3168"/>
    <cellStyle name="Примечание 2 3 8 3 2 2" xfId="8363"/>
    <cellStyle name="Примечание 2 3 8 3 2 2 2" xfId="19289"/>
    <cellStyle name="Примечание 2 3 8 3 2 2 3" xfId="34650"/>
    <cellStyle name="Примечание 2 3 8 3 2 3" xfId="24251"/>
    <cellStyle name="Примечание 2 3 8 3 2 3 2" xfId="39612"/>
    <cellStyle name="Примечание 2 3 8 3 2 4" xfId="13726"/>
    <cellStyle name="Примечание 2 3 8 3 2 5" xfId="29202"/>
    <cellStyle name="Примечание 2 3 8 3 3" xfId="5440"/>
    <cellStyle name="Примечание 2 3 8 3 3 2" xfId="10604"/>
    <cellStyle name="Примечание 2 3 8 3 3 2 2" xfId="21538"/>
    <cellStyle name="Примечание 2 3 8 3 3 2 3" xfId="36899"/>
    <cellStyle name="Примечание 2 3 8 3 3 3" xfId="26491"/>
    <cellStyle name="Примечание 2 3 8 3 3 3 2" xfId="41852"/>
    <cellStyle name="Примечание 2 3 8 3 3 4" xfId="15975"/>
    <cellStyle name="Примечание 2 3 8 3 3 5" xfId="31442"/>
    <cellStyle name="Примечание 2 3 8 3 4" xfId="6351"/>
    <cellStyle name="Примечание 2 3 8 3 4 2" xfId="16512"/>
    <cellStyle name="Примечание 2 3 8 3 4 3" xfId="31979"/>
    <cellStyle name="Примечание 2 3 8 3 5" xfId="22239"/>
    <cellStyle name="Примечание 2 3 8 3 5 2" xfId="37600"/>
    <cellStyle name="Примечание 2 3 8 3 6" xfId="11677"/>
    <cellStyle name="Примечание 2 3 8 3 7" xfId="27190"/>
    <cellStyle name="Примечание 2 3 8 4" xfId="1958"/>
    <cellStyle name="Примечание 2 3 8 4 2" xfId="7194"/>
    <cellStyle name="Примечание 2 3 8 4 2 2" xfId="18096"/>
    <cellStyle name="Примечание 2 3 8 4 2 3" xfId="33457"/>
    <cellStyle name="Примечание 2 3 8 4 3" xfId="23082"/>
    <cellStyle name="Примечание 2 3 8 4 3 2" xfId="38443"/>
    <cellStyle name="Примечание 2 3 8 4 4" xfId="12533"/>
    <cellStyle name="Примечание 2 3 8 4 5" xfId="28033"/>
    <cellStyle name="Примечание 2 3 8 5" xfId="2717"/>
    <cellStyle name="Примечание 2 3 8 5 2" xfId="7946"/>
    <cellStyle name="Примечание 2 3 8 5 2 2" xfId="18850"/>
    <cellStyle name="Примечание 2 3 8 5 2 3" xfId="34211"/>
    <cellStyle name="Примечание 2 3 8 5 3" xfId="23834"/>
    <cellStyle name="Примечание 2 3 8 5 3 2" xfId="39195"/>
    <cellStyle name="Примечание 2 3 8 5 4" xfId="13287"/>
    <cellStyle name="Примечание 2 3 8 5 5" xfId="28785"/>
    <cellStyle name="Примечание 2 3 8 6" xfId="3570"/>
    <cellStyle name="Примечание 2 3 8 6 2" xfId="8757"/>
    <cellStyle name="Примечание 2 3 8 6 2 2" xfId="19684"/>
    <cellStyle name="Примечание 2 3 8 6 2 3" xfId="35045"/>
    <cellStyle name="Примечание 2 3 8 6 3" xfId="24645"/>
    <cellStyle name="Примечание 2 3 8 6 3 2" xfId="40006"/>
    <cellStyle name="Примечание 2 3 8 6 4" xfId="14121"/>
    <cellStyle name="Примечание 2 3 8 6 5" xfId="29596"/>
    <cellStyle name="Примечание 2 3 8 7" xfId="4047"/>
    <cellStyle name="Примечание 2 3 8 7 2" xfId="9234"/>
    <cellStyle name="Примечание 2 3 8 7 2 2" xfId="20161"/>
    <cellStyle name="Примечание 2 3 8 7 2 3" xfId="35522"/>
    <cellStyle name="Примечание 2 3 8 7 3" xfId="25122"/>
    <cellStyle name="Примечание 2 3 8 7 3 2" xfId="40483"/>
    <cellStyle name="Примечание 2 3 8 7 4" xfId="14598"/>
    <cellStyle name="Примечание 2 3 8 7 5" xfId="30073"/>
    <cellStyle name="Примечание 2 3 8 8" xfId="4675"/>
    <cellStyle name="Примечание 2 3 8 8 2" xfId="9862"/>
    <cellStyle name="Примечание 2 3 8 8 2 2" xfId="20789"/>
    <cellStyle name="Примечание 2 3 8 8 2 3" xfId="36150"/>
    <cellStyle name="Примечание 2 3 8 8 3" xfId="25750"/>
    <cellStyle name="Примечание 2 3 8 8 3 2" xfId="41111"/>
    <cellStyle name="Примечание 2 3 8 8 4" xfId="15226"/>
    <cellStyle name="Примечание 2 3 8 8 5" xfId="30701"/>
    <cellStyle name="Примечание 2 3 8 9" xfId="5855"/>
    <cellStyle name="Примечание 2 3 8 9 2" xfId="17446"/>
    <cellStyle name="Примечание 2 3 8 9 3" xfId="32913"/>
    <cellStyle name="Примечание 2 3 9" xfId="548"/>
    <cellStyle name="Примечание 2 3 9 10" xfId="21744"/>
    <cellStyle name="Примечание 2 3 9 10 2" xfId="37105"/>
    <cellStyle name="Примечание 2 3 9 11" xfId="11173"/>
    <cellStyle name="Примечание 2 3 9 12" xfId="26695"/>
    <cellStyle name="Примечание 2 3 9 2" xfId="730"/>
    <cellStyle name="Примечание 2 3 9 2 10" xfId="11314"/>
    <cellStyle name="Примечание 2 3 9 2 11" xfId="26831"/>
    <cellStyle name="Примечание 2 3 9 2 2" xfId="1396"/>
    <cellStyle name="Примечание 2 3 9 2 2 2" xfId="3169"/>
    <cellStyle name="Примечание 2 3 9 2 2 2 2" xfId="8364"/>
    <cellStyle name="Примечание 2 3 9 2 2 2 2 2" xfId="19290"/>
    <cellStyle name="Примечание 2 3 9 2 2 2 2 3" xfId="34651"/>
    <cellStyle name="Примечание 2 3 9 2 2 2 3" xfId="24252"/>
    <cellStyle name="Примечание 2 3 9 2 2 2 3 2" xfId="39613"/>
    <cellStyle name="Примечание 2 3 9 2 2 2 4" xfId="13727"/>
    <cellStyle name="Примечание 2 3 9 2 2 2 5" xfId="29203"/>
    <cellStyle name="Примечание 2 3 9 2 2 3" xfId="5441"/>
    <cellStyle name="Примечание 2 3 9 2 2 3 2" xfId="10605"/>
    <cellStyle name="Примечание 2 3 9 2 2 3 2 2" xfId="21539"/>
    <cellStyle name="Примечание 2 3 9 2 2 3 2 3" xfId="36900"/>
    <cellStyle name="Примечание 2 3 9 2 2 3 3" xfId="26492"/>
    <cellStyle name="Примечание 2 3 9 2 2 3 3 2" xfId="41853"/>
    <cellStyle name="Примечание 2 3 9 2 2 3 4" xfId="15976"/>
    <cellStyle name="Примечание 2 3 9 2 2 3 5" xfId="31443"/>
    <cellStyle name="Примечание 2 3 9 2 2 4" xfId="6645"/>
    <cellStyle name="Примечание 2 3 9 2 2 4 2" xfId="16214"/>
    <cellStyle name="Примечание 2 3 9 2 2 4 3" xfId="31681"/>
    <cellStyle name="Примечание 2 3 9 2 2 5" xfId="22533"/>
    <cellStyle name="Примечание 2 3 9 2 2 5 2" xfId="37894"/>
    <cellStyle name="Примечание 2 3 9 2 2 6" xfId="11975"/>
    <cellStyle name="Примечание 2 3 9 2 2 7" xfId="27484"/>
    <cellStyle name="Примечание 2 3 9 2 3" xfId="2136"/>
    <cellStyle name="Примечание 2 3 9 2 3 2" xfId="7372"/>
    <cellStyle name="Примечание 2 3 9 2 3 2 2" xfId="18274"/>
    <cellStyle name="Примечание 2 3 9 2 3 2 3" xfId="33635"/>
    <cellStyle name="Примечание 2 3 9 2 3 3" xfId="23260"/>
    <cellStyle name="Примечание 2 3 9 2 3 3 2" xfId="38621"/>
    <cellStyle name="Примечание 2 3 9 2 3 4" xfId="12711"/>
    <cellStyle name="Примечание 2 3 9 2 3 5" xfId="28211"/>
    <cellStyle name="Примечание 2 3 9 2 4" xfId="2370"/>
    <cellStyle name="Примечание 2 3 9 2 4 2" xfId="7606"/>
    <cellStyle name="Примечание 2 3 9 2 4 2 2" xfId="18508"/>
    <cellStyle name="Примечание 2 3 9 2 4 2 3" xfId="33869"/>
    <cellStyle name="Примечание 2 3 9 2 4 3" xfId="23494"/>
    <cellStyle name="Примечание 2 3 9 2 4 3 2" xfId="38855"/>
    <cellStyle name="Примечание 2 3 9 2 4 4" xfId="12945"/>
    <cellStyle name="Примечание 2 3 9 2 4 5" xfId="28445"/>
    <cellStyle name="Примечание 2 3 9 2 5" xfId="3813"/>
    <cellStyle name="Примечание 2 3 9 2 5 2" xfId="9000"/>
    <cellStyle name="Примечание 2 3 9 2 5 2 2" xfId="19927"/>
    <cellStyle name="Примечание 2 3 9 2 5 2 3" xfId="35288"/>
    <cellStyle name="Примечание 2 3 9 2 5 3" xfId="24888"/>
    <cellStyle name="Примечание 2 3 9 2 5 3 2" xfId="40249"/>
    <cellStyle name="Примечание 2 3 9 2 5 4" xfId="14364"/>
    <cellStyle name="Примечание 2 3 9 2 5 5" xfId="29839"/>
    <cellStyle name="Примечание 2 3 9 2 6" xfId="4184"/>
    <cellStyle name="Примечание 2 3 9 2 6 2" xfId="9371"/>
    <cellStyle name="Примечание 2 3 9 2 6 2 2" xfId="20298"/>
    <cellStyle name="Примечание 2 3 9 2 6 2 3" xfId="35659"/>
    <cellStyle name="Примечание 2 3 9 2 6 3" xfId="25259"/>
    <cellStyle name="Примечание 2 3 9 2 6 3 2" xfId="40620"/>
    <cellStyle name="Примечание 2 3 9 2 6 4" xfId="14735"/>
    <cellStyle name="Примечание 2 3 9 2 6 5" xfId="30210"/>
    <cellStyle name="Примечание 2 3 9 2 7" xfId="4608"/>
    <cellStyle name="Примечание 2 3 9 2 7 2" xfId="9795"/>
    <cellStyle name="Примечание 2 3 9 2 7 2 2" xfId="20722"/>
    <cellStyle name="Примечание 2 3 9 2 7 2 3" xfId="36083"/>
    <cellStyle name="Примечание 2 3 9 2 7 3" xfId="25683"/>
    <cellStyle name="Примечание 2 3 9 2 7 3 2" xfId="41044"/>
    <cellStyle name="Примечание 2 3 9 2 7 4" xfId="15159"/>
    <cellStyle name="Примечание 2 3 9 2 7 5" xfId="30634"/>
    <cellStyle name="Примечание 2 3 9 2 8" xfId="5992"/>
    <cellStyle name="Примечание 2 3 9 2 8 2" xfId="16875"/>
    <cellStyle name="Примечание 2 3 9 2 8 3" xfId="32342"/>
    <cellStyle name="Примечание 2 3 9 2 9" xfId="21880"/>
    <cellStyle name="Примечание 2 3 9 2 9 2" xfId="37241"/>
    <cellStyle name="Примечание 2 3 9 3" xfId="973"/>
    <cellStyle name="Примечание 2 3 9 3 2" xfId="3170"/>
    <cellStyle name="Примечание 2 3 9 3 2 2" xfId="8365"/>
    <cellStyle name="Примечание 2 3 9 3 2 2 2" xfId="19291"/>
    <cellStyle name="Примечание 2 3 9 3 2 2 3" xfId="34652"/>
    <cellStyle name="Примечание 2 3 9 3 2 3" xfId="24253"/>
    <cellStyle name="Примечание 2 3 9 3 2 3 2" xfId="39614"/>
    <cellStyle name="Примечание 2 3 9 3 2 4" xfId="13728"/>
    <cellStyle name="Примечание 2 3 9 3 2 5" xfId="29204"/>
    <cellStyle name="Примечание 2 3 9 3 3" xfId="5442"/>
    <cellStyle name="Примечание 2 3 9 3 3 2" xfId="10606"/>
    <cellStyle name="Примечание 2 3 9 3 3 2 2" xfId="21540"/>
    <cellStyle name="Примечание 2 3 9 3 3 2 3" xfId="36901"/>
    <cellStyle name="Примечание 2 3 9 3 3 3" xfId="26493"/>
    <cellStyle name="Примечание 2 3 9 3 3 3 2" xfId="41854"/>
    <cellStyle name="Примечание 2 3 9 3 3 4" xfId="15977"/>
    <cellStyle name="Примечание 2 3 9 3 3 5" xfId="31444"/>
    <cellStyle name="Примечание 2 3 9 3 4" xfId="6233"/>
    <cellStyle name="Примечание 2 3 9 3 4 2" xfId="16633"/>
    <cellStyle name="Примечание 2 3 9 3 4 3" xfId="32100"/>
    <cellStyle name="Примечание 2 3 9 3 5" xfId="22121"/>
    <cellStyle name="Примечание 2 3 9 3 5 2" xfId="37482"/>
    <cellStyle name="Примечание 2 3 9 3 6" xfId="11556"/>
    <cellStyle name="Примечание 2 3 9 3 7" xfId="27072"/>
    <cellStyle name="Примечание 2 3 9 4" xfId="1959"/>
    <cellStyle name="Примечание 2 3 9 4 2" xfId="7195"/>
    <cellStyle name="Примечание 2 3 9 4 2 2" xfId="18097"/>
    <cellStyle name="Примечание 2 3 9 4 2 3" xfId="33458"/>
    <cellStyle name="Примечание 2 3 9 4 3" xfId="23083"/>
    <cellStyle name="Примечание 2 3 9 4 3 2" xfId="38444"/>
    <cellStyle name="Примечание 2 3 9 4 4" xfId="12534"/>
    <cellStyle name="Примечание 2 3 9 4 5" xfId="28034"/>
    <cellStyle name="Примечание 2 3 9 5" xfId="1881"/>
    <cellStyle name="Примечание 2 3 9 5 2" xfId="7120"/>
    <cellStyle name="Примечание 2 3 9 5 2 2" xfId="18022"/>
    <cellStyle name="Примечание 2 3 9 5 2 3" xfId="33383"/>
    <cellStyle name="Примечание 2 3 9 5 3" xfId="23008"/>
    <cellStyle name="Примечание 2 3 9 5 3 2" xfId="38369"/>
    <cellStyle name="Примечание 2 3 9 5 4" xfId="12459"/>
    <cellStyle name="Примечание 2 3 9 5 5" xfId="27959"/>
    <cellStyle name="Примечание 2 3 9 6" xfId="2538"/>
    <cellStyle name="Примечание 2 3 9 6 2" xfId="7771"/>
    <cellStyle name="Примечание 2 3 9 6 2 2" xfId="18673"/>
    <cellStyle name="Примечание 2 3 9 6 2 3" xfId="34034"/>
    <cellStyle name="Примечание 2 3 9 6 3" xfId="23659"/>
    <cellStyle name="Примечание 2 3 9 6 3 2" xfId="39020"/>
    <cellStyle name="Примечание 2 3 9 6 4" xfId="13110"/>
    <cellStyle name="Примечание 2 3 9 6 5" xfId="28610"/>
    <cellStyle name="Примечание 2 3 9 7" xfId="4048"/>
    <cellStyle name="Примечание 2 3 9 7 2" xfId="9235"/>
    <cellStyle name="Примечание 2 3 9 7 2 2" xfId="20162"/>
    <cellStyle name="Примечание 2 3 9 7 2 3" xfId="35523"/>
    <cellStyle name="Примечание 2 3 9 7 3" xfId="25123"/>
    <cellStyle name="Примечание 2 3 9 7 3 2" xfId="40484"/>
    <cellStyle name="Примечание 2 3 9 7 4" xfId="14599"/>
    <cellStyle name="Примечание 2 3 9 7 5" xfId="30074"/>
    <cellStyle name="Примечание 2 3 9 8" xfId="4903"/>
    <cellStyle name="Примечание 2 3 9 8 2" xfId="10090"/>
    <cellStyle name="Примечание 2 3 9 8 2 2" xfId="21017"/>
    <cellStyle name="Примечание 2 3 9 8 2 3" xfId="36378"/>
    <cellStyle name="Примечание 2 3 9 8 3" xfId="25978"/>
    <cellStyle name="Примечание 2 3 9 8 3 2" xfId="41339"/>
    <cellStyle name="Примечание 2 3 9 8 4" xfId="15454"/>
    <cellStyle name="Примечание 2 3 9 8 5" xfId="30929"/>
    <cellStyle name="Примечание 2 3 9 9" xfId="5856"/>
    <cellStyle name="Примечание 2 3 9 9 2" xfId="17445"/>
    <cellStyle name="Примечание 2 3 9 9 3" xfId="32912"/>
    <cellStyle name="Примечание 2 4" xfId="549"/>
    <cellStyle name="Примечание 2 4 10" xfId="550"/>
    <cellStyle name="Примечание 2 4 10 10" xfId="21746"/>
    <cellStyle name="Примечание 2 4 10 10 2" xfId="37107"/>
    <cellStyle name="Примечание 2 4 10 11" xfId="11175"/>
    <cellStyle name="Примечание 2 4 10 12" xfId="26697"/>
    <cellStyle name="Примечание 2 4 10 2" xfId="728"/>
    <cellStyle name="Примечание 2 4 10 2 10" xfId="11312"/>
    <cellStyle name="Примечание 2 4 10 2 11" xfId="26829"/>
    <cellStyle name="Примечание 2 4 10 2 2" xfId="1493"/>
    <cellStyle name="Примечание 2 4 10 2 2 2" xfId="3171"/>
    <cellStyle name="Примечание 2 4 10 2 2 2 2" xfId="8366"/>
    <cellStyle name="Примечание 2 4 10 2 2 2 2 2" xfId="17466"/>
    <cellStyle name="Примечание 2 4 10 2 2 2 2 3" xfId="32917"/>
    <cellStyle name="Примечание 2 4 10 2 2 2 3" xfId="19292"/>
    <cellStyle name="Примечание 2 4 10 2 2 2 3 2" xfId="34653"/>
    <cellStyle name="Примечание 2 4 10 2 2 2 4" xfId="24254"/>
    <cellStyle name="Примечание 2 4 10 2 2 2 4 2" xfId="39615"/>
    <cellStyle name="Примечание 2 4 10 2 2 2 5" xfId="13729"/>
    <cellStyle name="Примечание 2 4 10 2 2 2 6" xfId="29205"/>
    <cellStyle name="Примечание 2 4 10 2 2 3" xfId="5443"/>
    <cellStyle name="Примечание 2 4 10 2 2 3 2" xfId="10607"/>
    <cellStyle name="Примечание 2 4 10 2 2 3 2 2" xfId="21541"/>
    <cellStyle name="Примечание 2 4 10 2 2 3 2 3" xfId="36902"/>
    <cellStyle name="Примечание 2 4 10 2 2 3 3" xfId="26494"/>
    <cellStyle name="Примечание 2 4 10 2 2 3 3 2" xfId="41855"/>
    <cellStyle name="Примечание 2 4 10 2 2 3 4" xfId="15978"/>
    <cellStyle name="Примечание 2 4 10 2 2 3 5" xfId="31445"/>
    <cellStyle name="Примечание 2 4 10 2 2 4" xfId="6740"/>
    <cellStyle name="Примечание 2 4 10 2 2 4 2" xfId="16118"/>
    <cellStyle name="Примечание 2 4 10 2 2 4 3" xfId="31585"/>
    <cellStyle name="Примечание 2 4 10 2 2 5" xfId="22628"/>
    <cellStyle name="Примечание 2 4 10 2 2 5 2" xfId="37989"/>
    <cellStyle name="Примечание 2 4 10 2 2 6" xfId="12071"/>
    <cellStyle name="Примечание 2 4 10 2 2 7" xfId="27579"/>
    <cellStyle name="Примечание 2 4 10 2 3" xfId="2134"/>
    <cellStyle name="Примечание 2 4 10 2 3 2" xfId="7370"/>
    <cellStyle name="Примечание 2 4 10 2 3 2 2" xfId="17465"/>
    <cellStyle name="Примечание 2 4 10 2 3 2 3" xfId="32916"/>
    <cellStyle name="Примечание 2 4 10 2 3 3" xfId="18272"/>
    <cellStyle name="Примечание 2 4 10 2 3 3 2" xfId="33633"/>
    <cellStyle name="Примечание 2 4 10 2 3 4" xfId="23258"/>
    <cellStyle name="Примечание 2 4 10 2 3 4 2" xfId="38619"/>
    <cellStyle name="Примечание 2 4 10 2 3 5" xfId="12709"/>
    <cellStyle name="Примечание 2 4 10 2 3 6" xfId="28209"/>
    <cellStyle name="Примечание 2 4 10 2 4" xfId="2372"/>
    <cellStyle name="Примечание 2 4 10 2 4 2" xfId="7608"/>
    <cellStyle name="Примечание 2 4 10 2 4 2 2" xfId="18510"/>
    <cellStyle name="Примечание 2 4 10 2 4 2 3" xfId="33871"/>
    <cellStyle name="Примечание 2 4 10 2 4 3" xfId="23496"/>
    <cellStyle name="Примечание 2 4 10 2 4 3 2" xfId="38857"/>
    <cellStyle name="Примечание 2 4 10 2 4 4" xfId="12947"/>
    <cellStyle name="Примечание 2 4 10 2 4 5" xfId="28447"/>
    <cellStyle name="Примечание 2 4 10 2 5" xfId="3609"/>
    <cellStyle name="Примечание 2 4 10 2 5 2" xfId="8796"/>
    <cellStyle name="Примечание 2 4 10 2 5 2 2" xfId="19723"/>
    <cellStyle name="Примечание 2 4 10 2 5 2 3" xfId="35084"/>
    <cellStyle name="Примечание 2 4 10 2 5 3" xfId="24684"/>
    <cellStyle name="Примечание 2 4 10 2 5 3 2" xfId="40045"/>
    <cellStyle name="Примечание 2 4 10 2 5 4" xfId="14160"/>
    <cellStyle name="Примечание 2 4 10 2 5 5" xfId="29635"/>
    <cellStyle name="Примечание 2 4 10 2 6" xfId="4182"/>
    <cellStyle name="Примечание 2 4 10 2 6 2" xfId="9369"/>
    <cellStyle name="Примечание 2 4 10 2 6 2 2" xfId="20296"/>
    <cellStyle name="Примечание 2 4 10 2 6 2 3" xfId="35657"/>
    <cellStyle name="Примечание 2 4 10 2 6 3" xfId="25257"/>
    <cellStyle name="Примечание 2 4 10 2 6 3 2" xfId="40618"/>
    <cellStyle name="Примечание 2 4 10 2 6 4" xfId="14733"/>
    <cellStyle name="Примечание 2 4 10 2 6 5" xfId="30208"/>
    <cellStyle name="Примечание 2 4 10 2 7" xfId="4609"/>
    <cellStyle name="Примечание 2 4 10 2 7 2" xfId="9796"/>
    <cellStyle name="Примечание 2 4 10 2 7 2 2" xfId="20723"/>
    <cellStyle name="Примечание 2 4 10 2 7 2 3" xfId="36084"/>
    <cellStyle name="Примечание 2 4 10 2 7 3" xfId="25684"/>
    <cellStyle name="Примечание 2 4 10 2 7 3 2" xfId="41045"/>
    <cellStyle name="Примечание 2 4 10 2 7 4" xfId="15160"/>
    <cellStyle name="Примечание 2 4 10 2 7 5" xfId="30635"/>
    <cellStyle name="Примечание 2 4 10 2 8" xfId="5990"/>
    <cellStyle name="Примечание 2 4 10 2 8 2" xfId="16877"/>
    <cellStyle name="Примечание 2 4 10 2 8 3" xfId="32344"/>
    <cellStyle name="Примечание 2 4 10 2 9" xfId="21878"/>
    <cellStyle name="Примечание 2 4 10 2 9 2" xfId="37239"/>
    <cellStyle name="Примечание 2 4 10 3" xfId="1197"/>
    <cellStyle name="Примечание 2 4 10 3 2" xfId="3172"/>
    <cellStyle name="Примечание 2 4 10 3 2 2" xfId="8367"/>
    <cellStyle name="Примечание 2 4 10 3 2 2 2" xfId="17467"/>
    <cellStyle name="Примечание 2 4 10 3 2 2 3" xfId="32918"/>
    <cellStyle name="Примечание 2 4 10 3 2 3" xfId="19293"/>
    <cellStyle name="Примечание 2 4 10 3 2 3 2" xfId="34654"/>
    <cellStyle name="Примечание 2 4 10 3 2 4" xfId="24255"/>
    <cellStyle name="Примечание 2 4 10 3 2 4 2" xfId="39616"/>
    <cellStyle name="Примечание 2 4 10 3 2 5" xfId="13730"/>
    <cellStyle name="Примечание 2 4 10 3 2 6" xfId="29206"/>
    <cellStyle name="Примечание 2 4 10 3 3" xfId="5444"/>
    <cellStyle name="Примечание 2 4 10 3 3 2" xfId="10608"/>
    <cellStyle name="Примечание 2 4 10 3 3 2 2" xfId="21542"/>
    <cellStyle name="Примечание 2 4 10 3 3 2 3" xfId="36903"/>
    <cellStyle name="Примечание 2 4 10 3 3 3" xfId="26495"/>
    <cellStyle name="Примечание 2 4 10 3 3 3 2" xfId="41856"/>
    <cellStyle name="Примечание 2 4 10 3 3 4" xfId="15979"/>
    <cellStyle name="Примечание 2 4 10 3 3 5" xfId="31446"/>
    <cellStyle name="Примечание 2 4 10 3 4" xfId="6451"/>
    <cellStyle name="Примечание 2 4 10 3 4 2" xfId="16411"/>
    <cellStyle name="Примечание 2 4 10 3 4 3" xfId="31878"/>
    <cellStyle name="Примечание 2 4 10 3 5" xfId="22339"/>
    <cellStyle name="Примечание 2 4 10 3 5 2" xfId="37700"/>
    <cellStyle name="Примечание 2 4 10 3 6" xfId="11778"/>
    <cellStyle name="Примечание 2 4 10 3 7" xfId="27290"/>
    <cellStyle name="Примечание 2 4 10 4" xfId="1961"/>
    <cellStyle name="Примечание 2 4 10 4 2" xfId="7197"/>
    <cellStyle name="Примечание 2 4 10 4 2 2" xfId="17464"/>
    <cellStyle name="Примечание 2 4 10 4 2 3" xfId="32915"/>
    <cellStyle name="Примечание 2 4 10 4 3" xfId="18099"/>
    <cellStyle name="Примечание 2 4 10 4 3 2" xfId="33460"/>
    <cellStyle name="Примечание 2 4 10 4 4" xfId="23085"/>
    <cellStyle name="Примечание 2 4 10 4 4 2" xfId="38446"/>
    <cellStyle name="Примечание 2 4 10 4 5" xfId="12536"/>
    <cellStyle name="Примечание 2 4 10 4 6" xfId="28036"/>
    <cellStyle name="Примечание 2 4 10 5" xfId="1879"/>
    <cellStyle name="Примечание 2 4 10 5 2" xfId="7118"/>
    <cellStyle name="Примечание 2 4 10 5 2 2" xfId="18020"/>
    <cellStyle name="Примечание 2 4 10 5 2 3" xfId="33381"/>
    <cellStyle name="Примечание 2 4 10 5 3" xfId="23006"/>
    <cellStyle name="Примечание 2 4 10 5 3 2" xfId="38367"/>
    <cellStyle name="Примечание 2 4 10 5 4" xfId="12457"/>
    <cellStyle name="Примечание 2 4 10 5 5" xfId="27957"/>
    <cellStyle name="Примечание 2 4 10 6" xfId="2446"/>
    <cellStyle name="Примечание 2 4 10 6 2" xfId="7682"/>
    <cellStyle name="Примечание 2 4 10 6 2 2" xfId="18584"/>
    <cellStyle name="Примечание 2 4 10 6 2 3" xfId="33945"/>
    <cellStyle name="Примечание 2 4 10 6 3" xfId="23570"/>
    <cellStyle name="Примечание 2 4 10 6 3 2" xfId="38931"/>
    <cellStyle name="Примечание 2 4 10 6 4" xfId="13021"/>
    <cellStyle name="Примечание 2 4 10 6 5" xfId="28521"/>
    <cellStyle name="Примечание 2 4 10 7" xfId="4050"/>
    <cellStyle name="Примечание 2 4 10 7 2" xfId="9237"/>
    <cellStyle name="Примечание 2 4 10 7 2 2" xfId="20164"/>
    <cellStyle name="Примечание 2 4 10 7 2 3" xfId="35525"/>
    <cellStyle name="Примечание 2 4 10 7 3" xfId="25125"/>
    <cellStyle name="Примечание 2 4 10 7 3 2" xfId="40486"/>
    <cellStyle name="Примечание 2 4 10 7 4" xfId="14601"/>
    <cellStyle name="Примечание 2 4 10 7 5" xfId="30076"/>
    <cellStyle name="Примечание 2 4 10 8" xfId="4674"/>
    <cellStyle name="Примечание 2 4 10 8 2" xfId="9861"/>
    <cellStyle name="Примечание 2 4 10 8 2 2" xfId="20788"/>
    <cellStyle name="Примечание 2 4 10 8 2 3" xfId="36149"/>
    <cellStyle name="Примечание 2 4 10 8 3" xfId="25749"/>
    <cellStyle name="Примечание 2 4 10 8 3 2" xfId="41110"/>
    <cellStyle name="Примечание 2 4 10 8 4" xfId="15225"/>
    <cellStyle name="Примечание 2 4 10 8 5" xfId="30700"/>
    <cellStyle name="Примечание 2 4 10 9" xfId="5858"/>
    <cellStyle name="Примечание 2 4 10 9 2" xfId="17013"/>
    <cellStyle name="Примечание 2 4 10 9 3" xfId="32480"/>
    <cellStyle name="Примечание 2 4 11" xfId="551"/>
    <cellStyle name="Примечание 2 4 11 10" xfId="21747"/>
    <cellStyle name="Примечание 2 4 11 10 2" xfId="37108"/>
    <cellStyle name="Примечание 2 4 11 11" xfId="11176"/>
    <cellStyle name="Примечание 2 4 11 12" xfId="26698"/>
    <cellStyle name="Примечание 2 4 11 2" xfId="727"/>
    <cellStyle name="Примечание 2 4 11 2 10" xfId="11311"/>
    <cellStyle name="Примечание 2 4 11 2 11" xfId="26828"/>
    <cellStyle name="Примечание 2 4 11 2 2" xfId="1308"/>
    <cellStyle name="Примечание 2 4 11 2 2 2" xfId="3173"/>
    <cellStyle name="Примечание 2 4 11 2 2 2 2" xfId="8368"/>
    <cellStyle name="Примечание 2 4 11 2 2 2 2 2" xfId="17470"/>
    <cellStyle name="Примечание 2 4 11 2 2 2 2 3" xfId="32921"/>
    <cellStyle name="Примечание 2 4 11 2 2 2 3" xfId="19294"/>
    <cellStyle name="Примечание 2 4 11 2 2 2 3 2" xfId="34655"/>
    <cellStyle name="Примечание 2 4 11 2 2 2 4" xfId="24256"/>
    <cellStyle name="Примечание 2 4 11 2 2 2 4 2" xfId="39617"/>
    <cellStyle name="Примечание 2 4 11 2 2 2 5" xfId="13731"/>
    <cellStyle name="Примечание 2 4 11 2 2 2 6" xfId="29207"/>
    <cellStyle name="Примечание 2 4 11 2 2 3" xfId="5445"/>
    <cellStyle name="Примечание 2 4 11 2 2 3 2" xfId="10609"/>
    <cellStyle name="Примечание 2 4 11 2 2 3 2 2" xfId="21543"/>
    <cellStyle name="Примечание 2 4 11 2 2 3 2 3" xfId="36904"/>
    <cellStyle name="Примечание 2 4 11 2 2 3 3" xfId="26496"/>
    <cellStyle name="Примечание 2 4 11 2 2 3 3 2" xfId="41857"/>
    <cellStyle name="Примечание 2 4 11 2 2 3 4" xfId="15980"/>
    <cellStyle name="Примечание 2 4 11 2 2 3 5" xfId="31447"/>
    <cellStyle name="Примечание 2 4 11 2 2 4" xfId="6561"/>
    <cellStyle name="Примечание 2 4 11 2 2 4 2" xfId="16300"/>
    <cellStyle name="Примечание 2 4 11 2 2 4 3" xfId="31767"/>
    <cellStyle name="Примечание 2 4 11 2 2 5" xfId="22449"/>
    <cellStyle name="Примечание 2 4 11 2 2 5 2" xfId="37810"/>
    <cellStyle name="Примечание 2 4 11 2 2 6" xfId="11889"/>
    <cellStyle name="Примечание 2 4 11 2 2 7" xfId="27400"/>
    <cellStyle name="Примечание 2 4 11 2 3" xfId="2133"/>
    <cellStyle name="Примечание 2 4 11 2 3 2" xfId="7369"/>
    <cellStyle name="Примечание 2 4 11 2 3 2 2" xfId="17469"/>
    <cellStyle name="Примечание 2 4 11 2 3 2 3" xfId="32920"/>
    <cellStyle name="Примечание 2 4 11 2 3 3" xfId="18271"/>
    <cellStyle name="Примечание 2 4 11 2 3 3 2" xfId="33632"/>
    <cellStyle name="Примечание 2 4 11 2 3 4" xfId="23257"/>
    <cellStyle name="Примечание 2 4 11 2 3 4 2" xfId="38618"/>
    <cellStyle name="Примечание 2 4 11 2 3 5" xfId="12708"/>
    <cellStyle name="Примечание 2 4 11 2 3 6" xfId="28208"/>
    <cellStyle name="Примечание 2 4 11 2 4" xfId="2880"/>
    <cellStyle name="Примечание 2 4 11 2 4 2" xfId="8087"/>
    <cellStyle name="Примечание 2 4 11 2 4 2 2" xfId="19007"/>
    <cellStyle name="Примечание 2 4 11 2 4 2 3" xfId="34368"/>
    <cellStyle name="Примечание 2 4 11 2 4 3" xfId="23975"/>
    <cellStyle name="Примечание 2 4 11 2 4 3 2" xfId="39336"/>
    <cellStyle name="Примечание 2 4 11 2 4 4" xfId="13444"/>
    <cellStyle name="Примечание 2 4 11 2 4 5" xfId="28926"/>
    <cellStyle name="Примечание 2 4 11 2 5" xfId="3433"/>
    <cellStyle name="Примечание 2 4 11 2 5 2" xfId="8623"/>
    <cellStyle name="Примечание 2 4 11 2 5 2 2" xfId="19550"/>
    <cellStyle name="Примечание 2 4 11 2 5 2 3" xfId="34911"/>
    <cellStyle name="Примечание 2 4 11 2 5 3" xfId="24511"/>
    <cellStyle name="Примечание 2 4 11 2 5 3 2" xfId="39872"/>
    <cellStyle name="Примечание 2 4 11 2 5 4" xfId="13987"/>
    <cellStyle name="Примечание 2 4 11 2 5 5" xfId="29462"/>
    <cellStyle name="Примечание 2 4 11 2 6" xfId="4181"/>
    <cellStyle name="Примечание 2 4 11 2 6 2" xfId="9368"/>
    <cellStyle name="Примечание 2 4 11 2 6 2 2" xfId="20295"/>
    <cellStyle name="Примечание 2 4 11 2 6 2 3" xfId="35656"/>
    <cellStyle name="Примечание 2 4 11 2 6 3" xfId="25256"/>
    <cellStyle name="Примечание 2 4 11 2 6 3 2" xfId="40617"/>
    <cellStyle name="Примечание 2 4 11 2 6 4" xfId="14732"/>
    <cellStyle name="Примечание 2 4 11 2 6 5" xfId="30207"/>
    <cellStyle name="Примечание 2 4 11 2 7" xfId="4936"/>
    <cellStyle name="Примечание 2 4 11 2 7 2" xfId="10123"/>
    <cellStyle name="Примечание 2 4 11 2 7 2 2" xfId="21050"/>
    <cellStyle name="Примечание 2 4 11 2 7 2 3" xfId="36411"/>
    <cellStyle name="Примечание 2 4 11 2 7 3" xfId="26011"/>
    <cellStyle name="Примечание 2 4 11 2 7 3 2" xfId="41372"/>
    <cellStyle name="Примечание 2 4 11 2 7 4" xfId="15487"/>
    <cellStyle name="Примечание 2 4 11 2 7 5" xfId="30962"/>
    <cellStyle name="Примечание 2 4 11 2 8" xfId="5989"/>
    <cellStyle name="Примечание 2 4 11 2 8 2" xfId="16878"/>
    <cellStyle name="Примечание 2 4 11 2 8 3" xfId="32345"/>
    <cellStyle name="Примечание 2 4 11 2 9" xfId="21877"/>
    <cellStyle name="Примечание 2 4 11 2 9 2" xfId="37238"/>
    <cellStyle name="Примечание 2 4 11 3" xfId="1672"/>
    <cellStyle name="Примечание 2 4 11 3 2" xfId="3174"/>
    <cellStyle name="Примечание 2 4 11 3 2 2" xfId="8369"/>
    <cellStyle name="Примечание 2 4 11 3 2 2 2" xfId="17471"/>
    <cellStyle name="Примечание 2 4 11 3 2 2 3" xfId="32922"/>
    <cellStyle name="Примечание 2 4 11 3 2 3" xfId="19295"/>
    <cellStyle name="Примечание 2 4 11 3 2 3 2" xfId="34656"/>
    <cellStyle name="Примечание 2 4 11 3 2 4" xfId="24257"/>
    <cellStyle name="Примечание 2 4 11 3 2 4 2" xfId="39618"/>
    <cellStyle name="Примечание 2 4 11 3 2 5" xfId="13732"/>
    <cellStyle name="Примечание 2 4 11 3 2 6" xfId="29208"/>
    <cellStyle name="Примечание 2 4 11 3 3" xfId="5446"/>
    <cellStyle name="Примечание 2 4 11 3 3 2" xfId="10610"/>
    <cellStyle name="Примечание 2 4 11 3 3 2 2" xfId="21544"/>
    <cellStyle name="Примечание 2 4 11 3 3 2 3" xfId="36905"/>
    <cellStyle name="Примечание 2 4 11 3 3 3" xfId="26497"/>
    <cellStyle name="Примечание 2 4 11 3 3 3 2" xfId="41858"/>
    <cellStyle name="Примечание 2 4 11 3 3 4" xfId="15981"/>
    <cellStyle name="Примечание 2 4 11 3 3 5" xfId="31448"/>
    <cellStyle name="Примечание 2 4 11 3 4" xfId="6917"/>
    <cellStyle name="Примечание 2 4 11 3 4 2" xfId="17814"/>
    <cellStyle name="Примечание 2 4 11 3 4 3" xfId="33175"/>
    <cellStyle name="Примечание 2 4 11 3 5" xfId="22805"/>
    <cellStyle name="Примечание 2 4 11 3 5 2" xfId="38166"/>
    <cellStyle name="Примечание 2 4 11 3 6" xfId="12250"/>
    <cellStyle name="Примечание 2 4 11 3 7" xfId="27756"/>
    <cellStyle name="Примечание 2 4 11 4" xfId="1962"/>
    <cellStyle name="Примечание 2 4 11 4 2" xfId="7198"/>
    <cellStyle name="Примечание 2 4 11 4 2 2" xfId="17468"/>
    <cellStyle name="Примечание 2 4 11 4 2 3" xfId="32919"/>
    <cellStyle name="Примечание 2 4 11 4 3" xfId="18100"/>
    <cellStyle name="Примечание 2 4 11 4 3 2" xfId="33461"/>
    <cellStyle name="Примечание 2 4 11 4 4" xfId="23086"/>
    <cellStyle name="Примечание 2 4 11 4 4 2" xfId="38447"/>
    <cellStyle name="Примечание 2 4 11 4 5" xfId="12537"/>
    <cellStyle name="Примечание 2 4 11 4 6" xfId="28037"/>
    <cellStyle name="Примечание 2 4 11 5" xfId="2485"/>
    <cellStyle name="Примечание 2 4 11 5 2" xfId="7721"/>
    <cellStyle name="Примечание 2 4 11 5 2 2" xfId="18623"/>
    <cellStyle name="Примечание 2 4 11 5 2 3" xfId="33984"/>
    <cellStyle name="Примечание 2 4 11 5 3" xfId="23609"/>
    <cellStyle name="Примечание 2 4 11 5 3 2" xfId="38970"/>
    <cellStyle name="Примечание 2 4 11 5 4" xfId="13060"/>
    <cellStyle name="Примечание 2 4 11 5 5" xfId="28560"/>
    <cellStyle name="Примечание 2 4 11 6" xfId="3443"/>
    <cellStyle name="Примечание 2 4 11 6 2" xfId="8632"/>
    <cellStyle name="Примечание 2 4 11 6 2 2" xfId="19559"/>
    <cellStyle name="Примечание 2 4 11 6 2 3" xfId="34920"/>
    <cellStyle name="Примечание 2 4 11 6 3" xfId="24520"/>
    <cellStyle name="Примечание 2 4 11 6 3 2" xfId="39881"/>
    <cellStyle name="Примечание 2 4 11 6 4" xfId="13996"/>
    <cellStyle name="Примечание 2 4 11 6 5" xfId="29471"/>
    <cellStyle name="Примечание 2 4 11 7" xfId="4051"/>
    <cellStyle name="Примечание 2 4 11 7 2" xfId="9238"/>
    <cellStyle name="Примечание 2 4 11 7 2 2" xfId="20165"/>
    <cellStyle name="Примечание 2 4 11 7 2 3" xfId="35526"/>
    <cellStyle name="Примечание 2 4 11 7 3" xfId="25126"/>
    <cellStyle name="Примечание 2 4 11 7 3 2" xfId="40487"/>
    <cellStyle name="Примечание 2 4 11 7 4" xfId="14602"/>
    <cellStyle name="Примечание 2 4 11 7 5" xfId="30077"/>
    <cellStyle name="Примечание 2 4 11 8" xfId="4874"/>
    <cellStyle name="Примечание 2 4 11 8 2" xfId="10061"/>
    <cellStyle name="Примечание 2 4 11 8 2 2" xfId="20988"/>
    <cellStyle name="Примечание 2 4 11 8 2 3" xfId="36349"/>
    <cellStyle name="Примечание 2 4 11 8 3" xfId="25949"/>
    <cellStyle name="Примечание 2 4 11 8 3 2" xfId="41310"/>
    <cellStyle name="Примечание 2 4 11 8 4" xfId="15425"/>
    <cellStyle name="Примечание 2 4 11 8 5" xfId="30900"/>
    <cellStyle name="Примечание 2 4 11 9" xfId="5859"/>
    <cellStyle name="Примечание 2 4 11 9 2" xfId="17012"/>
    <cellStyle name="Примечание 2 4 11 9 3" xfId="32479"/>
    <cellStyle name="Примечание 2 4 12" xfId="552"/>
    <cellStyle name="Примечание 2 4 12 10" xfId="21748"/>
    <cellStyle name="Примечание 2 4 12 10 2" xfId="37109"/>
    <cellStyle name="Примечание 2 4 12 11" xfId="11177"/>
    <cellStyle name="Примечание 2 4 12 12" xfId="26699"/>
    <cellStyle name="Примечание 2 4 12 2" xfId="726"/>
    <cellStyle name="Примечание 2 4 12 2 10" xfId="11310"/>
    <cellStyle name="Примечание 2 4 12 2 11" xfId="26827"/>
    <cellStyle name="Примечание 2 4 12 2 2" xfId="96"/>
    <cellStyle name="Примечание 2 4 12 2 2 2" xfId="3175"/>
    <cellStyle name="Примечание 2 4 12 2 2 2 2" xfId="8370"/>
    <cellStyle name="Примечание 2 4 12 2 2 2 2 2" xfId="17474"/>
    <cellStyle name="Примечание 2 4 12 2 2 2 2 3" xfId="32925"/>
    <cellStyle name="Примечание 2 4 12 2 2 2 3" xfId="19296"/>
    <cellStyle name="Примечание 2 4 12 2 2 2 3 2" xfId="34657"/>
    <cellStyle name="Примечание 2 4 12 2 2 2 4" xfId="24258"/>
    <cellStyle name="Примечание 2 4 12 2 2 2 4 2" xfId="39619"/>
    <cellStyle name="Примечание 2 4 12 2 2 2 5" xfId="13733"/>
    <cellStyle name="Примечание 2 4 12 2 2 2 6" xfId="29209"/>
    <cellStyle name="Примечание 2 4 12 2 2 3" xfId="5447"/>
    <cellStyle name="Примечание 2 4 12 2 2 3 2" xfId="10611"/>
    <cellStyle name="Примечание 2 4 12 2 2 3 2 2" xfId="21545"/>
    <cellStyle name="Примечание 2 4 12 2 2 3 2 3" xfId="36906"/>
    <cellStyle name="Примечание 2 4 12 2 2 3 3" xfId="26498"/>
    <cellStyle name="Примечание 2 4 12 2 2 3 3 2" xfId="41859"/>
    <cellStyle name="Примечание 2 4 12 2 2 3 4" xfId="15982"/>
    <cellStyle name="Примечание 2 4 12 2 2 3 5" xfId="31449"/>
    <cellStyle name="Примечание 2 4 12 2 2 4" xfId="5622"/>
    <cellStyle name="Примечание 2 4 12 2 2 4 2" xfId="17375"/>
    <cellStyle name="Примечание 2 4 12 2 2 4 3" xfId="32842"/>
    <cellStyle name="Примечание 2 4 12 2 2 5" xfId="21448"/>
    <cellStyle name="Примечание 2 4 12 2 2 5 2" xfId="36809"/>
    <cellStyle name="Примечание 2 4 12 2 2 6" xfId="10810"/>
    <cellStyle name="Примечание 2 4 12 2 2 7" xfId="15885"/>
    <cellStyle name="Примечание 2 4 12 2 3" xfId="2132"/>
    <cellStyle name="Примечание 2 4 12 2 3 2" xfId="7368"/>
    <cellStyle name="Примечание 2 4 12 2 3 2 2" xfId="17473"/>
    <cellStyle name="Примечание 2 4 12 2 3 2 3" xfId="32924"/>
    <cellStyle name="Примечание 2 4 12 2 3 3" xfId="18270"/>
    <cellStyle name="Примечание 2 4 12 2 3 3 2" xfId="33631"/>
    <cellStyle name="Примечание 2 4 12 2 3 4" xfId="23256"/>
    <cellStyle name="Примечание 2 4 12 2 3 4 2" xfId="38617"/>
    <cellStyle name="Примечание 2 4 12 2 3 5" xfId="12707"/>
    <cellStyle name="Примечание 2 4 12 2 3 6" xfId="28207"/>
    <cellStyle name="Примечание 2 4 12 2 4" xfId="2375"/>
    <cellStyle name="Примечание 2 4 12 2 4 2" xfId="7611"/>
    <cellStyle name="Примечание 2 4 12 2 4 2 2" xfId="18513"/>
    <cellStyle name="Примечание 2 4 12 2 4 2 3" xfId="33874"/>
    <cellStyle name="Примечание 2 4 12 2 4 3" xfId="23499"/>
    <cellStyle name="Примечание 2 4 12 2 4 3 2" xfId="38860"/>
    <cellStyle name="Примечание 2 4 12 2 4 4" xfId="12950"/>
    <cellStyle name="Примечание 2 4 12 2 4 5" xfId="28450"/>
    <cellStyle name="Примечание 2 4 12 2 5" xfId="3814"/>
    <cellStyle name="Примечание 2 4 12 2 5 2" xfId="9001"/>
    <cellStyle name="Примечание 2 4 12 2 5 2 2" xfId="19928"/>
    <cellStyle name="Примечание 2 4 12 2 5 2 3" xfId="35289"/>
    <cellStyle name="Примечание 2 4 12 2 5 3" xfId="24889"/>
    <cellStyle name="Примечание 2 4 12 2 5 3 2" xfId="40250"/>
    <cellStyle name="Примечание 2 4 12 2 5 4" xfId="14365"/>
    <cellStyle name="Примечание 2 4 12 2 5 5" xfId="29840"/>
    <cellStyle name="Примечание 2 4 12 2 6" xfId="4180"/>
    <cellStyle name="Примечание 2 4 12 2 6 2" xfId="9367"/>
    <cellStyle name="Примечание 2 4 12 2 6 2 2" xfId="20294"/>
    <cellStyle name="Примечание 2 4 12 2 6 2 3" xfId="35655"/>
    <cellStyle name="Примечание 2 4 12 2 6 3" xfId="25255"/>
    <cellStyle name="Примечание 2 4 12 2 6 3 2" xfId="40616"/>
    <cellStyle name="Примечание 2 4 12 2 6 4" xfId="14731"/>
    <cellStyle name="Примечание 2 4 12 2 6 5" xfId="30206"/>
    <cellStyle name="Примечание 2 4 12 2 7" xfId="4610"/>
    <cellStyle name="Примечание 2 4 12 2 7 2" xfId="9797"/>
    <cellStyle name="Примечание 2 4 12 2 7 2 2" xfId="20724"/>
    <cellStyle name="Примечание 2 4 12 2 7 2 3" xfId="36085"/>
    <cellStyle name="Примечание 2 4 12 2 7 3" xfId="25685"/>
    <cellStyle name="Примечание 2 4 12 2 7 3 2" xfId="41046"/>
    <cellStyle name="Примечание 2 4 12 2 7 4" xfId="15161"/>
    <cellStyle name="Примечание 2 4 12 2 7 5" xfId="30636"/>
    <cellStyle name="Примечание 2 4 12 2 8" xfId="5988"/>
    <cellStyle name="Примечание 2 4 12 2 8 2" xfId="16879"/>
    <cellStyle name="Примечание 2 4 12 2 8 3" xfId="32346"/>
    <cellStyle name="Примечание 2 4 12 2 9" xfId="21876"/>
    <cellStyle name="Примечание 2 4 12 2 9 2" xfId="37237"/>
    <cellStyle name="Примечание 2 4 12 3" xfId="1028"/>
    <cellStyle name="Примечание 2 4 12 3 2" xfId="3176"/>
    <cellStyle name="Примечание 2 4 12 3 2 2" xfId="8371"/>
    <cellStyle name="Примечание 2 4 12 3 2 2 2" xfId="17475"/>
    <cellStyle name="Примечание 2 4 12 3 2 2 3" xfId="32926"/>
    <cellStyle name="Примечание 2 4 12 3 2 3" xfId="19297"/>
    <cellStyle name="Примечание 2 4 12 3 2 3 2" xfId="34658"/>
    <cellStyle name="Примечание 2 4 12 3 2 4" xfId="24259"/>
    <cellStyle name="Примечание 2 4 12 3 2 4 2" xfId="39620"/>
    <cellStyle name="Примечание 2 4 12 3 2 5" xfId="13734"/>
    <cellStyle name="Примечание 2 4 12 3 2 6" xfId="29210"/>
    <cellStyle name="Примечание 2 4 12 3 3" xfId="5448"/>
    <cellStyle name="Примечание 2 4 12 3 3 2" xfId="10612"/>
    <cellStyle name="Примечание 2 4 12 3 3 2 2" xfId="21546"/>
    <cellStyle name="Примечание 2 4 12 3 3 2 3" xfId="36907"/>
    <cellStyle name="Примечание 2 4 12 3 3 3" xfId="26499"/>
    <cellStyle name="Примечание 2 4 12 3 3 3 2" xfId="41860"/>
    <cellStyle name="Примечание 2 4 12 3 3 4" xfId="15983"/>
    <cellStyle name="Примечание 2 4 12 3 3 5" xfId="31450"/>
    <cellStyle name="Примечание 2 4 12 3 4" xfId="6286"/>
    <cellStyle name="Примечание 2 4 12 3 4 2" xfId="16578"/>
    <cellStyle name="Примечание 2 4 12 3 4 3" xfId="32045"/>
    <cellStyle name="Примечание 2 4 12 3 5" xfId="22174"/>
    <cellStyle name="Примечание 2 4 12 3 5 2" xfId="37535"/>
    <cellStyle name="Примечание 2 4 12 3 6" xfId="11611"/>
    <cellStyle name="Примечание 2 4 12 3 7" xfId="27125"/>
    <cellStyle name="Примечание 2 4 12 4" xfId="1963"/>
    <cellStyle name="Примечание 2 4 12 4 2" xfId="7199"/>
    <cellStyle name="Примечание 2 4 12 4 2 2" xfId="17472"/>
    <cellStyle name="Примечание 2 4 12 4 2 3" xfId="32923"/>
    <cellStyle name="Примечание 2 4 12 4 3" xfId="18101"/>
    <cellStyle name="Примечание 2 4 12 4 3 2" xfId="33462"/>
    <cellStyle name="Примечание 2 4 12 4 4" xfId="23087"/>
    <cellStyle name="Примечание 2 4 12 4 4 2" xfId="38448"/>
    <cellStyle name="Примечание 2 4 12 4 5" xfId="12538"/>
    <cellStyle name="Примечание 2 4 12 4 6" xfId="28038"/>
    <cellStyle name="Примечание 2 4 12 5" xfId="1352"/>
    <cellStyle name="Примечание 2 4 12 5 2" xfId="6604"/>
    <cellStyle name="Примечание 2 4 12 5 2 2" xfId="16256"/>
    <cellStyle name="Примечание 2 4 12 5 2 3" xfId="31723"/>
    <cellStyle name="Примечание 2 4 12 5 3" xfId="22492"/>
    <cellStyle name="Примечание 2 4 12 5 3 2" xfId="37853"/>
    <cellStyle name="Примечание 2 4 12 5 4" xfId="11933"/>
    <cellStyle name="Примечание 2 4 12 5 5" xfId="27443"/>
    <cellStyle name="Примечание 2 4 12 6" xfId="3571"/>
    <cellStyle name="Примечание 2 4 12 6 2" xfId="8758"/>
    <cellStyle name="Примечание 2 4 12 6 2 2" xfId="19685"/>
    <cellStyle name="Примечание 2 4 12 6 2 3" xfId="35046"/>
    <cellStyle name="Примечание 2 4 12 6 3" xfId="24646"/>
    <cellStyle name="Примечание 2 4 12 6 3 2" xfId="40007"/>
    <cellStyle name="Примечание 2 4 12 6 4" xfId="14122"/>
    <cellStyle name="Примечание 2 4 12 6 5" xfId="29597"/>
    <cellStyle name="Примечание 2 4 12 7" xfId="4052"/>
    <cellStyle name="Примечание 2 4 12 7 2" xfId="9239"/>
    <cellStyle name="Примечание 2 4 12 7 2 2" xfId="20166"/>
    <cellStyle name="Примечание 2 4 12 7 2 3" xfId="35527"/>
    <cellStyle name="Примечание 2 4 12 7 3" xfId="25127"/>
    <cellStyle name="Примечание 2 4 12 7 3 2" xfId="40488"/>
    <cellStyle name="Примечание 2 4 12 7 4" xfId="14603"/>
    <cellStyle name="Примечание 2 4 12 7 5" xfId="30078"/>
    <cellStyle name="Примечание 2 4 12 8" xfId="4673"/>
    <cellStyle name="Примечание 2 4 12 8 2" xfId="9860"/>
    <cellStyle name="Примечание 2 4 12 8 2 2" xfId="20787"/>
    <cellStyle name="Примечание 2 4 12 8 2 3" xfId="36148"/>
    <cellStyle name="Примечание 2 4 12 8 3" xfId="25748"/>
    <cellStyle name="Примечание 2 4 12 8 3 2" xfId="41109"/>
    <cellStyle name="Примечание 2 4 12 8 4" xfId="15224"/>
    <cellStyle name="Примечание 2 4 12 8 5" xfId="30699"/>
    <cellStyle name="Примечание 2 4 12 9" xfId="5860"/>
    <cellStyle name="Примечание 2 4 12 9 2" xfId="17011"/>
    <cellStyle name="Примечание 2 4 12 9 3" xfId="32478"/>
    <cellStyle name="Примечание 2 4 13" xfId="553"/>
    <cellStyle name="Примечание 2 4 13 10" xfId="21749"/>
    <cellStyle name="Примечание 2 4 13 10 2" xfId="37110"/>
    <cellStyle name="Примечание 2 4 13 11" xfId="11178"/>
    <cellStyle name="Примечание 2 4 13 12" xfId="26700"/>
    <cellStyle name="Примечание 2 4 13 2" xfId="725"/>
    <cellStyle name="Примечание 2 4 13 2 10" xfId="11309"/>
    <cellStyle name="Примечание 2 4 13 2 11" xfId="26826"/>
    <cellStyle name="Примечание 2 4 13 2 2" xfId="1540"/>
    <cellStyle name="Примечание 2 4 13 2 2 2" xfId="3177"/>
    <cellStyle name="Примечание 2 4 13 2 2 2 2" xfId="8372"/>
    <cellStyle name="Примечание 2 4 13 2 2 2 2 2" xfId="17478"/>
    <cellStyle name="Примечание 2 4 13 2 2 2 2 3" xfId="32929"/>
    <cellStyle name="Примечание 2 4 13 2 2 2 3" xfId="19298"/>
    <cellStyle name="Примечание 2 4 13 2 2 2 3 2" xfId="34659"/>
    <cellStyle name="Примечание 2 4 13 2 2 2 4" xfId="24260"/>
    <cellStyle name="Примечание 2 4 13 2 2 2 4 2" xfId="39621"/>
    <cellStyle name="Примечание 2 4 13 2 2 2 5" xfId="13735"/>
    <cellStyle name="Примечание 2 4 13 2 2 2 6" xfId="29211"/>
    <cellStyle name="Примечание 2 4 13 2 2 3" xfId="5449"/>
    <cellStyle name="Примечание 2 4 13 2 2 3 2" xfId="10613"/>
    <cellStyle name="Примечание 2 4 13 2 2 3 2 2" xfId="21547"/>
    <cellStyle name="Примечание 2 4 13 2 2 3 2 3" xfId="36908"/>
    <cellStyle name="Примечание 2 4 13 2 2 3 3" xfId="26500"/>
    <cellStyle name="Примечание 2 4 13 2 2 3 3 2" xfId="41861"/>
    <cellStyle name="Примечание 2 4 13 2 2 3 4" xfId="15984"/>
    <cellStyle name="Примечание 2 4 13 2 2 3 5" xfId="31451"/>
    <cellStyle name="Примечание 2 4 13 2 2 4" xfId="6787"/>
    <cellStyle name="Примечание 2 4 13 2 2 4 2" xfId="17682"/>
    <cellStyle name="Примечание 2 4 13 2 2 4 3" xfId="33043"/>
    <cellStyle name="Примечание 2 4 13 2 2 5" xfId="22675"/>
    <cellStyle name="Примечание 2 4 13 2 2 5 2" xfId="38036"/>
    <cellStyle name="Примечание 2 4 13 2 2 6" xfId="12118"/>
    <cellStyle name="Примечание 2 4 13 2 2 7" xfId="27626"/>
    <cellStyle name="Примечание 2 4 13 2 3" xfId="2131"/>
    <cellStyle name="Примечание 2 4 13 2 3 2" xfId="7367"/>
    <cellStyle name="Примечание 2 4 13 2 3 2 2" xfId="17477"/>
    <cellStyle name="Примечание 2 4 13 2 3 2 3" xfId="32928"/>
    <cellStyle name="Примечание 2 4 13 2 3 3" xfId="18269"/>
    <cellStyle name="Примечание 2 4 13 2 3 3 2" xfId="33630"/>
    <cellStyle name="Примечание 2 4 13 2 3 4" xfId="23255"/>
    <cellStyle name="Примечание 2 4 13 2 3 4 2" xfId="38616"/>
    <cellStyle name="Примечание 2 4 13 2 3 5" xfId="12706"/>
    <cellStyle name="Примечание 2 4 13 2 3 6" xfId="28206"/>
    <cellStyle name="Примечание 2 4 13 2 4" xfId="2881"/>
    <cellStyle name="Примечание 2 4 13 2 4 2" xfId="8088"/>
    <cellStyle name="Примечание 2 4 13 2 4 2 2" xfId="19008"/>
    <cellStyle name="Примечание 2 4 13 2 4 2 3" xfId="34369"/>
    <cellStyle name="Примечание 2 4 13 2 4 3" xfId="23976"/>
    <cellStyle name="Примечание 2 4 13 2 4 3 2" xfId="39337"/>
    <cellStyle name="Примечание 2 4 13 2 4 4" xfId="13445"/>
    <cellStyle name="Примечание 2 4 13 2 4 5" xfId="28927"/>
    <cellStyle name="Примечание 2 4 13 2 5" xfId="2520"/>
    <cellStyle name="Примечание 2 4 13 2 5 2" xfId="7753"/>
    <cellStyle name="Примечание 2 4 13 2 5 2 2" xfId="18655"/>
    <cellStyle name="Примечание 2 4 13 2 5 2 3" xfId="34016"/>
    <cellStyle name="Примечание 2 4 13 2 5 3" xfId="23641"/>
    <cellStyle name="Примечание 2 4 13 2 5 3 2" xfId="39002"/>
    <cellStyle name="Примечание 2 4 13 2 5 4" xfId="13092"/>
    <cellStyle name="Примечание 2 4 13 2 5 5" xfId="28592"/>
    <cellStyle name="Примечание 2 4 13 2 6" xfId="4179"/>
    <cellStyle name="Примечание 2 4 13 2 6 2" xfId="9366"/>
    <cellStyle name="Примечание 2 4 13 2 6 2 2" xfId="20293"/>
    <cellStyle name="Примечание 2 4 13 2 6 2 3" xfId="35654"/>
    <cellStyle name="Примечание 2 4 13 2 6 3" xfId="25254"/>
    <cellStyle name="Примечание 2 4 13 2 6 3 2" xfId="40615"/>
    <cellStyle name="Примечание 2 4 13 2 6 4" xfId="14730"/>
    <cellStyle name="Примечание 2 4 13 2 6 5" xfId="30205"/>
    <cellStyle name="Примечание 2 4 13 2 7" xfId="4935"/>
    <cellStyle name="Примечание 2 4 13 2 7 2" xfId="10122"/>
    <cellStyle name="Примечание 2 4 13 2 7 2 2" xfId="21049"/>
    <cellStyle name="Примечание 2 4 13 2 7 2 3" xfId="36410"/>
    <cellStyle name="Примечание 2 4 13 2 7 3" xfId="26010"/>
    <cellStyle name="Примечание 2 4 13 2 7 3 2" xfId="41371"/>
    <cellStyle name="Примечание 2 4 13 2 7 4" xfId="15486"/>
    <cellStyle name="Примечание 2 4 13 2 7 5" xfId="30961"/>
    <cellStyle name="Примечание 2 4 13 2 8" xfId="5987"/>
    <cellStyle name="Примечание 2 4 13 2 8 2" xfId="16880"/>
    <cellStyle name="Примечание 2 4 13 2 8 3" xfId="32347"/>
    <cellStyle name="Примечание 2 4 13 2 9" xfId="21875"/>
    <cellStyle name="Примечание 2 4 13 2 9 2" xfId="37236"/>
    <cellStyle name="Примечание 2 4 13 3" xfId="975"/>
    <cellStyle name="Примечание 2 4 13 3 2" xfId="3178"/>
    <cellStyle name="Примечание 2 4 13 3 2 2" xfId="8373"/>
    <cellStyle name="Примечание 2 4 13 3 2 2 2" xfId="17479"/>
    <cellStyle name="Примечание 2 4 13 3 2 2 3" xfId="32930"/>
    <cellStyle name="Примечание 2 4 13 3 2 3" xfId="19299"/>
    <cellStyle name="Примечание 2 4 13 3 2 3 2" xfId="34660"/>
    <cellStyle name="Примечание 2 4 13 3 2 4" xfId="24261"/>
    <cellStyle name="Примечание 2 4 13 3 2 4 2" xfId="39622"/>
    <cellStyle name="Примечание 2 4 13 3 2 5" xfId="13736"/>
    <cellStyle name="Примечание 2 4 13 3 2 6" xfId="29212"/>
    <cellStyle name="Примечание 2 4 13 3 3" xfId="5450"/>
    <cellStyle name="Примечание 2 4 13 3 3 2" xfId="10614"/>
    <cellStyle name="Примечание 2 4 13 3 3 2 2" xfId="21548"/>
    <cellStyle name="Примечание 2 4 13 3 3 2 3" xfId="36909"/>
    <cellStyle name="Примечание 2 4 13 3 3 3" xfId="26501"/>
    <cellStyle name="Примечание 2 4 13 3 3 3 2" xfId="41862"/>
    <cellStyle name="Примечание 2 4 13 3 3 4" xfId="15985"/>
    <cellStyle name="Примечание 2 4 13 3 3 5" xfId="31452"/>
    <cellStyle name="Примечание 2 4 13 3 4" xfId="6235"/>
    <cellStyle name="Примечание 2 4 13 3 4 2" xfId="16631"/>
    <cellStyle name="Примечание 2 4 13 3 4 3" xfId="32098"/>
    <cellStyle name="Примечание 2 4 13 3 5" xfId="22123"/>
    <cellStyle name="Примечание 2 4 13 3 5 2" xfId="37484"/>
    <cellStyle name="Примечание 2 4 13 3 6" xfId="11558"/>
    <cellStyle name="Примечание 2 4 13 3 7" xfId="27074"/>
    <cellStyle name="Примечание 2 4 13 4" xfId="1964"/>
    <cellStyle name="Примечание 2 4 13 4 2" xfId="7200"/>
    <cellStyle name="Примечание 2 4 13 4 2 2" xfId="17476"/>
    <cellStyle name="Примечание 2 4 13 4 2 3" xfId="32927"/>
    <cellStyle name="Примечание 2 4 13 4 3" xfId="18102"/>
    <cellStyle name="Примечание 2 4 13 4 3 2" xfId="33463"/>
    <cellStyle name="Примечание 2 4 13 4 4" xfId="23088"/>
    <cellStyle name="Примечание 2 4 13 4 4 2" xfId="38449"/>
    <cellStyle name="Примечание 2 4 13 4 5" xfId="12539"/>
    <cellStyle name="Примечание 2 4 13 4 6" xfId="28039"/>
    <cellStyle name="Примечание 2 4 13 5" xfId="2484"/>
    <cellStyle name="Примечание 2 4 13 5 2" xfId="7720"/>
    <cellStyle name="Примечание 2 4 13 5 2 2" xfId="18622"/>
    <cellStyle name="Примечание 2 4 13 5 2 3" xfId="33983"/>
    <cellStyle name="Примечание 2 4 13 5 3" xfId="23608"/>
    <cellStyle name="Примечание 2 4 13 5 3 2" xfId="38969"/>
    <cellStyle name="Примечание 2 4 13 5 4" xfId="13059"/>
    <cellStyle name="Примечание 2 4 13 5 5" xfId="28559"/>
    <cellStyle name="Примечание 2 4 13 6" xfId="2937"/>
    <cellStyle name="Примечание 2 4 13 6 2" xfId="8138"/>
    <cellStyle name="Примечание 2 4 13 6 2 2" xfId="19058"/>
    <cellStyle name="Примечание 2 4 13 6 2 3" xfId="34419"/>
    <cellStyle name="Примечание 2 4 13 6 3" xfId="24026"/>
    <cellStyle name="Примечание 2 4 13 6 3 2" xfId="39387"/>
    <cellStyle name="Примечание 2 4 13 6 4" xfId="13495"/>
    <cellStyle name="Примечание 2 4 13 6 5" xfId="28977"/>
    <cellStyle name="Примечание 2 4 13 7" xfId="4053"/>
    <cellStyle name="Примечание 2 4 13 7 2" xfId="9240"/>
    <cellStyle name="Примечание 2 4 13 7 2 2" xfId="20167"/>
    <cellStyle name="Примечание 2 4 13 7 2 3" xfId="35528"/>
    <cellStyle name="Примечание 2 4 13 7 3" xfId="25128"/>
    <cellStyle name="Примечание 2 4 13 7 3 2" xfId="40489"/>
    <cellStyle name="Примечание 2 4 13 7 4" xfId="14604"/>
    <cellStyle name="Примечание 2 4 13 7 5" xfId="30079"/>
    <cellStyle name="Примечание 2 4 13 8" xfId="4875"/>
    <cellStyle name="Примечание 2 4 13 8 2" xfId="10062"/>
    <cellStyle name="Примечание 2 4 13 8 2 2" xfId="20989"/>
    <cellStyle name="Примечание 2 4 13 8 2 3" xfId="36350"/>
    <cellStyle name="Примечание 2 4 13 8 3" xfId="25950"/>
    <cellStyle name="Примечание 2 4 13 8 3 2" xfId="41311"/>
    <cellStyle name="Примечание 2 4 13 8 4" xfId="15426"/>
    <cellStyle name="Примечание 2 4 13 8 5" xfId="30901"/>
    <cellStyle name="Примечание 2 4 13 9" xfId="5861"/>
    <cellStyle name="Примечание 2 4 13 9 2" xfId="17010"/>
    <cellStyle name="Примечание 2 4 13 9 3" xfId="32477"/>
    <cellStyle name="Примечание 2 4 14" xfId="554"/>
    <cellStyle name="Примечание 2 4 14 10" xfId="21750"/>
    <cellStyle name="Примечание 2 4 14 10 2" xfId="37111"/>
    <cellStyle name="Примечание 2 4 14 11" xfId="11179"/>
    <cellStyle name="Примечание 2 4 14 12" xfId="26701"/>
    <cellStyle name="Примечание 2 4 14 2" xfId="724"/>
    <cellStyle name="Примечание 2 4 14 2 10" xfId="11308"/>
    <cellStyle name="Примечание 2 4 14 2 11" xfId="26825"/>
    <cellStyle name="Примечание 2 4 14 2 2" xfId="1131"/>
    <cellStyle name="Примечание 2 4 14 2 2 2" xfId="3180"/>
    <cellStyle name="Примечание 2 4 14 2 2 2 2" xfId="8375"/>
    <cellStyle name="Примечание 2 4 14 2 2 2 2 2" xfId="17482"/>
    <cellStyle name="Примечание 2 4 14 2 2 2 2 3" xfId="32933"/>
    <cellStyle name="Примечание 2 4 14 2 2 2 3" xfId="19301"/>
    <cellStyle name="Примечание 2 4 14 2 2 2 3 2" xfId="34662"/>
    <cellStyle name="Примечание 2 4 14 2 2 2 4" xfId="24263"/>
    <cellStyle name="Примечание 2 4 14 2 2 2 4 2" xfId="39624"/>
    <cellStyle name="Примечание 2 4 14 2 2 2 5" xfId="13738"/>
    <cellStyle name="Примечание 2 4 14 2 2 2 6" xfId="29214"/>
    <cellStyle name="Примечание 2 4 14 2 2 3" xfId="5451"/>
    <cellStyle name="Примечание 2 4 14 2 2 3 2" xfId="10615"/>
    <cellStyle name="Примечание 2 4 14 2 2 3 2 2" xfId="21549"/>
    <cellStyle name="Примечание 2 4 14 2 2 3 2 3" xfId="36910"/>
    <cellStyle name="Примечание 2 4 14 2 2 3 3" xfId="26502"/>
    <cellStyle name="Примечание 2 4 14 2 2 3 3 2" xfId="41863"/>
    <cellStyle name="Примечание 2 4 14 2 2 3 4" xfId="15986"/>
    <cellStyle name="Примечание 2 4 14 2 2 3 5" xfId="31453"/>
    <cellStyle name="Примечание 2 4 14 2 2 4" xfId="6386"/>
    <cellStyle name="Примечание 2 4 14 2 2 4 2" xfId="16477"/>
    <cellStyle name="Примечание 2 4 14 2 2 4 3" xfId="31944"/>
    <cellStyle name="Примечание 2 4 14 2 2 5" xfId="22274"/>
    <cellStyle name="Примечание 2 4 14 2 2 5 2" xfId="37635"/>
    <cellStyle name="Примечание 2 4 14 2 2 6" xfId="11712"/>
    <cellStyle name="Примечание 2 4 14 2 2 7" xfId="27225"/>
    <cellStyle name="Примечание 2 4 14 2 3" xfId="2130"/>
    <cellStyle name="Примечание 2 4 14 2 3 2" xfId="7366"/>
    <cellStyle name="Примечание 2 4 14 2 3 2 2" xfId="17481"/>
    <cellStyle name="Примечание 2 4 14 2 3 2 3" xfId="32932"/>
    <cellStyle name="Примечание 2 4 14 2 3 3" xfId="18268"/>
    <cellStyle name="Примечание 2 4 14 2 3 3 2" xfId="33629"/>
    <cellStyle name="Примечание 2 4 14 2 3 4" xfId="23254"/>
    <cellStyle name="Примечание 2 4 14 2 3 4 2" xfId="38615"/>
    <cellStyle name="Примечание 2 4 14 2 3 5" xfId="12705"/>
    <cellStyle name="Примечание 2 4 14 2 3 6" xfId="28205"/>
    <cellStyle name="Примечание 2 4 14 2 4" xfId="2377"/>
    <cellStyle name="Примечание 2 4 14 2 4 2" xfId="7613"/>
    <cellStyle name="Примечание 2 4 14 2 4 2 2" xfId="18515"/>
    <cellStyle name="Примечание 2 4 14 2 4 2 3" xfId="33876"/>
    <cellStyle name="Примечание 2 4 14 2 4 3" xfId="23501"/>
    <cellStyle name="Примечание 2 4 14 2 4 3 2" xfId="38862"/>
    <cellStyle name="Примечание 2 4 14 2 4 4" xfId="12952"/>
    <cellStyle name="Примечание 2 4 14 2 4 5" xfId="28452"/>
    <cellStyle name="Примечание 2 4 14 2 5" xfId="1903"/>
    <cellStyle name="Примечание 2 4 14 2 5 2" xfId="7139"/>
    <cellStyle name="Примечание 2 4 14 2 5 2 2" xfId="18041"/>
    <cellStyle name="Примечание 2 4 14 2 5 2 3" xfId="33402"/>
    <cellStyle name="Примечание 2 4 14 2 5 3" xfId="23027"/>
    <cellStyle name="Примечание 2 4 14 2 5 3 2" xfId="38388"/>
    <cellStyle name="Примечание 2 4 14 2 5 4" xfId="12478"/>
    <cellStyle name="Примечание 2 4 14 2 5 5" xfId="27978"/>
    <cellStyle name="Примечание 2 4 14 2 6" xfId="4178"/>
    <cellStyle name="Примечание 2 4 14 2 6 2" xfId="9365"/>
    <cellStyle name="Примечание 2 4 14 2 6 2 2" xfId="20292"/>
    <cellStyle name="Примечание 2 4 14 2 6 2 3" xfId="35653"/>
    <cellStyle name="Примечание 2 4 14 2 6 3" xfId="25253"/>
    <cellStyle name="Примечание 2 4 14 2 6 3 2" xfId="40614"/>
    <cellStyle name="Примечание 2 4 14 2 6 4" xfId="14729"/>
    <cellStyle name="Примечание 2 4 14 2 6 5" xfId="30204"/>
    <cellStyle name="Примечание 2 4 14 2 7" xfId="4971"/>
    <cellStyle name="Примечание 2 4 14 2 7 2" xfId="10158"/>
    <cellStyle name="Примечание 2 4 14 2 7 2 2" xfId="21085"/>
    <cellStyle name="Примечание 2 4 14 2 7 2 3" xfId="36446"/>
    <cellStyle name="Примечание 2 4 14 2 7 3" xfId="26046"/>
    <cellStyle name="Примечание 2 4 14 2 7 3 2" xfId="41407"/>
    <cellStyle name="Примечание 2 4 14 2 7 4" xfId="15522"/>
    <cellStyle name="Примечание 2 4 14 2 7 5" xfId="30997"/>
    <cellStyle name="Примечание 2 4 14 2 8" xfId="5986"/>
    <cellStyle name="Примечание 2 4 14 2 8 2" xfId="16881"/>
    <cellStyle name="Примечание 2 4 14 2 8 3" xfId="32348"/>
    <cellStyle name="Примечание 2 4 14 2 9" xfId="21874"/>
    <cellStyle name="Примечание 2 4 14 2 9 2" xfId="37235"/>
    <cellStyle name="Примечание 2 4 14 3" xfId="1023"/>
    <cellStyle name="Примечание 2 4 14 3 2" xfId="3181"/>
    <cellStyle name="Примечание 2 4 14 3 2 2" xfId="8376"/>
    <cellStyle name="Примечание 2 4 14 3 2 2 2" xfId="17483"/>
    <cellStyle name="Примечание 2 4 14 3 2 2 3" xfId="32934"/>
    <cellStyle name="Примечание 2 4 14 3 2 3" xfId="19302"/>
    <cellStyle name="Примечание 2 4 14 3 2 3 2" xfId="34663"/>
    <cellStyle name="Примечание 2 4 14 3 2 4" xfId="24264"/>
    <cellStyle name="Примечание 2 4 14 3 2 4 2" xfId="39625"/>
    <cellStyle name="Примечание 2 4 14 3 2 5" xfId="13739"/>
    <cellStyle name="Примечание 2 4 14 3 2 6" xfId="29215"/>
    <cellStyle name="Примечание 2 4 14 3 3" xfId="5452"/>
    <cellStyle name="Примечание 2 4 14 3 3 2" xfId="10616"/>
    <cellStyle name="Примечание 2 4 14 3 3 2 2" xfId="21550"/>
    <cellStyle name="Примечание 2 4 14 3 3 2 3" xfId="36911"/>
    <cellStyle name="Примечание 2 4 14 3 3 3" xfId="26503"/>
    <cellStyle name="Примечание 2 4 14 3 3 3 2" xfId="41864"/>
    <cellStyle name="Примечание 2 4 14 3 3 4" xfId="15987"/>
    <cellStyle name="Примечание 2 4 14 3 3 5" xfId="31454"/>
    <cellStyle name="Примечание 2 4 14 3 4" xfId="6281"/>
    <cellStyle name="Примечание 2 4 14 3 4 2" xfId="16583"/>
    <cellStyle name="Примечание 2 4 14 3 4 3" xfId="32050"/>
    <cellStyle name="Примечание 2 4 14 3 5" xfId="22169"/>
    <cellStyle name="Примечание 2 4 14 3 5 2" xfId="37530"/>
    <cellStyle name="Примечание 2 4 14 3 6" xfId="11606"/>
    <cellStyle name="Примечание 2 4 14 3 7" xfId="27120"/>
    <cellStyle name="Примечание 2 4 14 4" xfId="1965"/>
    <cellStyle name="Примечание 2 4 14 4 2" xfId="7201"/>
    <cellStyle name="Примечание 2 4 14 4 2 2" xfId="17480"/>
    <cellStyle name="Примечание 2 4 14 4 2 3" xfId="32931"/>
    <cellStyle name="Примечание 2 4 14 4 3" xfId="18103"/>
    <cellStyle name="Примечание 2 4 14 4 3 2" xfId="33464"/>
    <cellStyle name="Примечание 2 4 14 4 4" xfId="23089"/>
    <cellStyle name="Примечание 2 4 14 4 4 2" xfId="38450"/>
    <cellStyle name="Примечание 2 4 14 4 5" xfId="12540"/>
    <cellStyle name="Примечание 2 4 14 4 6" xfId="28040"/>
    <cellStyle name="Примечание 2 4 14 5" xfId="1982"/>
    <cellStyle name="Примечание 2 4 14 5 2" xfId="7218"/>
    <cellStyle name="Примечание 2 4 14 5 2 2" xfId="18120"/>
    <cellStyle name="Примечание 2 4 14 5 2 3" xfId="33481"/>
    <cellStyle name="Примечание 2 4 14 5 3" xfId="23106"/>
    <cellStyle name="Примечание 2 4 14 5 3 2" xfId="38467"/>
    <cellStyle name="Примечание 2 4 14 5 4" xfId="12557"/>
    <cellStyle name="Примечание 2 4 14 5 5" xfId="28057"/>
    <cellStyle name="Примечание 2 4 14 6" xfId="3411"/>
    <cellStyle name="Примечание 2 4 14 6 2" xfId="8605"/>
    <cellStyle name="Примечание 2 4 14 6 2 2" xfId="19532"/>
    <cellStyle name="Примечание 2 4 14 6 2 3" xfId="34893"/>
    <cellStyle name="Примечание 2 4 14 6 3" xfId="24493"/>
    <cellStyle name="Примечание 2 4 14 6 3 2" xfId="39854"/>
    <cellStyle name="Примечание 2 4 14 6 4" xfId="13969"/>
    <cellStyle name="Примечание 2 4 14 6 5" xfId="29444"/>
    <cellStyle name="Примечание 2 4 14 7" xfId="4054"/>
    <cellStyle name="Примечание 2 4 14 7 2" xfId="9241"/>
    <cellStyle name="Примечание 2 4 14 7 2 2" xfId="20168"/>
    <cellStyle name="Примечание 2 4 14 7 2 3" xfId="35529"/>
    <cellStyle name="Примечание 2 4 14 7 3" xfId="25129"/>
    <cellStyle name="Примечание 2 4 14 7 3 2" xfId="40490"/>
    <cellStyle name="Примечание 2 4 14 7 4" xfId="14605"/>
    <cellStyle name="Примечание 2 4 14 7 5" xfId="30080"/>
    <cellStyle name="Примечание 2 4 14 8" xfId="4672"/>
    <cellStyle name="Примечание 2 4 14 8 2" xfId="9859"/>
    <cellStyle name="Примечание 2 4 14 8 2 2" xfId="20786"/>
    <cellStyle name="Примечание 2 4 14 8 2 3" xfId="36147"/>
    <cellStyle name="Примечание 2 4 14 8 3" xfId="25747"/>
    <cellStyle name="Примечание 2 4 14 8 3 2" xfId="41108"/>
    <cellStyle name="Примечание 2 4 14 8 4" xfId="15223"/>
    <cellStyle name="Примечание 2 4 14 8 5" xfId="30698"/>
    <cellStyle name="Примечание 2 4 14 9" xfId="5862"/>
    <cellStyle name="Примечание 2 4 14 9 2" xfId="17009"/>
    <cellStyle name="Примечание 2 4 14 9 3" xfId="32476"/>
    <cellStyle name="Примечание 2 4 15" xfId="555"/>
    <cellStyle name="Примечание 2 4 15 10" xfId="21751"/>
    <cellStyle name="Примечание 2 4 15 10 2" xfId="37112"/>
    <cellStyle name="Примечание 2 4 15 11" xfId="11180"/>
    <cellStyle name="Примечание 2 4 15 12" xfId="26702"/>
    <cellStyle name="Примечание 2 4 15 2" xfId="723"/>
    <cellStyle name="Примечание 2 4 15 2 10" xfId="11307"/>
    <cellStyle name="Примечание 2 4 15 2 11" xfId="26824"/>
    <cellStyle name="Примечание 2 4 15 2 2" xfId="108"/>
    <cellStyle name="Примечание 2 4 15 2 2 2" xfId="3184"/>
    <cellStyle name="Примечание 2 4 15 2 2 2 2" xfId="8379"/>
    <cellStyle name="Примечание 2 4 15 2 2 2 2 2" xfId="17486"/>
    <cellStyle name="Примечание 2 4 15 2 2 2 2 3" xfId="32937"/>
    <cellStyle name="Примечание 2 4 15 2 2 2 3" xfId="19305"/>
    <cellStyle name="Примечание 2 4 15 2 2 2 3 2" xfId="34666"/>
    <cellStyle name="Примечание 2 4 15 2 2 2 4" xfId="24267"/>
    <cellStyle name="Примечание 2 4 15 2 2 2 4 2" xfId="39628"/>
    <cellStyle name="Примечание 2 4 15 2 2 2 5" xfId="13742"/>
    <cellStyle name="Примечание 2 4 15 2 2 2 6" xfId="29218"/>
    <cellStyle name="Примечание 2 4 15 2 2 3" xfId="5453"/>
    <cellStyle name="Примечание 2 4 15 2 2 3 2" xfId="10617"/>
    <cellStyle name="Примечание 2 4 15 2 2 3 2 2" xfId="21551"/>
    <cellStyle name="Примечание 2 4 15 2 2 3 2 3" xfId="36912"/>
    <cellStyle name="Примечание 2 4 15 2 2 3 3" xfId="26504"/>
    <cellStyle name="Примечание 2 4 15 2 2 3 3 2" xfId="41865"/>
    <cellStyle name="Примечание 2 4 15 2 2 3 4" xfId="15988"/>
    <cellStyle name="Примечание 2 4 15 2 2 3 5" xfId="31455"/>
    <cellStyle name="Примечание 2 4 15 2 2 4" xfId="5634"/>
    <cellStyle name="Примечание 2 4 15 2 2 4 2" xfId="17363"/>
    <cellStyle name="Примечание 2 4 15 2 2 4 3" xfId="32830"/>
    <cellStyle name="Примечание 2 4 15 2 2 5" xfId="21446"/>
    <cellStyle name="Примечание 2 4 15 2 2 5 2" xfId="36807"/>
    <cellStyle name="Примечание 2 4 15 2 2 6" xfId="10822"/>
    <cellStyle name="Примечание 2 4 15 2 2 7" xfId="15883"/>
    <cellStyle name="Примечание 2 4 15 2 3" xfId="2129"/>
    <cellStyle name="Примечание 2 4 15 2 3 2" xfId="7365"/>
    <cellStyle name="Примечание 2 4 15 2 3 2 2" xfId="17485"/>
    <cellStyle name="Примечание 2 4 15 2 3 2 3" xfId="32936"/>
    <cellStyle name="Примечание 2 4 15 2 3 3" xfId="18267"/>
    <cellStyle name="Примечание 2 4 15 2 3 3 2" xfId="33628"/>
    <cellStyle name="Примечание 2 4 15 2 3 4" xfId="23253"/>
    <cellStyle name="Примечание 2 4 15 2 3 4 2" xfId="38614"/>
    <cellStyle name="Примечание 2 4 15 2 3 5" xfId="12704"/>
    <cellStyle name="Примечание 2 4 15 2 3 6" xfId="28204"/>
    <cellStyle name="Примечание 2 4 15 2 4" xfId="2882"/>
    <cellStyle name="Примечание 2 4 15 2 4 2" xfId="8089"/>
    <cellStyle name="Примечание 2 4 15 2 4 2 2" xfId="19009"/>
    <cellStyle name="Примечание 2 4 15 2 4 2 3" xfId="34370"/>
    <cellStyle name="Примечание 2 4 15 2 4 3" xfId="23977"/>
    <cellStyle name="Примечание 2 4 15 2 4 3 2" xfId="39338"/>
    <cellStyle name="Примечание 2 4 15 2 4 4" xfId="13446"/>
    <cellStyle name="Примечание 2 4 15 2 4 5" xfId="28928"/>
    <cellStyle name="Примечание 2 4 15 2 5" xfId="3608"/>
    <cellStyle name="Примечание 2 4 15 2 5 2" xfId="8795"/>
    <cellStyle name="Примечание 2 4 15 2 5 2 2" xfId="19722"/>
    <cellStyle name="Примечание 2 4 15 2 5 2 3" xfId="35083"/>
    <cellStyle name="Примечание 2 4 15 2 5 3" xfId="24683"/>
    <cellStyle name="Примечание 2 4 15 2 5 3 2" xfId="40044"/>
    <cellStyle name="Примечание 2 4 15 2 5 4" xfId="14159"/>
    <cellStyle name="Примечание 2 4 15 2 5 5" xfId="29634"/>
    <cellStyle name="Примечание 2 4 15 2 6" xfId="4177"/>
    <cellStyle name="Примечание 2 4 15 2 6 2" xfId="9364"/>
    <cellStyle name="Примечание 2 4 15 2 6 2 2" xfId="20291"/>
    <cellStyle name="Примечание 2 4 15 2 6 2 3" xfId="35652"/>
    <cellStyle name="Примечание 2 4 15 2 6 3" xfId="25252"/>
    <cellStyle name="Примечание 2 4 15 2 6 3 2" xfId="40613"/>
    <cellStyle name="Примечание 2 4 15 2 6 4" xfId="14728"/>
    <cellStyle name="Примечание 2 4 15 2 6 5" xfId="30203"/>
    <cellStyle name="Примечание 2 4 15 2 7" xfId="4611"/>
    <cellStyle name="Примечание 2 4 15 2 7 2" xfId="9798"/>
    <cellStyle name="Примечание 2 4 15 2 7 2 2" xfId="20725"/>
    <cellStyle name="Примечание 2 4 15 2 7 2 3" xfId="36086"/>
    <cellStyle name="Примечание 2 4 15 2 7 3" xfId="25686"/>
    <cellStyle name="Примечание 2 4 15 2 7 3 2" xfId="41047"/>
    <cellStyle name="Примечание 2 4 15 2 7 4" xfId="15162"/>
    <cellStyle name="Примечание 2 4 15 2 7 5" xfId="30637"/>
    <cellStyle name="Примечание 2 4 15 2 8" xfId="5985"/>
    <cellStyle name="Примечание 2 4 15 2 8 2" xfId="16882"/>
    <cellStyle name="Примечание 2 4 15 2 8 3" xfId="32349"/>
    <cellStyle name="Примечание 2 4 15 2 9" xfId="21873"/>
    <cellStyle name="Примечание 2 4 15 2 9 2" xfId="37234"/>
    <cellStyle name="Примечание 2 4 15 3" xfId="1289"/>
    <cellStyle name="Примечание 2 4 15 3 2" xfId="3185"/>
    <cellStyle name="Примечание 2 4 15 3 2 2" xfId="8380"/>
    <cellStyle name="Примечание 2 4 15 3 2 2 2" xfId="17487"/>
    <cellStyle name="Примечание 2 4 15 3 2 2 3" xfId="32938"/>
    <cellStyle name="Примечание 2 4 15 3 2 3" xfId="19306"/>
    <cellStyle name="Примечание 2 4 15 3 2 3 2" xfId="34667"/>
    <cellStyle name="Примечание 2 4 15 3 2 4" xfId="24268"/>
    <cellStyle name="Примечание 2 4 15 3 2 4 2" xfId="39629"/>
    <cellStyle name="Примечание 2 4 15 3 2 5" xfId="13743"/>
    <cellStyle name="Примечание 2 4 15 3 2 6" xfId="29219"/>
    <cellStyle name="Примечание 2 4 15 3 3" xfId="5454"/>
    <cellStyle name="Примечание 2 4 15 3 3 2" xfId="10618"/>
    <cellStyle name="Примечание 2 4 15 3 3 2 2" xfId="21552"/>
    <cellStyle name="Примечание 2 4 15 3 3 2 3" xfId="36913"/>
    <cellStyle name="Примечание 2 4 15 3 3 3" xfId="26505"/>
    <cellStyle name="Примечание 2 4 15 3 3 3 2" xfId="41866"/>
    <cellStyle name="Примечание 2 4 15 3 3 4" xfId="15989"/>
    <cellStyle name="Примечание 2 4 15 3 3 5" xfId="31456"/>
    <cellStyle name="Примечание 2 4 15 3 4" xfId="6542"/>
    <cellStyle name="Примечание 2 4 15 3 4 2" xfId="16319"/>
    <cellStyle name="Примечание 2 4 15 3 4 3" xfId="31786"/>
    <cellStyle name="Примечание 2 4 15 3 5" xfId="22430"/>
    <cellStyle name="Примечание 2 4 15 3 5 2" xfId="37791"/>
    <cellStyle name="Примечание 2 4 15 3 6" xfId="11870"/>
    <cellStyle name="Примечание 2 4 15 3 7" xfId="27381"/>
    <cellStyle name="Примечание 2 4 15 4" xfId="1966"/>
    <cellStyle name="Примечание 2 4 15 4 2" xfId="7202"/>
    <cellStyle name="Примечание 2 4 15 4 2 2" xfId="17484"/>
    <cellStyle name="Примечание 2 4 15 4 2 3" xfId="32935"/>
    <cellStyle name="Примечание 2 4 15 4 3" xfId="18104"/>
    <cellStyle name="Примечание 2 4 15 4 3 2" xfId="33465"/>
    <cellStyle name="Примечание 2 4 15 4 4" xfId="23090"/>
    <cellStyle name="Примечание 2 4 15 4 4 2" xfId="38451"/>
    <cellStyle name="Примечание 2 4 15 4 5" xfId="12541"/>
    <cellStyle name="Примечание 2 4 15 4 6" xfId="28041"/>
    <cellStyle name="Примечание 2 4 15 5" xfId="1604"/>
    <cellStyle name="Примечание 2 4 15 5 2" xfId="6851"/>
    <cellStyle name="Примечание 2 4 15 5 2 2" xfId="17746"/>
    <cellStyle name="Примечание 2 4 15 5 2 3" xfId="33107"/>
    <cellStyle name="Примечание 2 4 15 5 3" xfId="22739"/>
    <cellStyle name="Примечание 2 4 15 5 3 2" xfId="38100"/>
    <cellStyle name="Примечание 2 4 15 5 4" xfId="12182"/>
    <cellStyle name="Примечание 2 4 15 5 5" xfId="27690"/>
    <cellStyle name="Примечание 2 4 15 6" xfId="2936"/>
    <cellStyle name="Примечание 2 4 15 6 2" xfId="8137"/>
    <cellStyle name="Примечание 2 4 15 6 2 2" xfId="19057"/>
    <cellStyle name="Примечание 2 4 15 6 2 3" xfId="34418"/>
    <cellStyle name="Примечание 2 4 15 6 3" xfId="24025"/>
    <cellStyle name="Примечание 2 4 15 6 3 2" xfId="39386"/>
    <cellStyle name="Примечание 2 4 15 6 4" xfId="13494"/>
    <cellStyle name="Примечание 2 4 15 6 5" xfId="28976"/>
    <cellStyle name="Примечание 2 4 15 7" xfId="4055"/>
    <cellStyle name="Примечание 2 4 15 7 2" xfId="9242"/>
    <cellStyle name="Примечание 2 4 15 7 2 2" xfId="20169"/>
    <cellStyle name="Примечание 2 4 15 7 2 3" xfId="35530"/>
    <cellStyle name="Примечание 2 4 15 7 3" xfId="25130"/>
    <cellStyle name="Примечание 2 4 15 7 3 2" xfId="40491"/>
    <cellStyle name="Примечание 2 4 15 7 4" xfId="14606"/>
    <cellStyle name="Примечание 2 4 15 7 5" xfId="30081"/>
    <cellStyle name="Примечание 2 4 15 8" xfId="4876"/>
    <cellStyle name="Примечание 2 4 15 8 2" xfId="10063"/>
    <cellStyle name="Примечание 2 4 15 8 2 2" xfId="20990"/>
    <cellStyle name="Примечание 2 4 15 8 2 3" xfId="36351"/>
    <cellStyle name="Примечание 2 4 15 8 3" xfId="25951"/>
    <cellStyle name="Примечание 2 4 15 8 3 2" xfId="41312"/>
    <cellStyle name="Примечание 2 4 15 8 4" xfId="15427"/>
    <cellStyle name="Примечание 2 4 15 8 5" xfId="30902"/>
    <cellStyle name="Примечание 2 4 15 9" xfId="5863"/>
    <cellStyle name="Примечание 2 4 15 9 2" xfId="17008"/>
    <cellStyle name="Примечание 2 4 15 9 3" xfId="32475"/>
    <cellStyle name="Примечание 2 4 16" xfId="556"/>
    <cellStyle name="Примечание 2 4 16 10" xfId="21752"/>
    <cellStyle name="Примечание 2 4 16 10 2" xfId="37113"/>
    <cellStyle name="Примечание 2 4 16 11" xfId="11181"/>
    <cellStyle name="Примечание 2 4 16 12" xfId="26703"/>
    <cellStyle name="Примечание 2 4 16 2" xfId="722"/>
    <cellStyle name="Примечание 2 4 16 2 10" xfId="11306"/>
    <cellStyle name="Примечание 2 4 16 2 11" xfId="26823"/>
    <cellStyle name="Примечание 2 4 16 2 2" xfId="1155"/>
    <cellStyle name="Примечание 2 4 16 2 2 2" xfId="3188"/>
    <cellStyle name="Примечание 2 4 16 2 2 2 2" xfId="8383"/>
    <cellStyle name="Примечание 2 4 16 2 2 2 2 2" xfId="17490"/>
    <cellStyle name="Примечание 2 4 16 2 2 2 2 3" xfId="32941"/>
    <cellStyle name="Примечание 2 4 16 2 2 2 3" xfId="19309"/>
    <cellStyle name="Примечание 2 4 16 2 2 2 3 2" xfId="34670"/>
    <cellStyle name="Примечание 2 4 16 2 2 2 4" xfId="24271"/>
    <cellStyle name="Примечание 2 4 16 2 2 2 4 2" xfId="39632"/>
    <cellStyle name="Примечание 2 4 16 2 2 2 5" xfId="13746"/>
    <cellStyle name="Примечание 2 4 16 2 2 2 6" xfId="29222"/>
    <cellStyle name="Примечание 2 4 16 2 2 3" xfId="5455"/>
    <cellStyle name="Примечание 2 4 16 2 2 3 2" xfId="10619"/>
    <cellStyle name="Примечание 2 4 16 2 2 3 2 2" xfId="21553"/>
    <cellStyle name="Примечание 2 4 16 2 2 3 2 3" xfId="36914"/>
    <cellStyle name="Примечание 2 4 16 2 2 3 3" xfId="26506"/>
    <cellStyle name="Примечание 2 4 16 2 2 3 3 2" xfId="41867"/>
    <cellStyle name="Примечание 2 4 16 2 2 3 4" xfId="15990"/>
    <cellStyle name="Примечание 2 4 16 2 2 3 5" xfId="31457"/>
    <cellStyle name="Примечание 2 4 16 2 2 4" xfId="6409"/>
    <cellStyle name="Примечание 2 4 16 2 2 4 2" xfId="16453"/>
    <cellStyle name="Примечание 2 4 16 2 2 4 3" xfId="31920"/>
    <cellStyle name="Примечание 2 4 16 2 2 5" xfId="22297"/>
    <cellStyle name="Примечание 2 4 16 2 2 5 2" xfId="37658"/>
    <cellStyle name="Примечание 2 4 16 2 2 6" xfId="11736"/>
    <cellStyle name="Примечание 2 4 16 2 2 7" xfId="27248"/>
    <cellStyle name="Примечание 2 4 16 2 3" xfId="2128"/>
    <cellStyle name="Примечание 2 4 16 2 3 2" xfId="7364"/>
    <cellStyle name="Примечание 2 4 16 2 3 2 2" xfId="17489"/>
    <cellStyle name="Примечание 2 4 16 2 3 2 3" xfId="32940"/>
    <cellStyle name="Примечание 2 4 16 2 3 3" xfId="18266"/>
    <cellStyle name="Примечание 2 4 16 2 3 3 2" xfId="33627"/>
    <cellStyle name="Примечание 2 4 16 2 3 4" xfId="23252"/>
    <cellStyle name="Примечание 2 4 16 2 3 4 2" xfId="38613"/>
    <cellStyle name="Примечание 2 4 16 2 3 5" xfId="12703"/>
    <cellStyle name="Примечание 2 4 16 2 3 6" xfId="28203"/>
    <cellStyle name="Примечание 2 4 16 2 4" xfId="2598"/>
    <cellStyle name="Примечание 2 4 16 2 4 2" xfId="7831"/>
    <cellStyle name="Примечание 2 4 16 2 4 2 2" xfId="18733"/>
    <cellStyle name="Примечание 2 4 16 2 4 2 3" xfId="34094"/>
    <cellStyle name="Примечание 2 4 16 2 4 3" xfId="23719"/>
    <cellStyle name="Примечание 2 4 16 2 4 3 2" xfId="39080"/>
    <cellStyle name="Примечание 2 4 16 2 4 4" xfId="13170"/>
    <cellStyle name="Примечание 2 4 16 2 4 5" xfId="28670"/>
    <cellStyle name="Примечание 2 4 16 2 5" xfId="3399"/>
    <cellStyle name="Примечание 2 4 16 2 5 2" xfId="8593"/>
    <cellStyle name="Примечание 2 4 16 2 5 2 2" xfId="19520"/>
    <cellStyle name="Примечание 2 4 16 2 5 2 3" xfId="34881"/>
    <cellStyle name="Примечание 2 4 16 2 5 3" xfId="24481"/>
    <cellStyle name="Примечание 2 4 16 2 5 3 2" xfId="39842"/>
    <cellStyle name="Примечание 2 4 16 2 5 4" xfId="13957"/>
    <cellStyle name="Примечание 2 4 16 2 5 5" xfId="29432"/>
    <cellStyle name="Примечание 2 4 16 2 6" xfId="4176"/>
    <cellStyle name="Примечание 2 4 16 2 6 2" xfId="9363"/>
    <cellStyle name="Примечание 2 4 16 2 6 2 2" xfId="20290"/>
    <cellStyle name="Примечание 2 4 16 2 6 2 3" xfId="35651"/>
    <cellStyle name="Примечание 2 4 16 2 6 3" xfId="25251"/>
    <cellStyle name="Примечание 2 4 16 2 6 3 2" xfId="40612"/>
    <cellStyle name="Примечание 2 4 16 2 6 4" xfId="14727"/>
    <cellStyle name="Примечание 2 4 16 2 6 5" xfId="30202"/>
    <cellStyle name="Примечание 2 4 16 2 7" xfId="4934"/>
    <cellStyle name="Примечание 2 4 16 2 7 2" xfId="10121"/>
    <cellStyle name="Примечание 2 4 16 2 7 2 2" xfId="21048"/>
    <cellStyle name="Примечание 2 4 16 2 7 2 3" xfId="36409"/>
    <cellStyle name="Примечание 2 4 16 2 7 3" xfId="26009"/>
    <cellStyle name="Примечание 2 4 16 2 7 3 2" xfId="41370"/>
    <cellStyle name="Примечание 2 4 16 2 7 4" xfId="15485"/>
    <cellStyle name="Примечание 2 4 16 2 7 5" xfId="30960"/>
    <cellStyle name="Примечание 2 4 16 2 8" xfId="5984"/>
    <cellStyle name="Примечание 2 4 16 2 8 2" xfId="16883"/>
    <cellStyle name="Примечание 2 4 16 2 8 3" xfId="32350"/>
    <cellStyle name="Примечание 2 4 16 2 9" xfId="21872"/>
    <cellStyle name="Примечание 2 4 16 2 9 2" xfId="37233"/>
    <cellStyle name="Примечание 2 4 16 3" xfId="1735"/>
    <cellStyle name="Примечание 2 4 16 3 2" xfId="3189"/>
    <cellStyle name="Примечание 2 4 16 3 2 2" xfId="8384"/>
    <cellStyle name="Примечание 2 4 16 3 2 2 2" xfId="17491"/>
    <cellStyle name="Примечание 2 4 16 3 2 2 3" xfId="32942"/>
    <cellStyle name="Примечание 2 4 16 3 2 3" xfId="19310"/>
    <cellStyle name="Примечание 2 4 16 3 2 3 2" xfId="34671"/>
    <cellStyle name="Примечание 2 4 16 3 2 4" xfId="24272"/>
    <cellStyle name="Примечание 2 4 16 3 2 4 2" xfId="39633"/>
    <cellStyle name="Примечание 2 4 16 3 2 5" xfId="13747"/>
    <cellStyle name="Примечание 2 4 16 3 2 6" xfId="29223"/>
    <cellStyle name="Примечание 2 4 16 3 3" xfId="5456"/>
    <cellStyle name="Примечание 2 4 16 3 3 2" xfId="10620"/>
    <cellStyle name="Примечание 2 4 16 3 3 2 2" xfId="21554"/>
    <cellStyle name="Примечание 2 4 16 3 3 2 3" xfId="36915"/>
    <cellStyle name="Примечание 2 4 16 3 3 3" xfId="26507"/>
    <cellStyle name="Примечание 2 4 16 3 3 3 2" xfId="41868"/>
    <cellStyle name="Примечание 2 4 16 3 3 4" xfId="15991"/>
    <cellStyle name="Примечание 2 4 16 3 3 5" xfId="31458"/>
    <cellStyle name="Примечание 2 4 16 3 4" xfId="6975"/>
    <cellStyle name="Примечание 2 4 16 3 4 2" xfId="17876"/>
    <cellStyle name="Примечание 2 4 16 3 4 3" xfId="33237"/>
    <cellStyle name="Примечание 2 4 16 3 5" xfId="22863"/>
    <cellStyle name="Примечание 2 4 16 3 5 2" xfId="38224"/>
    <cellStyle name="Примечание 2 4 16 3 6" xfId="12313"/>
    <cellStyle name="Примечание 2 4 16 3 7" xfId="27814"/>
    <cellStyle name="Примечание 2 4 16 4" xfId="1967"/>
    <cellStyle name="Примечание 2 4 16 4 2" xfId="7203"/>
    <cellStyle name="Примечание 2 4 16 4 2 2" xfId="17488"/>
    <cellStyle name="Примечание 2 4 16 4 2 3" xfId="32939"/>
    <cellStyle name="Примечание 2 4 16 4 3" xfId="18105"/>
    <cellStyle name="Примечание 2 4 16 4 3 2" xfId="33466"/>
    <cellStyle name="Примечание 2 4 16 4 4" xfId="23091"/>
    <cellStyle name="Примечание 2 4 16 4 4 2" xfId="38452"/>
    <cellStyle name="Примечание 2 4 16 4 5" xfId="12542"/>
    <cellStyle name="Примечание 2 4 16 4 6" xfId="28042"/>
    <cellStyle name="Примечание 2 4 16 5" xfId="2483"/>
    <cellStyle name="Примечание 2 4 16 5 2" xfId="7719"/>
    <cellStyle name="Примечание 2 4 16 5 2 2" xfId="18621"/>
    <cellStyle name="Примечание 2 4 16 5 2 3" xfId="33982"/>
    <cellStyle name="Примечание 2 4 16 5 3" xfId="23607"/>
    <cellStyle name="Примечание 2 4 16 5 3 2" xfId="38968"/>
    <cellStyle name="Примечание 2 4 16 5 4" xfId="13058"/>
    <cellStyle name="Примечание 2 4 16 5 5" xfId="28558"/>
    <cellStyle name="Примечание 2 4 16 6" xfId="1165"/>
    <cellStyle name="Примечание 2 4 16 6 2" xfId="6419"/>
    <cellStyle name="Примечание 2 4 16 6 2 2" xfId="16443"/>
    <cellStyle name="Примечание 2 4 16 6 2 3" xfId="31910"/>
    <cellStyle name="Примечание 2 4 16 6 3" xfId="22307"/>
    <cellStyle name="Примечание 2 4 16 6 3 2" xfId="37668"/>
    <cellStyle name="Примечание 2 4 16 6 4" xfId="11746"/>
    <cellStyle name="Примечание 2 4 16 6 5" xfId="27258"/>
    <cellStyle name="Примечание 2 4 16 7" xfId="4056"/>
    <cellStyle name="Примечание 2 4 16 7 2" xfId="9243"/>
    <cellStyle name="Примечание 2 4 16 7 2 2" xfId="20170"/>
    <cellStyle name="Примечание 2 4 16 7 2 3" xfId="35531"/>
    <cellStyle name="Примечание 2 4 16 7 3" xfId="25131"/>
    <cellStyle name="Примечание 2 4 16 7 3 2" xfId="40492"/>
    <cellStyle name="Примечание 2 4 16 7 4" xfId="14607"/>
    <cellStyle name="Примечание 2 4 16 7 5" xfId="30082"/>
    <cellStyle name="Примечание 2 4 16 8" xfId="4671"/>
    <cellStyle name="Примечание 2 4 16 8 2" xfId="9858"/>
    <cellStyle name="Примечание 2 4 16 8 2 2" xfId="20785"/>
    <cellStyle name="Примечание 2 4 16 8 2 3" xfId="36146"/>
    <cellStyle name="Примечание 2 4 16 8 3" xfId="25746"/>
    <cellStyle name="Примечание 2 4 16 8 3 2" xfId="41107"/>
    <cellStyle name="Примечание 2 4 16 8 4" xfId="15222"/>
    <cellStyle name="Примечание 2 4 16 8 5" xfId="30697"/>
    <cellStyle name="Примечание 2 4 16 9" xfId="5864"/>
    <cellStyle name="Примечание 2 4 16 9 2" xfId="17007"/>
    <cellStyle name="Примечание 2 4 16 9 3" xfId="32474"/>
    <cellStyle name="Примечание 2 4 17" xfId="557"/>
    <cellStyle name="Примечание 2 4 17 10" xfId="21753"/>
    <cellStyle name="Примечание 2 4 17 10 2" xfId="37114"/>
    <cellStyle name="Примечание 2 4 17 11" xfId="11182"/>
    <cellStyle name="Примечание 2 4 17 12" xfId="26704"/>
    <cellStyle name="Примечание 2 4 17 2" xfId="721"/>
    <cellStyle name="Примечание 2 4 17 2 10" xfId="11305"/>
    <cellStyle name="Примечание 2 4 17 2 11" xfId="26822"/>
    <cellStyle name="Примечание 2 4 17 2 2" xfId="1626"/>
    <cellStyle name="Примечание 2 4 17 2 2 2" xfId="3192"/>
    <cellStyle name="Примечание 2 4 17 2 2 2 2" xfId="8387"/>
    <cellStyle name="Примечание 2 4 17 2 2 2 2 2" xfId="17494"/>
    <cellStyle name="Примечание 2 4 17 2 2 2 2 3" xfId="32945"/>
    <cellStyle name="Примечание 2 4 17 2 2 2 3" xfId="19313"/>
    <cellStyle name="Примечание 2 4 17 2 2 2 3 2" xfId="34674"/>
    <cellStyle name="Примечание 2 4 17 2 2 2 4" xfId="24275"/>
    <cellStyle name="Примечание 2 4 17 2 2 2 4 2" xfId="39636"/>
    <cellStyle name="Примечание 2 4 17 2 2 2 5" xfId="13750"/>
    <cellStyle name="Примечание 2 4 17 2 2 2 6" xfId="29226"/>
    <cellStyle name="Примечание 2 4 17 2 2 3" xfId="5457"/>
    <cellStyle name="Примечание 2 4 17 2 2 3 2" xfId="10621"/>
    <cellStyle name="Примечание 2 4 17 2 2 3 2 2" xfId="21555"/>
    <cellStyle name="Примечание 2 4 17 2 2 3 2 3" xfId="36916"/>
    <cellStyle name="Примечание 2 4 17 2 2 3 3" xfId="26508"/>
    <cellStyle name="Примечание 2 4 17 2 2 3 3 2" xfId="41869"/>
    <cellStyle name="Примечание 2 4 17 2 2 3 4" xfId="15992"/>
    <cellStyle name="Примечание 2 4 17 2 2 3 5" xfId="31459"/>
    <cellStyle name="Примечание 2 4 17 2 2 4" xfId="6872"/>
    <cellStyle name="Примечание 2 4 17 2 2 4 2" xfId="17768"/>
    <cellStyle name="Примечание 2 4 17 2 2 4 3" xfId="33129"/>
    <cellStyle name="Примечание 2 4 17 2 2 5" xfId="22760"/>
    <cellStyle name="Примечание 2 4 17 2 2 5 2" xfId="38121"/>
    <cellStyle name="Примечание 2 4 17 2 2 6" xfId="12204"/>
    <cellStyle name="Примечание 2 4 17 2 2 7" xfId="27711"/>
    <cellStyle name="Примечание 2 4 17 2 3" xfId="2127"/>
    <cellStyle name="Примечание 2 4 17 2 3 2" xfId="7363"/>
    <cellStyle name="Примечание 2 4 17 2 3 2 2" xfId="17493"/>
    <cellStyle name="Примечание 2 4 17 2 3 2 3" xfId="32944"/>
    <cellStyle name="Примечание 2 4 17 2 3 3" xfId="18265"/>
    <cellStyle name="Примечание 2 4 17 2 3 3 2" xfId="33626"/>
    <cellStyle name="Примечание 2 4 17 2 3 4" xfId="23251"/>
    <cellStyle name="Примечание 2 4 17 2 3 4 2" xfId="38612"/>
    <cellStyle name="Примечание 2 4 17 2 3 5" xfId="12702"/>
    <cellStyle name="Примечание 2 4 17 2 3 6" xfId="28202"/>
    <cellStyle name="Примечание 2 4 17 2 4" xfId="2770"/>
    <cellStyle name="Примечание 2 4 17 2 4 2" xfId="7999"/>
    <cellStyle name="Примечание 2 4 17 2 4 2 2" xfId="18903"/>
    <cellStyle name="Примечание 2 4 17 2 4 2 3" xfId="34264"/>
    <cellStyle name="Примечание 2 4 17 2 4 3" xfId="23887"/>
    <cellStyle name="Примечание 2 4 17 2 4 3 2" xfId="39248"/>
    <cellStyle name="Примечание 2 4 17 2 4 4" xfId="13340"/>
    <cellStyle name="Примечание 2 4 17 2 4 5" xfId="28838"/>
    <cellStyle name="Примечание 2 4 17 2 5" xfId="3607"/>
    <cellStyle name="Примечание 2 4 17 2 5 2" xfId="8794"/>
    <cellStyle name="Примечание 2 4 17 2 5 2 2" xfId="19721"/>
    <cellStyle name="Примечание 2 4 17 2 5 2 3" xfId="35082"/>
    <cellStyle name="Примечание 2 4 17 2 5 3" xfId="24682"/>
    <cellStyle name="Примечание 2 4 17 2 5 3 2" xfId="40043"/>
    <cellStyle name="Примечание 2 4 17 2 5 4" xfId="14158"/>
    <cellStyle name="Примечание 2 4 17 2 5 5" xfId="29633"/>
    <cellStyle name="Примечание 2 4 17 2 6" xfId="4175"/>
    <cellStyle name="Примечание 2 4 17 2 6 2" xfId="9362"/>
    <cellStyle name="Примечание 2 4 17 2 6 2 2" xfId="20289"/>
    <cellStyle name="Примечание 2 4 17 2 6 2 3" xfId="35650"/>
    <cellStyle name="Примечание 2 4 17 2 6 3" xfId="25250"/>
    <cellStyle name="Примечание 2 4 17 2 6 3 2" xfId="40611"/>
    <cellStyle name="Примечание 2 4 17 2 6 4" xfId="14726"/>
    <cellStyle name="Примечание 2 4 17 2 6 5" xfId="30201"/>
    <cellStyle name="Примечание 2 4 17 2 7" xfId="4612"/>
    <cellStyle name="Примечание 2 4 17 2 7 2" xfId="9799"/>
    <cellStyle name="Примечание 2 4 17 2 7 2 2" xfId="20726"/>
    <cellStyle name="Примечание 2 4 17 2 7 2 3" xfId="36087"/>
    <cellStyle name="Примечание 2 4 17 2 7 3" xfId="25687"/>
    <cellStyle name="Примечание 2 4 17 2 7 3 2" xfId="41048"/>
    <cellStyle name="Примечание 2 4 17 2 7 4" xfId="15163"/>
    <cellStyle name="Примечание 2 4 17 2 7 5" xfId="30638"/>
    <cellStyle name="Примечание 2 4 17 2 8" xfId="5983"/>
    <cellStyle name="Примечание 2 4 17 2 8 2" xfId="16884"/>
    <cellStyle name="Примечание 2 4 17 2 8 3" xfId="32351"/>
    <cellStyle name="Примечание 2 4 17 2 9" xfId="21871"/>
    <cellStyle name="Примечание 2 4 17 2 9 2" xfId="37232"/>
    <cellStyle name="Примечание 2 4 17 3" xfId="1142"/>
    <cellStyle name="Примечание 2 4 17 3 2" xfId="3193"/>
    <cellStyle name="Примечание 2 4 17 3 2 2" xfId="8388"/>
    <cellStyle name="Примечание 2 4 17 3 2 2 2" xfId="17495"/>
    <cellStyle name="Примечание 2 4 17 3 2 2 3" xfId="32946"/>
    <cellStyle name="Примечание 2 4 17 3 2 3" xfId="19314"/>
    <cellStyle name="Примечание 2 4 17 3 2 3 2" xfId="34675"/>
    <cellStyle name="Примечание 2 4 17 3 2 4" xfId="24276"/>
    <cellStyle name="Примечание 2 4 17 3 2 4 2" xfId="39637"/>
    <cellStyle name="Примечание 2 4 17 3 2 5" xfId="13751"/>
    <cellStyle name="Примечание 2 4 17 3 2 6" xfId="29227"/>
    <cellStyle name="Примечание 2 4 17 3 3" xfId="5458"/>
    <cellStyle name="Примечание 2 4 17 3 3 2" xfId="10622"/>
    <cellStyle name="Примечание 2 4 17 3 3 2 2" xfId="21556"/>
    <cellStyle name="Примечание 2 4 17 3 3 2 3" xfId="36917"/>
    <cellStyle name="Примечание 2 4 17 3 3 3" xfId="26509"/>
    <cellStyle name="Примечание 2 4 17 3 3 3 2" xfId="41870"/>
    <cellStyle name="Примечание 2 4 17 3 3 4" xfId="15993"/>
    <cellStyle name="Примечание 2 4 17 3 3 5" xfId="31460"/>
    <cellStyle name="Примечание 2 4 17 3 4" xfId="6397"/>
    <cellStyle name="Примечание 2 4 17 3 4 2" xfId="16466"/>
    <cellStyle name="Примечание 2 4 17 3 4 3" xfId="31933"/>
    <cellStyle name="Примечание 2 4 17 3 5" xfId="22285"/>
    <cellStyle name="Примечание 2 4 17 3 5 2" xfId="37646"/>
    <cellStyle name="Примечание 2 4 17 3 6" xfId="11723"/>
    <cellStyle name="Примечание 2 4 17 3 7" xfId="27236"/>
    <cellStyle name="Примечание 2 4 17 4" xfId="1968"/>
    <cellStyle name="Примечание 2 4 17 4 2" xfId="7204"/>
    <cellStyle name="Примечание 2 4 17 4 2 2" xfId="17492"/>
    <cellStyle name="Примечание 2 4 17 4 2 3" xfId="32943"/>
    <cellStyle name="Примечание 2 4 17 4 3" xfId="18106"/>
    <cellStyle name="Примечание 2 4 17 4 3 2" xfId="33467"/>
    <cellStyle name="Примечание 2 4 17 4 4" xfId="23092"/>
    <cellStyle name="Примечание 2 4 17 4 4 2" xfId="38453"/>
    <cellStyle name="Примечание 2 4 17 4 5" xfId="12543"/>
    <cellStyle name="Примечание 2 4 17 4 6" xfId="28043"/>
    <cellStyle name="Примечание 2 4 17 5" xfId="1164"/>
    <cellStyle name="Примечание 2 4 17 5 2" xfId="6418"/>
    <cellStyle name="Примечание 2 4 17 5 2 2" xfId="16444"/>
    <cellStyle name="Примечание 2 4 17 5 2 3" xfId="31911"/>
    <cellStyle name="Примечание 2 4 17 5 3" xfId="22306"/>
    <cellStyle name="Примечание 2 4 17 5 3 2" xfId="37667"/>
    <cellStyle name="Примечание 2 4 17 5 4" xfId="11745"/>
    <cellStyle name="Примечание 2 4 17 5 5" xfId="27257"/>
    <cellStyle name="Примечание 2 4 17 6" xfId="2935"/>
    <cellStyle name="Примечание 2 4 17 6 2" xfId="8136"/>
    <cellStyle name="Примечание 2 4 17 6 2 2" xfId="19056"/>
    <cellStyle name="Примечание 2 4 17 6 2 3" xfId="34417"/>
    <cellStyle name="Примечание 2 4 17 6 3" xfId="24024"/>
    <cellStyle name="Примечание 2 4 17 6 3 2" xfId="39385"/>
    <cellStyle name="Примечание 2 4 17 6 4" xfId="13493"/>
    <cellStyle name="Примечание 2 4 17 6 5" xfId="28975"/>
    <cellStyle name="Примечание 2 4 17 7" xfId="4057"/>
    <cellStyle name="Примечание 2 4 17 7 2" xfId="9244"/>
    <cellStyle name="Примечание 2 4 17 7 2 2" xfId="20171"/>
    <cellStyle name="Примечание 2 4 17 7 2 3" xfId="35532"/>
    <cellStyle name="Примечание 2 4 17 7 3" xfId="25132"/>
    <cellStyle name="Примечание 2 4 17 7 3 2" xfId="40493"/>
    <cellStyle name="Примечание 2 4 17 7 4" xfId="14608"/>
    <cellStyle name="Примечание 2 4 17 7 5" xfId="30083"/>
    <cellStyle name="Примечание 2 4 17 8" xfId="4877"/>
    <cellStyle name="Примечание 2 4 17 8 2" xfId="10064"/>
    <cellStyle name="Примечание 2 4 17 8 2 2" xfId="20991"/>
    <cellStyle name="Примечание 2 4 17 8 2 3" xfId="36352"/>
    <cellStyle name="Примечание 2 4 17 8 3" xfId="25952"/>
    <cellStyle name="Примечание 2 4 17 8 3 2" xfId="41313"/>
    <cellStyle name="Примечание 2 4 17 8 4" xfId="15428"/>
    <cellStyle name="Примечание 2 4 17 8 5" xfId="30903"/>
    <cellStyle name="Примечание 2 4 17 9" xfId="5865"/>
    <cellStyle name="Примечание 2 4 17 9 2" xfId="17006"/>
    <cellStyle name="Примечание 2 4 17 9 3" xfId="32473"/>
    <cellStyle name="Примечание 2 4 18" xfId="558"/>
    <cellStyle name="Примечание 2 4 18 10" xfId="21754"/>
    <cellStyle name="Примечание 2 4 18 10 2" xfId="37115"/>
    <cellStyle name="Примечание 2 4 18 11" xfId="11183"/>
    <cellStyle name="Примечание 2 4 18 12" xfId="26705"/>
    <cellStyle name="Примечание 2 4 18 2" xfId="720"/>
    <cellStyle name="Примечание 2 4 18 2 10" xfId="11304"/>
    <cellStyle name="Примечание 2 4 18 2 11" xfId="26821"/>
    <cellStyle name="Примечание 2 4 18 2 2" xfId="1074"/>
    <cellStyle name="Примечание 2 4 18 2 2 2" xfId="3196"/>
    <cellStyle name="Примечание 2 4 18 2 2 2 2" xfId="8391"/>
    <cellStyle name="Примечание 2 4 18 2 2 2 2 2" xfId="17498"/>
    <cellStyle name="Примечание 2 4 18 2 2 2 2 3" xfId="32949"/>
    <cellStyle name="Примечание 2 4 18 2 2 2 3" xfId="19317"/>
    <cellStyle name="Примечание 2 4 18 2 2 2 3 2" xfId="34678"/>
    <cellStyle name="Примечание 2 4 18 2 2 2 4" xfId="24279"/>
    <cellStyle name="Примечание 2 4 18 2 2 2 4 2" xfId="39640"/>
    <cellStyle name="Примечание 2 4 18 2 2 2 5" xfId="13754"/>
    <cellStyle name="Примечание 2 4 18 2 2 2 6" xfId="29230"/>
    <cellStyle name="Примечание 2 4 18 2 2 3" xfId="5459"/>
    <cellStyle name="Примечание 2 4 18 2 2 3 2" xfId="10623"/>
    <cellStyle name="Примечание 2 4 18 2 2 3 2 2" xfId="21557"/>
    <cellStyle name="Примечание 2 4 18 2 2 3 2 3" xfId="36918"/>
    <cellStyle name="Примечание 2 4 18 2 2 3 3" xfId="26510"/>
    <cellStyle name="Примечание 2 4 18 2 2 3 3 2" xfId="41871"/>
    <cellStyle name="Примечание 2 4 18 2 2 3 4" xfId="15994"/>
    <cellStyle name="Примечание 2 4 18 2 2 3 5" xfId="31461"/>
    <cellStyle name="Примечание 2 4 18 2 2 4" xfId="6331"/>
    <cellStyle name="Примечание 2 4 18 2 2 4 2" xfId="16533"/>
    <cellStyle name="Примечание 2 4 18 2 2 4 3" xfId="32000"/>
    <cellStyle name="Примечание 2 4 18 2 2 5" xfId="22219"/>
    <cellStyle name="Примечание 2 4 18 2 2 5 2" xfId="37580"/>
    <cellStyle name="Примечание 2 4 18 2 2 6" xfId="11656"/>
    <cellStyle name="Примечание 2 4 18 2 2 7" xfId="27170"/>
    <cellStyle name="Примечание 2 4 18 2 3" xfId="2126"/>
    <cellStyle name="Примечание 2 4 18 2 3 2" xfId="7362"/>
    <cellStyle name="Примечание 2 4 18 2 3 2 2" xfId="17497"/>
    <cellStyle name="Примечание 2 4 18 2 3 2 3" xfId="32948"/>
    <cellStyle name="Примечание 2 4 18 2 3 3" xfId="18264"/>
    <cellStyle name="Примечание 2 4 18 2 3 3 2" xfId="33625"/>
    <cellStyle name="Примечание 2 4 18 2 3 4" xfId="23250"/>
    <cellStyle name="Примечание 2 4 18 2 3 4 2" xfId="38611"/>
    <cellStyle name="Примечание 2 4 18 2 3 5" xfId="12701"/>
    <cellStyle name="Примечание 2 4 18 2 3 6" xfId="28201"/>
    <cellStyle name="Примечание 2 4 18 2 4" xfId="2380"/>
    <cellStyle name="Примечание 2 4 18 2 4 2" xfId="7616"/>
    <cellStyle name="Примечание 2 4 18 2 4 2 2" xfId="18518"/>
    <cellStyle name="Примечание 2 4 18 2 4 2 3" xfId="33879"/>
    <cellStyle name="Примечание 2 4 18 2 4 3" xfId="23504"/>
    <cellStyle name="Примечание 2 4 18 2 4 3 2" xfId="38865"/>
    <cellStyle name="Примечание 2 4 18 2 4 4" xfId="12955"/>
    <cellStyle name="Примечание 2 4 18 2 4 5" xfId="28455"/>
    <cellStyle name="Примечание 2 4 18 2 5" xfId="2521"/>
    <cellStyle name="Примечание 2 4 18 2 5 2" xfId="7754"/>
    <cellStyle name="Примечание 2 4 18 2 5 2 2" xfId="18656"/>
    <cellStyle name="Примечание 2 4 18 2 5 2 3" xfId="34017"/>
    <cellStyle name="Примечание 2 4 18 2 5 3" xfId="23642"/>
    <cellStyle name="Примечание 2 4 18 2 5 3 2" xfId="39003"/>
    <cellStyle name="Примечание 2 4 18 2 5 4" xfId="13093"/>
    <cellStyle name="Примечание 2 4 18 2 5 5" xfId="28593"/>
    <cellStyle name="Примечание 2 4 18 2 6" xfId="4174"/>
    <cellStyle name="Примечание 2 4 18 2 6 2" xfId="9361"/>
    <cellStyle name="Примечание 2 4 18 2 6 2 2" xfId="20288"/>
    <cellStyle name="Примечание 2 4 18 2 6 2 3" xfId="35649"/>
    <cellStyle name="Примечание 2 4 18 2 6 3" xfId="25249"/>
    <cellStyle name="Примечание 2 4 18 2 6 3 2" xfId="40610"/>
    <cellStyle name="Примечание 2 4 18 2 6 4" xfId="14725"/>
    <cellStyle name="Примечание 2 4 18 2 6 5" xfId="30200"/>
    <cellStyle name="Примечание 2 4 18 2 7" xfId="4933"/>
    <cellStyle name="Примечание 2 4 18 2 7 2" xfId="10120"/>
    <cellStyle name="Примечание 2 4 18 2 7 2 2" xfId="21047"/>
    <cellStyle name="Примечание 2 4 18 2 7 2 3" xfId="36408"/>
    <cellStyle name="Примечание 2 4 18 2 7 3" xfId="26008"/>
    <cellStyle name="Примечание 2 4 18 2 7 3 2" xfId="41369"/>
    <cellStyle name="Примечание 2 4 18 2 7 4" xfId="15484"/>
    <cellStyle name="Примечание 2 4 18 2 7 5" xfId="30959"/>
    <cellStyle name="Примечание 2 4 18 2 8" xfId="5982"/>
    <cellStyle name="Примечание 2 4 18 2 8 2" xfId="16885"/>
    <cellStyle name="Примечание 2 4 18 2 8 3" xfId="32352"/>
    <cellStyle name="Примечание 2 4 18 2 9" xfId="21870"/>
    <cellStyle name="Примечание 2 4 18 2 9 2" xfId="37231"/>
    <cellStyle name="Примечание 2 4 18 3" xfId="1590"/>
    <cellStyle name="Примечание 2 4 18 3 2" xfId="3197"/>
    <cellStyle name="Примечание 2 4 18 3 2 2" xfId="8392"/>
    <cellStyle name="Примечание 2 4 18 3 2 2 2" xfId="17499"/>
    <cellStyle name="Примечание 2 4 18 3 2 2 3" xfId="32950"/>
    <cellStyle name="Примечание 2 4 18 3 2 3" xfId="19318"/>
    <cellStyle name="Примечание 2 4 18 3 2 3 2" xfId="34679"/>
    <cellStyle name="Примечание 2 4 18 3 2 4" xfId="24280"/>
    <cellStyle name="Примечание 2 4 18 3 2 4 2" xfId="39641"/>
    <cellStyle name="Примечание 2 4 18 3 2 5" xfId="13755"/>
    <cellStyle name="Примечание 2 4 18 3 2 6" xfId="29231"/>
    <cellStyle name="Примечание 2 4 18 3 3" xfId="5460"/>
    <cellStyle name="Примечание 2 4 18 3 3 2" xfId="10624"/>
    <cellStyle name="Примечание 2 4 18 3 3 2 2" xfId="21558"/>
    <cellStyle name="Примечание 2 4 18 3 3 2 3" xfId="36919"/>
    <cellStyle name="Примечание 2 4 18 3 3 3" xfId="26511"/>
    <cellStyle name="Примечание 2 4 18 3 3 3 2" xfId="41872"/>
    <cellStyle name="Примечание 2 4 18 3 3 4" xfId="15995"/>
    <cellStyle name="Примечание 2 4 18 3 3 5" xfId="31462"/>
    <cellStyle name="Примечание 2 4 18 3 4" xfId="6837"/>
    <cellStyle name="Примечание 2 4 18 3 4 2" xfId="17732"/>
    <cellStyle name="Примечание 2 4 18 3 4 3" xfId="33093"/>
    <cellStyle name="Примечание 2 4 18 3 5" xfId="22725"/>
    <cellStyle name="Примечание 2 4 18 3 5 2" xfId="38086"/>
    <cellStyle name="Примечание 2 4 18 3 6" xfId="12168"/>
    <cellStyle name="Примечание 2 4 18 3 7" xfId="27676"/>
    <cellStyle name="Примечание 2 4 18 4" xfId="1969"/>
    <cellStyle name="Примечание 2 4 18 4 2" xfId="7205"/>
    <cellStyle name="Примечание 2 4 18 4 2 2" xfId="17496"/>
    <cellStyle name="Примечание 2 4 18 4 2 3" xfId="32947"/>
    <cellStyle name="Примечание 2 4 18 4 3" xfId="18107"/>
    <cellStyle name="Примечание 2 4 18 4 3 2" xfId="33468"/>
    <cellStyle name="Примечание 2 4 18 4 4" xfId="23093"/>
    <cellStyle name="Примечание 2 4 18 4 4 2" xfId="38454"/>
    <cellStyle name="Примечание 2 4 18 4 5" xfId="12544"/>
    <cellStyle name="Примечание 2 4 18 4 6" xfId="28044"/>
    <cellStyle name="Примечание 2 4 18 5" xfId="2482"/>
    <cellStyle name="Примечание 2 4 18 5 2" xfId="7718"/>
    <cellStyle name="Примечание 2 4 18 5 2 2" xfId="18620"/>
    <cellStyle name="Примечание 2 4 18 5 2 3" xfId="33981"/>
    <cellStyle name="Примечание 2 4 18 5 3" xfId="23606"/>
    <cellStyle name="Примечание 2 4 18 5 3 2" xfId="38967"/>
    <cellStyle name="Примечание 2 4 18 5 4" xfId="13057"/>
    <cellStyle name="Примечание 2 4 18 5 5" xfId="28557"/>
    <cellStyle name="Примечание 2 4 18 6" xfId="3573"/>
    <cellStyle name="Примечание 2 4 18 6 2" xfId="8760"/>
    <cellStyle name="Примечание 2 4 18 6 2 2" xfId="19687"/>
    <cellStyle name="Примечание 2 4 18 6 2 3" xfId="35048"/>
    <cellStyle name="Примечание 2 4 18 6 3" xfId="24648"/>
    <cellStyle name="Примечание 2 4 18 6 3 2" xfId="40009"/>
    <cellStyle name="Примечание 2 4 18 6 4" xfId="14124"/>
    <cellStyle name="Примечание 2 4 18 6 5" xfId="29599"/>
    <cellStyle name="Примечание 2 4 18 7" xfId="4058"/>
    <cellStyle name="Примечание 2 4 18 7 2" xfId="9245"/>
    <cellStyle name="Примечание 2 4 18 7 2 2" xfId="20172"/>
    <cellStyle name="Примечание 2 4 18 7 2 3" xfId="35533"/>
    <cellStyle name="Примечание 2 4 18 7 3" xfId="25133"/>
    <cellStyle name="Примечание 2 4 18 7 3 2" xfId="40494"/>
    <cellStyle name="Примечание 2 4 18 7 4" xfId="14609"/>
    <cellStyle name="Примечание 2 4 18 7 5" xfId="30084"/>
    <cellStyle name="Примечание 2 4 18 8" xfId="4670"/>
    <cellStyle name="Примечание 2 4 18 8 2" xfId="9857"/>
    <cellStyle name="Примечание 2 4 18 8 2 2" xfId="20784"/>
    <cellStyle name="Примечание 2 4 18 8 2 3" xfId="36145"/>
    <cellStyle name="Примечание 2 4 18 8 3" xfId="25745"/>
    <cellStyle name="Примечание 2 4 18 8 3 2" xfId="41106"/>
    <cellStyle name="Примечание 2 4 18 8 4" xfId="15221"/>
    <cellStyle name="Примечание 2 4 18 8 5" xfId="30696"/>
    <cellStyle name="Примечание 2 4 18 9" xfId="5866"/>
    <cellStyle name="Примечание 2 4 18 9 2" xfId="17005"/>
    <cellStyle name="Примечание 2 4 18 9 3" xfId="32472"/>
    <cellStyle name="Примечание 2 4 19" xfId="559"/>
    <cellStyle name="Примечание 2 4 19 10" xfId="21755"/>
    <cellStyle name="Примечание 2 4 19 10 2" xfId="37116"/>
    <cellStyle name="Примечание 2 4 19 11" xfId="11184"/>
    <cellStyle name="Примечание 2 4 19 12" xfId="26706"/>
    <cellStyle name="Примечание 2 4 19 2" xfId="719"/>
    <cellStyle name="Примечание 2 4 19 2 10" xfId="11303"/>
    <cellStyle name="Примечание 2 4 19 2 11" xfId="26820"/>
    <cellStyle name="Примечание 2 4 19 2 2" xfId="1337"/>
    <cellStyle name="Примечание 2 4 19 2 2 2" xfId="3200"/>
    <cellStyle name="Примечание 2 4 19 2 2 2 2" xfId="8395"/>
    <cellStyle name="Примечание 2 4 19 2 2 2 2 2" xfId="17502"/>
    <cellStyle name="Примечание 2 4 19 2 2 2 2 3" xfId="32953"/>
    <cellStyle name="Примечание 2 4 19 2 2 2 3" xfId="19321"/>
    <cellStyle name="Примечание 2 4 19 2 2 2 3 2" xfId="34682"/>
    <cellStyle name="Примечание 2 4 19 2 2 2 4" xfId="24283"/>
    <cellStyle name="Примечание 2 4 19 2 2 2 4 2" xfId="39644"/>
    <cellStyle name="Примечание 2 4 19 2 2 2 5" xfId="13758"/>
    <cellStyle name="Примечание 2 4 19 2 2 2 6" xfId="29234"/>
    <cellStyle name="Примечание 2 4 19 2 2 3" xfId="5461"/>
    <cellStyle name="Примечание 2 4 19 2 2 3 2" xfId="10625"/>
    <cellStyle name="Примечание 2 4 19 2 2 3 2 2" xfId="21559"/>
    <cellStyle name="Примечание 2 4 19 2 2 3 2 3" xfId="36920"/>
    <cellStyle name="Примечание 2 4 19 2 2 3 3" xfId="26512"/>
    <cellStyle name="Примечание 2 4 19 2 2 3 3 2" xfId="41873"/>
    <cellStyle name="Примечание 2 4 19 2 2 3 4" xfId="15996"/>
    <cellStyle name="Примечание 2 4 19 2 2 3 5" xfId="31463"/>
    <cellStyle name="Примечание 2 4 19 2 2 4" xfId="6590"/>
    <cellStyle name="Примечание 2 4 19 2 2 4 2" xfId="16271"/>
    <cellStyle name="Примечание 2 4 19 2 2 4 3" xfId="31738"/>
    <cellStyle name="Примечание 2 4 19 2 2 5" xfId="22478"/>
    <cellStyle name="Примечание 2 4 19 2 2 5 2" xfId="37839"/>
    <cellStyle name="Примечание 2 4 19 2 2 6" xfId="11918"/>
    <cellStyle name="Примечание 2 4 19 2 2 7" xfId="27429"/>
    <cellStyle name="Примечание 2 4 19 2 3" xfId="2125"/>
    <cellStyle name="Примечание 2 4 19 2 3 2" xfId="7361"/>
    <cellStyle name="Примечание 2 4 19 2 3 2 2" xfId="17501"/>
    <cellStyle name="Примечание 2 4 19 2 3 2 3" xfId="32952"/>
    <cellStyle name="Примечание 2 4 19 2 3 3" xfId="18263"/>
    <cellStyle name="Примечание 2 4 19 2 3 3 2" xfId="33624"/>
    <cellStyle name="Примечание 2 4 19 2 3 4" xfId="23249"/>
    <cellStyle name="Примечание 2 4 19 2 3 4 2" xfId="38610"/>
    <cellStyle name="Примечание 2 4 19 2 3 5" xfId="12700"/>
    <cellStyle name="Примечание 2 4 19 2 3 6" xfId="28200"/>
    <cellStyle name="Примечание 2 4 19 2 4" xfId="2599"/>
    <cellStyle name="Примечание 2 4 19 2 4 2" xfId="7832"/>
    <cellStyle name="Примечание 2 4 19 2 4 2 2" xfId="18734"/>
    <cellStyle name="Примечание 2 4 19 2 4 2 3" xfId="34095"/>
    <cellStyle name="Примечание 2 4 19 2 4 3" xfId="23720"/>
    <cellStyle name="Примечание 2 4 19 2 4 3 2" xfId="39081"/>
    <cellStyle name="Примечание 2 4 19 2 4 4" xfId="13171"/>
    <cellStyle name="Примечание 2 4 19 2 4 5" xfId="28671"/>
    <cellStyle name="Примечание 2 4 19 2 5" xfId="3816"/>
    <cellStyle name="Примечание 2 4 19 2 5 2" xfId="9003"/>
    <cellStyle name="Примечание 2 4 19 2 5 2 2" xfId="19930"/>
    <cellStyle name="Примечание 2 4 19 2 5 2 3" xfId="35291"/>
    <cellStyle name="Примечание 2 4 19 2 5 3" xfId="24891"/>
    <cellStyle name="Примечание 2 4 19 2 5 3 2" xfId="40252"/>
    <cellStyle name="Примечание 2 4 19 2 5 4" xfId="14367"/>
    <cellStyle name="Примечание 2 4 19 2 5 5" xfId="29842"/>
    <cellStyle name="Примечание 2 4 19 2 6" xfId="4173"/>
    <cellStyle name="Примечание 2 4 19 2 6 2" xfId="9360"/>
    <cellStyle name="Примечание 2 4 19 2 6 2 2" xfId="20287"/>
    <cellStyle name="Примечание 2 4 19 2 6 2 3" xfId="35648"/>
    <cellStyle name="Примечание 2 4 19 2 6 3" xfId="25248"/>
    <cellStyle name="Примечание 2 4 19 2 6 3 2" xfId="40609"/>
    <cellStyle name="Примечание 2 4 19 2 6 4" xfId="14724"/>
    <cellStyle name="Примечание 2 4 19 2 6 5" xfId="30199"/>
    <cellStyle name="Примечание 2 4 19 2 7" xfId="4613"/>
    <cellStyle name="Примечание 2 4 19 2 7 2" xfId="9800"/>
    <cellStyle name="Примечание 2 4 19 2 7 2 2" xfId="20727"/>
    <cellStyle name="Примечание 2 4 19 2 7 2 3" xfId="36088"/>
    <cellStyle name="Примечание 2 4 19 2 7 3" xfId="25688"/>
    <cellStyle name="Примечание 2 4 19 2 7 3 2" xfId="41049"/>
    <cellStyle name="Примечание 2 4 19 2 7 4" xfId="15164"/>
    <cellStyle name="Примечание 2 4 19 2 7 5" xfId="30639"/>
    <cellStyle name="Примечание 2 4 19 2 8" xfId="5981"/>
    <cellStyle name="Примечание 2 4 19 2 8 2" xfId="16886"/>
    <cellStyle name="Примечание 2 4 19 2 8 3" xfId="32353"/>
    <cellStyle name="Примечание 2 4 19 2 9" xfId="21869"/>
    <cellStyle name="Примечание 2 4 19 2 9 2" xfId="37230"/>
    <cellStyle name="Примечание 2 4 19 3" xfId="1125"/>
    <cellStyle name="Примечание 2 4 19 3 2" xfId="3201"/>
    <cellStyle name="Примечание 2 4 19 3 2 2" xfId="8396"/>
    <cellStyle name="Примечание 2 4 19 3 2 2 2" xfId="17503"/>
    <cellStyle name="Примечание 2 4 19 3 2 2 3" xfId="32954"/>
    <cellStyle name="Примечание 2 4 19 3 2 3" xfId="19322"/>
    <cellStyle name="Примечание 2 4 19 3 2 3 2" xfId="34683"/>
    <cellStyle name="Примечание 2 4 19 3 2 4" xfId="24284"/>
    <cellStyle name="Примечание 2 4 19 3 2 4 2" xfId="39645"/>
    <cellStyle name="Примечание 2 4 19 3 2 5" xfId="13759"/>
    <cellStyle name="Примечание 2 4 19 3 2 6" xfId="29235"/>
    <cellStyle name="Примечание 2 4 19 3 3" xfId="5462"/>
    <cellStyle name="Примечание 2 4 19 3 3 2" xfId="10626"/>
    <cellStyle name="Примечание 2 4 19 3 3 2 2" xfId="21560"/>
    <cellStyle name="Примечание 2 4 19 3 3 2 3" xfId="36921"/>
    <cellStyle name="Примечание 2 4 19 3 3 3" xfId="26513"/>
    <cellStyle name="Примечание 2 4 19 3 3 3 2" xfId="41874"/>
    <cellStyle name="Примечание 2 4 19 3 3 4" xfId="15997"/>
    <cellStyle name="Примечание 2 4 19 3 3 5" xfId="31464"/>
    <cellStyle name="Примечание 2 4 19 3 4" xfId="6380"/>
    <cellStyle name="Примечание 2 4 19 3 4 2" xfId="16483"/>
    <cellStyle name="Примечание 2 4 19 3 4 3" xfId="31950"/>
    <cellStyle name="Примечание 2 4 19 3 5" xfId="22268"/>
    <cellStyle name="Примечание 2 4 19 3 5 2" xfId="37629"/>
    <cellStyle name="Примечание 2 4 19 3 6" xfId="11706"/>
    <cellStyle name="Примечание 2 4 19 3 7" xfId="27219"/>
    <cellStyle name="Примечание 2 4 19 4" xfId="1970"/>
    <cellStyle name="Примечание 2 4 19 4 2" xfId="7206"/>
    <cellStyle name="Примечание 2 4 19 4 2 2" xfId="17500"/>
    <cellStyle name="Примечание 2 4 19 4 2 3" xfId="32951"/>
    <cellStyle name="Примечание 2 4 19 4 3" xfId="18108"/>
    <cellStyle name="Примечание 2 4 19 4 3 2" xfId="33469"/>
    <cellStyle name="Примечание 2 4 19 4 4" xfId="23094"/>
    <cellStyle name="Примечание 2 4 19 4 4 2" xfId="38455"/>
    <cellStyle name="Примечание 2 4 19 4 5" xfId="12545"/>
    <cellStyle name="Примечание 2 4 19 4 6" xfId="28045"/>
    <cellStyle name="Примечание 2 4 19 5" xfId="1915"/>
    <cellStyle name="Примечание 2 4 19 5 2" xfId="7151"/>
    <cellStyle name="Примечание 2 4 19 5 2 2" xfId="18053"/>
    <cellStyle name="Примечание 2 4 19 5 2 3" xfId="33414"/>
    <cellStyle name="Примечание 2 4 19 5 3" xfId="23039"/>
    <cellStyle name="Примечание 2 4 19 5 3 2" xfId="38400"/>
    <cellStyle name="Примечание 2 4 19 5 4" xfId="12490"/>
    <cellStyle name="Примечание 2 4 19 5 5" xfId="27990"/>
    <cellStyle name="Примечание 2 4 19 6" xfId="2934"/>
    <cellStyle name="Примечание 2 4 19 6 2" xfId="8135"/>
    <cellStyle name="Примечание 2 4 19 6 2 2" xfId="19055"/>
    <cellStyle name="Примечание 2 4 19 6 2 3" xfId="34416"/>
    <cellStyle name="Примечание 2 4 19 6 3" xfId="24023"/>
    <cellStyle name="Примечание 2 4 19 6 3 2" xfId="39384"/>
    <cellStyle name="Примечание 2 4 19 6 4" xfId="13492"/>
    <cellStyle name="Примечание 2 4 19 6 5" xfId="28974"/>
    <cellStyle name="Примечание 2 4 19 7" xfId="4059"/>
    <cellStyle name="Примечание 2 4 19 7 2" xfId="9246"/>
    <cellStyle name="Примечание 2 4 19 7 2 2" xfId="20173"/>
    <cellStyle name="Примечание 2 4 19 7 2 3" xfId="35534"/>
    <cellStyle name="Примечание 2 4 19 7 3" xfId="25134"/>
    <cellStyle name="Примечание 2 4 19 7 3 2" xfId="40495"/>
    <cellStyle name="Примечание 2 4 19 7 4" xfId="14610"/>
    <cellStyle name="Примечание 2 4 19 7 5" xfId="30085"/>
    <cellStyle name="Примечание 2 4 19 8" xfId="4878"/>
    <cellStyle name="Примечание 2 4 19 8 2" xfId="10065"/>
    <cellStyle name="Примечание 2 4 19 8 2 2" xfId="20992"/>
    <cellStyle name="Примечание 2 4 19 8 2 3" xfId="36353"/>
    <cellStyle name="Примечание 2 4 19 8 3" xfId="25953"/>
    <cellStyle name="Примечание 2 4 19 8 3 2" xfId="41314"/>
    <cellStyle name="Примечание 2 4 19 8 4" xfId="15429"/>
    <cellStyle name="Примечание 2 4 19 8 5" xfId="30904"/>
    <cellStyle name="Примечание 2 4 19 9" xfId="5867"/>
    <cellStyle name="Примечание 2 4 19 9 2" xfId="17004"/>
    <cellStyle name="Примечание 2 4 19 9 3" xfId="32471"/>
    <cellStyle name="Примечание 2 4 2" xfId="560"/>
    <cellStyle name="Примечание 2 4 2 10" xfId="21756"/>
    <cellStyle name="Примечание 2 4 2 10 2" xfId="37117"/>
    <cellStyle name="Примечание 2 4 2 11" xfId="11185"/>
    <cellStyle name="Примечание 2 4 2 12" xfId="26707"/>
    <cellStyle name="Примечание 2 4 2 2" xfId="718"/>
    <cellStyle name="Примечание 2 4 2 2 10" xfId="11302"/>
    <cellStyle name="Примечание 2 4 2 2 11" xfId="26819"/>
    <cellStyle name="Примечание 2 4 2 2 2" xfId="971"/>
    <cellStyle name="Примечание 2 4 2 2 2 2" xfId="3204"/>
    <cellStyle name="Примечание 2 4 2 2 2 2 2" xfId="8399"/>
    <cellStyle name="Примечание 2 4 2 2 2 2 2 2" xfId="17506"/>
    <cellStyle name="Примечание 2 4 2 2 2 2 2 3" xfId="32957"/>
    <cellStyle name="Примечание 2 4 2 2 2 2 3" xfId="19325"/>
    <cellStyle name="Примечание 2 4 2 2 2 2 3 2" xfId="34686"/>
    <cellStyle name="Примечание 2 4 2 2 2 2 4" xfId="24287"/>
    <cellStyle name="Примечание 2 4 2 2 2 2 4 2" xfId="39648"/>
    <cellStyle name="Примечание 2 4 2 2 2 2 5" xfId="13762"/>
    <cellStyle name="Примечание 2 4 2 2 2 2 6" xfId="29238"/>
    <cellStyle name="Примечание 2 4 2 2 2 3" xfId="5463"/>
    <cellStyle name="Примечание 2 4 2 2 2 3 2" xfId="10627"/>
    <cellStyle name="Примечание 2 4 2 2 2 3 2 2" xfId="21561"/>
    <cellStyle name="Примечание 2 4 2 2 2 3 2 3" xfId="36922"/>
    <cellStyle name="Примечание 2 4 2 2 2 3 3" xfId="26514"/>
    <cellStyle name="Примечание 2 4 2 2 2 3 3 2" xfId="41875"/>
    <cellStyle name="Примечание 2 4 2 2 2 3 4" xfId="15998"/>
    <cellStyle name="Примечание 2 4 2 2 2 3 5" xfId="31465"/>
    <cellStyle name="Примечание 2 4 2 2 2 3 6" xfId="45055"/>
    <cellStyle name="Примечание 2 4 2 2 2 4" xfId="6231"/>
    <cellStyle name="Примечание 2 4 2 2 2 4 2" xfId="16635"/>
    <cellStyle name="Примечание 2 4 2 2 2 4 3" xfId="32102"/>
    <cellStyle name="Примечание 2 4 2 2 2 5" xfId="22119"/>
    <cellStyle name="Примечание 2 4 2 2 2 5 2" xfId="37480"/>
    <cellStyle name="Примечание 2 4 2 2 2 5 3" xfId="46581"/>
    <cellStyle name="Примечание 2 4 2 2 2 6" xfId="11554"/>
    <cellStyle name="Примечание 2 4 2 2 2 7" xfId="27070"/>
    <cellStyle name="Примечание 2 4 2 2 3" xfId="2124"/>
    <cellStyle name="Примечание 2 4 2 2 3 2" xfId="7360"/>
    <cellStyle name="Примечание 2 4 2 2 3 2 2" xfId="17505"/>
    <cellStyle name="Примечание 2 4 2 2 3 2 3" xfId="32956"/>
    <cellStyle name="Примечание 2 4 2 2 3 3" xfId="18262"/>
    <cellStyle name="Примечание 2 4 2 2 3 3 2" xfId="33623"/>
    <cellStyle name="Примечание 2 4 2 2 3 4" xfId="23248"/>
    <cellStyle name="Примечание 2 4 2 2 3 4 2" xfId="38609"/>
    <cellStyle name="Примечание 2 4 2 2 3 5" xfId="12699"/>
    <cellStyle name="Примечание 2 4 2 2 3 6" xfId="28199"/>
    <cellStyle name="Примечание 2 4 2 2 4" xfId="2602"/>
    <cellStyle name="Примечание 2 4 2 2 4 2" xfId="7835"/>
    <cellStyle name="Примечание 2 4 2 2 4 2 2" xfId="18737"/>
    <cellStyle name="Примечание 2 4 2 2 4 2 3" xfId="34098"/>
    <cellStyle name="Примечание 2 4 2 2 4 3" xfId="23723"/>
    <cellStyle name="Примечание 2 4 2 2 4 3 2" xfId="39084"/>
    <cellStyle name="Примечание 2 4 2 2 4 4" xfId="13174"/>
    <cellStyle name="Примечание 2 4 2 2 4 5" xfId="28674"/>
    <cellStyle name="Примечание 2 4 2 2 5" xfId="3398"/>
    <cellStyle name="Примечание 2 4 2 2 5 2" xfId="8592"/>
    <cellStyle name="Примечание 2 4 2 2 5 2 2" xfId="19519"/>
    <cellStyle name="Примечание 2 4 2 2 5 2 3" xfId="34880"/>
    <cellStyle name="Примечание 2 4 2 2 5 3" xfId="24480"/>
    <cellStyle name="Примечание 2 4 2 2 5 3 2" xfId="39841"/>
    <cellStyle name="Примечание 2 4 2 2 5 4" xfId="13956"/>
    <cellStyle name="Примечание 2 4 2 2 5 5" xfId="29431"/>
    <cellStyle name="Примечание 2 4 2 2 6" xfId="4172"/>
    <cellStyle name="Примечание 2 4 2 2 6 2" xfId="9359"/>
    <cellStyle name="Примечание 2 4 2 2 6 2 2" xfId="20286"/>
    <cellStyle name="Примечание 2 4 2 2 6 2 3" xfId="35647"/>
    <cellStyle name="Примечание 2 4 2 2 6 3" xfId="25247"/>
    <cellStyle name="Примечание 2 4 2 2 6 3 2" xfId="40608"/>
    <cellStyle name="Примечание 2 4 2 2 6 4" xfId="14723"/>
    <cellStyle name="Примечание 2 4 2 2 6 5" xfId="30198"/>
    <cellStyle name="Примечание 2 4 2 2 6 6" xfId="46580"/>
    <cellStyle name="Примечание 2 4 2 2 7" xfId="4932"/>
    <cellStyle name="Примечание 2 4 2 2 7 2" xfId="10119"/>
    <cellStyle name="Примечание 2 4 2 2 7 2 2" xfId="21046"/>
    <cellStyle name="Примечание 2 4 2 2 7 2 3" xfId="36407"/>
    <cellStyle name="Примечание 2 4 2 2 7 3" xfId="26007"/>
    <cellStyle name="Примечание 2 4 2 2 7 3 2" xfId="41368"/>
    <cellStyle name="Примечание 2 4 2 2 7 4" xfId="15483"/>
    <cellStyle name="Примечание 2 4 2 2 7 5" xfId="30958"/>
    <cellStyle name="Примечание 2 4 2 2 8" xfId="5980"/>
    <cellStyle name="Примечание 2 4 2 2 8 2" xfId="16887"/>
    <cellStyle name="Примечание 2 4 2 2 8 3" xfId="32354"/>
    <cellStyle name="Примечание 2 4 2 2 9" xfId="21868"/>
    <cellStyle name="Примечание 2 4 2 2 9 2" xfId="37229"/>
    <cellStyle name="Примечание 2 4 2 3" xfId="957"/>
    <cellStyle name="Примечание 2 4 2 3 2" xfId="3205"/>
    <cellStyle name="Примечание 2 4 2 3 2 2" xfId="8400"/>
    <cellStyle name="Примечание 2 4 2 3 2 2 2" xfId="17507"/>
    <cellStyle name="Примечание 2 4 2 3 2 2 3" xfId="32958"/>
    <cellStyle name="Примечание 2 4 2 3 2 3" xfId="19326"/>
    <cellStyle name="Примечание 2 4 2 3 2 3 2" xfId="34687"/>
    <cellStyle name="Примечание 2 4 2 3 2 3 3" xfId="45056"/>
    <cellStyle name="Примечание 2 4 2 3 2 4" xfId="24288"/>
    <cellStyle name="Примечание 2 4 2 3 2 4 2" xfId="39649"/>
    <cellStyle name="Примечание 2 4 2 3 2 5" xfId="13763"/>
    <cellStyle name="Примечание 2 4 2 3 2 6" xfId="29239"/>
    <cellStyle name="Примечание 2 4 2 3 3" xfId="5464"/>
    <cellStyle name="Примечание 2 4 2 3 3 2" xfId="10628"/>
    <cellStyle name="Примечание 2 4 2 3 3 2 2" xfId="21562"/>
    <cellStyle name="Примечание 2 4 2 3 3 2 3" xfId="36923"/>
    <cellStyle name="Примечание 2 4 2 3 3 3" xfId="26515"/>
    <cellStyle name="Примечание 2 4 2 3 3 3 2" xfId="41876"/>
    <cellStyle name="Примечание 2 4 2 3 3 4" xfId="15999"/>
    <cellStyle name="Примечание 2 4 2 3 3 5" xfId="31466"/>
    <cellStyle name="Примечание 2 4 2 3 4" xfId="6219"/>
    <cellStyle name="Примечание 2 4 2 3 4 2" xfId="16648"/>
    <cellStyle name="Примечание 2 4 2 3 4 3" xfId="32115"/>
    <cellStyle name="Примечание 2 4 2 3 4 4" xfId="45057"/>
    <cellStyle name="Примечание 2 4 2 3 5" xfId="22107"/>
    <cellStyle name="Примечание 2 4 2 3 5 2" xfId="37468"/>
    <cellStyle name="Примечание 2 4 2 3 6" xfId="11541"/>
    <cellStyle name="Примечание 2 4 2 3 6 2" xfId="46582"/>
    <cellStyle name="Примечание 2 4 2 3 7" xfId="27058"/>
    <cellStyle name="Примечание 2 4 2 4" xfId="1971"/>
    <cellStyle name="Примечание 2 4 2 4 2" xfId="7207"/>
    <cellStyle name="Примечание 2 4 2 4 2 2" xfId="17504"/>
    <cellStyle name="Примечание 2 4 2 4 2 3" xfId="32955"/>
    <cellStyle name="Примечание 2 4 2 4 3" xfId="18109"/>
    <cellStyle name="Примечание 2 4 2 4 3 2" xfId="33470"/>
    <cellStyle name="Примечание 2 4 2 4 3 3" xfId="45058"/>
    <cellStyle name="Примечание 2 4 2 4 4" xfId="23095"/>
    <cellStyle name="Примечание 2 4 2 4 4 2" xfId="38456"/>
    <cellStyle name="Примечание 2 4 2 4 5" xfId="12546"/>
    <cellStyle name="Примечание 2 4 2 4 6" xfId="28046"/>
    <cellStyle name="Примечание 2 4 2 5" xfId="2481"/>
    <cellStyle name="Примечание 2 4 2 5 2" xfId="7717"/>
    <cellStyle name="Примечание 2 4 2 5 2 2" xfId="18619"/>
    <cellStyle name="Примечание 2 4 2 5 2 3" xfId="33980"/>
    <cellStyle name="Примечание 2 4 2 5 3" xfId="23605"/>
    <cellStyle name="Примечание 2 4 2 5 3 2" xfId="38966"/>
    <cellStyle name="Примечание 2 4 2 5 4" xfId="13056"/>
    <cellStyle name="Примечание 2 4 2 5 5" xfId="28556"/>
    <cellStyle name="Примечание 2 4 2 6" xfId="3572"/>
    <cellStyle name="Примечание 2 4 2 6 2" xfId="8759"/>
    <cellStyle name="Примечание 2 4 2 6 2 2" xfId="19686"/>
    <cellStyle name="Примечание 2 4 2 6 2 3" xfId="35047"/>
    <cellStyle name="Примечание 2 4 2 6 3" xfId="24647"/>
    <cellStyle name="Примечание 2 4 2 6 3 2" xfId="40008"/>
    <cellStyle name="Примечание 2 4 2 6 4" xfId="14123"/>
    <cellStyle name="Примечание 2 4 2 6 5" xfId="29598"/>
    <cellStyle name="Примечание 2 4 2 6 6" xfId="45059"/>
    <cellStyle name="Примечание 2 4 2 7" xfId="4060"/>
    <cellStyle name="Примечание 2 4 2 7 2" xfId="9247"/>
    <cellStyle name="Примечание 2 4 2 7 2 2" xfId="20174"/>
    <cellStyle name="Примечание 2 4 2 7 2 3" xfId="35535"/>
    <cellStyle name="Примечание 2 4 2 7 3" xfId="25135"/>
    <cellStyle name="Примечание 2 4 2 7 3 2" xfId="40496"/>
    <cellStyle name="Примечание 2 4 2 7 4" xfId="14611"/>
    <cellStyle name="Примечание 2 4 2 7 5" xfId="30086"/>
    <cellStyle name="Примечание 2 4 2 8" xfId="4669"/>
    <cellStyle name="Примечание 2 4 2 8 2" xfId="9856"/>
    <cellStyle name="Примечание 2 4 2 8 2 2" xfId="20783"/>
    <cellStyle name="Примечание 2 4 2 8 2 3" xfId="36144"/>
    <cellStyle name="Примечание 2 4 2 8 3" xfId="25744"/>
    <cellStyle name="Примечание 2 4 2 8 3 2" xfId="41105"/>
    <cellStyle name="Примечание 2 4 2 8 4" xfId="15220"/>
    <cellStyle name="Примечание 2 4 2 8 5" xfId="30695"/>
    <cellStyle name="Примечание 2 4 2 8 6" xfId="46579"/>
    <cellStyle name="Примечание 2 4 2 9" xfId="5868"/>
    <cellStyle name="Примечание 2 4 2 9 2" xfId="17003"/>
    <cellStyle name="Примечание 2 4 2 9 3" xfId="32470"/>
    <cellStyle name="Примечание 2 4 20" xfId="561"/>
    <cellStyle name="Примечание 2 4 20 10" xfId="21757"/>
    <cellStyle name="Примечание 2 4 20 10 2" xfId="37118"/>
    <cellStyle name="Примечание 2 4 20 11" xfId="11186"/>
    <cellStyle name="Примечание 2 4 20 12" xfId="26708"/>
    <cellStyle name="Примечание 2 4 20 2" xfId="717"/>
    <cellStyle name="Примечание 2 4 20 2 10" xfId="11301"/>
    <cellStyle name="Примечание 2 4 20 2 11" xfId="26818"/>
    <cellStyle name="Примечание 2 4 20 2 2" xfId="1238"/>
    <cellStyle name="Примечание 2 4 20 2 2 2" xfId="3208"/>
    <cellStyle name="Примечание 2 4 20 2 2 2 2" xfId="8403"/>
    <cellStyle name="Примечание 2 4 20 2 2 2 2 2" xfId="17510"/>
    <cellStyle name="Примечание 2 4 20 2 2 2 2 3" xfId="32961"/>
    <cellStyle name="Примечание 2 4 20 2 2 2 3" xfId="19329"/>
    <cellStyle name="Примечание 2 4 20 2 2 2 3 2" xfId="34690"/>
    <cellStyle name="Примечание 2 4 20 2 2 2 4" xfId="24291"/>
    <cellStyle name="Примечание 2 4 20 2 2 2 4 2" xfId="39652"/>
    <cellStyle name="Примечание 2 4 20 2 2 2 5" xfId="13766"/>
    <cellStyle name="Примечание 2 4 20 2 2 2 6" xfId="29242"/>
    <cellStyle name="Примечание 2 4 20 2 2 3" xfId="5465"/>
    <cellStyle name="Примечание 2 4 20 2 2 3 2" xfId="10629"/>
    <cellStyle name="Примечание 2 4 20 2 2 3 2 2" xfId="21563"/>
    <cellStyle name="Примечание 2 4 20 2 2 3 2 3" xfId="36924"/>
    <cellStyle name="Примечание 2 4 20 2 2 3 3" xfId="26516"/>
    <cellStyle name="Примечание 2 4 20 2 2 3 3 2" xfId="41877"/>
    <cellStyle name="Примечание 2 4 20 2 2 3 4" xfId="16000"/>
    <cellStyle name="Примечание 2 4 20 2 2 3 5" xfId="31467"/>
    <cellStyle name="Примечание 2 4 20 2 2 4" xfId="6491"/>
    <cellStyle name="Примечание 2 4 20 2 2 4 2" xfId="16370"/>
    <cellStyle name="Примечание 2 4 20 2 2 4 3" xfId="31837"/>
    <cellStyle name="Примечание 2 4 20 2 2 5" xfId="22379"/>
    <cellStyle name="Примечание 2 4 20 2 2 5 2" xfId="37740"/>
    <cellStyle name="Примечание 2 4 20 2 2 6" xfId="11819"/>
    <cellStyle name="Примечание 2 4 20 2 2 7" xfId="27330"/>
    <cellStyle name="Примечание 2 4 20 2 3" xfId="2123"/>
    <cellStyle name="Примечание 2 4 20 2 3 2" xfId="7359"/>
    <cellStyle name="Примечание 2 4 20 2 3 2 2" xfId="17509"/>
    <cellStyle name="Примечание 2 4 20 2 3 2 3" xfId="32960"/>
    <cellStyle name="Примечание 2 4 20 2 3 3" xfId="18261"/>
    <cellStyle name="Примечание 2 4 20 2 3 3 2" xfId="33622"/>
    <cellStyle name="Примечание 2 4 20 2 3 4" xfId="23247"/>
    <cellStyle name="Примечание 2 4 20 2 3 4 2" xfId="38608"/>
    <cellStyle name="Примечание 2 4 20 2 3 5" xfId="12698"/>
    <cellStyle name="Примечание 2 4 20 2 3 6" xfId="28198"/>
    <cellStyle name="Примечание 2 4 20 2 4" xfId="2037"/>
    <cellStyle name="Примечание 2 4 20 2 4 2" xfId="7273"/>
    <cellStyle name="Примечание 2 4 20 2 4 2 2" xfId="18175"/>
    <cellStyle name="Примечание 2 4 20 2 4 2 3" xfId="33536"/>
    <cellStyle name="Примечание 2 4 20 2 4 3" xfId="23161"/>
    <cellStyle name="Примечание 2 4 20 2 4 3 2" xfId="38522"/>
    <cellStyle name="Примечание 2 4 20 2 4 4" xfId="12612"/>
    <cellStyle name="Примечание 2 4 20 2 4 5" xfId="28112"/>
    <cellStyle name="Примечание 2 4 20 2 5" xfId="3606"/>
    <cellStyle name="Примечание 2 4 20 2 5 2" xfId="8793"/>
    <cellStyle name="Примечание 2 4 20 2 5 2 2" xfId="19720"/>
    <cellStyle name="Примечание 2 4 20 2 5 2 3" xfId="35081"/>
    <cellStyle name="Примечание 2 4 20 2 5 3" xfId="24681"/>
    <cellStyle name="Примечание 2 4 20 2 5 3 2" xfId="40042"/>
    <cellStyle name="Примечание 2 4 20 2 5 4" xfId="14157"/>
    <cellStyle name="Примечание 2 4 20 2 5 5" xfId="29632"/>
    <cellStyle name="Примечание 2 4 20 2 6" xfId="4171"/>
    <cellStyle name="Примечание 2 4 20 2 6 2" xfId="9358"/>
    <cellStyle name="Примечание 2 4 20 2 6 2 2" xfId="20285"/>
    <cellStyle name="Примечание 2 4 20 2 6 2 3" xfId="35646"/>
    <cellStyle name="Примечание 2 4 20 2 6 3" xfId="25246"/>
    <cellStyle name="Примечание 2 4 20 2 6 3 2" xfId="40607"/>
    <cellStyle name="Примечание 2 4 20 2 6 4" xfId="14722"/>
    <cellStyle name="Примечание 2 4 20 2 6 5" xfId="30197"/>
    <cellStyle name="Примечание 2 4 20 2 7" xfId="4614"/>
    <cellStyle name="Примечание 2 4 20 2 7 2" xfId="9801"/>
    <cellStyle name="Примечание 2 4 20 2 7 2 2" xfId="20728"/>
    <cellStyle name="Примечание 2 4 20 2 7 2 3" xfId="36089"/>
    <cellStyle name="Примечание 2 4 20 2 7 3" xfId="25689"/>
    <cellStyle name="Примечание 2 4 20 2 7 3 2" xfId="41050"/>
    <cellStyle name="Примечание 2 4 20 2 7 4" xfId="15165"/>
    <cellStyle name="Примечание 2 4 20 2 7 5" xfId="30640"/>
    <cellStyle name="Примечание 2 4 20 2 8" xfId="5979"/>
    <cellStyle name="Примечание 2 4 20 2 8 2" xfId="16888"/>
    <cellStyle name="Примечание 2 4 20 2 8 3" xfId="32355"/>
    <cellStyle name="Примечание 2 4 20 2 9" xfId="21867"/>
    <cellStyle name="Примечание 2 4 20 2 9 2" xfId="37228"/>
    <cellStyle name="Примечание 2 4 20 3" xfId="1491"/>
    <cellStyle name="Примечание 2 4 20 3 2" xfId="3209"/>
    <cellStyle name="Примечание 2 4 20 3 2 2" xfId="8404"/>
    <cellStyle name="Примечание 2 4 20 3 2 2 2" xfId="17511"/>
    <cellStyle name="Примечание 2 4 20 3 2 2 3" xfId="32962"/>
    <cellStyle name="Примечание 2 4 20 3 2 3" xfId="19330"/>
    <cellStyle name="Примечание 2 4 20 3 2 3 2" xfId="34691"/>
    <cellStyle name="Примечание 2 4 20 3 2 4" xfId="24292"/>
    <cellStyle name="Примечание 2 4 20 3 2 4 2" xfId="39653"/>
    <cellStyle name="Примечание 2 4 20 3 2 5" xfId="13767"/>
    <cellStyle name="Примечание 2 4 20 3 2 6" xfId="29243"/>
    <cellStyle name="Примечание 2 4 20 3 3" xfId="5466"/>
    <cellStyle name="Примечание 2 4 20 3 3 2" xfId="10630"/>
    <cellStyle name="Примечание 2 4 20 3 3 2 2" xfId="21564"/>
    <cellStyle name="Примечание 2 4 20 3 3 2 3" xfId="36925"/>
    <cellStyle name="Примечание 2 4 20 3 3 3" xfId="26517"/>
    <cellStyle name="Примечание 2 4 20 3 3 3 2" xfId="41878"/>
    <cellStyle name="Примечание 2 4 20 3 3 4" xfId="16001"/>
    <cellStyle name="Примечание 2 4 20 3 3 5" xfId="31468"/>
    <cellStyle name="Примечание 2 4 20 3 4" xfId="6738"/>
    <cellStyle name="Примечание 2 4 20 3 4 2" xfId="16120"/>
    <cellStyle name="Примечание 2 4 20 3 4 3" xfId="31587"/>
    <cellStyle name="Примечание 2 4 20 3 5" xfId="22626"/>
    <cellStyle name="Примечание 2 4 20 3 5 2" xfId="37987"/>
    <cellStyle name="Примечание 2 4 20 3 6" xfId="12069"/>
    <cellStyle name="Примечание 2 4 20 3 7" xfId="27577"/>
    <cellStyle name="Примечание 2 4 20 4" xfId="1972"/>
    <cellStyle name="Примечание 2 4 20 4 2" xfId="7208"/>
    <cellStyle name="Примечание 2 4 20 4 2 2" xfId="17508"/>
    <cellStyle name="Примечание 2 4 20 4 2 3" xfId="32959"/>
    <cellStyle name="Примечание 2 4 20 4 3" xfId="18110"/>
    <cellStyle name="Примечание 2 4 20 4 3 2" xfId="33471"/>
    <cellStyle name="Примечание 2 4 20 4 4" xfId="23096"/>
    <cellStyle name="Примечание 2 4 20 4 4 2" xfId="38457"/>
    <cellStyle name="Примечание 2 4 20 4 5" xfId="12547"/>
    <cellStyle name="Примечание 2 4 20 4 6" xfId="28047"/>
    <cellStyle name="Примечание 2 4 20 5" xfId="1503"/>
    <cellStyle name="Примечание 2 4 20 5 2" xfId="6750"/>
    <cellStyle name="Примечание 2 4 20 5 2 2" xfId="17645"/>
    <cellStyle name="Примечание 2 4 20 5 2 3" xfId="33006"/>
    <cellStyle name="Примечание 2 4 20 5 3" xfId="22638"/>
    <cellStyle name="Примечание 2 4 20 5 3 2" xfId="37999"/>
    <cellStyle name="Примечание 2 4 20 5 4" xfId="12081"/>
    <cellStyle name="Примечание 2 4 20 5 5" xfId="27589"/>
    <cellStyle name="Примечание 2 4 20 6" xfId="2933"/>
    <cellStyle name="Примечание 2 4 20 6 2" xfId="8134"/>
    <cellStyle name="Примечание 2 4 20 6 2 2" xfId="19054"/>
    <cellStyle name="Примечание 2 4 20 6 2 3" xfId="34415"/>
    <cellStyle name="Примечание 2 4 20 6 3" xfId="24022"/>
    <cellStyle name="Примечание 2 4 20 6 3 2" xfId="39383"/>
    <cellStyle name="Примечание 2 4 20 6 4" xfId="13491"/>
    <cellStyle name="Примечание 2 4 20 6 5" xfId="28973"/>
    <cellStyle name="Примечание 2 4 20 7" xfId="4061"/>
    <cellStyle name="Примечание 2 4 20 7 2" xfId="9248"/>
    <cellStyle name="Примечание 2 4 20 7 2 2" xfId="20175"/>
    <cellStyle name="Примечание 2 4 20 7 2 3" xfId="35536"/>
    <cellStyle name="Примечание 2 4 20 7 3" xfId="25136"/>
    <cellStyle name="Примечание 2 4 20 7 3 2" xfId="40497"/>
    <cellStyle name="Примечание 2 4 20 7 4" xfId="14612"/>
    <cellStyle name="Примечание 2 4 20 7 5" xfId="30087"/>
    <cellStyle name="Примечание 2 4 20 8" xfId="4879"/>
    <cellStyle name="Примечание 2 4 20 8 2" xfId="10066"/>
    <cellStyle name="Примечание 2 4 20 8 2 2" xfId="20993"/>
    <cellStyle name="Примечание 2 4 20 8 2 3" xfId="36354"/>
    <cellStyle name="Примечание 2 4 20 8 3" xfId="25954"/>
    <cellStyle name="Примечание 2 4 20 8 3 2" xfId="41315"/>
    <cellStyle name="Примечание 2 4 20 8 4" xfId="15430"/>
    <cellStyle name="Примечание 2 4 20 8 5" xfId="30905"/>
    <cellStyle name="Примечание 2 4 20 9" xfId="5869"/>
    <cellStyle name="Примечание 2 4 20 9 2" xfId="17002"/>
    <cellStyle name="Примечание 2 4 20 9 3" xfId="32469"/>
    <cellStyle name="Примечание 2 4 21" xfId="562"/>
    <cellStyle name="Примечание 2 4 21 10" xfId="21758"/>
    <cellStyle name="Примечание 2 4 21 10 2" xfId="37119"/>
    <cellStyle name="Примечание 2 4 21 11" xfId="11187"/>
    <cellStyle name="Примечание 2 4 21 12" xfId="26709"/>
    <cellStyle name="Примечание 2 4 21 2" xfId="716"/>
    <cellStyle name="Примечание 2 4 21 2 10" xfId="11300"/>
    <cellStyle name="Примечание 2 4 21 2 11" xfId="26817"/>
    <cellStyle name="Примечание 2 4 21 2 2" xfId="1421"/>
    <cellStyle name="Примечание 2 4 21 2 2 2" xfId="3212"/>
    <cellStyle name="Примечание 2 4 21 2 2 2 2" xfId="8407"/>
    <cellStyle name="Примечание 2 4 21 2 2 2 2 2" xfId="17514"/>
    <cellStyle name="Примечание 2 4 21 2 2 2 2 3" xfId="32965"/>
    <cellStyle name="Примечание 2 4 21 2 2 2 3" xfId="19333"/>
    <cellStyle name="Примечание 2 4 21 2 2 2 3 2" xfId="34694"/>
    <cellStyle name="Примечание 2 4 21 2 2 2 4" xfId="24295"/>
    <cellStyle name="Примечание 2 4 21 2 2 2 4 2" xfId="39656"/>
    <cellStyle name="Примечание 2 4 21 2 2 2 5" xfId="13770"/>
    <cellStyle name="Примечание 2 4 21 2 2 2 6" xfId="29246"/>
    <cellStyle name="Примечание 2 4 21 2 2 3" xfId="5467"/>
    <cellStyle name="Примечание 2 4 21 2 2 3 2" xfId="10631"/>
    <cellStyle name="Примечание 2 4 21 2 2 3 2 2" xfId="21565"/>
    <cellStyle name="Примечание 2 4 21 2 2 3 2 3" xfId="36926"/>
    <cellStyle name="Примечание 2 4 21 2 2 3 3" xfId="26518"/>
    <cellStyle name="Примечание 2 4 21 2 2 3 3 2" xfId="41879"/>
    <cellStyle name="Примечание 2 4 21 2 2 3 4" xfId="16002"/>
    <cellStyle name="Примечание 2 4 21 2 2 3 5" xfId="31469"/>
    <cellStyle name="Примечание 2 4 21 2 2 4" xfId="6669"/>
    <cellStyle name="Примечание 2 4 21 2 2 4 2" xfId="16189"/>
    <cellStyle name="Примечание 2 4 21 2 2 4 3" xfId="31656"/>
    <cellStyle name="Примечание 2 4 21 2 2 5" xfId="22557"/>
    <cellStyle name="Примечание 2 4 21 2 2 5 2" xfId="37918"/>
    <cellStyle name="Примечание 2 4 21 2 2 6" xfId="12000"/>
    <cellStyle name="Примечание 2 4 21 2 2 7" xfId="27508"/>
    <cellStyle name="Примечание 2 4 21 2 3" xfId="2122"/>
    <cellStyle name="Примечание 2 4 21 2 3 2" xfId="7358"/>
    <cellStyle name="Примечание 2 4 21 2 3 2 2" xfId="17513"/>
    <cellStyle name="Примечание 2 4 21 2 3 2 3" xfId="32964"/>
    <cellStyle name="Примечание 2 4 21 2 3 3" xfId="18260"/>
    <cellStyle name="Примечание 2 4 21 2 3 3 2" xfId="33621"/>
    <cellStyle name="Примечание 2 4 21 2 3 4" xfId="23246"/>
    <cellStyle name="Примечание 2 4 21 2 3 4 2" xfId="38607"/>
    <cellStyle name="Примечание 2 4 21 2 3 5" xfId="12697"/>
    <cellStyle name="Примечание 2 4 21 2 3 6" xfId="28197"/>
    <cellStyle name="Примечание 2 4 21 2 4" xfId="2767"/>
    <cellStyle name="Примечание 2 4 21 2 4 2" xfId="7996"/>
    <cellStyle name="Примечание 2 4 21 2 4 2 2" xfId="18900"/>
    <cellStyle name="Примечание 2 4 21 2 4 2 3" xfId="34261"/>
    <cellStyle name="Примечание 2 4 21 2 4 3" xfId="23884"/>
    <cellStyle name="Примечание 2 4 21 2 4 3 2" xfId="39245"/>
    <cellStyle name="Примечание 2 4 21 2 4 4" xfId="13337"/>
    <cellStyle name="Примечание 2 4 21 2 4 5" xfId="28835"/>
    <cellStyle name="Примечание 2 4 21 2 5" xfId="3434"/>
    <cellStyle name="Примечание 2 4 21 2 5 2" xfId="8624"/>
    <cellStyle name="Примечание 2 4 21 2 5 2 2" xfId="19551"/>
    <cellStyle name="Примечание 2 4 21 2 5 2 3" xfId="34912"/>
    <cellStyle name="Примечание 2 4 21 2 5 3" xfId="24512"/>
    <cellStyle name="Примечание 2 4 21 2 5 3 2" xfId="39873"/>
    <cellStyle name="Примечание 2 4 21 2 5 4" xfId="13988"/>
    <cellStyle name="Примечание 2 4 21 2 5 5" xfId="29463"/>
    <cellStyle name="Примечание 2 4 21 2 6" xfId="4170"/>
    <cellStyle name="Примечание 2 4 21 2 6 2" xfId="9357"/>
    <cellStyle name="Примечание 2 4 21 2 6 2 2" xfId="20284"/>
    <cellStyle name="Примечание 2 4 21 2 6 2 3" xfId="35645"/>
    <cellStyle name="Примечание 2 4 21 2 6 3" xfId="25245"/>
    <cellStyle name="Примечание 2 4 21 2 6 3 2" xfId="40606"/>
    <cellStyle name="Примечание 2 4 21 2 6 4" xfId="14721"/>
    <cellStyle name="Примечание 2 4 21 2 6 5" xfId="30196"/>
    <cellStyle name="Примечание 2 4 21 2 7" xfId="4931"/>
    <cellStyle name="Примечание 2 4 21 2 7 2" xfId="10118"/>
    <cellStyle name="Примечание 2 4 21 2 7 2 2" xfId="21045"/>
    <cellStyle name="Примечание 2 4 21 2 7 2 3" xfId="36406"/>
    <cellStyle name="Примечание 2 4 21 2 7 3" xfId="26006"/>
    <cellStyle name="Примечание 2 4 21 2 7 3 2" xfId="41367"/>
    <cellStyle name="Примечание 2 4 21 2 7 4" xfId="15482"/>
    <cellStyle name="Примечание 2 4 21 2 7 5" xfId="30957"/>
    <cellStyle name="Примечание 2 4 21 2 8" xfId="5978"/>
    <cellStyle name="Примечание 2 4 21 2 8 2" xfId="16889"/>
    <cellStyle name="Примечание 2 4 21 2 8 3" xfId="32356"/>
    <cellStyle name="Примечание 2 4 21 2 9" xfId="21866"/>
    <cellStyle name="Примечание 2 4 21 2 9 2" xfId="37227"/>
    <cellStyle name="Примечание 2 4 21 3" xfId="951"/>
    <cellStyle name="Примечание 2 4 21 3 2" xfId="3213"/>
    <cellStyle name="Примечание 2 4 21 3 2 2" xfId="8408"/>
    <cellStyle name="Примечание 2 4 21 3 2 2 2" xfId="17515"/>
    <cellStyle name="Примечание 2 4 21 3 2 2 3" xfId="32966"/>
    <cellStyle name="Примечание 2 4 21 3 2 3" xfId="19334"/>
    <cellStyle name="Примечание 2 4 21 3 2 3 2" xfId="34695"/>
    <cellStyle name="Примечание 2 4 21 3 2 4" xfId="24296"/>
    <cellStyle name="Примечание 2 4 21 3 2 4 2" xfId="39657"/>
    <cellStyle name="Примечание 2 4 21 3 2 5" xfId="13771"/>
    <cellStyle name="Примечание 2 4 21 3 2 6" xfId="29247"/>
    <cellStyle name="Примечание 2 4 21 3 3" xfId="5468"/>
    <cellStyle name="Примечание 2 4 21 3 3 2" xfId="10632"/>
    <cellStyle name="Примечание 2 4 21 3 3 2 2" xfId="21566"/>
    <cellStyle name="Примечание 2 4 21 3 3 2 3" xfId="36927"/>
    <cellStyle name="Примечание 2 4 21 3 3 3" xfId="26519"/>
    <cellStyle name="Примечание 2 4 21 3 3 3 2" xfId="41880"/>
    <cellStyle name="Примечание 2 4 21 3 3 4" xfId="16003"/>
    <cellStyle name="Примечание 2 4 21 3 3 5" xfId="31470"/>
    <cellStyle name="Примечание 2 4 21 3 4" xfId="6213"/>
    <cellStyle name="Примечание 2 4 21 3 4 2" xfId="16654"/>
    <cellStyle name="Примечание 2 4 21 3 4 3" xfId="32121"/>
    <cellStyle name="Примечание 2 4 21 3 5" xfId="22101"/>
    <cellStyle name="Примечание 2 4 21 3 5 2" xfId="37462"/>
    <cellStyle name="Примечание 2 4 21 3 6" xfId="11535"/>
    <cellStyle name="Примечание 2 4 21 3 7" xfId="27052"/>
    <cellStyle name="Примечание 2 4 21 4" xfId="1973"/>
    <cellStyle name="Примечание 2 4 21 4 2" xfId="7209"/>
    <cellStyle name="Примечание 2 4 21 4 2 2" xfId="17512"/>
    <cellStyle name="Примечание 2 4 21 4 2 3" xfId="32963"/>
    <cellStyle name="Примечание 2 4 21 4 3" xfId="18111"/>
    <cellStyle name="Примечание 2 4 21 4 3 2" xfId="33472"/>
    <cellStyle name="Примечание 2 4 21 4 4" xfId="23097"/>
    <cellStyle name="Примечание 2 4 21 4 4 2" xfId="38458"/>
    <cellStyle name="Примечание 2 4 21 4 5" xfId="12548"/>
    <cellStyle name="Примечание 2 4 21 4 6" xfId="28048"/>
    <cellStyle name="Примечание 2 4 21 5" xfId="2480"/>
    <cellStyle name="Примечание 2 4 21 5 2" xfId="7716"/>
    <cellStyle name="Примечание 2 4 21 5 2 2" xfId="18618"/>
    <cellStyle name="Примечание 2 4 21 5 2 3" xfId="33979"/>
    <cellStyle name="Примечание 2 4 21 5 3" xfId="23604"/>
    <cellStyle name="Примечание 2 4 21 5 3 2" xfId="38965"/>
    <cellStyle name="Примечание 2 4 21 5 4" xfId="13055"/>
    <cellStyle name="Примечание 2 4 21 5 5" xfId="28555"/>
    <cellStyle name="Примечание 2 4 21 6" xfId="3574"/>
    <cellStyle name="Примечание 2 4 21 6 2" xfId="8761"/>
    <cellStyle name="Примечание 2 4 21 6 2 2" xfId="19688"/>
    <cellStyle name="Примечание 2 4 21 6 2 3" xfId="35049"/>
    <cellStyle name="Примечание 2 4 21 6 3" xfId="24649"/>
    <cellStyle name="Примечание 2 4 21 6 3 2" xfId="40010"/>
    <cellStyle name="Примечание 2 4 21 6 4" xfId="14125"/>
    <cellStyle name="Примечание 2 4 21 6 5" xfId="29600"/>
    <cellStyle name="Примечание 2 4 21 7" xfId="4062"/>
    <cellStyle name="Примечание 2 4 21 7 2" xfId="9249"/>
    <cellStyle name="Примечание 2 4 21 7 2 2" xfId="20176"/>
    <cellStyle name="Примечание 2 4 21 7 2 3" xfId="35537"/>
    <cellStyle name="Примечание 2 4 21 7 3" xfId="25137"/>
    <cellStyle name="Примечание 2 4 21 7 3 2" xfId="40498"/>
    <cellStyle name="Примечание 2 4 21 7 4" xfId="14613"/>
    <cellStyle name="Примечание 2 4 21 7 5" xfId="30088"/>
    <cellStyle name="Примечание 2 4 21 8" xfId="4668"/>
    <cellStyle name="Примечание 2 4 21 8 2" xfId="9855"/>
    <cellStyle name="Примечание 2 4 21 8 2 2" xfId="20782"/>
    <cellStyle name="Примечание 2 4 21 8 2 3" xfId="36143"/>
    <cellStyle name="Примечание 2 4 21 8 3" xfId="25743"/>
    <cellStyle name="Примечание 2 4 21 8 3 2" xfId="41104"/>
    <cellStyle name="Примечание 2 4 21 8 4" xfId="15219"/>
    <cellStyle name="Примечание 2 4 21 8 5" xfId="30694"/>
    <cellStyle name="Примечание 2 4 21 9" xfId="5870"/>
    <cellStyle name="Примечание 2 4 21 9 2" xfId="17001"/>
    <cellStyle name="Примечание 2 4 21 9 3" xfId="32468"/>
    <cellStyle name="Примечание 2 4 22" xfId="563"/>
    <cellStyle name="Примечание 2 4 22 10" xfId="21759"/>
    <cellStyle name="Примечание 2 4 22 10 2" xfId="37120"/>
    <cellStyle name="Примечание 2 4 22 11" xfId="11188"/>
    <cellStyle name="Примечание 2 4 22 12" xfId="26710"/>
    <cellStyle name="Примечание 2 4 22 2" xfId="715"/>
    <cellStyle name="Примечание 2 4 22 2 10" xfId="11299"/>
    <cellStyle name="Примечание 2 4 22 2 11" xfId="26816"/>
    <cellStyle name="Примечание 2 4 22 2 2" xfId="1641"/>
    <cellStyle name="Примечание 2 4 22 2 2 2" xfId="3216"/>
    <cellStyle name="Примечание 2 4 22 2 2 2 2" xfId="8411"/>
    <cellStyle name="Примечание 2 4 22 2 2 2 2 2" xfId="17518"/>
    <cellStyle name="Примечание 2 4 22 2 2 2 2 3" xfId="32969"/>
    <cellStyle name="Примечание 2 4 22 2 2 2 3" xfId="19337"/>
    <cellStyle name="Примечание 2 4 22 2 2 2 3 2" xfId="34698"/>
    <cellStyle name="Примечание 2 4 22 2 2 2 4" xfId="24299"/>
    <cellStyle name="Примечание 2 4 22 2 2 2 4 2" xfId="39660"/>
    <cellStyle name="Примечание 2 4 22 2 2 2 5" xfId="13774"/>
    <cellStyle name="Примечание 2 4 22 2 2 2 6" xfId="29250"/>
    <cellStyle name="Примечание 2 4 22 2 2 3" xfId="5469"/>
    <cellStyle name="Примечание 2 4 22 2 2 3 2" xfId="10633"/>
    <cellStyle name="Примечание 2 4 22 2 2 3 2 2" xfId="21567"/>
    <cellStyle name="Примечание 2 4 22 2 2 3 2 3" xfId="36928"/>
    <cellStyle name="Примечание 2 4 22 2 2 3 3" xfId="26520"/>
    <cellStyle name="Примечание 2 4 22 2 2 3 3 2" xfId="41881"/>
    <cellStyle name="Примечание 2 4 22 2 2 3 4" xfId="16004"/>
    <cellStyle name="Примечание 2 4 22 2 2 3 5" xfId="31471"/>
    <cellStyle name="Примечание 2 4 22 2 2 4" xfId="6887"/>
    <cellStyle name="Примечание 2 4 22 2 2 4 2" xfId="17783"/>
    <cellStyle name="Примечание 2 4 22 2 2 4 3" xfId="33144"/>
    <cellStyle name="Примечание 2 4 22 2 2 5" xfId="22775"/>
    <cellStyle name="Примечание 2 4 22 2 2 5 2" xfId="38136"/>
    <cellStyle name="Примечание 2 4 22 2 2 6" xfId="12219"/>
    <cellStyle name="Примечание 2 4 22 2 2 7" xfId="27726"/>
    <cellStyle name="Примечание 2 4 22 2 3" xfId="2121"/>
    <cellStyle name="Примечание 2 4 22 2 3 2" xfId="7357"/>
    <cellStyle name="Примечание 2 4 22 2 3 2 2" xfId="17517"/>
    <cellStyle name="Примечание 2 4 22 2 3 2 3" xfId="32968"/>
    <cellStyle name="Примечание 2 4 22 2 3 3" xfId="18259"/>
    <cellStyle name="Примечание 2 4 22 2 3 3 2" xfId="33620"/>
    <cellStyle name="Примечание 2 4 22 2 3 4" xfId="23245"/>
    <cellStyle name="Примечание 2 4 22 2 3 4 2" xfId="38606"/>
    <cellStyle name="Примечание 2 4 22 2 3 5" xfId="12696"/>
    <cellStyle name="Примечание 2 4 22 2 3 6" xfId="28196"/>
    <cellStyle name="Примечание 2 4 22 2 4" xfId="2382"/>
    <cellStyle name="Примечание 2 4 22 2 4 2" xfId="7618"/>
    <cellStyle name="Примечание 2 4 22 2 4 2 2" xfId="18520"/>
    <cellStyle name="Примечание 2 4 22 2 4 2 3" xfId="33881"/>
    <cellStyle name="Примечание 2 4 22 2 4 3" xfId="23506"/>
    <cellStyle name="Примечание 2 4 22 2 4 3 2" xfId="38867"/>
    <cellStyle name="Примечание 2 4 22 2 4 4" xfId="12957"/>
    <cellStyle name="Примечание 2 4 22 2 4 5" xfId="28457"/>
    <cellStyle name="Примечание 2 4 22 2 5" xfId="3817"/>
    <cellStyle name="Примечание 2 4 22 2 5 2" xfId="9004"/>
    <cellStyle name="Примечание 2 4 22 2 5 2 2" xfId="19931"/>
    <cellStyle name="Примечание 2 4 22 2 5 2 3" xfId="35292"/>
    <cellStyle name="Примечание 2 4 22 2 5 3" xfId="24892"/>
    <cellStyle name="Примечание 2 4 22 2 5 3 2" xfId="40253"/>
    <cellStyle name="Примечание 2 4 22 2 5 4" xfId="14368"/>
    <cellStyle name="Примечание 2 4 22 2 5 5" xfId="29843"/>
    <cellStyle name="Примечание 2 4 22 2 6" xfId="4169"/>
    <cellStyle name="Примечание 2 4 22 2 6 2" xfId="9356"/>
    <cellStyle name="Примечание 2 4 22 2 6 2 2" xfId="20283"/>
    <cellStyle name="Примечание 2 4 22 2 6 2 3" xfId="35644"/>
    <cellStyle name="Примечание 2 4 22 2 6 3" xfId="25244"/>
    <cellStyle name="Примечание 2 4 22 2 6 3 2" xfId="40605"/>
    <cellStyle name="Примечание 2 4 22 2 6 4" xfId="14720"/>
    <cellStyle name="Примечание 2 4 22 2 6 5" xfId="30195"/>
    <cellStyle name="Примечание 2 4 22 2 7" xfId="4615"/>
    <cellStyle name="Примечание 2 4 22 2 7 2" xfId="9802"/>
    <cellStyle name="Примечание 2 4 22 2 7 2 2" xfId="20729"/>
    <cellStyle name="Примечание 2 4 22 2 7 2 3" xfId="36090"/>
    <cellStyle name="Примечание 2 4 22 2 7 3" xfId="25690"/>
    <cellStyle name="Примечание 2 4 22 2 7 3 2" xfId="41051"/>
    <cellStyle name="Примечание 2 4 22 2 7 4" xfId="15166"/>
    <cellStyle name="Примечание 2 4 22 2 7 5" xfId="30641"/>
    <cellStyle name="Примечание 2 4 22 2 8" xfId="5977"/>
    <cellStyle name="Примечание 2 4 22 2 8 2" xfId="16890"/>
    <cellStyle name="Примечание 2 4 22 2 8 3" xfId="32357"/>
    <cellStyle name="Примечание 2 4 22 2 9" xfId="21865"/>
    <cellStyle name="Примечание 2 4 22 2 9 2" xfId="37226"/>
    <cellStyle name="Примечание 2 4 22 3" xfId="101"/>
    <cellStyle name="Примечание 2 4 22 3 2" xfId="3217"/>
    <cellStyle name="Примечание 2 4 22 3 2 2" xfId="8412"/>
    <cellStyle name="Примечание 2 4 22 3 2 2 2" xfId="17519"/>
    <cellStyle name="Примечание 2 4 22 3 2 2 3" xfId="32970"/>
    <cellStyle name="Примечание 2 4 22 3 2 3" xfId="19338"/>
    <cellStyle name="Примечание 2 4 22 3 2 3 2" xfId="34699"/>
    <cellStyle name="Примечание 2 4 22 3 2 4" xfId="24300"/>
    <cellStyle name="Примечание 2 4 22 3 2 4 2" xfId="39661"/>
    <cellStyle name="Примечание 2 4 22 3 2 5" xfId="13775"/>
    <cellStyle name="Примечание 2 4 22 3 2 6" xfId="29251"/>
    <cellStyle name="Примечание 2 4 22 3 3" xfId="5470"/>
    <cellStyle name="Примечание 2 4 22 3 3 2" xfId="10634"/>
    <cellStyle name="Примечание 2 4 22 3 3 2 2" xfId="21568"/>
    <cellStyle name="Примечание 2 4 22 3 3 2 3" xfId="36929"/>
    <cellStyle name="Примечание 2 4 22 3 3 3" xfId="26521"/>
    <cellStyle name="Примечание 2 4 22 3 3 3 2" xfId="41882"/>
    <cellStyle name="Примечание 2 4 22 3 3 4" xfId="16005"/>
    <cellStyle name="Примечание 2 4 22 3 3 5" xfId="31472"/>
    <cellStyle name="Примечание 2 4 22 3 4" xfId="5627"/>
    <cellStyle name="Примечание 2 4 22 3 4 2" xfId="17370"/>
    <cellStyle name="Примечание 2 4 22 3 4 3" xfId="32837"/>
    <cellStyle name="Примечание 2 4 22 3 5" xfId="17435"/>
    <cellStyle name="Примечание 2 4 22 3 5 2" xfId="32902"/>
    <cellStyle name="Примечание 2 4 22 3 6" xfId="10815"/>
    <cellStyle name="Примечание 2 4 22 3 7" xfId="10750"/>
    <cellStyle name="Примечание 2 4 22 4" xfId="1974"/>
    <cellStyle name="Примечание 2 4 22 4 2" xfId="7210"/>
    <cellStyle name="Примечание 2 4 22 4 2 2" xfId="17516"/>
    <cellStyle name="Примечание 2 4 22 4 2 3" xfId="32967"/>
    <cellStyle name="Примечание 2 4 22 4 3" xfId="18112"/>
    <cellStyle name="Примечание 2 4 22 4 3 2" xfId="33473"/>
    <cellStyle name="Примечание 2 4 22 4 4" xfId="23098"/>
    <cellStyle name="Примечание 2 4 22 4 4 2" xfId="38459"/>
    <cellStyle name="Примечание 2 4 22 4 5" xfId="12549"/>
    <cellStyle name="Примечание 2 4 22 4 6" xfId="28049"/>
    <cellStyle name="Примечание 2 4 22 5" xfId="1874"/>
    <cellStyle name="Примечание 2 4 22 5 2" xfId="7113"/>
    <cellStyle name="Примечание 2 4 22 5 2 2" xfId="18015"/>
    <cellStyle name="Примечание 2 4 22 5 2 3" xfId="33376"/>
    <cellStyle name="Примечание 2 4 22 5 3" xfId="23001"/>
    <cellStyle name="Примечание 2 4 22 5 3 2" xfId="38362"/>
    <cellStyle name="Примечание 2 4 22 5 4" xfId="12452"/>
    <cellStyle name="Примечание 2 4 22 5 5" xfId="27952"/>
    <cellStyle name="Примечание 2 4 22 6" xfId="2932"/>
    <cellStyle name="Примечание 2 4 22 6 2" xfId="8133"/>
    <cellStyle name="Примечание 2 4 22 6 2 2" xfId="19053"/>
    <cellStyle name="Примечание 2 4 22 6 2 3" xfId="34414"/>
    <cellStyle name="Примечание 2 4 22 6 3" xfId="24021"/>
    <cellStyle name="Примечание 2 4 22 6 3 2" xfId="39382"/>
    <cellStyle name="Примечание 2 4 22 6 4" xfId="13490"/>
    <cellStyle name="Примечание 2 4 22 6 5" xfId="28972"/>
    <cellStyle name="Примечание 2 4 22 7" xfId="4063"/>
    <cellStyle name="Примечание 2 4 22 7 2" xfId="9250"/>
    <cellStyle name="Примечание 2 4 22 7 2 2" xfId="20177"/>
    <cellStyle name="Примечание 2 4 22 7 2 3" xfId="35538"/>
    <cellStyle name="Примечание 2 4 22 7 3" xfId="25138"/>
    <cellStyle name="Примечание 2 4 22 7 3 2" xfId="40499"/>
    <cellStyle name="Примечание 2 4 22 7 4" xfId="14614"/>
    <cellStyle name="Примечание 2 4 22 7 5" xfId="30089"/>
    <cellStyle name="Примечание 2 4 22 8" xfId="4880"/>
    <cellStyle name="Примечание 2 4 22 8 2" xfId="10067"/>
    <cellStyle name="Примечание 2 4 22 8 2 2" xfId="20994"/>
    <cellStyle name="Примечание 2 4 22 8 2 3" xfId="36355"/>
    <cellStyle name="Примечание 2 4 22 8 3" xfId="25955"/>
    <cellStyle name="Примечание 2 4 22 8 3 2" xfId="41316"/>
    <cellStyle name="Примечание 2 4 22 8 4" xfId="15431"/>
    <cellStyle name="Примечание 2 4 22 8 5" xfId="30906"/>
    <cellStyle name="Примечание 2 4 22 9" xfId="5871"/>
    <cellStyle name="Примечание 2 4 22 9 2" xfId="17000"/>
    <cellStyle name="Примечание 2 4 22 9 3" xfId="32467"/>
    <cellStyle name="Примечание 2 4 23" xfId="729"/>
    <cellStyle name="Примечание 2 4 23 10" xfId="11313"/>
    <cellStyle name="Примечание 2 4 23 11" xfId="26830"/>
    <cellStyle name="Примечание 2 4 23 2" xfId="1295"/>
    <cellStyle name="Примечание 2 4 23 2 2" xfId="3219"/>
    <cellStyle name="Примечание 2 4 23 2 2 2" xfId="8414"/>
    <cellStyle name="Примечание 2 4 23 2 2 2 2" xfId="17521"/>
    <cellStyle name="Примечание 2 4 23 2 2 2 3" xfId="32972"/>
    <cellStyle name="Примечание 2 4 23 2 2 3" xfId="19340"/>
    <cellStyle name="Примечание 2 4 23 2 2 3 2" xfId="34701"/>
    <cellStyle name="Примечание 2 4 23 2 2 4" xfId="24302"/>
    <cellStyle name="Примечание 2 4 23 2 2 4 2" xfId="39663"/>
    <cellStyle name="Примечание 2 4 23 2 2 5" xfId="13777"/>
    <cellStyle name="Примечание 2 4 23 2 2 6" xfId="29253"/>
    <cellStyle name="Примечание 2 4 23 2 3" xfId="5471"/>
    <cellStyle name="Примечание 2 4 23 2 3 2" xfId="10635"/>
    <cellStyle name="Примечание 2 4 23 2 3 2 2" xfId="21569"/>
    <cellStyle name="Примечание 2 4 23 2 3 2 3" xfId="36930"/>
    <cellStyle name="Примечание 2 4 23 2 3 3" xfId="26522"/>
    <cellStyle name="Примечание 2 4 23 2 3 3 2" xfId="41883"/>
    <cellStyle name="Примечание 2 4 23 2 3 4" xfId="16006"/>
    <cellStyle name="Примечание 2 4 23 2 3 5" xfId="31473"/>
    <cellStyle name="Примечание 2 4 23 2 4" xfId="6548"/>
    <cellStyle name="Примечание 2 4 23 2 4 2" xfId="16313"/>
    <cellStyle name="Примечание 2 4 23 2 4 3" xfId="31780"/>
    <cellStyle name="Примечание 2 4 23 2 5" xfId="22436"/>
    <cellStyle name="Примечание 2 4 23 2 5 2" xfId="37797"/>
    <cellStyle name="Примечание 2 4 23 2 6" xfId="11876"/>
    <cellStyle name="Примечание 2 4 23 2 7" xfId="27387"/>
    <cellStyle name="Примечание 2 4 23 3" xfId="2135"/>
    <cellStyle name="Примечание 2 4 23 3 2" xfId="7371"/>
    <cellStyle name="Примечание 2 4 23 3 2 2" xfId="17520"/>
    <cellStyle name="Примечание 2 4 23 3 2 3" xfId="32971"/>
    <cellStyle name="Примечание 2 4 23 3 3" xfId="18273"/>
    <cellStyle name="Примечание 2 4 23 3 3 2" xfId="33634"/>
    <cellStyle name="Примечание 2 4 23 3 4" xfId="23259"/>
    <cellStyle name="Примечание 2 4 23 3 4 2" xfId="38620"/>
    <cellStyle name="Примечание 2 4 23 3 5" xfId="12710"/>
    <cellStyle name="Примечание 2 4 23 3 6" xfId="28210"/>
    <cellStyle name="Примечание 2 4 23 4" xfId="2879"/>
    <cellStyle name="Примечание 2 4 23 4 2" xfId="8086"/>
    <cellStyle name="Примечание 2 4 23 4 2 2" xfId="19006"/>
    <cellStyle name="Примечание 2 4 23 4 2 3" xfId="34367"/>
    <cellStyle name="Примечание 2 4 23 4 3" xfId="23974"/>
    <cellStyle name="Примечание 2 4 23 4 3 2" xfId="39335"/>
    <cellStyle name="Примечание 2 4 23 4 4" xfId="13443"/>
    <cellStyle name="Примечание 2 4 23 4 5" xfId="28925"/>
    <cellStyle name="Примечание 2 4 23 5" xfId="3395"/>
    <cellStyle name="Примечание 2 4 23 5 2" xfId="8589"/>
    <cellStyle name="Примечание 2 4 23 5 2 2" xfId="19516"/>
    <cellStyle name="Примечание 2 4 23 5 2 3" xfId="34877"/>
    <cellStyle name="Примечание 2 4 23 5 3" xfId="24477"/>
    <cellStyle name="Примечание 2 4 23 5 3 2" xfId="39838"/>
    <cellStyle name="Примечание 2 4 23 5 4" xfId="13953"/>
    <cellStyle name="Примечание 2 4 23 5 5" xfId="29428"/>
    <cellStyle name="Примечание 2 4 23 6" xfId="4183"/>
    <cellStyle name="Примечание 2 4 23 6 2" xfId="9370"/>
    <cellStyle name="Примечание 2 4 23 6 2 2" xfId="20297"/>
    <cellStyle name="Примечание 2 4 23 6 2 3" xfId="35658"/>
    <cellStyle name="Примечание 2 4 23 6 3" xfId="25258"/>
    <cellStyle name="Примечание 2 4 23 6 3 2" xfId="40619"/>
    <cellStyle name="Примечание 2 4 23 6 4" xfId="14734"/>
    <cellStyle name="Примечание 2 4 23 6 5" xfId="30209"/>
    <cellStyle name="Примечание 2 4 23 7" xfId="4937"/>
    <cellStyle name="Примечание 2 4 23 7 2" xfId="10124"/>
    <cellStyle name="Примечание 2 4 23 7 2 2" xfId="21051"/>
    <cellStyle name="Примечание 2 4 23 7 2 3" xfId="36412"/>
    <cellStyle name="Примечание 2 4 23 7 3" xfId="26012"/>
    <cellStyle name="Примечание 2 4 23 7 3 2" xfId="41373"/>
    <cellStyle name="Примечание 2 4 23 7 4" xfId="15488"/>
    <cellStyle name="Примечание 2 4 23 7 5" xfId="30963"/>
    <cellStyle name="Примечание 2 4 23 8" xfId="5991"/>
    <cellStyle name="Примечание 2 4 23 8 2" xfId="16876"/>
    <cellStyle name="Примечание 2 4 23 8 3" xfId="32343"/>
    <cellStyle name="Примечание 2 4 23 9" xfId="21879"/>
    <cellStyle name="Примечание 2 4 23 9 2" xfId="37240"/>
    <cellStyle name="Примечание 2 4 24" xfId="1187"/>
    <cellStyle name="Примечание 2 4 24 2" xfId="3220"/>
    <cellStyle name="Примечание 2 4 24 2 2" xfId="8415"/>
    <cellStyle name="Примечание 2 4 24 2 2 2" xfId="17522"/>
    <cellStyle name="Примечание 2 4 24 2 2 3" xfId="32973"/>
    <cellStyle name="Примечание 2 4 24 2 3" xfId="19341"/>
    <cellStyle name="Примечание 2 4 24 2 3 2" xfId="34702"/>
    <cellStyle name="Примечание 2 4 24 2 4" xfId="24303"/>
    <cellStyle name="Примечание 2 4 24 2 4 2" xfId="39664"/>
    <cellStyle name="Примечание 2 4 24 2 5" xfId="13778"/>
    <cellStyle name="Примечание 2 4 24 2 6" xfId="29254"/>
    <cellStyle name="Примечание 2 4 24 3" xfId="5472"/>
    <cellStyle name="Примечание 2 4 24 3 2" xfId="10636"/>
    <cellStyle name="Примечание 2 4 24 3 2 2" xfId="21570"/>
    <cellStyle name="Примечание 2 4 24 3 2 3" xfId="36931"/>
    <cellStyle name="Примечание 2 4 24 3 3" xfId="26523"/>
    <cellStyle name="Примечание 2 4 24 3 3 2" xfId="41884"/>
    <cellStyle name="Примечание 2 4 24 3 4" xfId="16007"/>
    <cellStyle name="Примечание 2 4 24 3 5" xfId="31474"/>
    <cellStyle name="Примечание 2 4 24 4" xfId="6441"/>
    <cellStyle name="Примечание 2 4 24 4 2" xfId="16421"/>
    <cellStyle name="Примечание 2 4 24 4 3" xfId="31888"/>
    <cellStyle name="Примечание 2 4 24 5" xfId="22329"/>
    <cellStyle name="Примечание 2 4 24 5 2" xfId="37690"/>
    <cellStyle name="Примечание 2 4 24 6" xfId="11768"/>
    <cellStyle name="Примечание 2 4 24 7" xfId="27280"/>
    <cellStyle name="Примечание 2 4 25" xfId="1960"/>
    <cellStyle name="Примечание 2 4 25 2" xfId="7196"/>
    <cellStyle name="Примечание 2 4 25 2 2" xfId="17463"/>
    <cellStyle name="Примечание 2 4 25 2 3" xfId="32914"/>
    <cellStyle name="Примечание 2 4 25 3" xfId="18098"/>
    <cellStyle name="Примечание 2 4 25 3 2" xfId="33459"/>
    <cellStyle name="Примечание 2 4 25 4" xfId="23084"/>
    <cellStyle name="Примечание 2 4 25 4 2" xfId="38445"/>
    <cellStyle name="Примечание 2 4 25 5" xfId="12535"/>
    <cellStyle name="Примечание 2 4 25 6" xfId="28035"/>
    <cellStyle name="Примечание 2 4 26" xfId="2718"/>
    <cellStyle name="Примечание 2 4 26 2" xfId="7947"/>
    <cellStyle name="Примечание 2 4 26 2 2" xfId="18851"/>
    <cellStyle name="Примечание 2 4 26 2 3" xfId="34212"/>
    <cellStyle name="Примечание 2 4 26 3" xfId="23835"/>
    <cellStyle name="Примечание 2 4 26 3 2" xfId="39196"/>
    <cellStyle name="Примечание 2 4 26 4" xfId="13288"/>
    <cellStyle name="Примечание 2 4 26 5" xfId="28786"/>
    <cellStyle name="Примечание 2 4 27" xfId="2938"/>
    <cellStyle name="Примечание 2 4 27 2" xfId="8139"/>
    <cellStyle name="Примечание 2 4 27 2 2" xfId="19059"/>
    <cellStyle name="Примечание 2 4 27 2 3" xfId="34420"/>
    <cellStyle name="Примечание 2 4 27 3" xfId="24027"/>
    <cellStyle name="Примечание 2 4 27 3 2" xfId="39388"/>
    <cellStyle name="Примечание 2 4 27 4" xfId="13496"/>
    <cellStyle name="Примечание 2 4 27 5" xfId="28978"/>
    <cellStyle name="Примечание 2 4 27 6" xfId="46578"/>
    <cellStyle name="Примечание 2 4 28" xfId="4049"/>
    <cellStyle name="Примечание 2 4 28 2" xfId="9236"/>
    <cellStyle name="Примечание 2 4 28 2 2" xfId="20163"/>
    <cellStyle name="Примечание 2 4 28 2 3" xfId="35524"/>
    <cellStyle name="Примечание 2 4 28 3" xfId="25124"/>
    <cellStyle name="Примечание 2 4 28 3 2" xfId="40485"/>
    <cellStyle name="Примечание 2 4 28 4" xfId="14600"/>
    <cellStyle name="Примечание 2 4 28 5" xfId="30075"/>
    <cellStyle name="Примечание 2 4 29" xfId="4873"/>
    <cellStyle name="Примечание 2 4 29 2" xfId="10060"/>
    <cellStyle name="Примечание 2 4 29 2 2" xfId="20987"/>
    <cellStyle name="Примечание 2 4 29 2 3" xfId="36348"/>
    <cellStyle name="Примечание 2 4 29 3" xfId="25948"/>
    <cellStyle name="Примечание 2 4 29 3 2" xfId="41309"/>
    <cellStyle name="Примечание 2 4 29 4" xfId="15424"/>
    <cellStyle name="Примечание 2 4 29 5" xfId="30899"/>
    <cellStyle name="Примечание 2 4 3" xfId="564"/>
    <cellStyle name="Примечание 2 4 3 10" xfId="21760"/>
    <cellStyle name="Примечание 2 4 3 10 2" xfId="37121"/>
    <cellStyle name="Примечание 2 4 3 11" xfId="11189"/>
    <cellStyle name="Примечание 2 4 3 12" xfId="26711"/>
    <cellStyle name="Примечание 2 4 3 2" xfId="714"/>
    <cellStyle name="Примечание 2 4 3 2 10" xfId="11298"/>
    <cellStyle name="Примечание 2 4 3 2 11" xfId="26815"/>
    <cellStyle name="Примечание 2 4 3 2 2" xfId="1138"/>
    <cellStyle name="Примечание 2 4 3 2 2 2" xfId="3223"/>
    <cellStyle name="Примечание 2 4 3 2 2 2 2" xfId="8418"/>
    <cellStyle name="Примечание 2 4 3 2 2 2 2 2" xfId="17525"/>
    <cellStyle name="Примечание 2 4 3 2 2 2 2 3" xfId="32976"/>
    <cellStyle name="Примечание 2 4 3 2 2 2 3" xfId="19344"/>
    <cellStyle name="Примечание 2 4 3 2 2 2 3 2" xfId="34705"/>
    <cellStyle name="Примечание 2 4 3 2 2 2 4" xfId="24306"/>
    <cellStyle name="Примечание 2 4 3 2 2 2 4 2" xfId="39667"/>
    <cellStyle name="Примечание 2 4 3 2 2 2 5" xfId="13781"/>
    <cellStyle name="Примечание 2 4 3 2 2 2 6" xfId="29257"/>
    <cellStyle name="Примечание 2 4 3 2 2 3" xfId="5473"/>
    <cellStyle name="Примечание 2 4 3 2 2 3 2" xfId="10637"/>
    <cellStyle name="Примечание 2 4 3 2 2 3 2 2" xfId="21571"/>
    <cellStyle name="Примечание 2 4 3 2 2 3 2 3" xfId="36932"/>
    <cellStyle name="Примечание 2 4 3 2 2 3 3" xfId="26524"/>
    <cellStyle name="Примечание 2 4 3 2 2 3 3 2" xfId="41885"/>
    <cellStyle name="Примечание 2 4 3 2 2 3 4" xfId="16008"/>
    <cellStyle name="Примечание 2 4 3 2 2 3 5" xfId="31475"/>
    <cellStyle name="Примечание 2 4 3 2 2 4" xfId="6393"/>
    <cellStyle name="Примечание 2 4 3 2 2 4 2" xfId="16470"/>
    <cellStyle name="Примечание 2 4 3 2 2 4 3" xfId="31937"/>
    <cellStyle name="Примечание 2 4 3 2 2 5" xfId="22281"/>
    <cellStyle name="Примечание 2 4 3 2 2 5 2" xfId="37642"/>
    <cellStyle name="Примечание 2 4 3 2 2 6" xfId="11719"/>
    <cellStyle name="Примечание 2 4 3 2 2 7" xfId="27232"/>
    <cellStyle name="Примечание 2 4 3 2 3" xfId="2120"/>
    <cellStyle name="Примечание 2 4 3 2 3 2" xfId="7356"/>
    <cellStyle name="Примечание 2 4 3 2 3 2 2" xfId="17524"/>
    <cellStyle name="Примечание 2 4 3 2 3 2 3" xfId="32975"/>
    <cellStyle name="Примечание 2 4 3 2 3 3" xfId="18258"/>
    <cellStyle name="Примечание 2 4 3 2 3 3 2" xfId="33619"/>
    <cellStyle name="Примечание 2 4 3 2 3 4" xfId="23244"/>
    <cellStyle name="Примечание 2 4 3 2 3 4 2" xfId="38605"/>
    <cellStyle name="Примечание 2 4 3 2 3 5" xfId="12695"/>
    <cellStyle name="Примечание 2 4 3 2 3 6" xfId="28195"/>
    <cellStyle name="Примечание 2 4 3 2 4" xfId="2765"/>
    <cellStyle name="Примечание 2 4 3 2 4 2" xfId="7994"/>
    <cellStyle name="Примечание 2 4 3 2 4 2 2" xfId="18898"/>
    <cellStyle name="Примечание 2 4 3 2 4 2 3" xfId="34259"/>
    <cellStyle name="Примечание 2 4 3 2 4 3" xfId="23882"/>
    <cellStyle name="Примечание 2 4 3 2 4 3 2" xfId="39243"/>
    <cellStyle name="Примечание 2 4 3 2 4 4" xfId="13335"/>
    <cellStyle name="Примечание 2 4 3 2 4 5" xfId="28833"/>
    <cellStyle name="Примечание 2 4 3 2 5" xfId="3436"/>
    <cellStyle name="Примечание 2 4 3 2 5 2" xfId="8625"/>
    <cellStyle name="Примечание 2 4 3 2 5 2 2" xfId="19552"/>
    <cellStyle name="Примечание 2 4 3 2 5 2 3" xfId="34913"/>
    <cellStyle name="Примечание 2 4 3 2 5 3" xfId="24513"/>
    <cellStyle name="Примечание 2 4 3 2 5 3 2" xfId="39874"/>
    <cellStyle name="Примечание 2 4 3 2 5 4" xfId="13989"/>
    <cellStyle name="Примечание 2 4 3 2 5 5" xfId="29464"/>
    <cellStyle name="Примечание 2 4 3 2 5 6" xfId="46584"/>
    <cellStyle name="Примечание 2 4 3 2 6" xfId="4168"/>
    <cellStyle name="Примечание 2 4 3 2 6 2" xfId="9355"/>
    <cellStyle name="Примечание 2 4 3 2 6 2 2" xfId="20282"/>
    <cellStyle name="Примечание 2 4 3 2 6 2 3" xfId="35643"/>
    <cellStyle name="Примечание 2 4 3 2 6 3" xfId="25243"/>
    <cellStyle name="Примечание 2 4 3 2 6 3 2" xfId="40604"/>
    <cellStyle name="Примечание 2 4 3 2 6 4" xfId="14719"/>
    <cellStyle name="Примечание 2 4 3 2 6 5" xfId="30194"/>
    <cellStyle name="Примечание 2 4 3 2 7" xfId="4930"/>
    <cellStyle name="Примечание 2 4 3 2 7 2" xfId="10117"/>
    <cellStyle name="Примечание 2 4 3 2 7 2 2" xfId="21044"/>
    <cellStyle name="Примечание 2 4 3 2 7 2 3" xfId="36405"/>
    <cellStyle name="Примечание 2 4 3 2 7 3" xfId="26005"/>
    <cellStyle name="Примечание 2 4 3 2 7 3 2" xfId="41366"/>
    <cellStyle name="Примечание 2 4 3 2 7 4" xfId="15481"/>
    <cellStyle name="Примечание 2 4 3 2 7 5" xfId="30956"/>
    <cellStyle name="Примечание 2 4 3 2 8" xfId="5976"/>
    <cellStyle name="Примечание 2 4 3 2 8 2" xfId="16891"/>
    <cellStyle name="Примечание 2 4 3 2 8 3" xfId="32358"/>
    <cellStyle name="Примечание 2 4 3 2 9" xfId="21864"/>
    <cellStyle name="Примечание 2 4 3 2 9 2" xfId="37225"/>
    <cellStyle name="Примечание 2 4 3 3" xfId="1061"/>
    <cellStyle name="Примечание 2 4 3 3 2" xfId="3224"/>
    <cellStyle name="Примечание 2 4 3 3 2 2" xfId="8419"/>
    <cellStyle name="Примечание 2 4 3 3 2 2 2" xfId="17526"/>
    <cellStyle name="Примечание 2 4 3 3 2 2 3" xfId="32977"/>
    <cellStyle name="Примечание 2 4 3 3 2 3" xfId="19345"/>
    <cellStyle name="Примечание 2 4 3 3 2 3 2" xfId="34706"/>
    <cellStyle name="Примечание 2 4 3 3 2 4" xfId="24307"/>
    <cellStyle name="Примечание 2 4 3 3 2 4 2" xfId="39668"/>
    <cellStyle name="Примечание 2 4 3 3 2 5" xfId="13782"/>
    <cellStyle name="Примечание 2 4 3 3 2 6" xfId="29258"/>
    <cellStyle name="Примечание 2 4 3 3 3" xfId="5474"/>
    <cellStyle name="Примечание 2 4 3 3 3 2" xfId="10638"/>
    <cellStyle name="Примечание 2 4 3 3 3 2 2" xfId="21572"/>
    <cellStyle name="Примечание 2 4 3 3 3 2 3" xfId="36933"/>
    <cellStyle name="Примечание 2 4 3 3 3 3" xfId="26525"/>
    <cellStyle name="Примечание 2 4 3 3 3 3 2" xfId="41886"/>
    <cellStyle name="Примечание 2 4 3 3 3 4" xfId="16009"/>
    <cellStyle name="Примечание 2 4 3 3 3 5" xfId="31476"/>
    <cellStyle name="Примечание 2 4 3 3 4" xfId="6318"/>
    <cellStyle name="Примечание 2 4 3 3 4 2" xfId="16546"/>
    <cellStyle name="Примечание 2 4 3 3 4 3" xfId="32013"/>
    <cellStyle name="Примечание 2 4 3 3 5" xfId="22206"/>
    <cellStyle name="Примечание 2 4 3 3 5 2" xfId="37567"/>
    <cellStyle name="Примечание 2 4 3 3 6" xfId="11643"/>
    <cellStyle name="Примечание 2 4 3 3 7" xfId="27157"/>
    <cellStyle name="Примечание 2 4 3 4" xfId="1975"/>
    <cellStyle name="Примечание 2 4 3 4 2" xfId="7211"/>
    <cellStyle name="Примечание 2 4 3 4 2 2" xfId="17523"/>
    <cellStyle name="Примечание 2 4 3 4 2 3" xfId="32974"/>
    <cellStyle name="Примечание 2 4 3 4 3" xfId="18113"/>
    <cellStyle name="Примечание 2 4 3 4 3 2" xfId="33474"/>
    <cellStyle name="Примечание 2 4 3 4 4" xfId="23099"/>
    <cellStyle name="Примечание 2 4 3 4 4 2" xfId="38460"/>
    <cellStyle name="Примечание 2 4 3 4 5" xfId="12550"/>
    <cellStyle name="Примечание 2 4 3 4 6" xfId="28050"/>
    <cellStyle name="Примечание 2 4 3 5" xfId="2479"/>
    <cellStyle name="Примечание 2 4 3 5 2" xfId="7715"/>
    <cellStyle name="Примечание 2 4 3 5 2 2" xfId="18617"/>
    <cellStyle name="Примечание 2 4 3 5 2 3" xfId="33978"/>
    <cellStyle name="Примечание 2 4 3 5 3" xfId="23603"/>
    <cellStyle name="Примечание 2 4 3 5 3 2" xfId="38964"/>
    <cellStyle name="Примечание 2 4 3 5 4" xfId="13054"/>
    <cellStyle name="Примечание 2 4 3 5 5" xfId="28554"/>
    <cellStyle name="Примечание 2 4 3 6" xfId="3575"/>
    <cellStyle name="Примечание 2 4 3 6 2" xfId="8762"/>
    <cellStyle name="Примечание 2 4 3 6 2 2" xfId="19689"/>
    <cellStyle name="Примечание 2 4 3 6 2 3" xfId="35050"/>
    <cellStyle name="Примечание 2 4 3 6 3" xfId="24650"/>
    <cellStyle name="Примечание 2 4 3 6 3 2" xfId="40011"/>
    <cellStyle name="Примечание 2 4 3 6 4" xfId="14126"/>
    <cellStyle name="Примечание 2 4 3 6 5" xfId="29601"/>
    <cellStyle name="Примечание 2 4 3 6 6" xfId="46583"/>
    <cellStyle name="Примечание 2 4 3 7" xfId="4064"/>
    <cellStyle name="Примечание 2 4 3 7 2" xfId="9251"/>
    <cellStyle name="Примечание 2 4 3 7 2 2" xfId="20178"/>
    <cellStyle name="Примечание 2 4 3 7 2 3" xfId="35539"/>
    <cellStyle name="Примечание 2 4 3 7 3" xfId="25139"/>
    <cellStyle name="Примечание 2 4 3 7 3 2" xfId="40500"/>
    <cellStyle name="Примечание 2 4 3 7 4" xfId="14615"/>
    <cellStyle name="Примечание 2 4 3 7 5" xfId="30090"/>
    <cellStyle name="Примечание 2 4 3 8" xfId="4667"/>
    <cellStyle name="Примечание 2 4 3 8 2" xfId="9854"/>
    <cellStyle name="Примечание 2 4 3 8 2 2" xfId="20781"/>
    <cellStyle name="Примечание 2 4 3 8 2 3" xfId="36142"/>
    <cellStyle name="Примечание 2 4 3 8 3" xfId="25742"/>
    <cellStyle name="Примечание 2 4 3 8 3 2" xfId="41103"/>
    <cellStyle name="Примечание 2 4 3 8 4" xfId="15218"/>
    <cellStyle name="Примечание 2 4 3 8 5" xfId="30693"/>
    <cellStyle name="Примечание 2 4 3 9" xfId="5872"/>
    <cellStyle name="Примечание 2 4 3 9 2" xfId="16999"/>
    <cellStyle name="Примечание 2 4 3 9 3" xfId="32466"/>
    <cellStyle name="Примечание 2 4 30" xfId="5857"/>
    <cellStyle name="Примечание 2 4 30 2" xfId="17014"/>
    <cellStyle name="Примечание 2 4 30 3" xfId="32481"/>
    <cellStyle name="Примечание 2 4 31" xfId="21745"/>
    <cellStyle name="Примечание 2 4 31 2" xfId="37106"/>
    <cellStyle name="Примечание 2 4 32" xfId="11174"/>
    <cellStyle name="Примечание 2 4 33" xfId="26696"/>
    <cellStyle name="Примечание 2 4 4" xfId="565"/>
    <cellStyle name="Примечание 2 4 4 10" xfId="21761"/>
    <cellStyle name="Примечание 2 4 4 10 2" xfId="37122"/>
    <cellStyle name="Примечание 2 4 4 11" xfId="11190"/>
    <cellStyle name="Примечание 2 4 4 12" xfId="26712"/>
    <cellStyle name="Примечание 2 4 4 2" xfId="713"/>
    <cellStyle name="Примечание 2 4 4 2 10" xfId="11297"/>
    <cellStyle name="Примечание 2 4 4 2 11" xfId="26814"/>
    <cellStyle name="Примечание 2 4 4 2 2" xfId="1017"/>
    <cellStyle name="Примечание 2 4 4 2 2 2" xfId="3227"/>
    <cellStyle name="Примечание 2 4 4 2 2 2 2" xfId="8422"/>
    <cellStyle name="Примечание 2 4 4 2 2 2 2 2" xfId="17529"/>
    <cellStyle name="Примечание 2 4 4 2 2 2 2 3" xfId="32980"/>
    <cellStyle name="Примечание 2 4 4 2 2 2 3" xfId="19348"/>
    <cellStyle name="Примечание 2 4 4 2 2 2 3 2" xfId="34709"/>
    <cellStyle name="Примечание 2 4 4 2 2 2 4" xfId="24310"/>
    <cellStyle name="Примечание 2 4 4 2 2 2 4 2" xfId="39671"/>
    <cellStyle name="Примечание 2 4 4 2 2 2 5" xfId="13785"/>
    <cellStyle name="Примечание 2 4 4 2 2 2 6" xfId="29261"/>
    <cellStyle name="Примечание 2 4 4 2 2 3" xfId="5475"/>
    <cellStyle name="Примечание 2 4 4 2 2 3 2" xfId="10639"/>
    <cellStyle name="Примечание 2 4 4 2 2 3 2 2" xfId="21573"/>
    <cellStyle name="Примечание 2 4 4 2 2 3 2 3" xfId="36934"/>
    <cellStyle name="Примечание 2 4 4 2 2 3 3" xfId="26526"/>
    <cellStyle name="Примечание 2 4 4 2 2 3 3 2" xfId="41887"/>
    <cellStyle name="Примечание 2 4 4 2 2 3 4" xfId="16010"/>
    <cellStyle name="Примечание 2 4 4 2 2 3 5" xfId="31477"/>
    <cellStyle name="Примечание 2 4 4 2 2 4" xfId="6275"/>
    <cellStyle name="Примечание 2 4 4 2 2 4 2" xfId="16589"/>
    <cellStyle name="Примечание 2 4 4 2 2 4 3" xfId="32056"/>
    <cellStyle name="Примечание 2 4 4 2 2 5" xfId="22163"/>
    <cellStyle name="Примечание 2 4 4 2 2 5 2" xfId="37524"/>
    <cellStyle name="Примечание 2 4 4 2 2 6" xfId="11600"/>
    <cellStyle name="Примечание 2 4 4 2 2 7" xfId="27114"/>
    <cellStyle name="Примечание 2 4 4 2 3" xfId="2119"/>
    <cellStyle name="Примечание 2 4 4 2 3 2" xfId="7355"/>
    <cellStyle name="Примечание 2 4 4 2 3 2 2" xfId="17528"/>
    <cellStyle name="Примечание 2 4 4 2 3 2 3" xfId="32979"/>
    <cellStyle name="Примечание 2 4 4 2 3 3" xfId="18257"/>
    <cellStyle name="Примечание 2 4 4 2 3 3 2" xfId="33618"/>
    <cellStyle name="Примечание 2 4 4 2 3 4" xfId="23243"/>
    <cellStyle name="Примечание 2 4 4 2 3 4 2" xfId="38604"/>
    <cellStyle name="Примечание 2 4 4 2 3 5" xfId="12694"/>
    <cellStyle name="Примечание 2 4 4 2 3 6" xfId="28194"/>
    <cellStyle name="Примечание 2 4 4 2 4" xfId="2384"/>
    <cellStyle name="Примечание 2 4 4 2 4 2" xfId="7620"/>
    <cellStyle name="Примечание 2 4 4 2 4 2 2" xfId="18522"/>
    <cellStyle name="Примечание 2 4 4 2 4 2 3" xfId="33883"/>
    <cellStyle name="Примечание 2 4 4 2 4 3" xfId="23508"/>
    <cellStyle name="Примечание 2 4 4 2 4 3 2" xfId="38869"/>
    <cellStyle name="Примечание 2 4 4 2 4 4" xfId="12959"/>
    <cellStyle name="Примечание 2 4 4 2 4 5" xfId="28459"/>
    <cellStyle name="Примечание 2 4 4 2 4 6" xfId="46586"/>
    <cellStyle name="Примечание 2 4 4 2 5" xfId="3605"/>
    <cellStyle name="Примечание 2 4 4 2 5 2" xfId="8792"/>
    <cellStyle name="Примечание 2 4 4 2 5 2 2" xfId="19719"/>
    <cellStyle name="Примечание 2 4 4 2 5 2 3" xfId="35080"/>
    <cellStyle name="Примечание 2 4 4 2 5 3" xfId="24680"/>
    <cellStyle name="Примечание 2 4 4 2 5 3 2" xfId="40041"/>
    <cellStyle name="Примечание 2 4 4 2 5 4" xfId="14156"/>
    <cellStyle name="Примечание 2 4 4 2 5 5" xfId="29631"/>
    <cellStyle name="Примечание 2 4 4 2 6" xfId="4167"/>
    <cellStyle name="Примечание 2 4 4 2 6 2" xfId="9354"/>
    <cellStyle name="Примечание 2 4 4 2 6 2 2" xfId="20281"/>
    <cellStyle name="Примечание 2 4 4 2 6 2 3" xfId="35642"/>
    <cellStyle name="Примечание 2 4 4 2 6 3" xfId="25242"/>
    <cellStyle name="Примечание 2 4 4 2 6 3 2" xfId="40603"/>
    <cellStyle name="Примечание 2 4 4 2 6 4" xfId="14718"/>
    <cellStyle name="Примечание 2 4 4 2 6 5" xfId="30193"/>
    <cellStyle name="Примечание 2 4 4 2 7" xfId="4616"/>
    <cellStyle name="Примечание 2 4 4 2 7 2" xfId="9803"/>
    <cellStyle name="Примечание 2 4 4 2 7 2 2" xfId="20730"/>
    <cellStyle name="Примечание 2 4 4 2 7 2 3" xfId="36091"/>
    <cellStyle name="Примечание 2 4 4 2 7 3" xfId="25691"/>
    <cellStyle name="Примечание 2 4 4 2 7 3 2" xfId="41052"/>
    <cellStyle name="Примечание 2 4 4 2 7 4" xfId="15167"/>
    <cellStyle name="Примечание 2 4 4 2 7 5" xfId="30642"/>
    <cellStyle name="Примечание 2 4 4 2 8" xfId="5975"/>
    <cellStyle name="Примечание 2 4 4 2 8 2" xfId="16892"/>
    <cellStyle name="Примечание 2 4 4 2 8 3" xfId="32359"/>
    <cellStyle name="Примечание 2 4 4 2 9" xfId="21863"/>
    <cellStyle name="Примечание 2 4 4 2 9 2" xfId="37224"/>
    <cellStyle name="Примечание 2 4 4 3" xfId="1480"/>
    <cellStyle name="Примечание 2 4 4 3 2" xfId="3228"/>
    <cellStyle name="Примечание 2 4 4 3 2 2" xfId="8423"/>
    <cellStyle name="Примечание 2 4 4 3 2 2 2" xfId="17530"/>
    <cellStyle name="Примечание 2 4 4 3 2 2 3" xfId="32981"/>
    <cellStyle name="Примечание 2 4 4 3 2 3" xfId="19349"/>
    <cellStyle name="Примечание 2 4 4 3 2 3 2" xfId="34710"/>
    <cellStyle name="Примечание 2 4 4 3 2 4" xfId="24311"/>
    <cellStyle name="Примечание 2 4 4 3 2 4 2" xfId="39672"/>
    <cellStyle name="Примечание 2 4 4 3 2 5" xfId="13786"/>
    <cellStyle name="Примечание 2 4 4 3 2 6" xfId="29262"/>
    <cellStyle name="Примечание 2 4 4 3 3" xfId="5476"/>
    <cellStyle name="Примечание 2 4 4 3 3 2" xfId="10640"/>
    <cellStyle name="Примечание 2 4 4 3 3 2 2" xfId="21574"/>
    <cellStyle name="Примечание 2 4 4 3 3 2 3" xfId="36935"/>
    <cellStyle name="Примечание 2 4 4 3 3 3" xfId="26527"/>
    <cellStyle name="Примечание 2 4 4 3 3 3 2" xfId="41888"/>
    <cellStyle name="Примечание 2 4 4 3 3 4" xfId="16011"/>
    <cellStyle name="Примечание 2 4 4 3 3 5" xfId="31478"/>
    <cellStyle name="Примечание 2 4 4 3 4" xfId="6727"/>
    <cellStyle name="Примечание 2 4 4 3 4 2" xfId="16131"/>
    <cellStyle name="Примечание 2 4 4 3 4 3" xfId="31598"/>
    <cellStyle name="Примечание 2 4 4 3 5" xfId="22615"/>
    <cellStyle name="Примечание 2 4 4 3 5 2" xfId="37976"/>
    <cellStyle name="Примечание 2 4 4 3 6" xfId="12058"/>
    <cellStyle name="Примечание 2 4 4 3 7" xfId="27566"/>
    <cellStyle name="Примечание 2 4 4 4" xfId="1976"/>
    <cellStyle name="Примечание 2 4 4 4 2" xfId="7212"/>
    <cellStyle name="Примечание 2 4 4 4 2 2" xfId="17527"/>
    <cellStyle name="Примечание 2 4 4 4 2 3" xfId="32978"/>
    <cellStyle name="Примечание 2 4 4 4 3" xfId="18114"/>
    <cellStyle name="Примечание 2 4 4 4 3 2" xfId="33475"/>
    <cellStyle name="Примечание 2 4 4 4 4" xfId="23100"/>
    <cellStyle name="Примечание 2 4 4 4 4 2" xfId="38461"/>
    <cellStyle name="Примечание 2 4 4 4 5" xfId="12551"/>
    <cellStyle name="Примечание 2 4 4 4 6" xfId="28051"/>
    <cellStyle name="Примечание 2 4 4 5" xfId="1201"/>
    <cellStyle name="Примечание 2 4 4 5 2" xfId="6455"/>
    <cellStyle name="Примечание 2 4 4 5 2 2" xfId="16407"/>
    <cellStyle name="Примечание 2 4 4 5 2 3" xfId="31874"/>
    <cellStyle name="Примечание 2 4 4 5 3" xfId="22343"/>
    <cellStyle name="Примечание 2 4 4 5 3 2" xfId="37704"/>
    <cellStyle name="Примечание 2 4 4 5 4" xfId="11782"/>
    <cellStyle name="Примечание 2 4 4 5 5" xfId="27294"/>
    <cellStyle name="Примечание 2 4 4 6" xfId="2931"/>
    <cellStyle name="Примечание 2 4 4 6 2" xfId="8132"/>
    <cellStyle name="Примечание 2 4 4 6 2 2" xfId="19052"/>
    <cellStyle name="Примечание 2 4 4 6 2 3" xfId="34413"/>
    <cellStyle name="Примечание 2 4 4 6 3" xfId="24020"/>
    <cellStyle name="Примечание 2 4 4 6 3 2" xfId="39381"/>
    <cellStyle name="Примечание 2 4 4 6 4" xfId="13489"/>
    <cellStyle name="Примечание 2 4 4 6 5" xfId="28971"/>
    <cellStyle name="Примечание 2 4 4 6 6" xfId="46585"/>
    <cellStyle name="Примечание 2 4 4 7" xfId="4065"/>
    <cellStyle name="Примечание 2 4 4 7 2" xfId="9252"/>
    <cellStyle name="Примечание 2 4 4 7 2 2" xfId="20179"/>
    <cellStyle name="Примечание 2 4 4 7 2 3" xfId="35540"/>
    <cellStyle name="Примечание 2 4 4 7 3" xfId="25140"/>
    <cellStyle name="Примечание 2 4 4 7 3 2" xfId="40501"/>
    <cellStyle name="Примечание 2 4 4 7 4" xfId="14616"/>
    <cellStyle name="Примечание 2 4 4 7 5" xfId="30091"/>
    <cellStyle name="Примечание 2 4 4 8" xfId="4881"/>
    <cellStyle name="Примечание 2 4 4 8 2" xfId="10068"/>
    <cellStyle name="Примечание 2 4 4 8 2 2" xfId="20995"/>
    <cellStyle name="Примечание 2 4 4 8 2 3" xfId="36356"/>
    <cellStyle name="Примечание 2 4 4 8 3" xfId="25956"/>
    <cellStyle name="Примечание 2 4 4 8 3 2" xfId="41317"/>
    <cellStyle name="Примечание 2 4 4 8 4" xfId="15432"/>
    <cellStyle name="Примечание 2 4 4 8 5" xfId="30907"/>
    <cellStyle name="Примечание 2 4 4 9" xfId="5873"/>
    <cellStyle name="Примечание 2 4 4 9 2" xfId="16998"/>
    <cellStyle name="Примечание 2 4 4 9 3" xfId="32465"/>
    <cellStyle name="Примечание 2 4 5" xfId="566"/>
    <cellStyle name="Примечание 2 4 5 10" xfId="21762"/>
    <cellStyle name="Примечание 2 4 5 10 2" xfId="37123"/>
    <cellStyle name="Примечание 2 4 5 11" xfId="11191"/>
    <cellStyle name="Примечание 2 4 5 12" xfId="26713"/>
    <cellStyle name="Примечание 2 4 5 2" xfId="712"/>
    <cellStyle name="Примечание 2 4 5 2 10" xfId="11296"/>
    <cellStyle name="Примечание 2 4 5 2 11" xfId="26813"/>
    <cellStyle name="Примечание 2 4 5 2 2" xfId="1294"/>
    <cellStyle name="Примечание 2 4 5 2 2 2" xfId="3230"/>
    <cellStyle name="Примечание 2 4 5 2 2 2 2" xfId="8425"/>
    <cellStyle name="Примечание 2 4 5 2 2 2 2 2" xfId="17533"/>
    <cellStyle name="Примечание 2 4 5 2 2 2 2 3" xfId="32984"/>
    <cellStyle name="Примечание 2 4 5 2 2 2 3" xfId="19351"/>
    <cellStyle name="Примечание 2 4 5 2 2 2 3 2" xfId="34712"/>
    <cellStyle name="Примечание 2 4 5 2 2 2 4" xfId="24313"/>
    <cellStyle name="Примечание 2 4 5 2 2 2 4 2" xfId="39674"/>
    <cellStyle name="Примечание 2 4 5 2 2 2 5" xfId="13788"/>
    <cellStyle name="Примечание 2 4 5 2 2 2 6" xfId="29264"/>
    <cellStyle name="Примечание 2 4 5 2 2 3" xfId="5477"/>
    <cellStyle name="Примечание 2 4 5 2 2 3 2" xfId="10641"/>
    <cellStyle name="Примечание 2 4 5 2 2 3 2 2" xfId="21575"/>
    <cellStyle name="Примечание 2 4 5 2 2 3 2 3" xfId="36936"/>
    <cellStyle name="Примечание 2 4 5 2 2 3 3" xfId="26528"/>
    <cellStyle name="Примечание 2 4 5 2 2 3 3 2" xfId="41889"/>
    <cellStyle name="Примечание 2 4 5 2 2 3 4" xfId="16012"/>
    <cellStyle name="Примечание 2 4 5 2 2 3 5" xfId="31479"/>
    <cellStyle name="Примечание 2 4 5 2 2 4" xfId="6547"/>
    <cellStyle name="Примечание 2 4 5 2 2 4 2" xfId="16314"/>
    <cellStyle name="Примечание 2 4 5 2 2 4 3" xfId="31781"/>
    <cellStyle name="Примечание 2 4 5 2 2 5" xfId="22435"/>
    <cellStyle name="Примечание 2 4 5 2 2 5 2" xfId="37796"/>
    <cellStyle name="Примечание 2 4 5 2 2 6" xfId="11875"/>
    <cellStyle name="Примечание 2 4 5 2 2 7" xfId="27386"/>
    <cellStyle name="Примечание 2 4 5 2 3" xfId="2118"/>
    <cellStyle name="Примечание 2 4 5 2 3 2" xfId="7354"/>
    <cellStyle name="Примечание 2 4 5 2 3 2 2" xfId="17532"/>
    <cellStyle name="Примечание 2 4 5 2 3 2 3" xfId="32983"/>
    <cellStyle name="Примечание 2 4 5 2 3 3" xfId="18256"/>
    <cellStyle name="Примечание 2 4 5 2 3 3 2" xfId="33617"/>
    <cellStyle name="Примечание 2 4 5 2 3 4" xfId="23242"/>
    <cellStyle name="Примечание 2 4 5 2 3 4 2" xfId="38603"/>
    <cellStyle name="Примечание 2 4 5 2 3 5" xfId="12693"/>
    <cellStyle name="Примечание 2 4 5 2 3 6" xfId="28193"/>
    <cellStyle name="Примечание 2 4 5 2 4" xfId="2041"/>
    <cellStyle name="Примечание 2 4 5 2 4 2" xfId="7277"/>
    <cellStyle name="Примечание 2 4 5 2 4 2 2" xfId="18179"/>
    <cellStyle name="Примечание 2 4 5 2 4 2 3" xfId="33540"/>
    <cellStyle name="Примечание 2 4 5 2 4 3" xfId="23165"/>
    <cellStyle name="Примечание 2 4 5 2 4 3 2" xfId="38526"/>
    <cellStyle name="Примечание 2 4 5 2 4 4" xfId="12616"/>
    <cellStyle name="Примечание 2 4 5 2 4 5" xfId="28116"/>
    <cellStyle name="Примечание 2 4 5 2 5" xfId="2683"/>
    <cellStyle name="Примечание 2 4 5 2 5 2" xfId="7914"/>
    <cellStyle name="Примечание 2 4 5 2 5 2 2" xfId="18818"/>
    <cellStyle name="Примечание 2 4 5 2 5 2 3" xfId="34179"/>
    <cellStyle name="Примечание 2 4 5 2 5 3" xfId="23802"/>
    <cellStyle name="Примечание 2 4 5 2 5 3 2" xfId="39163"/>
    <cellStyle name="Примечание 2 4 5 2 5 4" xfId="13255"/>
    <cellStyle name="Примечание 2 4 5 2 5 5" xfId="28753"/>
    <cellStyle name="Примечание 2 4 5 2 6" xfId="4166"/>
    <cellStyle name="Примечание 2 4 5 2 6 2" xfId="9353"/>
    <cellStyle name="Примечание 2 4 5 2 6 2 2" xfId="20280"/>
    <cellStyle name="Примечание 2 4 5 2 6 2 3" xfId="35641"/>
    <cellStyle name="Примечание 2 4 5 2 6 3" xfId="25241"/>
    <cellStyle name="Примечание 2 4 5 2 6 3 2" xfId="40602"/>
    <cellStyle name="Примечание 2 4 5 2 6 4" xfId="14717"/>
    <cellStyle name="Примечание 2 4 5 2 6 5" xfId="30192"/>
    <cellStyle name="Примечание 2 4 5 2 7" xfId="4929"/>
    <cellStyle name="Примечание 2 4 5 2 7 2" xfId="10116"/>
    <cellStyle name="Примечание 2 4 5 2 7 2 2" xfId="21043"/>
    <cellStyle name="Примечание 2 4 5 2 7 2 3" xfId="36404"/>
    <cellStyle name="Примечание 2 4 5 2 7 3" xfId="26004"/>
    <cellStyle name="Примечание 2 4 5 2 7 3 2" xfId="41365"/>
    <cellStyle name="Примечание 2 4 5 2 7 4" xfId="15480"/>
    <cellStyle name="Примечание 2 4 5 2 7 5" xfId="30955"/>
    <cellStyle name="Примечание 2 4 5 2 8" xfId="5974"/>
    <cellStyle name="Примечание 2 4 5 2 8 2" xfId="16893"/>
    <cellStyle name="Примечание 2 4 5 2 8 3" xfId="32360"/>
    <cellStyle name="Примечание 2 4 5 2 9" xfId="21862"/>
    <cellStyle name="Примечание 2 4 5 2 9 2" xfId="37223"/>
    <cellStyle name="Примечание 2 4 5 3" xfId="1623"/>
    <cellStyle name="Примечание 2 4 5 3 2" xfId="3231"/>
    <cellStyle name="Примечание 2 4 5 3 2 2" xfId="8426"/>
    <cellStyle name="Примечание 2 4 5 3 2 2 2" xfId="17534"/>
    <cellStyle name="Примечание 2 4 5 3 2 2 3" xfId="32985"/>
    <cellStyle name="Примечание 2 4 5 3 2 3" xfId="19352"/>
    <cellStyle name="Примечание 2 4 5 3 2 3 2" xfId="34713"/>
    <cellStyle name="Примечание 2 4 5 3 2 4" xfId="24314"/>
    <cellStyle name="Примечание 2 4 5 3 2 4 2" xfId="39675"/>
    <cellStyle name="Примечание 2 4 5 3 2 5" xfId="13789"/>
    <cellStyle name="Примечание 2 4 5 3 2 6" xfId="29265"/>
    <cellStyle name="Примечание 2 4 5 3 3" xfId="5478"/>
    <cellStyle name="Примечание 2 4 5 3 3 2" xfId="10642"/>
    <cellStyle name="Примечание 2 4 5 3 3 2 2" xfId="21576"/>
    <cellStyle name="Примечание 2 4 5 3 3 2 3" xfId="36937"/>
    <cellStyle name="Примечание 2 4 5 3 3 3" xfId="26529"/>
    <cellStyle name="Примечание 2 4 5 3 3 3 2" xfId="41890"/>
    <cellStyle name="Примечание 2 4 5 3 3 4" xfId="16013"/>
    <cellStyle name="Примечание 2 4 5 3 3 5" xfId="31480"/>
    <cellStyle name="Примечание 2 4 5 3 4" xfId="6869"/>
    <cellStyle name="Примечание 2 4 5 3 4 2" xfId="17765"/>
    <cellStyle name="Примечание 2 4 5 3 4 3" xfId="33126"/>
    <cellStyle name="Примечание 2 4 5 3 5" xfId="22757"/>
    <cellStyle name="Примечание 2 4 5 3 5 2" xfId="38118"/>
    <cellStyle name="Примечание 2 4 5 3 6" xfId="12201"/>
    <cellStyle name="Примечание 2 4 5 3 7" xfId="27708"/>
    <cellStyle name="Примечание 2 4 5 4" xfId="1977"/>
    <cellStyle name="Примечание 2 4 5 4 2" xfId="7213"/>
    <cellStyle name="Примечание 2 4 5 4 2 2" xfId="17531"/>
    <cellStyle name="Примечание 2 4 5 4 2 3" xfId="32982"/>
    <cellStyle name="Примечание 2 4 5 4 3" xfId="18115"/>
    <cellStyle name="Примечание 2 4 5 4 3 2" xfId="33476"/>
    <cellStyle name="Примечание 2 4 5 4 4" xfId="23101"/>
    <cellStyle name="Примечание 2 4 5 4 4 2" xfId="38462"/>
    <cellStyle name="Примечание 2 4 5 4 5" xfId="12552"/>
    <cellStyle name="Примечание 2 4 5 4 6" xfId="28052"/>
    <cellStyle name="Примечание 2 4 5 5" xfId="2478"/>
    <cellStyle name="Примечание 2 4 5 5 2" xfId="7714"/>
    <cellStyle name="Примечание 2 4 5 5 2 2" xfId="18616"/>
    <cellStyle name="Примечание 2 4 5 5 2 3" xfId="33977"/>
    <cellStyle name="Примечание 2 4 5 5 3" xfId="23602"/>
    <cellStyle name="Примечание 2 4 5 5 3 2" xfId="38963"/>
    <cellStyle name="Примечание 2 4 5 5 4" xfId="13053"/>
    <cellStyle name="Примечание 2 4 5 5 5" xfId="28553"/>
    <cellStyle name="Примечание 2 4 5 5 6" xfId="46587"/>
    <cellStyle name="Примечание 2 4 5 6" xfId="3576"/>
    <cellStyle name="Примечание 2 4 5 6 2" xfId="8763"/>
    <cellStyle name="Примечание 2 4 5 6 2 2" xfId="19690"/>
    <cellStyle name="Примечание 2 4 5 6 2 3" xfId="35051"/>
    <cellStyle name="Примечание 2 4 5 6 3" xfId="24651"/>
    <cellStyle name="Примечание 2 4 5 6 3 2" xfId="40012"/>
    <cellStyle name="Примечание 2 4 5 6 4" xfId="14127"/>
    <cellStyle name="Примечание 2 4 5 6 5" xfId="29602"/>
    <cellStyle name="Примечание 2 4 5 7" xfId="4066"/>
    <cellStyle name="Примечание 2 4 5 7 2" xfId="9253"/>
    <cellStyle name="Примечание 2 4 5 7 2 2" xfId="20180"/>
    <cellStyle name="Примечание 2 4 5 7 2 3" xfId="35541"/>
    <cellStyle name="Примечание 2 4 5 7 3" xfId="25141"/>
    <cellStyle name="Примечание 2 4 5 7 3 2" xfId="40502"/>
    <cellStyle name="Примечание 2 4 5 7 4" xfId="14617"/>
    <cellStyle name="Примечание 2 4 5 7 5" xfId="30092"/>
    <cellStyle name="Примечание 2 4 5 8" xfId="4666"/>
    <cellStyle name="Примечание 2 4 5 8 2" xfId="9853"/>
    <cellStyle name="Примечание 2 4 5 8 2 2" xfId="20780"/>
    <cellStyle name="Примечание 2 4 5 8 2 3" xfId="36141"/>
    <cellStyle name="Примечание 2 4 5 8 3" xfId="25741"/>
    <cellStyle name="Примечание 2 4 5 8 3 2" xfId="41102"/>
    <cellStyle name="Примечание 2 4 5 8 4" xfId="15217"/>
    <cellStyle name="Примечание 2 4 5 8 5" xfId="30692"/>
    <cellStyle name="Примечание 2 4 5 9" xfId="5874"/>
    <cellStyle name="Примечание 2 4 5 9 2" xfId="16997"/>
    <cellStyle name="Примечание 2 4 5 9 3" xfId="32464"/>
    <cellStyle name="Примечание 2 4 6" xfId="567"/>
    <cellStyle name="Примечание 2 4 6 10" xfId="21763"/>
    <cellStyle name="Примечание 2 4 6 10 2" xfId="37124"/>
    <cellStyle name="Примечание 2 4 6 11" xfId="11192"/>
    <cellStyle name="Примечание 2 4 6 12" xfId="26714"/>
    <cellStyle name="Примечание 2 4 6 2" xfId="711"/>
    <cellStyle name="Примечание 2 4 6 2 10" xfId="11295"/>
    <cellStyle name="Примечание 2 4 6 2 11" xfId="26812"/>
    <cellStyle name="Примечание 2 4 6 2 2" xfId="1603"/>
    <cellStyle name="Примечание 2 4 6 2 2 2" xfId="3232"/>
    <cellStyle name="Примечание 2 4 6 2 2 2 2" xfId="8427"/>
    <cellStyle name="Примечание 2 4 6 2 2 2 2 2" xfId="17537"/>
    <cellStyle name="Примечание 2 4 6 2 2 2 2 3" xfId="32988"/>
    <cellStyle name="Примечание 2 4 6 2 2 2 3" xfId="19353"/>
    <cellStyle name="Примечание 2 4 6 2 2 2 3 2" xfId="34714"/>
    <cellStyle name="Примечание 2 4 6 2 2 2 4" xfId="24315"/>
    <cellStyle name="Примечание 2 4 6 2 2 2 4 2" xfId="39676"/>
    <cellStyle name="Примечание 2 4 6 2 2 2 5" xfId="13790"/>
    <cellStyle name="Примечание 2 4 6 2 2 2 6" xfId="29266"/>
    <cellStyle name="Примечание 2 4 6 2 2 3" xfId="5479"/>
    <cellStyle name="Примечание 2 4 6 2 2 3 2" xfId="10643"/>
    <cellStyle name="Примечание 2 4 6 2 2 3 2 2" xfId="21577"/>
    <cellStyle name="Примечание 2 4 6 2 2 3 2 3" xfId="36938"/>
    <cellStyle name="Примечание 2 4 6 2 2 3 3" xfId="26530"/>
    <cellStyle name="Примечание 2 4 6 2 2 3 3 2" xfId="41891"/>
    <cellStyle name="Примечание 2 4 6 2 2 3 4" xfId="16014"/>
    <cellStyle name="Примечание 2 4 6 2 2 3 5" xfId="31481"/>
    <cellStyle name="Примечание 2 4 6 2 2 4" xfId="6850"/>
    <cellStyle name="Примечание 2 4 6 2 2 4 2" xfId="17745"/>
    <cellStyle name="Примечание 2 4 6 2 2 4 3" xfId="33106"/>
    <cellStyle name="Примечание 2 4 6 2 2 5" xfId="22738"/>
    <cellStyle name="Примечание 2 4 6 2 2 5 2" xfId="38099"/>
    <cellStyle name="Примечание 2 4 6 2 2 6" xfId="12181"/>
    <cellStyle name="Примечание 2 4 6 2 2 7" xfId="27689"/>
    <cellStyle name="Примечание 2 4 6 2 3" xfId="2117"/>
    <cellStyle name="Примечание 2 4 6 2 3 2" xfId="7353"/>
    <cellStyle name="Примечание 2 4 6 2 3 2 2" xfId="17536"/>
    <cellStyle name="Примечание 2 4 6 2 3 2 3" xfId="32987"/>
    <cellStyle name="Примечание 2 4 6 2 3 3" xfId="18255"/>
    <cellStyle name="Примечание 2 4 6 2 3 3 2" xfId="33616"/>
    <cellStyle name="Примечание 2 4 6 2 3 4" xfId="23241"/>
    <cellStyle name="Примечание 2 4 6 2 3 4 2" xfId="38602"/>
    <cellStyle name="Примечание 2 4 6 2 3 5" xfId="12692"/>
    <cellStyle name="Примечание 2 4 6 2 3 6" xfId="28192"/>
    <cellStyle name="Примечание 2 4 6 2 4" xfId="1195"/>
    <cellStyle name="Примечание 2 4 6 2 4 2" xfId="6449"/>
    <cellStyle name="Примечание 2 4 6 2 4 2 2" xfId="16413"/>
    <cellStyle name="Примечание 2 4 6 2 4 2 3" xfId="31880"/>
    <cellStyle name="Примечание 2 4 6 2 4 3" xfId="22337"/>
    <cellStyle name="Примечание 2 4 6 2 4 3 2" xfId="37698"/>
    <cellStyle name="Примечание 2 4 6 2 4 4" xfId="11776"/>
    <cellStyle name="Примечание 2 4 6 2 4 5" xfId="27288"/>
    <cellStyle name="Примечание 2 4 6 2 5" xfId="3818"/>
    <cellStyle name="Примечание 2 4 6 2 5 2" xfId="9005"/>
    <cellStyle name="Примечание 2 4 6 2 5 2 2" xfId="19932"/>
    <cellStyle name="Примечание 2 4 6 2 5 2 3" xfId="35293"/>
    <cellStyle name="Примечание 2 4 6 2 5 3" xfId="24893"/>
    <cellStyle name="Примечание 2 4 6 2 5 3 2" xfId="40254"/>
    <cellStyle name="Примечание 2 4 6 2 5 4" xfId="14369"/>
    <cellStyle name="Примечание 2 4 6 2 5 5" xfId="29844"/>
    <cellStyle name="Примечание 2 4 6 2 6" xfId="4165"/>
    <cellStyle name="Примечание 2 4 6 2 6 2" xfId="9352"/>
    <cellStyle name="Примечание 2 4 6 2 6 2 2" xfId="20279"/>
    <cellStyle name="Примечание 2 4 6 2 6 2 3" xfId="35640"/>
    <cellStyle name="Примечание 2 4 6 2 6 3" xfId="25240"/>
    <cellStyle name="Примечание 2 4 6 2 6 3 2" xfId="40601"/>
    <cellStyle name="Примечание 2 4 6 2 6 4" xfId="14716"/>
    <cellStyle name="Примечание 2 4 6 2 6 5" xfId="30191"/>
    <cellStyle name="Примечание 2 4 6 2 7" xfId="4617"/>
    <cellStyle name="Примечание 2 4 6 2 7 2" xfId="9804"/>
    <cellStyle name="Примечание 2 4 6 2 7 2 2" xfId="20731"/>
    <cellStyle name="Примечание 2 4 6 2 7 2 3" xfId="36092"/>
    <cellStyle name="Примечание 2 4 6 2 7 3" xfId="25692"/>
    <cellStyle name="Примечание 2 4 6 2 7 3 2" xfId="41053"/>
    <cellStyle name="Примечание 2 4 6 2 7 4" xfId="15168"/>
    <cellStyle name="Примечание 2 4 6 2 7 5" xfId="30643"/>
    <cellStyle name="Примечание 2 4 6 2 8" xfId="5973"/>
    <cellStyle name="Примечание 2 4 6 2 8 2" xfId="16894"/>
    <cellStyle name="Примечание 2 4 6 2 8 3" xfId="32361"/>
    <cellStyle name="Примечание 2 4 6 2 9" xfId="21861"/>
    <cellStyle name="Примечание 2 4 6 2 9 2" xfId="37222"/>
    <cellStyle name="Примечание 2 4 6 3" xfId="1203"/>
    <cellStyle name="Примечание 2 4 6 3 2" xfId="3233"/>
    <cellStyle name="Примечание 2 4 6 3 2 2" xfId="8428"/>
    <cellStyle name="Примечание 2 4 6 3 2 2 2" xfId="17538"/>
    <cellStyle name="Примечание 2 4 6 3 2 2 3" xfId="32989"/>
    <cellStyle name="Примечание 2 4 6 3 2 3" xfId="19354"/>
    <cellStyle name="Примечание 2 4 6 3 2 3 2" xfId="34715"/>
    <cellStyle name="Примечание 2 4 6 3 2 4" xfId="24316"/>
    <cellStyle name="Примечание 2 4 6 3 2 4 2" xfId="39677"/>
    <cellStyle name="Примечание 2 4 6 3 2 5" xfId="13791"/>
    <cellStyle name="Примечание 2 4 6 3 2 6" xfId="29267"/>
    <cellStyle name="Примечание 2 4 6 3 3" xfId="5480"/>
    <cellStyle name="Примечание 2 4 6 3 3 2" xfId="10644"/>
    <cellStyle name="Примечание 2 4 6 3 3 2 2" xfId="21578"/>
    <cellStyle name="Примечание 2 4 6 3 3 2 3" xfId="36939"/>
    <cellStyle name="Примечание 2 4 6 3 3 3" xfId="26531"/>
    <cellStyle name="Примечание 2 4 6 3 3 3 2" xfId="41892"/>
    <cellStyle name="Примечание 2 4 6 3 3 4" xfId="16015"/>
    <cellStyle name="Примечание 2 4 6 3 3 5" xfId="31482"/>
    <cellStyle name="Примечание 2 4 6 3 4" xfId="6457"/>
    <cellStyle name="Примечание 2 4 6 3 4 2" xfId="16405"/>
    <cellStyle name="Примечание 2 4 6 3 4 3" xfId="31872"/>
    <cellStyle name="Примечание 2 4 6 3 5" xfId="22345"/>
    <cellStyle name="Примечание 2 4 6 3 5 2" xfId="37706"/>
    <cellStyle name="Примечание 2 4 6 3 6" xfId="11784"/>
    <cellStyle name="Примечание 2 4 6 3 7" xfId="27296"/>
    <cellStyle name="Примечание 2 4 6 4" xfId="1978"/>
    <cellStyle name="Примечание 2 4 6 4 2" xfId="7214"/>
    <cellStyle name="Примечание 2 4 6 4 2 2" xfId="17535"/>
    <cellStyle name="Примечание 2 4 6 4 2 3" xfId="32986"/>
    <cellStyle name="Примечание 2 4 6 4 3" xfId="18116"/>
    <cellStyle name="Примечание 2 4 6 4 3 2" xfId="33477"/>
    <cellStyle name="Примечание 2 4 6 4 4" xfId="23102"/>
    <cellStyle name="Примечание 2 4 6 4 4 2" xfId="38463"/>
    <cellStyle name="Примечание 2 4 6 4 5" xfId="12553"/>
    <cellStyle name="Примечание 2 4 6 4 6" xfId="28053"/>
    <cellStyle name="Примечание 2 4 6 5" xfId="2727"/>
    <cellStyle name="Примечание 2 4 6 5 2" xfId="7956"/>
    <cellStyle name="Примечание 2 4 6 5 2 2" xfId="18860"/>
    <cellStyle name="Примечание 2 4 6 5 2 3" xfId="34221"/>
    <cellStyle name="Примечание 2 4 6 5 3" xfId="23844"/>
    <cellStyle name="Примечание 2 4 6 5 3 2" xfId="39205"/>
    <cellStyle name="Примечание 2 4 6 5 4" xfId="13297"/>
    <cellStyle name="Примечание 2 4 6 5 5" xfId="28795"/>
    <cellStyle name="Примечание 2 4 6 5 6" xfId="46588"/>
    <cellStyle name="Примечание 2 4 6 6" xfId="2930"/>
    <cellStyle name="Примечание 2 4 6 6 2" xfId="8131"/>
    <cellStyle name="Примечание 2 4 6 6 2 2" xfId="19051"/>
    <cellStyle name="Примечание 2 4 6 6 2 3" xfId="34412"/>
    <cellStyle name="Примечание 2 4 6 6 3" xfId="24019"/>
    <cellStyle name="Примечание 2 4 6 6 3 2" xfId="39380"/>
    <cellStyle name="Примечание 2 4 6 6 4" xfId="13488"/>
    <cellStyle name="Примечание 2 4 6 6 5" xfId="28970"/>
    <cellStyle name="Примечание 2 4 6 7" xfId="4067"/>
    <cellStyle name="Примечание 2 4 6 7 2" xfId="9254"/>
    <cellStyle name="Примечание 2 4 6 7 2 2" xfId="20181"/>
    <cellStyle name="Примечание 2 4 6 7 2 3" xfId="35542"/>
    <cellStyle name="Примечание 2 4 6 7 3" xfId="25142"/>
    <cellStyle name="Примечание 2 4 6 7 3 2" xfId="40503"/>
    <cellStyle name="Примечание 2 4 6 7 4" xfId="14618"/>
    <cellStyle name="Примечание 2 4 6 7 5" xfId="30093"/>
    <cellStyle name="Примечание 2 4 6 8" xfId="4882"/>
    <cellStyle name="Примечание 2 4 6 8 2" xfId="10069"/>
    <cellStyle name="Примечание 2 4 6 8 2 2" xfId="20996"/>
    <cellStyle name="Примечание 2 4 6 8 2 3" xfId="36357"/>
    <cellStyle name="Примечание 2 4 6 8 3" xfId="25957"/>
    <cellStyle name="Примечание 2 4 6 8 3 2" xfId="41318"/>
    <cellStyle name="Примечание 2 4 6 8 4" xfId="15433"/>
    <cellStyle name="Примечание 2 4 6 8 5" xfId="30908"/>
    <cellStyle name="Примечание 2 4 6 9" xfId="5875"/>
    <cellStyle name="Примечание 2 4 6 9 2" xfId="16996"/>
    <cellStyle name="Примечание 2 4 6 9 3" xfId="32463"/>
    <cellStyle name="Примечание 2 4 7" xfId="568"/>
    <cellStyle name="Примечание 2 4 7 10" xfId="21764"/>
    <cellStyle name="Примечание 2 4 7 10 2" xfId="37125"/>
    <cellStyle name="Примечание 2 4 7 11" xfId="11193"/>
    <cellStyle name="Примечание 2 4 7 12" xfId="26715"/>
    <cellStyle name="Примечание 2 4 7 2" xfId="710"/>
    <cellStyle name="Примечание 2 4 7 2 10" xfId="11294"/>
    <cellStyle name="Примечание 2 4 7 2 11" xfId="26811"/>
    <cellStyle name="Примечание 2 4 7 2 2" xfId="1309"/>
    <cellStyle name="Примечание 2 4 7 2 2 2" xfId="3235"/>
    <cellStyle name="Примечание 2 4 7 2 2 2 2" xfId="8430"/>
    <cellStyle name="Примечание 2 4 7 2 2 2 2 2" xfId="17541"/>
    <cellStyle name="Примечание 2 4 7 2 2 2 2 3" xfId="32992"/>
    <cellStyle name="Примечание 2 4 7 2 2 2 3" xfId="19356"/>
    <cellStyle name="Примечание 2 4 7 2 2 2 3 2" xfId="34717"/>
    <cellStyle name="Примечание 2 4 7 2 2 2 4" xfId="24318"/>
    <cellStyle name="Примечание 2 4 7 2 2 2 4 2" xfId="39679"/>
    <cellStyle name="Примечание 2 4 7 2 2 2 5" xfId="13793"/>
    <cellStyle name="Примечание 2 4 7 2 2 2 6" xfId="29269"/>
    <cellStyle name="Примечание 2 4 7 2 2 3" xfId="5481"/>
    <cellStyle name="Примечание 2 4 7 2 2 3 2" xfId="10645"/>
    <cellStyle name="Примечание 2 4 7 2 2 3 2 2" xfId="21579"/>
    <cellStyle name="Примечание 2 4 7 2 2 3 2 3" xfId="36940"/>
    <cellStyle name="Примечание 2 4 7 2 2 3 3" xfId="26532"/>
    <cellStyle name="Примечание 2 4 7 2 2 3 3 2" xfId="41893"/>
    <cellStyle name="Примечание 2 4 7 2 2 3 4" xfId="16016"/>
    <cellStyle name="Примечание 2 4 7 2 2 3 5" xfId="31483"/>
    <cellStyle name="Примечание 2 4 7 2 2 4" xfId="6562"/>
    <cellStyle name="Примечание 2 4 7 2 2 4 2" xfId="16299"/>
    <cellStyle name="Примечание 2 4 7 2 2 4 3" xfId="31766"/>
    <cellStyle name="Примечание 2 4 7 2 2 5" xfId="22450"/>
    <cellStyle name="Примечание 2 4 7 2 2 5 2" xfId="37811"/>
    <cellStyle name="Примечание 2 4 7 2 2 6" xfId="11890"/>
    <cellStyle name="Примечание 2 4 7 2 2 7" xfId="27401"/>
    <cellStyle name="Примечание 2 4 7 2 3" xfId="2116"/>
    <cellStyle name="Примечание 2 4 7 2 3 2" xfId="7352"/>
    <cellStyle name="Примечание 2 4 7 2 3 2 2" xfId="17540"/>
    <cellStyle name="Примечание 2 4 7 2 3 2 3" xfId="32991"/>
    <cellStyle name="Примечание 2 4 7 2 3 3" xfId="18254"/>
    <cellStyle name="Примечание 2 4 7 2 3 3 2" xfId="33615"/>
    <cellStyle name="Примечание 2 4 7 2 3 4" xfId="23240"/>
    <cellStyle name="Примечание 2 4 7 2 3 4 2" xfId="38601"/>
    <cellStyle name="Примечание 2 4 7 2 3 5" xfId="12691"/>
    <cellStyle name="Примечание 2 4 7 2 3 6" xfId="28191"/>
    <cellStyle name="Примечание 2 4 7 2 4" xfId="2386"/>
    <cellStyle name="Примечание 2 4 7 2 4 2" xfId="7622"/>
    <cellStyle name="Примечание 2 4 7 2 4 2 2" xfId="18524"/>
    <cellStyle name="Примечание 2 4 7 2 4 2 3" xfId="33885"/>
    <cellStyle name="Примечание 2 4 7 2 4 3" xfId="23510"/>
    <cellStyle name="Примечание 2 4 7 2 4 3 2" xfId="38871"/>
    <cellStyle name="Примечание 2 4 7 2 4 4" xfId="12961"/>
    <cellStyle name="Примечание 2 4 7 2 4 5" xfId="28461"/>
    <cellStyle name="Примечание 2 4 7 2 5" xfId="2523"/>
    <cellStyle name="Примечание 2 4 7 2 5 2" xfId="7756"/>
    <cellStyle name="Примечание 2 4 7 2 5 2 2" xfId="18658"/>
    <cellStyle name="Примечание 2 4 7 2 5 2 3" xfId="34019"/>
    <cellStyle name="Примечание 2 4 7 2 5 3" xfId="23644"/>
    <cellStyle name="Примечание 2 4 7 2 5 3 2" xfId="39005"/>
    <cellStyle name="Примечание 2 4 7 2 5 4" xfId="13095"/>
    <cellStyle name="Примечание 2 4 7 2 5 5" xfId="28595"/>
    <cellStyle name="Примечание 2 4 7 2 6" xfId="4164"/>
    <cellStyle name="Примечание 2 4 7 2 6 2" xfId="9351"/>
    <cellStyle name="Примечание 2 4 7 2 6 2 2" xfId="20278"/>
    <cellStyle name="Примечание 2 4 7 2 6 2 3" xfId="35639"/>
    <cellStyle name="Примечание 2 4 7 2 6 3" xfId="25239"/>
    <cellStyle name="Примечание 2 4 7 2 6 3 2" xfId="40600"/>
    <cellStyle name="Примечание 2 4 7 2 6 4" xfId="14715"/>
    <cellStyle name="Примечание 2 4 7 2 6 5" xfId="30190"/>
    <cellStyle name="Примечание 2 4 7 2 7" xfId="4928"/>
    <cellStyle name="Примечание 2 4 7 2 7 2" xfId="10115"/>
    <cellStyle name="Примечание 2 4 7 2 7 2 2" xfId="21042"/>
    <cellStyle name="Примечание 2 4 7 2 7 2 3" xfId="36403"/>
    <cellStyle name="Примечание 2 4 7 2 7 3" xfId="26003"/>
    <cellStyle name="Примечание 2 4 7 2 7 3 2" xfId="41364"/>
    <cellStyle name="Примечание 2 4 7 2 7 4" xfId="15479"/>
    <cellStyle name="Примечание 2 4 7 2 7 5" xfId="30954"/>
    <cellStyle name="Примечание 2 4 7 2 8" xfId="5972"/>
    <cellStyle name="Примечание 2 4 7 2 8 2" xfId="16895"/>
    <cellStyle name="Примечание 2 4 7 2 8 3" xfId="32362"/>
    <cellStyle name="Примечание 2 4 7 2 9" xfId="21860"/>
    <cellStyle name="Примечание 2 4 7 2 9 2" xfId="37221"/>
    <cellStyle name="Примечание 2 4 7 3" xfId="57"/>
    <cellStyle name="Примечание 2 4 7 3 2" xfId="3236"/>
    <cellStyle name="Примечание 2 4 7 3 2 2" xfId="8431"/>
    <cellStyle name="Примечание 2 4 7 3 2 2 2" xfId="17542"/>
    <cellStyle name="Примечание 2 4 7 3 2 2 3" xfId="32993"/>
    <cellStyle name="Примечание 2 4 7 3 2 3" xfId="19357"/>
    <cellStyle name="Примечание 2 4 7 3 2 3 2" xfId="34718"/>
    <cellStyle name="Примечание 2 4 7 3 2 4" xfId="24319"/>
    <cellStyle name="Примечание 2 4 7 3 2 4 2" xfId="39680"/>
    <cellStyle name="Примечание 2 4 7 3 2 5" xfId="13794"/>
    <cellStyle name="Примечание 2 4 7 3 2 6" xfId="29270"/>
    <cellStyle name="Примечание 2 4 7 3 3" xfId="5482"/>
    <cellStyle name="Примечание 2 4 7 3 3 2" xfId="10646"/>
    <cellStyle name="Примечание 2 4 7 3 3 2 2" xfId="21580"/>
    <cellStyle name="Примечание 2 4 7 3 3 2 3" xfId="36941"/>
    <cellStyle name="Примечание 2 4 7 3 3 3" xfId="26533"/>
    <cellStyle name="Примечание 2 4 7 3 3 3 2" xfId="41894"/>
    <cellStyle name="Примечание 2 4 7 3 3 4" xfId="16017"/>
    <cellStyle name="Примечание 2 4 7 3 3 5" xfId="31484"/>
    <cellStyle name="Примечание 2 4 7 3 4" xfId="5584"/>
    <cellStyle name="Примечание 2 4 7 3 4 2" xfId="17414"/>
    <cellStyle name="Примечание 2 4 7 3 4 3" xfId="32881"/>
    <cellStyle name="Примечание 2 4 7 3 5" xfId="17423"/>
    <cellStyle name="Примечание 2 4 7 3 5 2" xfId="32890"/>
    <cellStyle name="Примечание 2 4 7 3 6" xfId="10771"/>
    <cellStyle name="Примечание 2 4 7 3 7" xfId="10762"/>
    <cellStyle name="Примечание 2 4 7 4" xfId="1979"/>
    <cellStyle name="Примечание 2 4 7 4 2" xfId="7215"/>
    <cellStyle name="Примечание 2 4 7 4 2 2" xfId="17539"/>
    <cellStyle name="Примечание 2 4 7 4 2 3" xfId="32990"/>
    <cellStyle name="Примечание 2 4 7 4 3" xfId="18117"/>
    <cellStyle name="Примечание 2 4 7 4 3 2" xfId="33478"/>
    <cellStyle name="Примечание 2 4 7 4 4" xfId="23103"/>
    <cellStyle name="Примечание 2 4 7 4 4 2" xfId="38464"/>
    <cellStyle name="Примечание 2 4 7 4 5" xfId="12554"/>
    <cellStyle name="Примечание 2 4 7 4 6" xfId="28054"/>
    <cellStyle name="Примечание 2 4 7 5" xfId="1873"/>
    <cellStyle name="Примечание 2 4 7 5 2" xfId="7112"/>
    <cellStyle name="Примечание 2 4 7 5 2 2" xfId="18014"/>
    <cellStyle name="Примечание 2 4 7 5 2 3" xfId="33375"/>
    <cellStyle name="Примечание 2 4 7 5 3" xfId="23000"/>
    <cellStyle name="Примечание 2 4 7 5 3 2" xfId="38361"/>
    <cellStyle name="Примечание 2 4 7 5 4" xfId="12451"/>
    <cellStyle name="Примечание 2 4 7 5 5" xfId="27951"/>
    <cellStyle name="Примечание 2 4 7 6" xfId="3577"/>
    <cellStyle name="Примечание 2 4 7 6 2" xfId="8764"/>
    <cellStyle name="Примечание 2 4 7 6 2 2" xfId="19691"/>
    <cellStyle name="Примечание 2 4 7 6 2 3" xfId="35052"/>
    <cellStyle name="Примечание 2 4 7 6 3" xfId="24652"/>
    <cellStyle name="Примечание 2 4 7 6 3 2" xfId="40013"/>
    <cellStyle name="Примечание 2 4 7 6 4" xfId="14128"/>
    <cellStyle name="Примечание 2 4 7 6 5" xfId="29603"/>
    <cellStyle name="Примечание 2 4 7 7" xfId="4068"/>
    <cellStyle name="Примечание 2 4 7 7 2" xfId="9255"/>
    <cellStyle name="Примечание 2 4 7 7 2 2" xfId="20182"/>
    <cellStyle name="Примечание 2 4 7 7 2 3" xfId="35543"/>
    <cellStyle name="Примечание 2 4 7 7 3" xfId="25143"/>
    <cellStyle name="Примечание 2 4 7 7 3 2" xfId="40504"/>
    <cellStyle name="Примечание 2 4 7 7 4" xfId="14619"/>
    <cellStyle name="Примечание 2 4 7 7 5" xfId="30094"/>
    <cellStyle name="Примечание 2 4 7 8" xfId="4665"/>
    <cellStyle name="Примечание 2 4 7 8 2" xfId="9852"/>
    <cellStyle name="Примечание 2 4 7 8 2 2" xfId="20779"/>
    <cellStyle name="Примечание 2 4 7 8 2 3" xfId="36140"/>
    <cellStyle name="Примечание 2 4 7 8 3" xfId="25740"/>
    <cellStyle name="Примечание 2 4 7 8 3 2" xfId="41101"/>
    <cellStyle name="Примечание 2 4 7 8 4" xfId="15216"/>
    <cellStyle name="Примечание 2 4 7 8 5" xfId="30691"/>
    <cellStyle name="Примечание 2 4 7 9" xfId="5876"/>
    <cellStyle name="Примечание 2 4 7 9 2" xfId="16995"/>
    <cellStyle name="Примечание 2 4 7 9 3" xfId="32462"/>
    <cellStyle name="Примечание 2 4 8" xfId="569"/>
    <cellStyle name="Примечание 2 4 8 10" xfId="21765"/>
    <cellStyle name="Примечание 2 4 8 10 2" xfId="37126"/>
    <cellStyle name="Примечание 2 4 8 11" xfId="11194"/>
    <cellStyle name="Примечание 2 4 8 12" xfId="26716"/>
    <cellStyle name="Примечание 2 4 8 2" xfId="709"/>
    <cellStyle name="Примечание 2 4 8 2 10" xfId="11293"/>
    <cellStyle name="Примечание 2 4 8 2 11" xfId="26810"/>
    <cellStyle name="Примечание 2 4 8 2 2" xfId="1611"/>
    <cellStyle name="Примечание 2 4 8 2 2 2" xfId="3239"/>
    <cellStyle name="Примечание 2 4 8 2 2 2 2" xfId="8434"/>
    <cellStyle name="Примечание 2 4 8 2 2 2 2 2" xfId="17545"/>
    <cellStyle name="Примечание 2 4 8 2 2 2 2 3" xfId="32996"/>
    <cellStyle name="Примечание 2 4 8 2 2 2 3" xfId="19360"/>
    <cellStyle name="Примечание 2 4 8 2 2 2 3 2" xfId="34721"/>
    <cellStyle name="Примечание 2 4 8 2 2 2 4" xfId="24322"/>
    <cellStyle name="Примечание 2 4 8 2 2 2 4 2" xfId="39683"/>
    <cellStyle name="Примечание 2 4 8 2 2 2 5" xfId="13797"/>
    <cellStyle name="Примечание 2 4 8 2 2 2 6" xfId="29273"/>
    <cellStyle name="Примечание 2 4 8 2 2 3" xfId="5483"/>
    <cellStyle name="Примечание 2 4 8 2 2 3 2" xfId="10647"/>
    <cellStyle name="Примечание 2 4 8 2 2 3 2 2" xfId="21581"/>
    <cellStyle name="Примечание 2 4 8 2 2 3 2 3" xfId="36942"/>
    <cellStyle name="Примечание 2 4 8 2 2 3 3" xfId="26534"/>
    <cellStyle name="Примечание 2 4 8 2 2 3 3 2" xfId="41895"/>
    <cellStyle name="Примечание 2 4 8 2 2 3 4" xfId="16018"/>
    <cellStyle name="Примечание 2 4 8 2 2 3 5" xfId="31485"/>
    <cellStyle name="Примечание 2 4 8 2 2 4" xfId="6858"/>
    <cellStyle name="Примечание 2 4 8 2 2 4 2" xfId="17753"/>
    <cellStyle name="Примечание 2 4 8 2 2 4 3" xfId="33114"/>
    <cellStyle name="Примечание 2 4 8 2 2 5" xfId="22746"/>
    <cellStyle name="Примечание 2 4 8 2 2 5 2" xfId="38107"/>
    <cellStyle name="Примечание 2 4 8 2 2 6" xfId="12189"/>
    <cellStyle name="Примечание 2 4 8 2 2 7" xfId="27697"/>
    <cellStyle name="Примечание 2 4 8 2 3" xfId="2115"/>
    <cellStyle name="Примечание 2 4 8 2 3 2" xfId="7351"/>
    <cellStyle name="Примечание 2 4 8 2 3 2 2" xfId="17544"/>
    <cellStyle name="Примечание 2 4 8 2 3 2 3" xfId="32995"/>
    <cellStyle name="Примечание 2 4 8 2 3 3" xfId="18253"/>
    <cellStyle name="Примечание 2 4 8 2 3 3 2" xfId="33614"/>
    <cellStyle name="Примечание 2 4 8 2 3 4" xfId="23239"/>
    <cellStyle name="Примечание 2 4 8 2 3 4 2" xfId="38600"/>
    <cellStyle name="Примечание 2 4 8 2 3 5" xfId="12690"/>
    <cellStyle name="Примечание 2 4 8 2 3 6" xfId="28190"/>
    <cellStyle name="Примечание 2 4 8 2 4" xfId="1740"/>
    <cellStyle name="Примечание 2 4 8 2 4 2" xfId="6980"/>
    <cellStyle name="Примечание 2 4 8 2 4 2 2" xfId="17881"/>
    <cellStyle name="Примечание 2 4 8 2 4 2 3" xfId="33242"/>
    <cellStyle name="Примечание 2 4 8 2 4 3" xfId="22868"/>
    <cellStyle name="Примечание 2 4 8 2 4 3 2" xfId="38229"/>
    <cellStyle name="Примечание 2 4 8 2 4 4" xfId="12318"/>
    <cellStyle name="Примечание 2 4 8 2 4 5" xfId="27819"/>
    <cellStyle name="Примечание 2 4 8 2 5" xfId="3604"/>
    <cellStyle name="Примечание 2 4 8 2 5 2" xfId="8791"/>
    <cellStyle name="Примечание 2 4 8 2 5 2 2" xfId="19718"/>
    <cellStyle name="Примечание 2 4 8 2 5 2 3" xfId="35079"/>
    <cellStyle name="Примечание 2 4 8 2 5 3" xfId="24679"/>
    <cellStyle name="Примечание 2 4 8 2 5 3 2" xfId="40040"/>
    <cellStyle name="Примечание 2 4 8 2 5 4" xfId="14155"/>
    <cellStyle name="Примечание 2 4 8 2 5 5" xfId="29630"/>
    <cellStyle name="Примечание 2 4 8 2 6" xfId="4163"/>
    <cellStyle name="Примечание 2 4 8 2 6 2" xfId="9350"/>
    <cellStyle name="Примечание 2 4 8 2 6 2 2" xfId="20277"/>
    <cellStyle name="Примечание 2 4 8 2 6 2 3" xfId="35638"/>
    <cellStyle name="Примечание 2 4 8 2 6 3" xfId="25238"/>
    <cellStyle name="Примечание 2 4 8 2 6 3 2" xfId="40599"/>
    <cellStyle name="Примечание 2 4 8 2 6 4" xfId="14714"/>
    <cellStyle name="Примечание 2 4 8 2 6 5" xfId="30189"/>
    <cellStyle name="Примечание 2 4 8 2 7" xfId="4618"/>
    <cellStyle name="Примечание 2 4 8 2 7 2" xfId="9805"/>
    <cellStyle name="Примечание 2 4 8 2 7 2 2" xfId="20732"/>
    <cellStyle name="Примечание 2 4 8 2 7 2 3" xfId="36093"/>
    <cellStyle name="Примечание 2 4 8 2 7 3" xfId="25693"/>
    <cellStyle name="Примечание 2 4 8 2 7 3 2" xfId="41054"/>
    <cellStyle name="Примечание 2 4 8 2 7 4" xfId="15169"/>
    <cellStyle name="Примечание 2 4 8 2 7 5" xfId="30644"/>
    <cellStyle name="Примечание 2 4 8 2 8" xfId="5971"/>
    <cellStyle name="Примечание 2 4 8 2 8 2" xfId="16896"/>
    <cellStyle name="Примечание 2 4 8 2 8 3" xfId="32363"/>
    <cellStyle name="Примечание 2 4 8 2 9" xfId="21859"/>
    <cellStyle name="Примечание 2 4 8 2 9 2" xfId="37220"/>
    <cellStyle name="Примечание 2 4 8 3" xfId="1376"/>
    <cellStyle name="Примечание 2 4 8 3 2" xfId="3240"/>
    <cellStyle name="Примечание 2 4 8 3 2 2" xfId="8435"/>
    <cellStyle name="Примечание 2 4 8 3 2 2 2" xfId="17546"/>
    <cellStyle name="Примечание 2 4 8 3 2 2 3" xfId="32997"/>
    <cellStyle name="Примечание 2 4 8 3 2 3" xfId="19361"/>
    <cellStyle name="Примечание 2 4 8 3 2 3 2" xfId="34722"/>
    <cellStyle name="Примечание 2 4 8 3 2 4" xfId="24323"/>
    <cellStyle name="Примечание 2 4 8 3 2 4 2" xfId="39684"/>
    <cellStyle name="Примечание 2 4 8 3 2 5" xfId="13798"/>
    <cellStyle name="Примечание 2 4 8 3 2 6" xfId="29274"/>
    <cellStyle name="Примечание 2 4 8 3 3" xfId="5484"/>
    <cellStyle name="Примечание 2 4 8 3 3 2" xfId="10648"/>
    <cellStyle name="Примечание 2 4 8 3 3 2 2" xfId="21582"/>
    <cellStyle name="Примечание 2 4 8 3 3 2 3" xfId="36943"/>
    <cellStyle name="Примечание 2 4 8 3 3 3" xfId="26535"/>
    <cellStyle name="Примечание 2 4 8 3 3 3 2" xfId="41896"/>
    <cellStyle name="Примечание 2 4 8 3 3 4" xfId="16019"/>
    <cellStyle name="Примечание 2 4 8 3 3 5" xfId="31486"/>
    <cellStyle name="Примечание 2 4 8 3 4" xfId="6626"/>
    <cellStyle name="Примечание 2 4 8 3 4 2" xfId="16233"/>
    <cellStyle name="Примечание 2 4 8 3 4 3" xfId="31700"/>
    <cellStyle name="Примечание 2 4 8 3 5" xfId="22514"/>
    <cellStyle name="Примечание 2 4 8 3 5 2" xfId="37875"/>
    <cellStyle name="Примечание 2 4 8 3 6" xfId="11956"/>
    <cellStyle name="Примечание 2 4 8 3 7" xfId="27465"/>
    <cellStyle name="Примечание 2 4 8 4" xfId="1980"/>
    <cellStyle name="Примечание 2 4 8 4 2" xfId="7216"/>
    <cellStyle name="Примечание 2 4 8 4 2 2" xfId="17543"/>
    <cellStyle name="Примечание 2 4 8 4 2 3" xfId="32994"/>
    <cellStyle name="Примечание 2 4 8 4 3" xfId="18118"/>
    <cellStyle name="Примечание 2 4 8 4 3 2" xfId="33479"/>
    <cellStyle name="Примечание 2 4 8 4 4" xfId="23104"/>
    <cellStyle name="Примечание 2 4 8 4 4 2" xfId="38465"/>
    <cellStyle name="Примечание 2 4 8 4 5" xfId="12555"/>
    <cellStyle name="Примечание 2 4 8 4 6" xfId="28055"/>
    <cellStyle name="Примечание 2 4 8 5" xfId="2043"/>
    <cellStyle name="Примечание 2 4 8 5 2" xfId="7279"/>
    <cellStyle name="Примечание 2 4 8 5 2 2" xfId="18181"/>
    <cellStyle name="Примечание 2 4 8 5 2 3" xfId="33542"/>
    <cellStyle name="Примечание 2 4 8 5 3" xfId="23167"/>
    <cellStyle name="Примечание 2 4 8 5 3 2" xfId="38528"/>
    <cellStyle name="Примечание 2 4 8 5 4" xfId="12618"/>
    <cellStyle name="Примечание 2 4 8 5 5" xfId="28118"/>
    <cellStyle name="Примечание 2 4 8 6" xfId="2929"/>
    <cellStyle name="Примечание 2 4 8 6 2" xfId="8130"/>
    <cellStyle name="Примечание 2 4 8 6 2 2" xfId="19050"/>
    <cellStyle name="Примечание 2 4 8 6 2 3" xfId="34411"/>
    <cellStyle name="Примечание 2 4 8 6 3" xfId="24018"/>
    <cellStyle name="Примечание 2 4 8 6 3 2" xfId="39379"/>
    <cellStyle name="Примечание 2 4 8 6 4" xfId="13487"/>
    <cellStyle name="Примечание 2 4 8 6 5" xfId="28969"/>
    <cellStyle name="Примечание 2 4 8 7" xfId="4069"/>
    <cellStyle name="Примечание 2 4 8 7 2" xfId="9256"/>
    <cellStyle name="Примечание 2 4 8 7 2 2" xfId="20183"/>
    <cellStyle name="Примечание 2 4 8 7 2 3" xfId="35544"/>
    <cellStyle name="Примечание 2 4 8 7 3" xfId="25144"/>
    <cellStyle name="Примечание 2 4 8 7 3 2" xfId="40505"/>
    <cellStyle name="Примечание 2 4 8 7 4" xfId="14620"/>
    <cellStyle name="Примечание 2 4 8 7 5" xfId="30095"/>
    <cellStyle name="Примечание 2 4 8 8" xfId="4883"/>
    <cellStyle name="Примечание 2 4 8 8 2" xfId="10070"/>
    <cellStyle name="Примечание 2 4 8 8 2 2" xfId="20997"/>
    <cellStyle name="Примечание 2 4 8 8 2 3" xfId="36358"/>
    <cellStyle name="Примечание 2 4 8 8 3" xfId="25958"/>
    <cellStyle name="Примечание 2 4 8 8 3 2" xfId="41319"/>
    <cellStyle name="Примечание 2 4 8 8 4" xfId="15434"/>
    <cellStyle name="Примечание 2 4 8 8 5" xfId="30909"/>
    <cellStyle name="Примечание 2 4 8 9" xfId="5877"/>
    <cellStyle name="Примечание 2 4 8 9 2" xfId="16994"/>
    <cellStyle name="Примечание 2 4 8 9 3" xfId="32461"/>
    <cellStyle name="Примечание 2 4 9" xfId="570"/>
    <cellStyle name="Примечание 2 4 9 10" xfId="21766"/>
    <cellStyle name="Примечание 2 4 9 10 2" xfId="37127"/>
    <cellStyle name="Примечание 2 4 9 11" xfId="11195"/>
    <cellStyle name="Примечание 2 4 9 12" xfId="26717"/>
    <cellStyle name="Примечание 2 4 9 2" xfId="708"/>
    <cellStyle name="Примечание 2 4 9 2 10" xfId="11292"/>
    <cellStyle name="Примечание 2 4 9 2 11" xfId="26809"/>
    <cellStyle name="Примечание 2 4 9 2 2" xfId="1441"/>
    <cellStyle name="Примечание 2 4 9 2 2 2" xfId="3243"/>
    <cellStyle name="Примечание 2 4 9 2 2 2 2" xfId="8438"/>
    <cellStyle name="Примечание 2 4 9 2 2 2 2 2" xfId="17549"/>
    <cellStyle name="Примечание 2 4 9 2 2 2 2 3" xfId="33000"/>
    <cellStyle name="Примечание 2 4 9 2 2 2 3" xfId="19364"/>
    <cellStyle name="Примечание 2 4 9 2 2 2 3 2" xfId="34725"/>
    <cellStyle name="Примечание 2 4 9 2 2 2 4" xfId="24326"/>
    <cellStyle name="Примечание 2 4 9 2 2 2 4 2" xfId="39687"/>
    <cellStyle name="Примечание 2 4 9 2 2 2 5" xfId="13801"/>
    <cellStyle name="Примечание 2 4 9 2 2 2 6" xfId="29277"/>
    <cellStyle name="Примечание 2 4 9 2 2 3" xfId="5485"/>
    <cellStyle name="Примечание 2 4 9 2 2 3 2" xfId="10649"/>
    <cellStyle name="Примечание 2 4 9 2 2 3 2 2" xfId="21583"/>
    <cellStyle name="Примечание 2 4 9 2 2 3 2 3" xfId="36944"/>
    <cellStyle name="Примечание 2 4 9 2 2 3 3" xfId="26536"/>
    <cellStyle name="Примечание 2 4 9 2 2 3 3 2" xfId="41897"/>
    <cellStyle name="Примечание 2 4 9 2 2 3 4" xfId="16020"/>
    <cellStyle name="Примечание 2 4 9 2 2 3 5" xfId="31487"/>
    <cellStyle name="Примечание 2 4 9 2 2 4" xfId="6688"/>
    <cellStyle name="Примечание 2 4 9 2 2 4 2" xfId="16170"/>
    <cellStyle name="Примечание 2 4 9 2 2 4 3" xfId="31637"/>
    <cellStyle name="Примечание 2 4 9 2 2 5" xfId="22576"/>
    <cellStyle name="Примечание 2 4 9 2 2 5 2" xfId="37937"/>
    <cellStyle name="Примечание 2 4 9 2 2 6" xfId="12019"/>
    <cellStyle name="Примечание 2 4 9 2 2 7" xfId="27527"/>
    <cellStyle name="Примечание 2 4 9 2 3" xfId="2114"/>
    <cellStyle name="Примечание 2 4 9 2 3 2" xfId="7350"/>
    <cellStyle name="Примечание 2 4 9 2 3 2 2" xfId="17548"/>
    <cellStyle name="Примечание 2 4 9 2 3 2 3" xfId="32999"/>
    <cellStyle name="Примечание 2 4 9 2 3 3" xfId="18252"/>
    <cellStyle name="Примечание 2 4 9 2 3 3 2" xfId="33613"/>
    <cellStyle name="Примечание 2 4 9 2 3 4" xfId="23238"/>
    <cellStyle name="Примечание 2 4 9 2 3 4 2" xfId="38599"/>
    <cellStyle name="Примечание 2 4 9 2 3 5" xfId="12689"/>
    <cellStyle name="Примечание 2 4 9 2 3 6" xfId="28189"/>
    <cellStyle name="Примечание 2 4 9 2 4" xfId="2030"/>
    <cellStyle name="Примечание 2 4 9 2 4 2" xfId="7266"/>
    <cellStyle name="Примечание 2 4 9 2 4 2 2" xfId="18168"/>
    <cellStyle name="Примечание 2 4 9 2 4 2 3" xfId="33529"/>
    <cellStyle name="Примечание 2 4 9 2 4 3" xfId="23154"/>
    <cellStyle name="Примечание 2 4 9 2 4 3 2" xfId="38515"/>
    <cellStyle name="Примечание 2 4 9 2 4 4" xfId="12605"/>
    <cellStyle name="Примечание 2 4 9 2 4 5" xfId="28105"/>
    <cellStyle name="Примечание 2 4 9 2 5" xfId="3819"/>
    <cellStyle name="Примечание 2 4 9 2 5 2" xfId="9006"/>
    <cellStyle name="Примечание 2 4 9 2 5 2 2" xfId="19933"/>
    <cellStyle name="Примечание 2 4 9 2 5 2 3" xfId="35294"/>
    <cellStyle name="Примечание 2 4 9 2 5 3" xfId="24894"/>
    <cellStyle name="Примечание 2 4 9 2 5 3 2" xfId="40255"/>
    <cellStyle name="Примечание 2 4 9 2 5 4" xfId="14370"/>
    <cellStyle name="Примечание 2 4 9 2 5 5" xfId="29845"/>
    <cellStyle name="Примечание 2 4 9 2 6" xfId="4162"/>
    <cellStyle name="Примечание 2 4 9 2 6 2" xfId="9349"/>
    <cellStyle name="Примечание 2 4 9 2 6 2 2" xfId="20276"/>
    <cellStyle name="Примечание 2 4 9 2 6 2 3" xfId="35637"/>
    <cellStyle name="Примечание 2 4 9 2 6 3" xfId="25237"/>
    <cellStyle name="Примечание 2 4 9 2 6 3 2" xfId="40598"/>
    <cellStyle name="Примечание 2 4 9 2 6 4" xfId="14713"/>
    <cellStyle name="Примечание 2 4 9 2 6 5" xfId="30188"/>
    <cellStyle name="Примечание 2 4 9 2 7" xfId="4619"/>
    <cellStyle name="Примечание 2 4 9 2 7 2" xfId="9806"/>
    <cellStyle name="Примечание 2 4 9 2 7 2 2" xfId="20733"/>
    <cellStyle name="Примечание 2 4 9 2 7 2 3" xfId="36094"/>
    <cellStyle name="Примечание 2 4 9 2 7 3" xfId="25694"/>
    <cellStyle name="Примечание 2 4 9 2 7 3 2" xfId="41055"/>
    <cellStyle name="Примечание 2 4 9 2 7 4" xfId="15170"/>
    <cellStyle name="Примечание 2 4 9 2 7 5" xfId="30645"/>
    <cellStyle name="Примечание 2 4 9 2 8" xfId="5970"/>
    <cellStyle name="Примечание 2 4 9 2 8 2" xfId="16897"/>
    <cellStyle name="Примечание 2 4 9 2 8 3" xfId="32364"/>
    <cellStyle name="Примечание 2 4 9 2 9" xfId="21858"/>
    <cellStyle name="Примечание 2 4 9 2 9 2" xfId="37219"/>
    <cellStyle name="Примечание 2 4 9 3" xfId="1576"/>
    <cellStyle name="Примечание 2 4 9 3 2" xfId="3244"/>
    <cellStyle name="Примечание 2 4 9 3 2 2" xfId="8439"/>
    <cellStyle name="Примечание 2 4 9 3 2 2 2" xfId="17550"/>
    <cellStyle name="Примечание 2 4 9 3 2 2 3" xfId="33001"/>
    <cellStyle name="Примечание 2 4 9 3 2 3" xfId="19365"/>
    <cellStyle name="Примечание 2 4 9 3 2 3 2" xfId="34726"/>
    <cellStyle name="Примечание 2 4 9 3 2 4" xfId="24327"/>
    <cellStyle name="Примечание 2 4 9 3 2 4 2" xfId="39688"/>
    <cellStyle name="Примечание 2 4 9 3 2 5" xfId="13802"/>
    <cellStyle name="Примечание 2 4 9 3 2 6" xfId="29278"/>
    <cellStyle name="Примечание 2 4 9 3 3" xfId="5486"/>
    <cellStyle name="Примечание 2 4 9 3 3 2" xfId="10650"/>
    <cellStyle name="Примечание 2 4 9 3 3 2 2" xfId="21584"/>
    <cellStyle name="Примечание 2 4 9 3 3 2 3" xfId="36945"/>
    <cellStyle name="Примечание 2 4 9 3 3 3" xfId="26537"/>
    <cellStyle name="Примечание 2 4 9 3 3 3 2" xfId="41898"/>
    <cellStyle name="Примечание 2 4 9 3 3 4" xfId="16021"/>
    <cellStyle name="Примечание 2 4 9 3 3 5" xfId="31488"/>
    <cellStyle name="Примечание 2 4 9 3 4" xfId="6823"/>
    <cellStyle name="Примечание 2 4 9 3 4 2" xfId="17718"/>
    <cellStyle name="Примечание 2 4 9 3 4 3" xfId="33079"/>
    <cellStyle name="Примечание 2 4 9 3 5" xfId="22711"/>
    <cellStyle name="Примечание 2 4 9 3 5 2" xfId="38072"/>
    <cellStyle name="Примечание 2 4 9 3 6" xfId="12154"/>
    <cellStyle name="Примечание 2 4 9 3 7" xfId="27662"/>
    <cellStyle name="Примечание 2 4 9 4" xfId="1981"/>
    <cellStyle name="Примечание 2 4 9 4 2" xfId="7217"/>
    <cellStyle name="Примечание 2 4 9 4 2 2" xfId="17547"/>
    <cellStyle name="Примечание 2 4 9 4 2 3" xfId="32998"/>
    <cellStyle name="Примечание 2 4 9 4 3" xfId="18119"/>
    <cellStyle name="Примечание 2 4 9 4 3 2" xfId="33480"/>
    <cellStyle name="Примечание 2 4 9 4 4" xfId="23105"/>
    <cellStyle name="Примечание 2 4 9 4 4 2" xfId="38466"/>
    <cellStyle name="Примечание 2 4 9 4 5" xfId="12556"/>
    <cellStyle name="Примечание 2 4 9 4 6" xfId="28056"/>
    <cellStyle name="Примечание 2 4 9 5" xfId="1871"/>
    <cellStyle name="Примечание 2 4 9 5 2" xfId="7110"/>
    <cellStyle name="Примечание 2 4 9 5 2 2" xfId="18012"/>
    <cellStyle name="Примечание 2 4 9 5 2 3" xfId="33373"/>
    <cellStyle name="Примечание 2 4 9 5 3" xfId="22998"/>
    <cellStyle name="Примечание 2 4 9 5 3 2" xfId="38359"/>
    <cellStyle name="Примечание 2 4 9 5 4" xfId="12449"/>
    <cellStyle name="Примечание 2 4 9 5 5" xfId="27949"/>
    <cellStyle name="Примечание 2 4 9 6" xfId="3578"/>
    <cellStyle name="Примечание 2 4 9 6 2" xfId="8765"/>
    <cellStyle name="Примечание 2 4 9 6 2 2" xfId="19692"/>
    <cellStyle name="Примечание 2 4 9 6 2 3" xfId="35053"/>
    <cellStyle name="Примечание 2 4 9 6 3" xfId="24653"/>
    <cellStyle name="Примечание 2 4 9 6 3 2" xfId="40014"/>
    <cellStyle name="Примечание 2 4 9 6 4" xfId="14129"/>
    <cellStyle name="Примечание 2 4 9 6 5" xfId="29604"/>
    <cellStyle name="Примечание 2 4 9 7" xfId="4070"/>
    <cellStyle name="Примечание 2 4 9 7 2" xfId="9257"/>
    <cellStyle name="Примечание 2 4 9 7 2 2" xfId="20184"/>
    <cellStyle name="Примечание 2 4 9 7 2 3" xfId="35545"/>
    <cellStyle name="Примечание 2 4 9 7 3" xfId="25145"/>
    <cellStyle name="Примечание 2 4 9 7 3 2" xfId="40506"/>
    <cellStyle name="Примечание 2 4 9 7 4" xfId="14621"/>
    <cellStyle name="Примечание 2 4 9 7 5" xfId="30096"/>
    <cellStyle name="Примечание 2 4 9 8" xfId="4664"/>
    <cellStyle name="Примечание 2 4 9 8 2" xfId="9851"/>
    <cellStyle name="Примечание 2 4 9 8 2 2" xfId="20778"/>
    <cellStyle name="Примечание 2 4 9 8 2 3" xfId="36139"/>
    <cellStyle name="Примечание 2 4 9 8 3" xfId="25739"/>
    <cellStyle name="Примечание 2 4 9 8 3 2" xfId="41100"/>
    <cellStyle name="Примечание 2 4 9 8 4" xfId="15215"/>
    <cellStyle name="Примечание 2 4 9 8 5" xfId="30690"/>
    <cellStyle name="Примечание 2 4 9 9" xfId="5878"/>
    <cellStyle name="Примечание 2 4 9 9 2" xfId="16993"/>
    <cellStyle name="Примечание 2 4 9 9 3" xfId="32460"/>
    <cellStyle name="Примечание 2 5" xfId="571"/>
    <cellStyle name="Примечание 2 5 2" xfId="43495"/>
    <cellStyle name="Примечание 2 5 2 2" xfId="45061"/>
    <cellStyle name="Примечание 2 5 2 2 2" xfId="45062"/>
    <cellStyle name="Примечание 2 5 2 3" xfId="45063"/>
    <cellStyle name="Примечание 2 5 2 4" xfId="46590"/>
    <cellStyle name="Примечание 2 5 2 5" xfId="45060"/>
    <cellStyle name="Примечание 2 5 3" xfId="45064"/>
    <cellStyle name="Примечание 2 5 3 2" xfId="45065"/>
    <cellStyle name="Примечание 2 5 4" xfId="45066"/>
    <cellStyle name="Примечание 2 5 5" xfId="45067"/>
    <cellStyle name="Примечание 2 5 6" xfId="46589"/>
    <cellStyle name="Примечание 2 6" xfId="3246"/>
    <cellStyle name="Примечание 2 6 2" xfId="43496"/>
    <cellStyle name="Примечание 2 6 2 2" xfId="45069"/>
    <cellStyle name="Примечание 2 6 2 2 2" xfId="45070"/>
    <cellStyle name="Примечание 2 6 2 3" xfId="45071"/>
    <cellStyle name="Примечание 2 6 2 4" xfId="46592"/>
    <cellStyle name="Примечание 2 6 2 5" xfId="45068"/>
    <cellStyle name="Примечание 2 6 3" xfId="45072"/>
    <cellStyle name="Примечание 2 6 3 2" xfId="45073"/>
    <cellStyle name="Примечание 2 6 4" xfId="45074"/>
    <cellStyle name="Примечание 2 6 5" xfId="45075"/>
    <cellStyle name="Примечание 2 6 6" xfId="46591"/>
    <cellStyle name="Примечание 2 7" xfId="17563"/>
    <cellStyle name="Примечание 2 7 2" xfId="45076"/>
    <cellStyle name="Примечание 2 7 2 2" xfId="45077"/>
    <cellStyle name="Примечание 2 7 2 2 2" xfId="45078"/>
    <cellStyle name="Примечание 2 7 2 3" xfId="45079"/>
    <cellStyle name="Примечание 2 7 2 4" xfId="46594"/>
    <cellStyle name="Примечание 2 7 3" xfId="45080"/>
    <cellStyle name="Примечание 2 7 3 2" xfId="45081"/>
    <cellStyle name="Примечание 2 7 4" xfId="45082"/>
    <cellStyle name="Примечание 2 7 5" xfId="46593"/>
    <cellStyle name="Примечание 2 8" xfId="43497"/>
    <cellStyle name="Примечание 2 8 2" xfId="45084"/>
    <cellStyle name="Примечание 2 8 2 2" xfId="45085"/>
    <cellStyle name="Примечание 2 8 2 3" xfId="46596"/>
    <cellStyle name="Примечание 2 8 3" xfId="45086"/>
    <cellStyle name="Примечание 2 8 4" xfId="46595"/>
    <cellStyle name="Примечание 2 8 5" xfId="45083"/>
    <cellStyle name="Примечание 2 9" xfId="45087"/>
    <cellStyle name="Примечание 2 9 2" xfId="45088"/>
    <cellStyle name="Примечание 2 9 3" xfId="46597"/>
    <cellStyle name="Примечание 2_46EE.2011(v1.0)" xfId="43498"/>
    <cellStyle name="Примечание 3" xfId="572"/>
    <cellStyle name="Примечание 3 10" xfId="573"/>
    <cellStyle name="Примечание 3 10 10" xfId="21768"/>
    <cellStyle name="Примечание 3 10 10 2" xfId="37129"/>
    <cellStyle name="Примечание 3 10 11" xfId="11198"/>
    <cellStyle name="Примечание 3 10 12" xfId="26719"/>
    <cellStyle name="Примечание 3 10 2" xfId="706"/>
    <cellStyle name="Примечание 3 10 2 10" xfId="11290"/>
    <cellStyle name="Примечание 3 10 2 11" xfId="26807"/>
    <cellStyle name="Примечание 3 10 2 2" xfId="1173"/>
    <cellStyle name="Примечание 3 10 2 2 2" xfId="3250"/>
    <cellStyle name="Примечание 3 10 2 2 2 2" xfId="8444"/>
    <cellStyle name="Примечание 3 10 2 2 2 2 2" xfId="19371"/>
    <cellStyle name="Примечание 3 10 2 2 2 2 3" xfId="34732"/>
    <cellStyle name="Примечание 3 10 2 2 2 3" xfId="24332"/>
    <cellStyle name="Примечание 3 10 2 2 2 3 2" xfId="39693"/>
    <cellStyle name="Примечание 3 10 2 2 2 4" xfId="13808"/>
    <cellStyle name="Примечание 3 10 2 2 2 5" xfId="29283"/>
    <cellStyle name="Примечание 3 10 2 2 3" xfId="5488"/>
    <cellStyle name="Примечание 3 10 2 2 3 2" xfId="10652"/>
    <cellStyle name="Примечание 3 10 2 2 3 2 2" xfId="21586"/>
    <cellStyle name="Примечание 3 10 2 2 3 2 3" xfId="36947"/>
    <cellStyle name="Примечание 3 10 2 2 3 3" xfId="26539"/>
    <cellStyle name="Примечание 3 10 2 2 3 3 2" xfId="41900"/>
    <cellStyle name="Примечание 3 10 2 2 3 4" xfId="16023"/>
    <cellStyle name="Примечание 3 10 2 2 3 5" xfId="31490"/>
    <cellStyle name="Примечание 3 10 2 2 4" xfId="6427"/>
    <cellStyle name="Примечание 3 10 2 2 4 2" xfId="16435"/>
    <cellStyle name="Примечание 3 10 2 2 4 3" xfId="31902"/>
    <cellStyle name="Примечание 3 10 2 2 5" xfId="22315"/>
    <cellStyle name="Примечание 3 10 2 2 5 2" xfId="37676"/>
    <cellStyle name="Примечание 3 10 2 2 6" xfId="11754"/>
    <cellStyle name="Примечание 3 10 2 2 7" xfId="27266"/>
    <cellStyle name="Примечание 3 10 2 3" xfId="2112"/>
    <cellStyle name="Примечание 3 10 2 3 2" xfId="7348"/>
    <cellStyle name="Примечание 3 10 2 3 2 2" xfId="18250"/>
    <cellStyle name="Примечание 3 10 2 3 2 3" xfId="33611"/>
    <cellStyle name="Примечание 3 10 2 3 3" xfId="23236"/>
    <cellStyle name="Примечание 3 10 2 3 3 2" xfId="38597"/>
    <cellStyle name="Примечание 3 10 2 3 4" xfId="12687"/>
    <cellStyle name="Примечание 3 10 2 3 5" xfId="28187"/>
    <cellStyle name="Примечание 3 10 2 4" xfId="2389"/>
    <cellStyle name="Примечание 3 10 2 4 2" xfId="7625"/>
    <cellStyle name="Примечание 3 10 2 4 2 2" xfId="18527"/>
    <cellStyle name="Примечание 3 10 2 4 2 3" xfId="33888"/>
    <cellStyle name="Примечание 3 10 2 4 3" xfId="23513"/>
    <cellStyle name="Примечание 3 10 2 4 3 2" xfId="38874"/>
    <cellStyle name="Примечание 3 10 2 4 4" xfId="12964"/>
    <cellStyle name="Примечание 3 10 2 4 5" xfId="28464"/>
    <cellStyle name="Примечание 3 10 2 5" xfId="3603"/>
    <cellStyle name="Примечание 3 10 2 5 2" xfId="8790"/>
    <cellStyle name="Примечание 3 10 2 5 2 2" xfId="19717"/>
    <cellStyle name="Примечание 3 10 2 5 2 3" xfId="35078"/>
    <cellStyle name="Примечание 3 10 2 5 3" xfId="24678"/>
    <cellStyle name="Примечание 3 10 2 5 3 2" xfId="40039"/>
    <cellStyle name="Примечание 3 10 2 5 4" xfId="14154"/>
    <cellStyle name="Примечание 3 10 2 5 5" xfId="29629"/>
    <cellStyle name="Примечание 3 10 2 6" xfId="4160"/>
    <cellStyle name="Примечание 3 10 2 6 2" xfId="9347"/>
    <cellStyle name="Примечание 3 10 2 6 2 2" xfId="20274"/>
    <cellStyle name="Примечание 3 10 2 6 2 3" xfId="35635"/>
    <cellStyle name="Примечание 3 10 2 6 3" xfId="25235"/>
    <cellStyle name="Примечание 3 10 2 6 3 2" xfId="40596"/>
    <cellStyle name="Примечание 3 10 2 6 4" xfId="14711"/>
    <cellStyle name="Примечание 3 10 2 6 5" xfId="30186"/>
    <cellStyle name="Примечание 3 10 2 7" xfId="4620"/>
    <cellStyle name="Примечание 3 10 2 7 2" xfId="9807"/>
    <cellStyle name="Примечание 3 10 2 7 2 2" xfId="20734"/>
    <cellStyle name="Примечание 3 10 2 7 2 3" xfId="36095"/>
    <cellStyle name="Примечание 3 10 2 7 3" xfId="25695"/>
    <cellStyle name="Примечание 3 10 2 7 3 2" xfId="41056"/>
    <cellStyle name="Примечание 3 10 2 7 4" xfId="15171"/>
    <cellStyle name="Примечание 3 10 2 7 5" xfId="30646"/>
    <cellStyle name="Примечание 3 10 2 8" xfId="5968"/>
    <cellStyle name="Примечание 3 10 2 8 2" xfId="16899"/>
    <cellStyle name="Примечание 3 10 2 8 3" xfId="32366"/>
    <cellStyle name="Примечание 3 10 2 9" xfId="21856"/>
    <cellStyle name="Примечание 3 10 2 9 2" xfId="37217"/>
    <cellStyle name="Примечание 3 10 3" xfId="1770"/>
    <cellStyle name="Примечание 3 10 3 2" xfId="3251"/>
    <cellStyle name="Примечание 3 10 3 2 2" xfId="8445"/>
    <cellStyle name="Примечание 3 10 3 2 2 2" xfId="19372"/>
    <cellStyle name="Примечание 3 10 3 2 2 3" xfId="34733"/>
    <cellStyle name="Примечание 3 10 3 2 3" xfId="24333"/>
    <cellStyle name="Примечание 3 10 3 2 3 2" xfId="39694"/>
    <cellStyle name="Примечание 3 10 3 2 4" xfId="13809"/>
    <cellStyle name="Примечание 3 10 3 2 5" xfId="29284"/>
    <cellStyle name="Примечание 3 10 3 3" xfId="5489"/>
    <cellStyle name="Примечание 3 10 3 3 2" xfId="10653"/>
    <cellStyle name="Примечание 3 10 3 3 2 2" xfId="21587"/>
    <cellStyle name="Примечание 3 10 3 3 2 3" xfId="36948"/>
    <cellStyle name="Примечание 3 10 3 3 3" xfId="26540"/>
    <cellStyle name="Примечание 3 10 3 3 3 2" xfId="41901"/>
    <cellStyle name="Примечание 3 10 3 3 4" xfId="16024"/>
    <cellStyle name="Примечание 3 10 3 3 5" xfId="31491"/>
    <cellStyle name="Примечание 3 10 3 4" xfId="7009"/>
    <cellStyle name="Примечание 3 10 3 4 2" xfId="17911"/>
    <cellStyle name="Примечание 3 10 3 4 3" xfId="33272"/>
    <cellStyle name="Примечание 3 10 3 5" xfId="22897"/>
    <cellStyle name="Примечание 3 10 3 5 2" xfId="38258"/>
    <cellStyle name="Примечание 3 10 3 6" xfId="12348"/>
    <cellStyle name="Примечание 3 10 3 7" xfId="27848"/>
    <cellStyle name="Примечание 3 10 4" xfId="1984"/>
    <cellStyle name="Примечание 3 10 4 2" xfId="7220"/>
    <cellStyle name="Примечание 3 10 4 2 2" xfId="18122"/>
    <cellStyle name="Примечание 3 10 4 2 3" xfId="33483"/>
    <cellStyle name="Примечание 3 10 4 3" xfId="23108"/>
    <cellStyle name="Примечание 3 10 4 3 2" xfId="38469"/>
    <cellStyle name="Примечание 3 10 4 4" xfId="12559"/>
    <cellStyle name="Примечание 3 10 4 5" xfId="28059"/>
    <cellStyle name="Примечание 3 10 5" xfId="2474"/>
    <cellStyle name="Примечание 3 10 5 2" xfId="7710"/>
    <cellStyle name="Примечание 3 10 5 2 2" xfId="18612"/>
    <cellStyle name="Примечание 3 10 5 2 3" xfId="33973"/>
    <cellStyle name="Примечание 3 10 5 3" xfId="23598"/>
    <cellStyle name="Примечание 3 10 5 3 2" xfId="38959"/>
    <cellStyle name="Примечание 3 10 5 4" xfId="13049"/>
    <cellStyle name="Примечание 3 10 5 5" xfId="28549"/>
    <cellStyle name="Примечание 3 10 6" xfId="3579"/>
    <cellStyle name="Примечание 3 10 6 2" xfId="8766"/>
    <cellStyle name="Примечание 3 10 6 2 2" xfId="19693"/>
    <cellStyle name="Примечание 3 10 6 2 3" xfId="35054"/>
    <cellStyle name="Примечание 3 10 6 3" xfId="24654"/>
    <cellStyle name="Примечание 3 10 6 3 2" xfId="40015"/>
    <cellStyle name="Примечание 3 10 6 4" xfId="14130"/>
    <cellStyle name="Примечание 3 10 6 5" xfId="29605"/>
    <cellStyle name="Примечание 3 10 7" xfId="4072"/>
    <cellStyle name="Примечание 3 10 7 2" xfId="9259"/>
    <cellStyle name="Примечание 3 10 7 2 2" xfId="20186"/>
    <cellStyle name="Примечание 3 10 7 2 3" xfId="35547"/>
    <cellStyle name="Примечание 3 10 7 3" xfId="25147"/>
    <cellStyle name="Примечание 3 10 7 3 2" xfId="40508"/>
    <cellStyle name="Примечание 3 10 7 4" xfId="14623"/>
    <cellStyle name="Примечание 3 10 7 5" xfId="30098"/>
    <cellStyle name="Примечание 3 10 8" xfId="4663"/>
    <cellStyle name="Примечание 3 10 8 2" xfId="9850"/>
    <cellStyle name="Примечание 3 10 8 2 2" xfId="20777"/>
    <cellStyle name="Примечание 3 10 8 2 3" xfId="36138"/>
    <cellStyle name="Примечание 3 10 8 3" xfId="25738"/>
    <cellStyle name="Примечание 3 10 8 3 2" xfId="41099"/>
    <cellStyle name="Примечание 3 10 8 4" xfId="15214"/>
    <cellStyle name="Примечание 3 10 8 5" xfId="30689"/>
    <cellStyle name="Примечание 3 10 9" xfId="5880"/>
    <cellStyle name="Примечание 3 10 9 2" xfId="16990"/>
    <cellStyle name="Примечание 3 10 9 3" xfId="32457"/>
    <cellStyle name="Примечание 3 11" xfId="574"/>
    <cellStyle name="Примечание 3 11 10" xfId="21769"/>
    <cellStyle name="Примечание 3 11 10 2" xfId="37130"/>
    <cellStyle name="Примечание 3 11 11" xfId="11199"/>
    <cellStyle name="Примечание 3 11 12" xfId="26720"/>
    <cellStyle name="Примечание 3 11 2" xfId="705"/>
    <cellStyle name="Примечание 3 11 2 10" xfId="11289"/>
    <cellStyle name="Примечание 3 11 2 11" xfId="26806"/>
    <cellStyle name="Примечание 3 11 2 2" xfId="1472"/>
    <cellStyle name="Примечание 3 11 2 2 2" xfId="3254"/>
    <cellStyle name="Примечание 3 11 2 2 2 2" xfId="8448"/>
    <cellStyle name="Примечание 3 11 2 2 2 2 2" xfId="19375"/>
    <cellStyle name="Примечание 3 11 2 2 2 2 3" xfId="34736"/>
    <cellStyle name="Примечание 3 11 2 2 2 3" xfId="24336"/>
    <cellStyle name="Примечание 3 11 2 2 2 3 2" xfId="39697"/>
    <cellStyle name="Примечание 3 11 2 2 2 4" xfId="13812"/>
    <cellStyle name="Примечание 3 11 2 2 2 5" xfId="29287"/>
    <cellStyle name="Примечание 3 11 2 2 3" xfId="5490"/>
    <cellStyle name="Примечание 3 11 2 2 3 2" xfId="10654"/>
    <cellStyle name="Примечание 3 11 2 2 3 2 2" xfId="21588"/>
    <cellStyle name="Примечание 3 11 2 2 3 2 3" xfId="36949"/>
    <cellStyle name="Примечание 3 11 2 2 3 3" xfId="26541"/>
    <cellStyle name="Примечание 3 11 2 2 3 3 2" xfId="41902"/>
    <cellStyle name="Примечание 3 11 2 2 3 4" xfId="16025"/>
    <cellStyle name="Примечание 3 11 2 2 3 5" xfId="31492"/>
    <cellStyle name="Примечание 3 11 2 2 4" xfId="6719"/>
    <cellStyle name="Примечание 3 11 2 2 4 2" xfId="16139"/>
    <cellStyle name="Примечание 3 11 2 2 4 3" xfId="31606"/>
    <cellStyle name="Примечание 3 11 2 2 5" xfId="22607"/>
    <cellStyle name="Примечание 3 11 2 2 5 2" xfId="37968"/>
    <cellStyle name="Примечание 3 11 2 2 6" xfId="12050"/>
    <cellStyle name="Примечание 3 11 2 2 7" xfId="27558"/>
    <cellStyle name="Примечание 3 11 2 3" xfId="2111"/>
    <cellStyle name="Примечание 3 11 2 3 2" xfId="7347"/>
    <cellStyle name="Примечание 3 11 2 3 2 2" xfId="18249"/>
    <cellStyle name="Примечание 3 11 2 3 2 3" xfId="33610"/>
    <cellStyle name="Примечание 3 11 2 3 3" xfId="23235"/>
    <cellStyle name="Примечание 3 11 2 3 3 2" xfId="38596"/>
    <cellStyle name="Примечание 3 11 2 3 4" xfId="12686"/>
    <cellStyle name="Примечание 3 11 2 3 5" xfId="28186"/>
    <cellStyle name="Примечание 3 11 2 4" xfId="2759"/>
    <cellStyle name="Примечание 3 11 2 4 2" xfId="7988"/>
    <cellStyle name="Примечание 3 11 2 4 2 2" xfId="18892"/>
    <cellStyle name="Примечание 3 11 2 4 2 3" xfId="34253"/>
    <cellStyle name="Примечание 3 11 2 4 3" xfId="23876"/>
    <cellStyle name="Примечание 3 11 2 4 3 2" xfId="39237"/>
    <cellStyle name="Примечание 3 11 2 4 4" xfId="13329"/>
    <cellStyle name="Примечание 3 11 2 4 5" xfId="28827"/>
    <cellStyle name="Примечание 3 11 2 5" xfId="2619"/>
    <cellStyle name="Примечание 3 11 2 5 2" xfId="7851"/>
    <cellStyle name="Примечание 3 11 2 5 2 2" xfId="18754"/>
    <cellStyle name="Примечание 3 11 2 5 2 3" xfId="34115"/>
    <cellStyle name="Примечание 3 11 2 5 3" xfId="23739"/>
    <cellStyle name="Примечание 3 11 2 5 3 2" xfId="39100"/>
    <cellStyle name="Примечание 3 11 2 5 4" xfId="13191"/>
    <cellStyle name="Примечание 3 11 2 5 5" xfId="28690"/>
    <cellStyle name="Примечание 3 11 2 6" xfId="4159"/>
    <cellStyle name="Примечание 3 11 2 6 2" xfId="9346"/>
    <cellStyle name="Примечание 3 11 2 6 2 2" xfId="20273"/>
    <cellStyle name="Примечание 3 11 2 6 2 3" xfId="35634"/>
    <cellStyle name="Примечание 3 11 2 6 3" xfId="25234"/>
    <cellStyle name="Примечание 3 11 2 6 3 2" xfId="40595"/>
    <cellStyle name="Примечание 3 11 2 6 4" xfId="14710"/>
    <cellStyle name="Примечание 3 11 2 6 5" xfId="30185"/>
    <cellStyle name="Примечание 3 11 2 7" xfId="4926"/>
    <cellStyle name="Примечание 3 11 2 7 2" xfId="10113"/>
    <cellStyle name="Примечание 3 11 2 7 2 2" xfId="21040"/>
    <cellStyle name="Примечание 3 11 2 7 2 3" xfId="36401"/>
    <cellStyle name="Примечание 3 11 2 7 3" xfId="26001"/>
    <cellStyle name="Примечание 3 11 2 7 3 2" xfId="41362"/>
    <cellStyle name="Примечание 3 11 2 7 4" xfId="15477"/>
    <cellStyle name="Примечание 3 11 2 7 5" xfId="30952"/>
    <cellStyle name="Примечание 3 11 2 8" xfId="5967"/>
    <cellStyle name="Примечание 3 11 2 8 2" xfId="16900"/>
    <cellStyle name="Примечание 3 11 2 8 3" xfId="32367"/>
    <cellStyle name="Примечание 3 11 2 9" xfId="21855"/>
    <cellStyle name="Примечание 3 11 2 9 2" xfId="37216"/>
    <cellStyle name="Примечание 3 11 3" xfId="1079"/>
    <cellStyle name="Примечание 3 11 3 2" xfId="3255"/>
    <cellStyle name="Примечание 3 11 3 2 2" xfId="8449"/>
    <cellStyle name="Примечание 3 11 3 2 2 2" xfId="19376"/>
    <cellStyle name="Примечание 3 11 3 2 2 3" xfId="34737"/>
    <cellStyle name="Примечание 3 11 3 2 3" xfId="24337"/>
    <cellStyle name="Примечание 3 11 3 2 3 2" xfId="39698"/>
    <cellStyle name="Примечание 3 11 3 2 4" xfId="13813"/>
    <cellStyle name="Примечание 3 11 3 2 5" xfId="29288"/>
    <cellStyle name="Примечание 3 11 3 3" xfId="5491"/>
    <cellStyle name="Примечание 3 11 3 3 2" xfId="10655"/>
    <cellStyle name="Примечание 3 11 3 3 2 2" xfId="21589"/>
    <cellStyle name="Примечание 3 11 3 3 2 3" xfId="36950"/>
    <cellStyle name="Примечание 3 11 3 3 3" xfId="26542"/>
    <cellStyle name="Примечание 3 11 3 3 3 2" xfId="41903"/>
    <cellStyle name="Примечание 3 11 3 3 4" xfId="16026"/>
    <cellStyle name="Примечание 3 11 3 3 5" xfId="31493"/>
    <cellStyle name="Примечание 3 11 3 4" xfId="6336"/>
    <cellStyle name="Примечание 3 11 3 4 2" xfId="16528"/>
    <cellStyle name="Примечание 3 11 3 4 3" xfId="31995"/>
    <cellStyle name="Примечание 3 11 3 5" xfId="22224"/>
    <cellStyle name="Примечание 3 11 3 5 2" xfId="37585"/>
    <cellStyle name="Примечание 3 11 3 6" xfId="11661"/>
    <cellStyle name="Примечание 3 11 3 7" xfId="27175"/>
    <cellStyle name="Примечание 3 11 4" xfId="1985"/>
    <cellStyle name="Примечание 3 11 4 2" xfId="7221"/>
    <cellStyle name="Примечание 3 11 4 2 2" xfId="18123"/>
    <cellStyle name="Примечание 3 11 4 2 3" xfId="33484"/>
    <cellStyle name="Примечание 3 11 4 3" xfId="23109"/>
    <cellStyle name="Примечание 3 11 4 3 2" xfId="38470"/>
    <cellStyle name="Примечание 3 11 4 4" xfId="12560"/>
    <cellStyle name="Примечание 3 11 4 5" xfId="28060"/>
    <cellStyle name="Примечание 3 11 5" xfId="1867"/>
    <cellStyle name="Примечание 3 11 5 2" xfId="7106"/>
    <cellStyle name="Примечание 3 11 5 2 2" xfId="18008"/>
    <cellStyle name="Примечание 3 11 5 2 3" xfId="33369"/>
    <cellStyle name="Примечание 3 11 5 3" xfId="22994"/>
    <cellStyle name="Примечание 3 11 5 3 2" xfId="38355"/>
    <cellStyle name="Примечание 3 11 5 4" xfId="12445"/>
    <cellStyle name="Примечание 3 11 5 5" xfId="27945"/>
    <cellStyle name="Примечание 3 11 6" xfId="2927"/>
    <cellStyle name="Примечание 3 11 6 2" xfId="8128"/>
    <cellStyle name="Примечание 3 11 6 2 2" xfId="19048"/>
    <cellStyle name="Примечание 3 11 6 2 3" xfId="34409"/>
    <cellStyle name="Примечание 3 11 6 3" xfId="24016"/>
    <cellStyle name="Примечание 3 11 6 3 2" xfId="39377"/>
    <cellStyle name="Примечание 3 11 6 4" xfId="13485"/>
    <cellStyle name="Примечание 3 11 6 5" xfId="28967"/>
    <cellStyle name="Примечание 3 11 7" xfId="4073"/>
    <cellStyle name="Примечание 3 11 7 2" xfId="9260"/>
    <cellStyle name="Примечание 3 11 7 2 2" xfId="20187"/>
    <cellStyle name="Примечание 3 11 7 2 3" xfId="35548"/>
    <cellStyle name="Примечание 3 11 7 3" xfId="25148"/>
    <cellStyle name="Примечание 3 11 7 3 2" xfId="40509"/>
    <cellStyle name="Примечание 3 11 7 4" xfId="14624"/>
    <cellStyle name="Примечание 3 11 7 5" xfId="30099"/>
    <cellStyle name="Примечание 3 11 8" xfId="4885"/>
    <cellStyle name="Примечание 3 11 8 2" xfId="10072"/>
    <cellStyle name="Примечание 3 11 8 2 2" xfId="20999"/>
    <cellStyle name="Примечание 3 11 8 2 3" xfId="36360"/>
    <cellStyle name="Примечание 3 11 8 3" xfId="25960"/>
    <cellStyle name="Примечание 3 11 8 3 2" xfId="41321"/>
    <cellStyle name="Примечание 3 11 8 4" xfId="15436"/>
    <cellStyle name="Примечание 3 11 8 5" xfId="30911"/>
    <cellStyle name="Примечание 3 11 9" xfId="5881"/>
    <cellStyle name="Примечание 3 11 9 2" xfId="16989"/>
    <cellStyle name="Примечание 3 11 9 3" xfId="32456"/>
    <cellStyle name="Примечание 3 12" xfId="575"/>
    <cellStyle name="Примечание 3 12 10" xfId="21770"/>
    <cellStyle name="Примечание 3 12 10 2" xfId="37131"/>
    <cellStyle name="Примечание 3 12 11" xfId="11200"/>
    <cellStyle name="Примечание 3 12 12" xfId="26721"/>
    <cellStyle name="Примечание 3 12 2" xfId="704"/>
    <cellStyle name="Примечание 3 12 2 10" xfId="11288"/>
    <cellStyle name="Примечание 3 12 2 11" xfId="26805"/>
    <cellStyle name="Примечание 3 12 2 2" xfId="1037"/>
    <cellStyle name="Примечание 3 12 2 2 2" xfId="3258"/>
    <cellStyle name="Примечание 3 12 2 2 2 2" xfId="8452"/>
    <cellStyle name="Примечание 3 12 2 2 2 2 2" xfId="19379"/>
    <cellStyle name="Примечание 3 12 2 2 2 2 3" xfId="34740"/>
    <cellStyle name="Примечание 3 12 2 2 2 3" xfId="24340"/>
    <cellStyle name="Примечание 3 12 2 2 2 3 2" xfId="39701"/>
    <cellStyle name="Примечание 3 12 2 2 2 4" xfId="13816"/>
    <cellStyle name="Примечание 3 12 2 2 2 5" xfId="29291"/>
    <cellStyle name="Примечание 3 12 2 2 3" xfId="5492"/>
    <cellStyle name="Примечание 3 12 2 2 3 2" xfId="10656"/>
    <cellStyle name="Примечание 3 12 2 2 3 2 2" xfId="21590"/>
    <cellStyle name="Примечание 3 12 2 2 3 2 3" xfId="36951"/>
    <cellStyle name="Примечание 3 12 2 2 3 3" xfId="26543"/>
    <cellStyle name="Примечание 3 12 2 2 3 3 2" xfId="41904"/>
    <cellStyle name="Примечание 3 12 2 2 3 4" xfId="16027"/>
    <cellStyle name="Примечание 3 12 2 2 3 5" xfId="31494"/>
    <cellStyle name="Примечание 3 12 2 2 4" xfId="6295"/>
    <cellStyle name="Примечание 3 12 2 2 4 2" xfId="16569"/>
    <cellStyle name="Примечание 3 12 2 2 4 3" xfId="32036"/>
    <cellStyle name="Примечание 3 12 2 2 5" xfId="22183"/>
    <cellStyle name="Примечание 3 12 2 2 5 2" xfId="37544"/>
    <cellStyle name="Примечание 3 12 2 2 6" xfId="11620"/>
    <cellStyle name="Примечание 3 12 2 2 7" xfId="27134"/>
    <cellStyle name="Примечание 3 12 2 3" xfId="2110"/>
    <cellStyle name="Примечание 3 12 2 3 2" xfId="7346"/>
    <cellStyle name="Примечание 3 12 2 3 2 2" xfId="18248"/>
    <cellStyle name="Примечание 3 12 2 3 2 3" xfId="33609"/>
    <cellStyle name="Примечание 3 12 2 3 3" xfId="23234"/>
    <cellStyle name="Примечание 3 12 2 3 3 2" xfId="38595"/>
    <cellStyle name="Примечание 3 12 2 3 4" xfId="12685"/>
    <cellStyle name="Примечание 3 12 2 3 5" xfId="28185"/>
    <cellStyle name="Примечание 3 12 2 4" xfId="2758"/>
    <cellStyle name="Примечание 3 12 2 4 2" xfId="7987"/>
    <cellStyle name="Примечание 3 12 2 4 2 2" xfId="18891"/>
    <cellStyle name="Примечание 3 12 2 4 2 3" xfId="34252"/>
    <cellStyle name="Примечание 3 12 2 4 3" xfId="23875"/>
    <cellStyle name="Примечание 3 12 2 4 3 2" xfId="39236"/>
    <cellStyle name="Примечание 3 12 2 4 4" xfId="13328"/>
    <cellStyle name="Примечание 3 12 2 4 5" xfId="28826"/>
    <cellStyle name="Примечание 3 12 2 5" xfId="3820"/>
    <cellStyle name="Примечание 3 12 2 5 2" xfId="9007"/>
    <cellStyle name="Примечание 3 12 2 5 2 2" xfId="19934"/>
    <cellStyle name="Примечание 3 12 2 5 2 3" xfId="35295"/>
    <cellStyle name="Примечание 3 12 2 5 3" xfId="24895"/>
    <cellStyle name="Примечание 3 12 2 5 3 2" xfId="40256"/>
    <cellStyle name="Примечание 3 12 2 5 4" xfId="14371"/>
    <cellStyle name="Примечание 3 12 2 5 5" xfId="29846"/>
    <cellStyle name="Примечание 3 12 2 6" xfId="4158"/>
    <cellStyle name="Примечание 3 12 2 6 2" xfId="9345"/>
    <cellStyle name="Примечание 3 12 2 6 2 2" xfId="20272"/>
    <cellStyle name="Примечание 3 12 2 6 2 3" xfId="35633"/>
    <cellStyle name="Примечание 3 12 2 6 3" xfId="25233"/>
    <cellStyle name="Примечание 3 12 2 6 3 2" xfId="40594"/>
    <cellStyle name="Примечание 3 12 2 6 4" xfId="14709"/>
    <cellStyle name="Примечание 3 12 2 6 5" xfId="30184"/>
    <cellStyle name="Примечание 3 12 2 7" xfId="4621"/>
    <cellStyle name="Примечание 3 12 2 7 2" xfId="9808"/>
    <cellStyle name="Примечание 3 12 2 7 2 2" xfId="20735"/>
    <cellStyle name="Примечание 3 12 2 7 2 3" xfId="36096"/>
    <cellStyle name="Примечание 3 12 2 7 3" xfId="25696"/>
    <cellStyle name="Примечание 3 12 2 7 3 2" xfId="41057"/>
    <cellStyle name="Примечание 3 12 2 7 4" xfId="15172"/>
    <cellStyle name="Примечание 3 12 2 7 5" xfId="30647"/>
    <cellStyle name="Примечание 3 12 2 8" xfId="5966"/>
    <cellStyle name="Примечание 3 12 2 8 2" xfId="16901"/>
    <cellStyle name="Примечание 3 12 2 8 3" xfId="32368"/>
    <cellStyle name="Примечание 3 12 2 9" xfId="21854"/>
    <cellStyle name="Примечание 3 12 2 9 2" xfId="37215"/>
    <cellStyle name="Примечание 3 12 3" xfId="1476"/>
    <cellStyle name="Примечание 3 12 3 2" xfId="3259"/>
    <cellStyle name="Примечание 3 12 3 2 2" xfId="8453"/>
    <cellStyle name="Примечание 3 12 3 2 2 2" xfId="19380"/>
    <cellStyle name="Примечание 3 12 3 2 2 3" xfId="34741"/>
    <cellStyle name="Примечание 3 12 3 2 3" xfId="24341"/>
    <cellStyle name="Примечание 3 12 3 2 3 2" xfId="39702"/>
    <cellStyle name="Примечание 3 12 3 2 4" xfId="13817"/>
    <cellStyle name="Примечание 3 12 3 2 5" xfId="29292"/>
    <cellStyle name="Примечание 3 12 3 3" xfId="5493"/>
    <cellStyle name="Примечание 3 12 3 3 2" xfId="10657"/>
    <cellStyle name="Примечание 3 12 3 3 2 2" xfId="21591"/>
    <cellStyle name="Примечание 3 12 3 3 2 3" xfId="36952"/>
    <cellStyle name="Примечание 3 12 3 3 3" xfId="26544"/>
    <cellStyle name="Примечание 3 12 3 3 3 2" xfId="41905"/>
    <cellStyle name="Примечание 3 12 3 3 4" xfId="16028"/>
    <cellStyle name="Примечание 3 12 3 3 5" xfId="31495"/>
    <cellStyle name="Примечание 3 12 3 4" xfId="6723"/>
    <cellStyle name="Примечание 3 12 3 4 2" xfId="16135"/>
    <cellStyle name="Примечание 3 12 3 4 3" xfId="31602"/>
    <cellStyle name="Примечание 3 12 3 5" xfId="22611"/>
    <cellStyle name="Примечание 3 12 3 5 2" xfId="37972"/>
    <cellStyle name="Примечание 3 12 3 6" xfId="12054"/>
    <cellStyle name="Примечание 3 12 3 7" xfId="27562"/>
    <cellStyle name="Примечание 3 12 4" xfId="1986"/>
    <cellStyle name="Примечание 3 12 4 2" xfId="7222"/>
    <cellStyle name="Примечание 3 12 4 2 2" xfId="18124"/>
    <cellStyle name="Примечание 3 12 4 2 3" xfId="33485"/>
    <cellStyle name="Примечание 3 12 4 3" xfId="23110"/>
    <cellStyle name="Примечание 3 12 4 3 2" xfId="38471"/>
    <cellStyle name="Примечание 3 12 4 4" xfId="12561"/>
    <cellStyle name="Примечание 3 12 4 5" xfId="28061"/>
    <cellStyle name="Примечание 3 12 5" xfId="1865"/>
    <cellStyle name="Примечание 3 12 5 2" xfId="7104"/>
    <cellStyle name="Примечание 3 12 5 2 2" xfId="18006"/>
    <cellStyle name="Примечание 3 12 5 2 3" xfId="33367"/>
    <cellStyle name="Примечание 3 12 5 3" xfId="22992"/>
    <cellStyle name="Примечание 3 12 5 3 2" xfId="38353"/>
    <cellStyle name="Примечание 3 12 5 4" xfId="12443"/>
    <cellStyle name="Примечание 3 12 5 5" xfId="27943"/>
    <cellStyle name="Примечание 3 12 6" xfId="3403"/>
    <cellStyle name="Примечание 3 12 6 2" xfId="8597"/>
    <cellStyle name="Примечание 3 12 6 2 2" xfId="19524"/>
    <cellStyle name="Примечание 3 12 6 2 3" xfId="34885"/>
    <cellStyle name="Примечание 3 12 6 3" xfId="24485"/>
    <cellStyle name="Примечание 3 12 6 3 2" xfId="39846"/>
    <cellStyle name="Примечание 3 12 6 4" xfId="13961"/>
    <cellStyle name="Примечание 3 12 6 5" xfId="29436"/>
    <cellStyle name="Примечание 3 12 7" xfId="4074"/>
    <cellStyle name="Примечание 3 12 7 2" xfId="9261"/>
    <cellStyle name="Примечание 3 12 7 2 2" xfId="20188"/>
    <cellStyle name="Примечание 3 12 7 2 3" xfId="35549"/>
    <cellStyle name="Примечание 3 12 7 3" xfId="25149"/>
    <cellStyle name="Примечание 3 12 7 3 2" xfId="40510"/>
    <cellStyle name="Примечание 3 12 7 4" xfId="14625"/>
    <cellStyle name="Примечание 3 12 7 5" xfId="30100"/>
    <cellStyle name="Примечание 3 12 8" xfId="4662"/>
    <cellStyle name="Примечание 3 12 8 2" xfId="9849"/>
    <cellStyle name="Примечание 3 12 8 2 2" xfId="20776"/>
    <cellStyle name="Примечание 3 12 8 2 3" xfId="36137"/>
    <cellStyle name="Примечание 3 12 8 3" xfId="25737"/>
    <cellStyle name="Примечание 3 12 8 3 2" xfId="41098"/>
    <cellStyle name="Примечание 3 12 8 4" xfId="15213"/>
    <cellStyle name="Примечание 3 12 8 5" xfId="30688"/>
    <cellStyle name="Примечание 3 12 9" xfId="5882"/>
    <cellStyle name="Примечание 3 12 9 2" xfId="16988"/>
    <cellStyle name="Примечание 3 12 9 3" xfId="32455"/>
    <cellStyle name="Примечание 3 13" xfId="576"/>
    <cellStyle name="Примечание 3 13 10" xfId="21771"/>
    <cellStyle name="Примечание 3 13 10 2" xfId="37132"/>
    <cellStyle name="Примечание 3 13 11" xfId="11201"/>
    <cellStyle name="Примечание 3 13 12" xfId="26722"/>
    <cellStyle name="Примечание 3 13 2" xfId="703"/>
    <cellStyle name="Примечание 3 13 2 10" xfId="11287"/>
    <cellStyle name="Примечание 3 13 2 11" xfId="26804"/>
    <cellStyle name="Примечание 3 13 2 2" xfId="1465"/>
    <cellStyle name="Примечание 3 13 2 2 2" xfId="3262"/>
    <cellStyle name="Примечание 3 13 2 2 2 2" xfId="8456"/>
    <cellStyle name="Примечание 3 13 2 2 2 2 2" xfId="19383"/>
    <cellStyle name="Примечание 3 13 2 2 2 2 3" xfId="34744"/>
    <cellStyle name="Примечание 3 13 2 2 2 3" xfId="24344"/>
    <cellStyle name="Примечание 3 13 2 2 2 3 2" xfId="39705"/>
    <cellStyle name="Примечание 3 13 2 2 2 4" xfId="13820"/>
    <cellStyle name="Примечание 3 13 2 2 2 5" xfId="29295"/>
    <cellStyle name="Примечание 3 13 2 2 3" xfId="5494"/>
    <cellStyle name="Примечание 3 13 2 2 3 2" xfId="10658"/>
    <cellStyle name="Примечание 3 13 2 2 3 2 2" xfId="21592"/>
    <cellStyle name="Примечание 3 13 2 2 3 2 3" xfId="36953"/>
    <cellStyle name="Примечание 3 13 2 2 3 3" xfId="26545"/>
    <cellStyle name="Примечание 3 13 2 2 3 3 2" xfId="41906"/>
    <cellStyle name="Примечание 3 13 2 2 3 4" xfId="16029"/>
    <cellStyle name="Примечание 3 13 2 2 3 5" xfId="31496"/>
    <cellStyle name="Примечание 3 13 2 2 4" xfId="6712"/>
    <cellStyle name="Примечание 3 13 2 2 4 2" xfId="16146"/>
    <cellStyle name="Примечание 3 13 2 2 4 3" xfId="31613"/>
    <cellStyle name="Примечание 3 13 2 2 5" xfId="22600"/>
    <cellStyle name="Примечание 3 13 2 2 5 2" xfId="37961"/>
    <cellStyle name="Примечание 3 13 2 2 6" xfId="12043"/>
    <cellStyle name="Примечание 3 13 2 2 7" xfId="27551"/>
    <cellStyle name="Примечание 3 13 2 3" xfId="2109"/>
    <cellStyle name="Примечание 3 13 2 3 2" xfId="7345"/>
    <cellStyle name="Примечание 3 13 2 3 2 2" xfId="18247"/>
    <cellStyle name="Примечание 3 13 2 3 2 3" xfId="33608"/>
    <cellStyle name="Примечание 3 13 2 3 3" xfId="23233"/>
    <cellStyle name="Примечание 3 13 2 3 3 2" xfId="38594"/>
    <cellStyle name="Примечание 3 13 2 3 4" xfId="12684"/>
    <cellStyle name="Примечание 3 13 2 3 5" xfId="28184"/>
    <cellStyle name="Примечание 3 13 2 4" xfId="2757"/>
    <cellStyle name="Примечание 3 13 2 4 2" xfId="7986"/>
    <cellStyle name="Примечание 3 13 2 4 2 2" xfId="18890"/>
    <cellStyle name="Примечание 3 13 2 4 2 3" xfId="34251"/>
    <cellStyle name="Примечание 3 13 2 4 3" xfId="23874"/>
    <cellStyle name="Примечание 3 13 2 4 3 2" xfId="39235"/>
    <cellStyle name="Примечание 3 13 2 4 4" xfId="13327"/>
    <cellStyle name="Примечание 3 13 2 4 5" xfId="28825"/>
    <cellStyle name="Примечание 3 13 2 5" xfId="2681"/>
    <cellStyle name="Примечание 3 13 2 5 2" xfId="7912"/>
    <cellStyle name="Примечание 3 13 2 5 2 2" xfId="18816"/>
    <cellStyle name="Примечание 3 13 2 5 2 3" xfId="34177"/>
    <cellStyle name="Примечание 3 13 2 5 3" xfId="23800"/>
    <cellStyle name="Примечание 3 13 2 5 3 2" xfId="39161"/>
    <cellStyle name="Примечание 3 13 2 5 4" xfId="13253"/>
    <cellStyle name="Примечание 3 13 2 5 5" xfId="28751"/>
    <cellStyle name="Примечание 3 13 2 6" xfId="4157"/>
    <cellStyle name="Примечание 3 13 2 6 2" xfId="9344"/>
    <cellStyle name="Примечание 3 13 2 6 2 2" xfId="20271"/>
    <cellStyle name="Примечание 3 13 2 6 2 3" xfId="35632"/>
    <cellStyle name="Примечание 3 13 2 6 3" xfId="25232"/>
    <cellStyle name="Примечание 3 13 2 6 3 2" xfId="40593"/>
    <cellStyle name="Примечание 3 13 2 6 4" xfId="14708"/>
    <cellStyle name="Примечание 3 13 2 6 5" xfId="30183"/>
    <cellStyle name="Примечание 3 13 2 7" xfId="4925"/>
    <cellStyle name="Примечание 3 13 2 7 2" xfId="10112"/>
    <cellStyle name="Примечание 3 13 2 7 2 2" xfId="21039"/>
    <cellStyle name="Примечание 3 13 2 7 2 3" xfId="36400"/>
    <cellStyle name="Примечание 3 13 2 7 3" xfId="26000"/>
    <cellStyle name="Примечание 3 13 2 7 3 2" xfId="41361"/>
    <cellStyle name="Примечание 3 13 2 7 4" xfId="15476"/>
    <cellStyle name="Примечание 3 13 2 7 5" xfId="30951"/>
    <cellStyle name="Примечание 3 13 2 8" xfId="5965"/>
    <cellStyle name="Примечание 3 13 2 8 2" xfId="16902"/>
    <cellStyle name="Примечание 3 13 2 8 3" xfId="32369"/>
    <cellStyle name="Примечание 3 13 2 9" xfId="21853"/>
    <cellStyle name="Примечание 3 13 2 9 2" xfId="37214"/>
    <cellStyle name="Примечание 3 13 3" xfId="1725"/>
    <cellStyle name="Примечание 3 13 3 2" xfId="3263"/>
    <cellStyle name="Примечание 3 13 3 2 2" xfId="8457"/>
    <cellStyle name="Примечание 3 13 3 2 2 2" xfId="19384"/>
    <cellStyle name="Примечание 3 13 3 2 2 3" xfId="34745"/>
    <cellStyle name="Примечание 3 13 3 2 3" xfId="24345"/>
    <cellStyle name="Примечание 3 13 3 2 3 2" xfId="39706"/>
    <cellStyle name="Примечание 3 13 3 2 4" xfId="13821"/>
    <cellStyle name="Примечание 3 13 3 2 5" xfId="29296"/>
    <cellStyle name="Примечание 3 13 3 3" xfId="5495"/>
    <cellStyle name="Примечание 3 13 3 3 2" xfId="10659"/>
    <cellStyle name="Примечание 3 13 3 3 2 2" xfId="21593"/>
    <cellStyle name="Примечание 3 13 3 3 2 3" xfId="36954"/>
    <cellStyle name="Примечание 3 13 3 3 3" xfId="26546"/>
    <cellStyle name="Примечание 3 13 3 3 3 2" xfId="41907"/>
    <cellStyle name="Примечание 3 13 3 3 4" xfId="16030"/>
    <cellStyle name="Примечание 3 13 3 3 5" xfId="31497"/>
    <cellStyle name="Примечание 3 13 3 4" xfId="6965"/>
    <cellStyle name="Примечание 3 13 3 4 2" xfId="17866"/>
    <cellStyle name="Примечание 3 13 3 4 3" xfId="33227"/>
    <cellStyle name="Примечание 3 13 3 5" xfId="22853"/>
    <cellStyle name="Примечание 3 13 3 5 2" xfId="38214"/>
    <cellStyle name="Примечание 3 13 3 6" xfId="12303"/>
    <cellStyle name="Примечание 3 13 3 7" xfId="27804"/>
    <cellStyle name="Примечание 3 13 4" xfId="1987"/>
    <cellStyle name="Примечание 3 13 4 2" xfId="7223"/>
    <cellStyle name="Примечание 3 13 4 2 2" xfId="18125"/>
    <cellStyle name="Примечание 3 13 4 2 3" xfId="33486"/>
    <cellStyle name="Примечание 3 13 4 3" xfId="23111"/>
    <cellStyle name="Примечание 3 13 4 3 2" xfId="38472"/>
    <cellStyle name="Примечание 3 13 4 4" xfId="12562"/>
    <cellStyle name="Примечание 3 13 4 5" xfId="28062"/>
    <cellStyle name="Примечание 3 13 5" xfId="2046"/>
    <cellStyle name="Примечание 3 13 5 2" xfId="7282"/>
    <cellStyle name="Примечание 3 13 5 2 2" xfId="18184"/>
    <cellStyle name="Примечание 3 13 5 2 3" xfId="33545"/>
    <cellStyle name="Примечание 3 13 5 3" xfId="23170"/>
    <cellStyle name="Примечание 3 13 5 3 2" xfId="38531"/>
    <cellStyle name="Примечание 3 13 5 4" xfId="12621"/>
    <cellStyle name="Примечание 3 13 5 5" xfId="28121"/>
    <cellStyle name="Примечание 3 13 6" xfId="2926"/>
    <cellStyle name="Примечание 3 13 6 2" xfId="8127"/>
    <cellStyle name="Примечание 3 13 6 2 2" xfId="19047"/>
    <cellStyle name="Примечание 3 13 6 2 3" xfId="34408"/>
    <cellStyle name="Примечание 3 13 6 3" xfId="24015"/>
    <cellStyle name="Примечание 3 13 6 3 2" xfId="39376"/>
    <cellStyle name="Примечание 3 13 6 4" xfId="13484"/>
    <cellStyle name="Примечание 3 13 6 5" xfId="28966"/>
    <cellStyle name="Примечание 3 13 7" xfId="4075"/>
    <cellStyle name="Примечание 3 13 7 2" xfId="9262"/>
    <cellStyle name="Примечание 3 13 7 2 2" xfId="20189"/>
    <cellStyle name="Примечание 3 13 7 2 3" xfId="35550"/>
    <cellStyle name="Примечание 3 13 7 3" xfId="25150"/>
    <cellStyle name="Примечание 3 13 7 3 2" xfId="40511"/>
    <cellStyle name="Примечание 3 13 7 4" xfId="14626"/>
    <cellStyle name="Примечание 3 13 7 5" xfId="30101"/>
    <cellStyle name="Примечание 3 13 8" xfId="4886"/>
    <cellStyle name="Примечание 3 13 8 2" xfId="10073"/>
    <cellStyle name="Примечание 3 13 8 2 2" xfId="21000"/>
    <cellStyle name="Примечание 3 13 8 2 3" xfId="36361"/>
    <cellStyle name="Примечание 3 13 8 3" xfId="25961"/>
    <cellStyle name="Примечание 3 13 8 3 2" xfId="41322"/>
    <cellStyle name="Примечание 3 13 8 4" xfId="15437"/>
    <cellStyle name="Примечание 3 13 8 5" xfId="30912"/>
    <cellStyle name="Примечание 3 13 9" xfId="5883"/>
    <cellStyle name="Примечание 3 13 9 2" xfId="16987"/>
    <cellStyle name="Примечание 3 13 9 3" xfId="32454"/>
    <cellStyle name="Примечание 3 14" xfId="577"/>
    <cellStyle name="Примечание 3 14 10" xfId="21772"/>
    <cellStyle name="Примечание 3 14 10 2" xfId="37133"/>
    <cellStyle name="Примечание 3 14 11" xfId="11202"/>
    <cellStyle name="Примечание 3 14 12" xfId="26723"/>
    <cellStyle name="Примечание 3 14 2" xfId="702"/>
    <cellStyle name="Примечание 3 14 2 10" xfId="11286"/>
    <cellStyle name="Примечание 3 14 2 11" xfId="26803"/>
    <cellStyle name="Примечание 3 14 2 2" xfId="1235"/>
    <cellStyle name="Примечание 3 14 2 2 2" xfId="3266"/>
    <cellStyle name="Примечание 3 14 2 2 2 2" xfId="8460"/>
    <cellStyle name="Примечание 3 14 2 2 2 2 2" xfId="19387"/>
    <cellStyle name="Примечание 3 14 2 2 2 2 3" xfId="34748"/>
    <cellStyle name="Примечание 3 14 2 2 2 3" xfId="24348"/>
    <cellStyle name="Примечание 3 14 2 2 2 3 2" xfId="39709"/>
    <cellStyle name="Примечание 3 14 2 2 2 4" xfId="13824"/>
    <cellStyle name="Примечание 3 14 2 2 2 5" xfId="29299"/>
    <cellStyle name="Примечание 3 14 2 2 3" xfId="5496"/>
    <cellStyle name="Примечание 3 14 2 2 3 2" xfId="10660"/>
    <cellStyle name="Примечание 3 14 2 2 3 2 2" xfId="21594"/>
    <cellStyle name="Примечание 3 14 2 2 3 2 3" xfId="36955"/>
    <cellStyle name="Примечание 3 14 2 2 3 3" xfId="26547"/>
    <cellStyle name="Примечание 3 14 2 2 3 3 2" xfId="41908"/>
    <cellStyle name="Примечание 3 14 2 2 3 4" xfId="16031"/>
    <cellStyle name="Примечание 3 14 2 2 3 5" xfId="31498"/>
    <cellStyle name="Примечание 3 14 2 2 4" xfId="6488"/>
    <cellStyle name="Примечание 3 14 2 2 4 2" xfId="16373"/>
    <cellStyle name="Примечание 3 14 2 2 4 3" xfId="31840"/>
    <cellStyle name="Примечание 3 14 2 2 5" xfId="22376"/>
    <cellStyle name="Примечание 3 14 2 2 5 2" xfId="37737"/>
    <cellStyle name="Примечание 3 14 2 2 6" xfId="11816"/>
    <cellStyle name="Примечание 3 14 2 2 7" xfId="27327"/>
    <cellStyle name="Примечание 3 14 2 3" xfId="2108"/>
    <cellStyle name="Примечание 3 14 2 3 2" xfId="7344"/>
    <cellStyle name="Примечание 3 14 2 3 2 2" xfId="18246"/>
    <cellStyle name="Примечание 3 14 2 3 2 3" xfId="33607"/>
    <cellStyle name="Примечание 3 14 2 3 3" xfId="23232"/>
    <cellStyle name="Примечание 3 14 2 3 3 2" xfId="38593"/>
    <cellStyle name="Примечание 3 14 2 3 4" xfId="12683"/>
    <cellStyle name="Примечание 3 14 2 3 5" xfId="28183"/>
    <cellStyle name="Примечание 3 14 2 4" xfId="2583"/>
    <cellStyle name="Примечание 3 14 2 4 2" xfId="7816"/>
    <cellStyle name="Примечание 3 14 2 4 2 2" xfId="18718"/>
    <cellStyle name="Примечание 3 14 2 4 2 3" xfId="34079"/>
    <cellStyle name="Примечание 3 14 2 4 3" xfId="23704"/>
    <cellStyle name="Примечание 3 14 2 4 3 2" xfId="39065"/>
    <cellStyle name="Примечание 3 14 2 4 4" xfId="13155"/>
    <cellStyle name="Примечание 3 14 2 4 5" xfId="28655"/>
    <cellStyle name="Примечание 3 14 2 5" xfId="3602"/>
    <cellStyle name="Примечание 3 14 2 5 2" xfId="8789"/>
    <cellStyle name="Примечание 3 14 2 5 2 2" xfId="19716"/>
    <cellStyle name="Примечание 3 14 2 5 2 3" xfId="35077"/>
    <cellStyle name="Примечание 3 14 2 5 3" xfId="24677"/>
    <cellStyle name="Примечание 3 14 2 5 3 2" xfId="40038"/>
    <cellStyle name="Примечание 3 14 2 5 4" xfId="14153"/>
    <cellStyle name="Примечание 3 14 2 5 5" xfId="29628"/>
    <cellStyle name="Примечание 3 14 2 6" xfId="4156"/>
    <cellStyle name="Примечание 3 14 2 6 2" xfId="9343"/>
    <cellStyle name="Примечание 3 14 2 6 2 2" xfId="20270"/>
    <cellStyle name="Примечание 3 14 2 6 2 3" xfId="35631"/>
    <cellStyle name="Примечание 3 14 2 6 3" xfId="25231"/>
    <cellStyle name="Примечание 3 14 2 6 3 2" xfId="40592"/>
    <cellStyle name="Примечание 3 14 2 6 4" xfId="14707"/>
    <cellStyle name="Примечание 3 14 2 6 5" xfId="30182"/>
    <cellStyle name="Примечание 3 14 2 7" xfId="4622"/>
    <cellStyle name="Примечание 3 14 2 7 2" xfId="9809"/>
    <cellStyle name="Примечание 3 14 2 7 2 2" xfId="20736"/>
    <cellStyle name="Примечание 3 14 2 7 2 3" xfId="36097"/>
    <cellStyle name="Примечание 3 14 2 7 3" xfId="25697"/>
    <cellStyle name="Примечание 3 14 2 7 3 2" xfId="41058"/>
    <cellStyle name="Примечание 3 14 2 7 4" xfId="15173"/>
    <cellStyle name="Примечание 3 14 2 7 5" xfId="30648"/>
    <cellStyle name="Примечание 3 14 2 8" xfId="5964"/>
    <cellStyle name="Примечание 3 14 2 8 2" xfId="16903"/>
    <cellStyle name="Примечание 3 14 2 8 3" xfId="32370"/>
    <cellStyle name="Примечание 3 14 2 9" xfId="21852"/>
    <cellStyle name="Примечание 3 14 2 9 2" xfId="37213"/>
    <cellStyle name="Примечание 3 14 3" xfId="1060"/>
    <cellStyle name="Примечание 3 14 3 2" xfId="3267"/>
    <cellStyle name="Примечание 3 14 3 2 2" xfId="8461"/>
    <cellStyle name="Примечание 3 14 3 2 2 2" xfId="19388"/>
    <cellStyle name="Примечание 3 14 3 2 2 3" xfId="34749"/>
    <cellStyle name="Примечание 3 14 3 2 3" xfId="24349"/>
    <cellStyle name="Примечание 3 14 3 2 3 2" xfId="39710"/>
    <cellStyle name="Примечание 3 14 3 2 4" xfId="13825"/>
    <cellStyle name="Примечание 3 14 3 2 5" xfId="29300"/>
    <cellStyle name="Примечание 3 14 3 3" xfId="5497"/>
    <cellStyle name="Примечание 3 14 3 3 2" xfId="10661"/>
    <cellStyle name="Примечание 3 14 3 3 2 2" xfId="21595"/>
    <cellStyle name="Примечание 3 14 3 3 2 3" xfId="36956"/>
    <cellStyle name="Примечание 3 14 3 3 3" xfId="26548"/>
    <cellStyle name="Примечание 3 14 3 3 3 2" xfId="41909"/>
    <cellStyle name="Примечание 3 14 3 3 4" xfId="16032"/>
    <cellStyle name="Примечание 3 14 3 3 5" xfId="31499"/>
    <cellStyle name="Примечание 3 14 3 4" xfId="6317"/>
    <cellStyle name="Примечание 3 14 3 4 2" xfId="16547"/>
    <cellStyle name="Примечание 3 14 3 4 3" xfId="32014"/>
    <cellStyle name="Примечание 3 14 3 5" xfId="22205"/>
    <cellStyle name="Примечание 3 14 3 5 2" xfId="37566"/>
    <cellStyle name="Примечание 3 14 3 6" xfId="11642"/>
    <cellStyle name="Примечание 3 14 3 7" xfId="27156"/>
    <cellStyle name="Примечание 3 14 4" xfId="1988"/>
    <cellStyle name="Примечание 3 14 4 2" xfId="7224"/>
    <cellStyle name="Примечание 3 14 4 2 2" xfId="18126"/>
    <cellStyle name="Примечание 3 14 4 2 3" xfId="33487"/>
    <cellStyle name="Примечание 3 14 4 3" xfId="23112"/>
    <cellStyle name="Примечание 3 14 4 3 2" xfId="38473"/>
    <cellStyle name="Примечание 3 14 4 4" xfId="12563"/>
    <cellStyle name="Примечание 3 14 4 5" xfId="28063"/>
    <cellStyle name="Примечание 3 14 5" xfId="1863"/>
    <cellStyle name="Примечание 3 14 5 2" xfId="7102"/>
    <cellStyle name="Примечание 3 14 5 2 2" xfId="18004"/>
    <cellStyle name="Примечание 3 14 5 2 3" xfId="33365"/>
    <cellStyle name="Примечание 3 14 5 3" xfId="22990"/>
    <cellStyle name="Примечание 3 14 5 3 2" xfId="38351"/>
    <cellStyle name="Примечание 3 14 5 4" xfId="12441"/>
    <cellStyle name="Примечание 3 14 5 5" xfId="27941"/>
    <cellStyle name="Примечание 3 14 6" xfId="3580"/>
    <cellStyle name="Примечание 3 14 6 2" xfId="8767"/>
    <cellStyle name="Примечание 3 14 6 2 2" xfId="19694"/>
    <cellStyle name="Примечание 3 14 6 2 3" xfId="35055"/>
    <cellStyle name="Примечание 3 14 6 3" xfId="24655"/>
    <cellStyle name="Примечание 3 14 6 3 2" xfId="40016"/>
    <cellStyle name="Примечание 3 14 6 4" xfId="14131"/>
    <cellStyle name="Примечание 3 14 6 5" xfId="29606"/>
    <cellStyle name="Примечание 3 14 7" xfId="4076"/>
    <cellStyle name="Примечание 3 14 7 2" xfId="9263"/>
    <cellStyle name="Примечание 3 14 7 2 2" xfId="20190"/>
    <cellStyle name="Примечание 3 14 7 2 3" xfId="35551"/>
    <cellStyle name="Примечание 3 14 7 3" xfId="25151"/>
    <cellStyle name="Примечание 3 14 7 3 2" xfId="40512"/>
    <cellStyle name="Примечание 3 14 7 4" xfId="14627"/>
    <cellStyle name="Примечание 3 14 7 5" xfId="30102"/>
    <cellStyle name="Примечание 3 14 8" xfId="4661"/>
    <cellStyle name="Примечание 3 14 8 2" xfId="9848"/>
    <cellStyle name="Примечание 3 14 8 2 2" xfId="20775"/>
    <cellStyle name="Примечание 3 14 8 2 3" xfId="36136"/>
    <cellStyle name="Примечание 3 14 8 3" xfId="25736"/>
    <cellStyle name="Примечание 3 14 8 3 2" xfId="41097"/>
    <cellStyle name="Примечание 3 14 8 4" xfId="15212"/>
    <cellStyle name="Примечание 3 14 8 5" xfId="30687"/>
    <cellStyle name="Примечание 3 14 9" xfId="5884"/>
    <cellStyle name="Примечание 3 14 9 2" xfId="16986"/>
    <cellStyle name="Примечание 3 14 9 3" xfId="32453"/>
    <cellStyle name="Примечание 3 15" xfId="578"/>
    <cellStyle name="Примечание 3 15 10" xfId="21773"/>
    <cellStyle name="Примечание 3 15 10 2" xfId="37134"/>
    <cellStyle name="Примечание 3 15 11" xfId="11203"/>
    <cellStyle name="Примечание 3 15 12" xfId="26724"/>
    <cellStyle name="Примечание 3 15 2" xfId="701"/>
    <cellStyle name="Примечание 3 15 2 10" xfId="11285"/>
    <cellStyle name="Примечание 3 15 2 11" xfId="26802"/>
    <cellStyle name="Примечание 3 15 2 2" xfId="1200"/>
    <cellStyle name="Примечание 3 15 2 2 2" xfId="3270"/>
    <cellStyle name="Примечание 3 15 2 2 2 2" xfId="8464"/>
    <cellStyle name="Примечание 3 15 2 2 2 2 2" xfId="19391"/>
    <cellStyle name="Примечание 3 15 2 2 2 2 3" xfId="34752"/>
    <cellStyle name="Примечание 3 15 2 2 2 3" xfId="24352"/>
    <cellStyle name="Примечание 3 15 2 2 2 3 2" xfId="39713"/>
    <cellStyle name="Примечание 3 15 2 2 2 4" xfId="13828"/>
    <cellStyle name="Примечание 3 15 2 2 2 5" xfId="29303"/>
    <cellStyle name="Примечание 3 15 2 2 3" xfId="5498"/>
    <cellStyle name="Примечание 3 15 2 2 3 2" xfId="10662"/>
    <cellStyle name="Примечание 3 15 2 2 3 2 2" xfId="21596"/>
    <cellStyle name="Примечание 3 15 2 2 3 2 3" xfId="36957"/>
    <cellStyle name="Примечание 3 15 2 2 3 3" xfId="26549"/>
    <cellStyle name="Примечание 3 15 2 2 3 3 2" xfId="41910"/>
    <cellStyle name="Примечание 3 15 2 2 3 4" xfId="16033"/>
    <cellStyle name="Примечание 3 15 2 2 3 5" xfId="31500"/>
    <cellStyle name="Примечание 3 15 2 2 4" xfId="6454"/>
    <cellStyle name="Примечание 3 15 2 2 4 2" xfId="16408"/>
    <cellStyle name="Примечание 3 15 2 2 4 3" xfId="31875"/>
    <cellStyle name="Примечание 3 15 2 2 5" xfId="22342"/>
    <cellStyle name="Примечание 3 15 2 2 5 2" xfId="37703"/>
    <cellStyle name="Примечание 3 15 2 2 6" xfId="11781"/>
    <cellStyle name="Примечание 3 15 2 2 7" xfId="27293"/>
    <cellStyle name="Примечание 3 15 2 3" xfId="2107"/>
    <cellStyle name="Примечание 3 15 2 3 2" xfId="7343"/>
    <cellStyle name="Примечание 3 15 2 3 2 2" xfId="18245"/>
    <cellStyle name="Примечание 3 15 2 3 2 3" xfId="33606"/>
    <cellStyle name="Примечание 3 15 2 3 3" xfId="23231"/>
    <cellStyle name="Примечание 3 15 2 3 3 2" xfId="38592"/>
    <cellStyle name="Примечание 3 15 2 3 4" xfId="12682"/>
    <cellStyle name="Примечание 3 15 2 3 5" xfId="28182"/>
    <cellStyle name="Примечание 3 15 2 4" xfId="2392"/>
    <cellStyle name="Примечание 3 15 2 4 2" xfId="7628"/>
    <cellStyle name="Примечание 3 15 2 4 2 2" xfId="18530"/>
    <cellStyle name="Примечание 3 15 2 4 2 3" xfId="33891"/>
    <cellStyle name="Примечание 3 15 2 4 3" xfId="23516"/>
    <cellStyle name="Примечание 3 15 2 4 3 2" xfId="38877"/>
    <cellStyle name="Примечание 3 15 2 4 4" xfId="12967"/>
    <cellStyle name="Примечание 3 15 2 4 5" xfId="28467"/>
    <cellStyle name="Примечание 3 15 2 5" xfId="2527"/>
    <cellStyle name="Примечание 3 15 2 5 2" xfId="7760"/>
    <cellStyle name="Примечание 3 15 2 5 2 2" xfId="18662"/>
    <cellStyle name="Примечание 3 15 2 5 2 3" xfId="34023"/>
    <cellStyle name="Примечание 3 15 2 5 3" xfId="23648"/>
    <cellStyle name="Примечание 3 15 2 5 3 2" xfId="39009"/>
    <cellStyle name="Примечание 3 15 2 5 4" xfId="13099"/>
    <cellStyle name="Примечание 3 15 2 5 5" xfId="28599"/>
    <cellStyle name="Примечание 3 15 2 6" xfId="4155"/>
    <cellStyle name="Примечание 3 15 2 6 2" xfId="9342"/>
    <cellStyle name="Примечание 3 15 2 6 2 2" xfId="20269"/>
    <cellStyle name="Примечание 3 15 2 6 2 3" xfId="35630"/>
    <cellStyle name="Примечание 3 15 2 6 3" xfId="25230"/>
    <cellStyle name="Примечание 3 15 2 6 3 2" xfId="40591"/>
    <cellStyle name="Примечание 3 15 2 6 4" xfId="14706"/>
    <cellStyle name="Примечание 3 15 2 6 5" xfId="30181"/>
    <cellStyle name="Примечание 3 15 2 7" xfId="4924"/>
    <cellStyle name="Примечание 3 15 2 7 2" xfId="10111"/>
    <cellStyle name="Примечание 3 15 2 7 2 2" xfId="21038"/>
    <cellStyle name="Примечание 3 15 2 7 2 3" xfId="36399"/>
    <cellStyle name="Примечание 3 15 2 7 3" xfId="25999"/>
    <cellStyle name="Примечание 3 15 2 7 3 2" xfId="41360"/>
    <cellStyle name="Примечание 3 15 2 7 4" xfId="15475"/>
    <cellStyle name="Примечание 3 15 2 7 5" xfId="30950"/>
    <cellStyle name="Примечание 3 15 2 8" xfId="5963"/>
    <cellStyle name="Примечание 3 15 2 8 2" xfId="16904"/>
    <cellStyle name="Примечание 3 15 2 8 3" xfId="32371"/>
    <cellStyle name="Примечание 3 15 2 9" xfId="21851"/>
    <cellStyle name="Примечание 3 15 2 9 2" xfId="37212"/>
    <cellStyle name="Примечание 3 15 3" xfId="1741"/>
    <cellStyle name="Примечание 3 15 3 2" xfId="3271"/>
    <cellStyle name="Примечание 3 15 3 2 2" xfId="8465"/>
    <cellStyle name="Примечание 3 15 3 2 2 2" xfId="19392"/>
    <cellStyle name="Примечание 3 15 3 2 2 3" xfId="34753"/>
    <cellStyle name="Примечание 3 15 3 2 3" xfId="24353"/>
    <cellStyle name="Примечание 3 15 3 2 3 2" xfId="39714"/>
    <cellStyle name="Примечание 3 15 3 2 4" xfId="13829"/>
    <cellStyle name="Примечание 3 15 3 2 5" xfId="29304"/>
    <cellStyle name="Примечание 3 15 3 3" xfId="5499"/>
    <cellStyle name="Примечание 3 15 3 3 2" xfId="10663"/>
    <cellStyle name="Примечание 3 15 3 3 2 2" xfId="21597"/>
    <cellStyle name="Примечание 3 15 3 3 2 3" xfId="36958"/>
    <cellStyle name="Примечание 3 15 3 3 3" xfId="26550"/>
    <cellStyle name="Примечание 3 15 3 3 3 2" xfId="41911"/>
    <cellStyle name="Примечание 3 15 3 3 4" xfId="16034"/>
    <cellStyle name="Примечание 3 15 3 3 5" xfId="31501"/>
    <cellStyle name="Примечание 3 15 3 4" xfId="6981"/>
    <cellStyle name="Примечание 3 15 3 4 2" xfId="17882"/>
    <cellStyle name="Примечание 3 15 3 4 3" xfId="33243"/>
    <cellStyle name="Примечание 3 15 3 5" xfId="22869"/>
    <cellStyle name="Примечание 3 15 3 5 2" xfId="38230"/>
    <cellStyle name="Примечание 3 15 3 6" xfId="12319"/>
    <cellStyle name="Примечание 3 15 3 7" xfId="27820"/>
    <cellStyle name="Примечание 3 15 4" xfId="1989"/>
    <cellStyle name="Примечание 3 15 4 2" xfId="7225"/>
    <cellStyle name="Примечание 3 15 4 2 2" xfId="18127"/>
    <cellStyle name="Примечание 3 15 4 2 3" xfId="33488"/>
    <cellStyle name="Примечание 3 15 4 3" xfId="23113"/>
    <cellStyle name="Примечание 3 15 4 3 2" xfId="38474"/>
    <cellStyle name="Примечание 3 15 4 4" xfId="12564"/>
    <cellStyle name="Примечание 3 15 4 5" xfId="28064"/>
    <cellStyle name="Примечание 3 15 5" xfId="2048"/>
    <cellStyle name="Примечание 3 15 5 2" xfId="7284"/>
    <cellStyle name="Примечание 3 15 5 2 2" xfId="18186"/>
    <cellStyle name="Примечание 3 15 5 2 3" xfId="33547"/>
    <cellStyle name="Примечание 3 15 5 3" xfId="23172"/>
    <cellStyle name="Примечание 3 15 5 3 2" xfId="38533"/>
    <cellStyle name="Примечание 3 15 5 4" xfId="12623"/>
    <cellStyle name="Примечание 3 15 5 5" xfId="28123"/>
    <cellStyle name="Примечание 3 15 6" xfId="2925"/>
    <cellStyle name="Примечание 3 15 6 2" xfId="8126"/>
    <cellStyle name="Примечание 3 15 6 2 2" xfId="19046"/>
    <cellStyle name="Примечание 3 15 6 2 3" xfId="34407"/>
    <cellStyle name="Примечание 3 15 6 3" xfId="24014"/>
    <cellStyle name="Примечание 3 15 6 3 2" xfId="39375"/>
    <cellStyle name="Примечание 3 15 6 4" xfId="13483"/>
    <cellStyle name="Примечание 3 15 6 5" xfId="28965"/>
    <cellStyle name="Примечание 3 15 7" xfId="4077"/>
    <cellStyle name="Примечание 3 15 7 2" xfId="9264"/>
    <cellStyle name="Примечание 3 15 7 2 2" xfId="20191"/>
    <cellStyle name="Примечание 3 15 7 2 3" xfId="35552"/>
    <cellStyle name="Примечание 3 15 7 3" xfId="25152"/>
    <cellStyle name="Примечание 3 15 7 3 2" xfId="40513"/>
    <cellStyle name="Примечание 3 15 7 4" xfId="14628"/>
    <cellStyle name="Примечание 3 15 7 5" xfId="30103"/>
    <cellStyle name="Примечание 3 15 8" xfId="4887"/>
    <cellStyle name="Примечание 3 15 8 2" xfId="10074"/>
    <cellStyle name="Примечание 3 15 8 2 2" xfId="21001"/>
    <cellStyle name="Примечание 3 15 8 2 3" xfId="36362"/>
    <cellStyle name="Примечание 3 15 8 3" xfId="25962"/>
    <cellStyle name="Примечание 3 15 8 3 2" xfId="41323"/>
    <cellStyle name="Примечание 3 15 8 4" xfId="15438"/>
    <cellStyle name="Примечание 3 15 8 5" xfId="30913"/>
    <cellStyle name="Примечание 3 15 9" xfId="5885"/>
    <cellStyle name="Примечание 3 15 9 2" xfId="16985"/>
    <cellStyle name="Примечание 3 15 9 3" xfId="32452"/>
    <cellStyle name="Примечание 3 16" xfId="579"/>
    <cellStyle name="Примечание 3 16 10" xfId="21774"/>
    <cellStyle name="Примечание 3 16 10 2" xfId="37135"/>
    <cellStyle name="Примечание 3 16 11" xfId="11204"/>
    <cellStyle name="Примечание 3 16 12" xfId="26725"/>
    <cellStyle name="Примечание 3 16 2" xfId="700"/>
    <cellStyle name="Примечание 3 16 2 10" xfId="11284"/>
    <cellStyle name="Примечание 3 16 2 11" xfId="26801"/>
    <cellStyle name="Примечание 3 16 2 2" xfId="1564"/>
    <cellStyle name="Примечание 3 16 2 2 2" xfId="3274"/>
    <cellStyle name="Примечание 3 16 2 2 2 2" xfId="8468"/>
    <cellStyle name="Примечание 3 16 2 2 2 2 2" xfId="19395"/>
    <cellStyle name="Примечание 3 16 2 2 2 2 3" xfId="34756"/>
    <cellStyle name="Примечание 3 16 2 2 2 3" xfId="24356"/>
    <cellStyle name="Примечание 3 16 2 2 2 3 2" xfId="39717"/>
    <cellStyle name="Примечание 3 16 2 2 2 4" xfId="13832"/>
    <cellStyle name="Примечание 3 16 2 2 2 5" xfId="29307"/>
    <cellStyle name="Примечание 3 16 2 2 3" xfId="5500"/>
    <cellStyle name="Примечание 3 16 2 2 3 2" xfId="10664"/>
    <cellStyle name="Примечание 3 16 2 2 3 2 2" xfId="21598"/>
    <cellStyle name="Примечание 3 16 2 2 3 2 3" xfId="36959"/>
    <cellStyle name="Примечание 3 16 2 2 3 3" xfId="26551"/>
    <cellStyle name="Примечание 3 16 2 2 3 3 2" xfId="41912"/>
    <cellStyle name="Примечание 3 16 2 2 3 4" xfId="16035"/>
    <cellStyle name="Примечание 3 16 2 2 3 5" xfId="31502"/>
    <cellStyle name="Примечание 3 16 2 2 4" xfId="6811"/>
    <cellStyle name="Примечание 3 16 2 2 4 2" xfId="17706"/>
    <cellStyle name="Примечание 3 16 2 2 4 3" xfId="33067"/>
    <cellStyle name="Примечание 3 16 2 2 5" xfId="22699"/>
    <cellStyle name="Примечание 3 16 2 2 5 2" xfId="38060"/>
    <cellStyle name="Примечание 3 16 2 2 6" xfId="12142"/>
    <cellStyle name="Примечание 3 16 2 2 7" xfId="27650"/>
    <cellStyle name="Примечание 3 16 2 3" xfId="2106"/>
    <cellStyle name="Примечание 3 16 2 3 2" xfId="7342"/>
    <cellStyle name="Примечание 3 16 2 3 2 2" xfId="18244"/>
    <cellStyle name="Примечание 3 16 2 3 2 3" xfId="33605"/>
    <cellStyle name="Примечание 3 16 2 3 3" xfId="23230"/>
    <cellStyle name="Примечание 3 16 2 3 3 2" xfId="38591"/>
    <cellStyle name="Примечание 3 16 2 3 4" xfId="12681"/>
    <cellStyle name="Примечание 3 16 2 3 5" xfId="28181"/>
    <cellStyle name="Примечание 3 16 2 4" xfId="2606"/>
    <cellStyle name="Примечание 3 16 2 4 2" xfId="7838"/>
    <cellStyle name="Примечание 3 16 2 4 2 2" xfId="18741"/>
    <cellStyle name="Примечание 3 16 2 4 2 3" xfId="34102"/>
    <cellStyle name="Примечание 3 16 2 4 3" xfId="23726"/>
    <cellStyle name="Примечание 3 16 2 4 3 2" xfId="39087"/>
    <cellStyle name="Примечание 3 16 2 4 4" xfId="13178"/>
    <cellStyle name="Примечание 3 16 2 4 5" xfId="28677"/>
    <cellStyle name="Примечание 3 16 2 5" xfId="3821"/>
    <cellStyle name="Примечание 3 16 2 5 2" xfId="9008"/>
    <cellStyle name="Примечание 3 16 2 5 2 2" xfId="19935"/>
    <cellStyle name="Примечание 3 16 2 5 2 3" xfId="35296"/>
    <cellStyle name="Примечание 3 16 2 5 3" xfId="24896"/>
    <cellStyle name="Примечание 3 16 2 5 3 2" xfId="40257"/>
    <cellStyle name="Примечание 3 16 2 5 4" xfId="14372"/>
    <cellStyle name="Примечание 3 16 2 5 5" xfId="29847"/>
    <cellStyle name="Примечание 3 16 2 6" xfId="4154"/>
    <cellStyle name="Примечание 3 16 2 6 2" xfId="9341"/>
    <cellStyle name="Примечание 3 16 2 6 2 2" xfId="20268"/>
    <cellStyle name="Примечание 3 16 2 6 2 3" xfId="35629"/>
    <cellStyle name="Примечание 3 16 2 6 3" xfId="25229"/>
    <cellStyle name="Примечание 3 16 2 6 3 2" xfId="40590"/>
    <cellStyle name="Примечание 3 16 2 6 4" xfId="14705"/>
    <cellStyle name="Примечание 3 16 2 6 5" xfId="30180"/>
    <cellStyle name="Примечание 3 16 2 7" xfId="4623"/>
    <cellStyle name="Примечание 3 16 2 7 2" xfId="9810"/>
    <cellStyle name="Примечание 3 16 2 7 2 2" xfId="20737"/>
    <cellStyle name="Примечание 3 16 2 7 2 3" xfId="36098"/>
    <cellStyle name="Примечание 3 16 2 7 3" xfId="25698"/>
    <cellStyle name="Примечание 3 16 2 7 3 2" xfId="41059"/>
    <cellStyle name="Примечание 3 16 2 7 4" xfId="15174"/>
    <cellStyle name="Примечание 3 16 2 7 5" xfId="30649"/>
    <cellStyle name="Примечание 3 16 2 8" xfId="5962"/>
    <cellStyle name="Примечание 3 16 2 8 2" xfId="16905"/>
    <cellStyle name="Примечание 3 16 2 8 3" xfId="32372"/>
    <cellStyle name="Примечание 3 16 2 9" xfId="21850"/>
    <cellStyle name="Примечание 3 16 2 9 2" xfId="37211"/>
    <cellStyle name="Примечание 3 16 3" xfId="1580"/>
    <cellStyle name="Примечание 3 16 3 2" xfId="3275"/>
    <cellStyle name="Примечание 3 16 3 2 2" xfId="8469"/>
    <cellStyle name="Примечание 3 16 3 2 2 2" xfId="19396"/>
    <cellStyle name="Примечание 3 16 3 2 2 3" xfId="34757"/>
    <cellStyle name="Примечание 3 16 3 2 3" xfId="24357"/>
    <cellStyle name="Примечание 3 16 3 2 3 2" xfId="39718"/>
    <cellStyle name="Примечание 3 16 3 2 4" xfId="13833"/>
    <cellStyle name="Примечание 3 16 3 2 5" xfId="29308"/>
    <cellStyle name="Примечание 3 16 3 3" xfId="5501"/>
    <cellStyle name="Примечание 3 16 3 3 2" xfId="10665"/>
    <cellStyle name="Примечание 3 16 3 3 2 2" xfId="21599"/>
    <cellStyle name="Примечание 3 16 3 3 2 3" xfId="36960"/>
    <cellStyle name="Примечание 3 16 3 3 3" xfId="26552"/>
    <cellStyle name="Примечание 3 16 3 3 3 2" xfId="41913"/>
    <cellStyle name="Примечание 3 16 3 3 4" xfId="16036"/>
    <cellStyle name="Примечание 3 16 3 3 5" xfId="31503"/>
    <cellStyle name="Примечание 3 16 3 4" xfId="6827"/>
    <cellStyle name="Примечание 3 16 3 4 2" xfId="17722"/>
    <cellStyle name="Примечание 3 16 3 4 3" xfId="33083"/>
    <cellStyle name="Примечание 3 16 3 5" xfId="22715"/>
    <cellStyle name="Примечание 3 16 3 5 2" xfId="38076"/>
    <cellStyle name="Примечание 3 16 3 6" xfId="12158"/>
    <cellStyle name="Примечание 3 16 3 7" xfId="27666"/>
    <cellStyle name="Примечание 3 16 4" xfId="1990"/>
    <cellStyle name="Примечание 3 16 4 2" xfId="7226"/>
    <cellStyle name="Примечание 3 16 4 2 2" xfId="18128"/>
    <cellStyle name="Примечание 3 16 4 2 3" xfId="33489"/>
    <cellStyle name="Примечание 3 16 4 3" xfId="23114"/>
    <cellStyle name="Примечание 3 16 4 3 2" xfId="38475"/>
    <cellStyle name="Примечание 3 16 4 4" xfId="12565"/>
    <cellStyle name="Примечание 3 16 4 5" xfId="28065"/>
    <cellStyle name="Примечание 3 16 5" xfId="1862"/>
    <cellStyle name="Примечание 3 16 5 2" xfId="7101"/>
    <cellStyle name="Примечание 3 16 5 2 2" xfId="18003"/>
    <cellStyle name="Примечание 3 16 5 2 3" xfId="33364"/>
    <cellStyle name="Примечание 3 16 5 3" xfId="22989"/>
    <cellStyle name="Примечание 3 16 5 3 2" xfId="38350"/>
    <cellStyle name="Примечание 3 16 5 4" xfId="12440"/>
    <cellStyle name="Примечание 3 16 5 5" xfId="27940"/>
    <cellStyle name="Примечание 3 16 6" xfId="1230"/>
    <cellStyle name="Примечание 3 16 6 2" xfId="6483"/>
    <cellStyle name="Примечание 3 16 6 2 2" xfId="16378"/>
    <cellStyle name="Примечание 3 16 6 2 3" xfId="31845"/>
    <cellStyle name="Примечание 3 16 6 3" xfId="22371"/>
    <cellStyle name="Примечание 3 16 6 3 2" xfId="37732"/>
    <cellStyle name="Примечание 3 16 6 4" xfId="11811"/>
    <cellStyle name="Примечание 3 16 6 5" xfId="27322"/>
    <cellStyle name="Примечание 3 16 7" xfId="4078"/>
    <cellStyle name="Примечание 3 16 7 2" xfId="9265"/>
    <cellStyle name="Примечание 3 16 7 2 2" xfId="20192"/>
    <cellStyle name="Примечание 3 16 7 2 3" xfId="35553"/>
    <cellStyle name="Примечание 3 16 7 3" xfId="25153"/>
    <cellStyle name="Примечание 3 16 7 3 2" xfId="40514"/>
    <cellStyle name="Примечание 3 16 7 4" xfId="14629"/>
    <cellStyle name="Примечание 3 16 7 5" xfId="30104"/>
    <cellStyle name="Примечание 3 16 8" xfId="4660"/>
    <cellStyle name="Примечание 3 16 8 2" xfId="9847"/>
    <cellStyle name="Примечание 3 16 8 2 2" xfId="20774"/>
    <cellStyle name="Примечание 3 16 8 2 3" xfId="36135"/>
    <cellStyle name="Примечание 3 16 8 3" xfId="25735"/>
    <cellStyle name="Примечание 3 16 8 3 2" xfId="41096"/>
    <cellStyle name="Примечание 3 16 8 4" xfId="15211"/>
    <cellStyle name="Примечание 3 16 8 5" xfId="30686"/>
    <cellStyle name="Примечание 3 16 9" xfId="5886"/>
    <cellStyle name="Примечание 3 16 9 2" xfId="16984"/>
    <cellStyle name="Примечание 3 16 9 3" xfId="32451"/>
    <cellStyle name="Примечание 3 17" xfId="580"/>
    <cellStyle name="Примечание 3 17 10" xfId="21775"/>
    <cellStyle name="Примечание 3 17 10 2" xfId="37136"/>
    <cellStyle name="Примечание 3 17 11" xfId="11205"/>
    <cellStyle name="Примечание 3 17 12" xfId="26726"/>
    <cellStyle name="Примечание 3 17 2" xfId="699"/>
    <cellStyle name="Примечание 3 17 2 10" xfId="11283"/>
    <cellStyle name="Примечание 3 17 2 11" xfId="26800"/>
    <cellStyle name="Примечание 3 17 2 2" xfId="1301"/>
    <cellStyle name="Примечание 3 17 2 2 2" xfId="3278"/>
    <cellStyle name="Примечание 3 17 2 2 2 2" xfId="8472"/>
    <cellStyle name="Примечание 3 17 2 2 2 2 2" xfId="19399"/>
    <cellStyle name="Примечание 3 17 2 2 2 2 3" xfId="34760"/>
    <cellStyle name="Примечание 3 17 2 2 2 3" xfId="24360"/>
    <cellStyle name="Примечание 3 17 2 2 2 3 2" xfId="39721"/>
    <cellStyle name="Примечание 3 17 2 2 2 4" xfId="13836"/>
    <cellStyle name="Примечание 3 17 2 2 2 5" xfId="29311"/>
    <cellStyle name="Примечание 3 17 2 2 3" xfId="5502"/>
    <cellStyle name="Примечание 3 17 2 2 3 2" xfId="10666"/>
    <cellStyle name="Примечание 3 17 2 2 3 2 2" xfId="21600"/>
    <cellStyle name="Примечание 3 17 2 2 3 2 3" xfId="36961"/>
    <cellStyle name="Примечание 3 17 2 2 3 3" xfId="26553"/>
    <cellStyle name="Примечание 3 17 2 2 3 3 2" xfId="41914"/>
    <cellStyle name="Примечание 3 17 2 2 3 4" xfId="16037"/>
    <cellStyle name="Примечание 3 17 2 2 3 5" xfId="31504"/>
    <cellStyle name="Примечание 3 17 2 2 4" xfId="6554"/>
    <cellStyle name="Примечание 3 17 2 2 4 2" xfId="16307"/>
    <cellStyle name="Примечание 3 17 2 2 4 3" xfId="31774"/>
    <cellStyle name="Примечание 3 17 2 2 5" xfId="22442"/>
    <cellStyle name="Примечание 3 17 2 2 5 2" xfId="37803"/>
    <cellStyle name="Примечание 3 17 2 2 6" xfId="11882"/>
    <cellStyle name="Примечание 3 17 2 2 7" xfId="27393"/>
    <cellStyle name="Примечание 3 17 2 3" xfId="2105"/>
    <cellStyle name="Примечание 3 17 2 3 2" xfId="7341"/>
    <cellStyle name="Примечание 3 17 2 3 2 2" xfId="18243"/>
    <cellStyle name="Примечание 3 17 2 3 2 3" xfId="33604"/>
    <cellStyle name="Примечание 3 17 2 3 3" xfId="23229"/>
    <cellStyle name="Примечание 3 17 2 3 3 2" xfId="38590"/>
    <cellStyle name="Примечание 3 17 2 3 4" xfId="12680"/>
    <cellStyle name="Примечание 3 17 2 3 5" xfId="28180"/>
    <cellStyle name="Примечание 3 17 2 4" xfId="2756"/>
    <cellStyle name="Примечание 3 17 2 4 2" xfId="7985"/>
    <cellStyle name="Примечание 3 17 2 4 2 2" xfId="18889"/>
    <cellStyle name="Примечание 3 17 2 4 2 3" xfId="34250"/>
    <cellStyle name="Примечание 3 17 2 4 3" xfId="23873"/>
    <cellStyle name="Примечание 3 17 2 4 3 2" xfId="39234"/>
    <cellStyle name="Примечание 3 17 2 4 4" xfId="13326"/>
    <cellStyle name="Примечание 3 17 2 4 5" xfId="28824"/>
    <cellStyle name="Примечание 3 17 2 5" xfId="3402"/>
    <cellStyle name="Примечание 3 17 2 5 2" xfId="8596"/>
    <cellStyle name="Примечание 3 17 2 5 2 2" xfId="19523"/>
    <cellStyle name="Примечание 3 17 2 5 2 3" xfId="34884"/>
    <cellStyle name="Примечание 3 17 2 5 3" xfId="24484"/>
    <cellStyle name="Примечание 3 17 2 5 3 2" xfId="39845"/>
    <cellStyle name="Примечание 3 17 2 5 4" xfId="13960"/>
    <cellStyle name="Примечание 3 17 2 5 5" xfId="29435"/>
    <cellStyle name="Примечание 3 17 2 6" xfId="4153"/>
    <cellStyle name="Примечание 3 17 2 6 2" xfId="9340"/>
    <cellStyle name="Примечание 3 17 2 6 2 2" xfId="20267"/>
    <cellStyle name="Примечание 3 17 2 6 2 3" xfId="35628"/>
    <cellStyle name="Примечание 3 17 2 6 3" xfId="25228"/>
    <cellStyle name="Примечание 3 17 2 6 3 2" xfId="40589"/>
    <cellStyle name="Примечание 3 17 2 6 4" xfId="14704"/>
    <cellStyle name="Примечание 3 17 2 6 5" xfId="30179"/>
    <cellStyle name="Примечание 3 17 2 7" xfId="4923"/>
    <cellStyle name="Примечание 3 17 2 7 2" xfId="10110"/>
    <cellStyle name="Примечание 3 17 2 7 2 2" xfId="21037"/>
    <cellStyle name="Примечание 3 17 2 7 2 3" xfId="36398"/>
    <cellStyle name="Примечание 3 17 2 7 3" xfId="25998"/>
    <cellStyle name="Примечание 3 17 2 7 3 2" xfId="41359"/>
    <cellStyle name="Примечание 3 17 2 7 4" xfId="15474"/>
    <cellStyle name="Примечание 3 17 2 7 5" xfId="30949"/>
    <cellStyle name="Примечание 3 17 2 8" xfId="5961"/>
    <cellStyle name="Примечание 3 17 2 8 2" xfId="16906"/>
    <cellStyle name="Примечание 3 17 2 8 3" xfId="32373"/>
    <cellStyle name="Примечание 3 17 2 9" xfId="21849"/>
    <cellStyle name="Примечание 3 17 2 9 2" xfId="37210"/>
    <cellStyle name="Примечание 3 17 3" xfId="83"/>
    <cellStyle name="Примечание 3 17 3 2" xfId="3279"/>
    <cellStyle name="Примечание 3 17 3 2 2" xfId="8473"/>
    <cellStyle name="Примечание 3 17 3 2 2 2" xfId="19400"/>
    <cellStyle name="Примечание 3 17 3 2 2 3" xfId="34761"/>
    <cellStyle name="Примечание 3 17 3 2 3" xfId="24361"/>
    <cellStyle name="Примечание 3 17 3 2 3 2" xfId="39722"/>
    <cellStyle name="Примечание 3 17 3 2 4" xfId="13837"/>
    <cellStyle name="Примечание 3 17 3 2 5" xfId="29312"/>
    <cellStyle name="Примечание 3 17 3 3" xfId="5503"/>
    <cellStyle name="Примечание 3 17 3 3 2" xfId="10667"/>
    <cellStyle name="Примечание 3 17 3 3 2 2" xfId="21601"/>
    <cellStyle name="Примечание 3 17 3 3 2 3" xfId="36962"/>
    <cellStyle name="Примечание 3 17 3 3 3" xfId="26554"/>
    <cellStyle name="Примечание 3 17 3 3 3 2" xfId="41915"/>
    <cellStyle name="Примечание 3 17 3 3 4" xfId="16038"/>
    <cellStyle name="Примечание 3 17 3 3 5" xfId="31505"/>
    <cellStyle name="Примечание 3 17 3 4" xfId="5609"/>
    <cellStyle name="Примечание 3 17 3 4 2" xfId="17388"/>
    <cellStyle name="Примечание 3 17 3 4 3" xfId="32855"/>
    <cellStyle name="Примечание 3 17 3 5" xfId="17064"/>
    <cellStyle name="Примечание 3 17 3 5 2" xfId="32531"/>
    <cellStyle name="Примечание 3 17 3 6" xfId="10797"/>
    <cellStyle name="Примечание 3 17 3 7" xfId="11122"/>
    <cellStyle name="Примечание 3 17 4" xfId="1991"/>
    <cellStyle name="Примечание 3 17 4 2" xfId="7227"/>
    <cellStyle name="Примечание 3 17 4 2 2" xfId="18129"/>
    <cellStyle name="Примечание 3 17 4 2 3" xfId="33490"/>
    <cellStyle name="Примечание 3 17 4 3" xfId="23115"/>
    <cellStyle name="Примечание 3 17 4 3 2" xfId="38476"/>
    <cellStyle name="Примечание 3 17 4 4" xfId="12566"/>
    <cellStyle name="Примечание 3 17 4 5" xfId="28066"/>
    <cellStyle name="Примечание 3 17 5" xfId="2472"/>
    <cellStyle name="Примечание 3 17 5 2" xfId="7708"/>
    <cellStyle name="Примечание 3 17 5 2 2" xfId="18610"/>
    <cellStyle name="Примечание 3 17 5 2 3" xfId="33971"/>
    <cellStyle name="Примечание 3 17 5 3" xfId="23596"/>
    <cellStyle name="Примечание 3 17 5 3 2" xfId="38957"/>
    <cellStyle name="Примечание 3 17 5 4" xfId="13047"/>
    <cellStyle name="Примечание 3 17 5 5" xfId="28547"/>
    <cellStyle name="Примечание 3 17 6" xfId="2924"/>
    <cellStyle name="Примечание 3 17 6 2" xfId="8125"/>
    <cellStyle name="Примечание 3 17 6 2 2" xfId="19045"/>
    <cellStyle name="Примечание 3 17 6 2 3" xfId="34406"/>
    <cellStyle name="Примечание 3 17 6 3" xfId="24013"/>
    <cellStyle name="Примечание 3 17 6 3 2" xfId="39374"/>
    <cellStyle name="Примечание 3 17 6 4" xfId="13482"/>
    <cellStyle name="Примечание 3 17 6 5" xfId="28964"/>
    <cellStyle name="Примечание 3 17 7" xfId="4079"/>
    <cellStyle name="Примечание 3 17 7 2" xfId="9266"/>
    <cellStyle name="Примечание 3 17 7 2 2" xfId="20193"/>
    <cellStyle name="Примечание 3 17 7 2 3" xfId="35554"/>
    <cellStyle name="Примечание 3 17 7 3" xfId="25154"/>
    <cellStyle name="Примечание 3 17 7 3 2" xfId="40515"/>
    <cellStyle name="Примечание 3 17 7 4" xfId="14630"/>
    <cellStyle name="Примечание 3 17 7 5" xfId="30105"/>
    <cellStyle name="Примечание 3 17 8" xfId="4888"/>
    <cellStyle name="Примечание 3 17 8 2" xfId="10075"/>
    <cellStyle name="Примечание 3 17 8 2 2" xfId="21002"/>
    <cellStyle name="Примечание 3 17 8 2 3" xfId="36363"/>
    <cellStyle name="Примечание 3 17 8 3" xfId="25963"/>
    <cellStyle name="Примечание 3 17 8 3 2" xfId="41324"/>
    <cellStyle name="Примечание 3 17 8 4" xfId="15439"/>
    <cellStyle name="Примечание 3 17 8 5" xfId="30914"/>
    <cellStyle name="Примечание 3 17 9" xfId="5887"/>
    <cellStyle name="Примечание 3 17 9 2" xfId="16112"/>
    <cellStyle name="Примечание 3 17 9 3" xfId="31579"/>
    <cellStyle name="Примечание 3 18" xfId="581"/>
    <cellStyle name="Примечание 3 18 10" xfId="21776"/>
    <cellStyle name="Примечание 3 18 10 2" xfId="37137"/>
    <cellStyle name="Примечание 3 18 11" xfId="11206"/>
    <cellStyle name="Примечание 3 18 12" xfId="26727"/>
    <cellStyle name="Примечание 3 18 2" xfId="698"/>
    <cellStyle name="Примечание 3 18 2 10" xfId="11282"/>
    <cellStyle name="Примечание 3 18 2 11" xfId="26799"/>
    <cellStyle name="Примечание 3 18 2 2" xfId="1505"/>
    <cellStyle name="Примечание 3 18 2 2 2" xfId="3282"/>
    <cellStyle name="Примечание 3 18 2 2 2 2" xfId="8476"/>
    <cellStyle name="Примечание 3 18 2 2 2 2 2" xfId="19403"/>
    <cellStyle name="Примечание 3 18 2 2 2 2 3" xfId="34764"/>
    <cellStyle name="Примечание 3 18 2 2 2 3" xfId="24364"/>
    <cellStyle name="Примечание 3 18 2 2 2 3 2" xfId="39725"/>
    <cellStyle name="Примечание 3 18 2 2 2 4" xfId="13840"/>
    <cellStyle name="Примечание 3 18 2 2 2 5" xfId="29315"/>
    <cellStyle name="Примечание 3 18 2 2 3" xfId="5504"/>
    <cellStyle name="Примечание 3 18 2 2 3 2" xfId="10668"/>
    <cellStyle name="Примечание 3 18 2 2 3 2 2" xfId="21602"/>
    <cellStyle name="Примечание 3 18 2 2 3 2 3" xfId="36963"/>
    <cellStyle name="Примечание 3 18 2 2 3 3" xfId="26555"/>
    <cellStyle name="Примечание 3 18 2 2 3 3 2" xfId="41916"/>
    <cellStyle name="Примечание 3 18 2 2 3 4" xfId="16039"/>
    <cellStyle name="Примечание 3 18 2 2 3 5" xfId="31506"/>
    <cellStyle name="Примечание 3 18 2 2 4" xfId="6752"/>
    <cellStyle name="Примечание 3 18 2 2 4 2" xfId="17647"/>
    <cellStyle name="Примечание 3 18 2 2 4 3" xfId="33008"/>
    <cellStyle name="Примечание 3 18 2 2 5" xfId="22640"/>
    <cellStyle name="Примечание 3 18 2 2 5 2" xfId="38001"/>
    <cellStyle name="Примечание 3 18 2 2 6" xfId="12083"/>
    <cellStyle name="Примечание 3 18 2 2 7" xfId="27591"/>
    <cellStyle name="Примечание 3 18 2 3" xfId="2104"/>
    <cellStyle name="Примечание 3 18 2 3 2" xfId="7340"/>
    <cellStyle name="Примечание 3 18 2 3 2 2" xfId="18242"/>
    <cellStyle name="Примечание 3 18 2 3 2 3" xfId="33603"/>
    <cellStyle name="Примечание 3 18 2 3 3" xfId="23228"/>
    <cellStyle name="Примечание 3 18 2 3 3 2" xfId="38589"/>
    <cellStyle name="Примечание 3 18 2 3 4" xfId="12679"/>
    <cellStyle name="Примечание 3 18 2 3 5" xfId="28179"/>
    <cellStyle name="Примечание 3 18 2 4" xfId="2394"/>
    <cellStyle name="Примечание 3 18 2 4 2" xfId="7630"/>
    <cellStyle name="Примечание 3 18 2 4 2 2" xfId="18532"/>
    <cellStyle name="Примечание 3 18 2 4 2 3" xfId="33893"/>
    <cellStyle name="Примечание 3 18 2 4 3" xfId="23518"/>
    <cellStyle name="Примечание 3 18 2 4 3 2" xfId="38879"/>
    <cellStyle name="Примечание 3 18 2 4 4" xfId="12969"/>
    <cellStyle name="Примечание 3 18 2 4 5" xfId="28469"/>
    <cellStyle name="Примечание 3 18 2 5" xfId="3601"/>
    <cellStyle name="Примечание 3 18 2 5 2" xfId="8788"/>
    <cellStyle name="Примечание 3 18 2 5 2 2" xfId="19715"/>
    <cellStyle name="Примечание 3 18 2 5 2 3" xfId="35076"/>
    <cellStyle name="Примечание 3 18 2 5 3" xfId="24676"/>
    <cellStyle name="Примечание 3 18 2 5 3 2" xfId="40037"/>
    <cellStyle name="Примечание 3 18 2 5 4" xfId="14152"/>
    <cellStyle name="Примечание 3 18 2 5 5" xfId="29627"/>
    <cellStyle name="Примечание 3 18 2 6" xfId="4152"/>
    <cellStyle name="Примечание 3 18 2 6 2" xfId="9339"/>
    <cellStyle name="Примечание 3 18 2 6 2 2" xfId="20266"/>
    <cellStyle name="Примечание 3 18 2 6 2 3" xfId="35627"/>
    <cellStyle name="Примечание 3 18 2 6 3" xfId="25227"/>
    <cellStyle name="Примечание 3 18 2 6 3 2" xfId="40588"/>
    <cellStyle name="Примечание 3 18 2 6 4" xfId="14703"/>
    <cellStyle name="Примечание 3 18 2 6 5" xfId="30178"/>
    <cellStyle name="Примечание 3 18 2 7" xfId="4624"/>
    <cellStyle name="Примечание 3 18 2 7 2" xfId="9811"/>
    <cellStyle name="Примечание 3 18 2 7 2 2" xfId="20738"/>
    <cellStyle name="Примечание 3 18 2 7 2 3" xfId="36099"/>
    <cellStyle name="Примечание 3 18 2 7 3" xfId="25699"/>
    <cellStyle name="Примечание 3 18 2 7 3 2" xfId="41060"/>
    <cellStyle name="Примечание 3 18 2 7 4" xfId="15175"/>
    <cellStyle name="Примечание 3 18 2 7 5" xfId="30650"/>
    <cellStyle name="Примечание 3 18 2 8" xfId="5960"/>
    <cellStyle name="Примечание 3 18 2 8 2" xfId="16907"/>
    <cellStyle name="Примечание 3 18 2 8 3" xfId="32374"/>
    <cellStyle name="Примечание 3 18 2 9" xfId="21848"/>
    <cellStyle name="Примечание 3 18 2 9 2" xfId="37209"/>
    <cellStyle name="Примечание 3 18 3" xfId="1027"/>
    <cellStyle name="Примечание 3 18 3 2" xfId="3283"/>
    <cellStyle name="Примечание 3 18 3 2 2" xfId="8477"/>
    <cellStyle name="Примечание 3 18 3 2 2 2" xfId="19404"/>
    <cellStyle name="Примечание 3 18 3 2 2 3" xfId="34765"/>
    <cellStyle name="Примечание 3 18 3 2 3" xfId="24365"/>
    <cellStyle name="Примечание 3 18 3 2 3 2" xfId="39726"/>
    <cellStyle name="Примечание 3 18 3 2 4" xfId="13841"/>
    <cellStyle name="Примечание 3 18 3 2 5" xfId="29316"/>
    <cellStyle name="Примечание 3 18 3 3" xfId="5505"/>
    <cellStyle name="Примечание 3 18 3 3 2" xfId="10669"/>
    <cellStyle name="Примечание 3 18 3 3 2 2" xfId="21603"/>
    <cellStyle name="Примечание 3 18 3 3 2 3" xfId="36964"/>
    <cellStyle name="Примечание 3 18 3 3 3" xfId="26556"/>
    <cellStyle name="Примечание 3 18 3 3 3 2" xfId="41917"/>
    <cellStyle name="Примечание 3 18 3 3 4" xfId="16040"/>
    <cellStyle name="Примечание 3 18 3 3 5" xfId="31507"/>
    <cellStyle name="Примечание 3 18 3 4" xfId="6285"/>
    <cellStyle name="Примечание 3 18 3 4 2" xfId="16579"/>
    <cellStyle name="Примечание 3 18 3 4 3" xfId="32046"/>
    <cellStyle name="Примечание 3 18 3 5" xfId="22173"/>
    <cellStyle name="Примечание 3 18 3 5 2" xfId="37534"/>
    <cellStyle name="Примечание 3 18 3 6" xfId="11610"/>
    <cellStyle name="Примечание 3 18 3 7" xfId="27124"/>
    <cellStyle name="Примечание 3 18 4" xfId="1992"/>
    <cellStyle name="Примечание 3 18 4 2" xfId="7228"/>
    <cellStyle name="Примечание 3 18 4 2 2" xfId="18130"/>
    <cellStyle name="Примечание 3 18 4 2 3" xfId="33491"/>
    <cellStyle name="Примечание 3 18 4 3" xfId="23116"/>
    <cellStyle name="Примечание 3 18 4 3 2" xfId="38477"/>
    <cellStyle name="Примечание 3 18 4 4" xfId="12567"/>
    <cellStyle name="Примечание 3 18 4 5" xfId="28067"/>
    <cellStyle name="Примечание 3 18 5" xfId="1683"/>
    <cellStyle name="Примечание 3 18 5 2" xfId="6927"/>
    <cellStyle name="Примечание 3 18 5 2 2" xfId="17825"/>
    <cellStyle name="Примечание 3 18 5 2 3" xfId="33186"/>
    <cellStyle name="Примечание 3 18 5 3" xfId="22815"/>
    <cellStyle name="Примечание 3 18 5 3 2" xfId="38176"/>
    <cellStyle name="Примечание 3 18 5 4" xfId="12261"/>
    <cellStyle name="Примечание 3 18 5 5" xfId="27766"/>
    <cellStyle name="Примечание 3 18 6" xfId="3405"/>
    <cellStyle name="Примечание 3 18 6 2" xfId="8599"/>
    <cellStyle name="Примечание 3 18 6 2 2" xfId="19526"/>
    <cellStyle name="Примечание 3 18 6 2 3" xfId="34887"/>
    <cellStyle name="Примечание 3 18 6 3" xfId="24487"/>
    <cellStyle name="Примечание 3 18 6 3 2" xfId="39848"/>
    <cellStyle name="Примечание 3 18 6 4" xfId="13963"/>
    <cellStyle name="Примечание 3 18 6 5" xfId="29438"/>
    <cellStyle name="Примечание 3 18 7" xfId="4080"/>
    <cellStyle name="Примечание 3 18 7 2" xfId="9267"/>
    <cellStyle name="Примечание 3 18 7 2 2" xfId="20194"/>
    <cellStyle name="Примечание 3 18 7 2 3" xfId="35555"/>
    <cellStyle name="Примечание 3 18 7 3" xfId="25155"/>
    <cellStyle name="Примечание 3 18 7 3 2" xfId="40516"/>
    <cellStyle name="Примечание 3 18 7 4" xfId="14631"/>
    <cellStyle name="Примечание 3 18 7 5" xfId="30106"/>
    <cellStyle name="Примечание 3 18 8" xfId="4659"/>
    <cellStyle name="Примечание 3 18 8 2" xfId="9846"/>
    <cellStyle name="Примечание 3 18 8 2 2" xfId="20773"/>
    <cellStyle name="Примечание 3 18 8 2 3" xfId="36134"/>
    <cellStyle name="Примечание 3 18 8 3" xfId="25734"/>
    <cellStyle name="Примечание 3 18 8 3 2" xfId="41095"/>
    <cellStyle name="Примечание 3 18 8 4" xfId="15210"/>
    <cellStyle name="Примечание 3 18 8 5" xfId="30685"/>
    <cellStyle name="Примечание 3 18 9" xfId="5888"/>
    <cellStyle name="Примечание 3 18 9 2" xfId="16983"/>
    <cellStyle name="Примечание 3 18 9 3" xfId="32450"/>
    <cellStyle name="Примечание 3 19" xfId="582"/>
    <cellStyle name="Примечание 3 19 10" xfId="21777"/>
    <cellStyle name="Примечание 3 19 10 2" xfId="37138"/>
    <cellStyle name="Примечание 3 19 11" xfId="11207"/>
    <cellStyle name="Примечание 3 19 12" xfId="26728"/>
    <cellStyle name="Примечание 3 19 2" xfId="697"/>
    <cellStyle name="Примечание 3 19 2 10" xfId="11281"/>
    <cellStyle name="Примечание 3 19 2 11" xfId="26798"/>
    <cellStyle name="Примечание 3 19 2 2" xfId="1243"/>
    <cellStyle name="Примечание 3 19 2 2 2" xfId="3286"/>
    <cellStyle name="Примечание 3 19 2 2 2 2" xfId="8480"/>
    <cellStyle name="Примечание 3 19 2 2 2 2 2" xfId="19407"/>
    <cellStyle name="Примечание 3 19 2 2 2 2 3" xfId="34768"/>
    <cellStyle name="Примечание 3 19 2 2 2 3" xfId="24368"/>
    <cellStyle name="Примечание 3 19 2 2 2 3 2" xfId="39729"/>
    <cellStyle name="Примечание 3 19 2 2 2 4" xfId="13844"/>
    <cellStyle name="Примечание 3 19 2 2 2 5" xfId="29319"/>
    <cellStyle name="Примечание 3 19 2 2 3" xfId="5506"/>
    <cellStyle name="Примечание 3 19 2 2 3 2" xfId="10670"/>
    <cellStyle name="Примечание 3 19 2 2 3 2 2" xfId="21604"/>
    <cellStyle name="Примечание 3 19 2 2 3 2 3" xfId="36965"/>
    <cellStyle name="Примечание 3 19 2 2 3 3" xfId="26557"/>
    <cellStyle name="Примечание 3 19 2 2 3 3 2" xfId="41918"/>
    <cellStyle name="Примечание 3 19 2 2 3 4" xfId="16041"/>
    <cellStyle name="Примечание 3 19 2 2 3 5" xfId="31508"/>
    <cellStyle name="Примечание 3 19 2 2 4" xfId="6496"/>
    <cellStyle name="Примечание 3 19 2 2 4 2" xfId="16365"/>
    <cellStyle name="Примечание 3 19 2 2 4 3" xfId="31832"/>
    <cellStyle name="Примечание 3 19 2 2 5" xfId="22384"/>
    <cellStyle name="Примечание 3 19 2 2 5 2" xfId="37745"/>
    <cellStyle name="Примечание 3 19 2 2 6" xfId="11824"/>
    <cellStyle name="Примечание 3 19 2 2 7" xfId="27335"/>
    <cellStyle name="Примечание 3 19 2 3" xfId="2103"/>
    <cellStyle name="Примечание 3 19 2 3 2" xfId="7339"/>
    <cellStyle name="Примечание 3 19 2 3 2 2" xfId="18241"/>
    <cellStyle name="Примечание 3 19 2 3 2 3" xfId="33602"/>
    <cellStyle name="Примечание 3 19 2 3 3" xfId="23227"/>
    <cellStyle name="Примечание 3 19 2 3 3 2" xfId="38588"/>
    <cellStyle name="Примечание 3 19 2 3 4" xfId="12678"/>
    <cellStyle name="Примечание 3 19 2 3 5" xfId="28178"/>
    <cellStyle name="Примечание 3 19 2 4" xfId="2754"/>
    <cellStyle name="Примечание 3 19 2 4 2" xfId="7983"/>
    <cellStyle name="Примечание 3 19 2 4 2 2" xfId="18887"/>
    <cellStyle name="Примечание 3 19 2 4 2 3" xfId="34248"/>
    <cellStyle name="Примечание 3 19 2 4 3" xfId="23871"/>
    <cellStyle name="Примечание 3 19 2 4 3 2" xfId="39232"/>
    <cellStyle name="Примечание 3 19 2 4 4" xfId="13324"/>
    <cellStyle name="Примечание 3 19 2 4 5" xfId="28822"/>
    <cellStyle name="Примечание 3 19 2 5" xfId="3409"/>
    <cellStyle name="Примечание 3 19 2 5 2" xfId="8603"/>
    <cellStyle name="Примечание 3 19 2 5 2 2" xfId="19530"/>
    <cellStyle name="Примечание 3 19 2 5 2 3" xfId="34891"/>
    <cellStyle name="Примечание 3 19 2 5 3" xfId="24491"/>
    <cellStyle name="Примечание 3 19 2 5 3 2" xfId="39852"/>
    <cellStyle name="Примечание 3 19 2 5 4" xfId="13967"/>
    <cellStyle name="Примечание 3 19 2 5 5" xfId="29442"/>
    <cellStyle name="Примечание 3 19 2 6" xfId="4151"/>
    <cellStyle name="Примечание 3 19 2 6 2" xfId="9338"/>
    <cellStyle name="Примечание 3 19 2 6 2 2" xfId="20265"/>
    <cellStyle name="Примечание 3 19 2 6 2 3" xfId="35626"/>
    <cellStyle name="Примечание 3 19 2 6 3" xfId="25226"/>
    <cellStyle name="Примечание 3 19 2 6 3 2" xfId="40587"/>
    <cellStyle name="Примечание 3 19 2 6 4" xfId="14702"/>
    <cellStyle name="Примечание 3 19 2 6 5" xfId="30177"/>
    <cellStyle name="Примечание 3 19 2 7" xfId="4922"/>
    <cellStyle name="Примечание 3 19 2 7 2" xfId="10109"/>
    <cellStyle name="Примечание 3 19 2 7 2 2" xfId="21036"/>
    <cellStyle name="Примечание 3 19 2 7 2 3" xfId="36397"/>
    <cellStyle name="Примечание 3 19 2 7 3" xfId="25997"/>
    <cellStyle name="Примечание 3 19 2 7 3 2" xfId="41358"/>
    <cellStyle name="Примечание 3 19 2 7 4" xfId="15473"/>
    <cellStyle name="Примечание 3 19 2 7 5" xfId="30948"/>
    <cellStyle name="Примечание 3 19 2 8" xfId="5959"/>
    <cellStyle name="Примечание 3 19 2 8 2" xfId="16908"/>
    <cellStyle name="Примечание 3 19 2 8 3" xfId="32375"/>
    <cellStyle name="Примечание 3 19 2 9" xfId="21847"/>
    <cellStyle name="Примечание 3 19 2 9 2" xfId="37208"/>
    <cellStyle name="Примечание 3 19 3" xfId="1290"/>
    <cellStyle name="Примечание 3 19 3 2" xfId="3287"/>
    <cellStyle name="Примечание 3 19 3 2 2" xfId="8481"/>
    <cellStyle name="Примечание 3 19 3 2 2 2" xfId="19408"/>
    <cellStyle name="Примечание 3 19 3 2 2 3" xfId="34769"/>
    <cellStyle name="Примечание 3 19 3 2 3" xfId="24369"/>
    <cellStyle name="Примечание 3 19 3 2 3 2" xfId="39730"/>
    <cellStyle name="Примечание 3 19 3 2 4" xfId="13845"/>
    <cellStyle name="Примечание 3 19 3 2 5" xfId="29320"/>
    <cellStyle name="Примечание 3 19 3 3" xfId="5507"/>
    <cellStyle name="Примечание 3 19 3 3 2" xfId="10671"/>
    <cellStyle name="Примечание 3 19 3 3 2 2" xfId="21605"/>
    <cellStyle name="Примечание 3 19 3 3 2 3" xfId="36966"/>
    <cellStyle name="Примечание 3 19 3 3 3" xfId="26558"/>
    <cellStyle name="Примечание 3 19 3 3 3 2" xfId="41919"/>
    <cellStyle name="Примечание 3 19 3 3 4" xfId="16042"/>
    <cellStyle name="Примечание 3 19 3 3 5" xfId="31509"/>
    <cellStyle name="Примечание 3 19 3 4" xfId="6543"/>
    <cellStyle name="Примечание 3 19 3 4 2" xfId="16318"/>
    <cellStyle name="Примечание 3 19 3 4 3" xfId="31785"/>
    <cellStyle name="Примечание 3 19 3 5" xfId="22431"/>
    <cellStyle name="Примечание 3 19 3 5 2" xfId="37792"/>
    <cellStyle name="Примечание 3 19 3 6" xfId="11871"/>
    <cellStyle name="Примечание 3 19 3 7" xfId="27382"/>
    <cellStyle name="Примечание 3 19 4" xfId="1993"/>
    <cellStyle name="Примечание 3 19 4 2" xfId="7229"/>
    <cellStyle name="Примечание 3 19 4 2 2" xfId="18131"/>
    <cellStyle name="Примечание 3 19 4 2 3" xfId="33492"/>
    <cellStyle name="Примечание 3 19 4 3" xfId="23117"/>
    <cellStyle name="Примечание 3 19 4 3 2" xfId="38478"/>
    <cellStyle name="Примечание 3 19 4 4" xfId="12568"/>
    <cellStyle name="Примечание 3 19 4 5" xfId="28068"/>
    <cellStyle name="Примечание 3 19 5" xfId="2470"/>
    <cellStyle name="Примечание 3 19 5 2" xfId="7706"/>
    <cellStyle name="Примечание 3 19 5 2 2" xfId="18608"/>
    <cellStyle name="Примечание 3 19 5 2 3" xfId="33969"/>
    <cellStyle name="Примечание 3 19 5 3" xfId="23594"/>
    <cellStyle name="Примечание 3 19 5 3 2" xfId="38955"/>
    <cellStyle name="Примечание 3 19 5 4" xfId="13045"/>
    <cellStyle name="Примечание 3 19 5 5" xfId="28545"/>
    <cellStyle name="Примечание 3 19 6" xfId="2923"/>
    <cellStyle name="Примечание 3 19 6 2" xfId="8124"/>
    <cellStyle name="Примечание 3 19 6 2 2" xfId="19044"/>
    <cellStyle name="Примечание 3 19 6 2 3" xfId="34405"/>
    <cellStyle name="Примечание 3 19 6 3" xfId="24012"/>
    <cellStyle name="Примечание 3 19 6 3 2" xfId="39373"/>
    <cellStyle name="Примечание 3 19 6 4" xfId="13481"/>
    <cellStyle name="Примечание 3 19 6 5" xfId="28963"/>
    <cellStyle name="Примечание 3 19 7" xfId="4081"/>
    <cellStyle name="Примечание 3 19 7 2" xfId="9268"/>
    <cellStyle name="Примечание 3 19 7 2 2" xfId="20195"/>
    <cellStyle name="Примечание 3 19 7 2 3" xfId="35556"/>
    <cellStyle name="Примечание 3 19 7 3" xfId="25156"/>
    <cellStyle name="Примечание 3 19 7 3 2" xfId="40517"/>
    <cellStyle name="Примечание 3 19 7 4" xfId="14632"/>
    <cellStyle name="Примечание 3 19 7 5" xfId="30107"/>
    <cellStyle name="Примечание 3 19 8" xfId="4889"/>
    <cellStyle name="Примечание 3 19 8 2" xfId="10076"/>
    <cellStyle name="Примечание 3 19 8 2 2" xfId="21003"/>
    <cellStyle name="Примечание 3 19 8 2 3" xfId="36364"/>
    <cellStyle name="Примечание 3 19 8 3" xfId="25964"/>
    <cellStyle name="Примечание 3 19 8 3 2" xfId="41325"/>
    <cellStyle name="Примечание 3 19 8 4" xfId="15440"/>
    <cellStyle name="Примечание 3 19 8 5" xfId="30915"/>
    <cellStyle name="Примечание 3 19 9" xfId="5889"/>
    <cellStyle name="Примечание 3 19 9 2" xfId="16982"/>
    <cellStyle name="Примечание 3 19 9 3" xfId="32449"/>
    <cellStyle name="Примечание 3 2" xfId="583"/>
    <cellStyle name="Примечание 3 2 10" xfId="584"/>
    <cellStyle name="Примечание 3 2 10 10" xfId="21779"/>
    <cellStyle name="Примечание 3 2 10 10 2" xfId="37140"/>
    <cellStyle name="Примечание 3 2 10 11" xfId="11209"/>
    <cellStyle name="Примечание 3 2 10 12" xfId="26730"/>
    <cellStyle name="Примечание 3 2 10 2" xfId="695"/>
    <cellStyle name="Примечание 3 2 10 2 10" xfId="11279"/>
    <cellStyle name="Примечание 3 2 10 2 11" xfId="26796"/>
    <cellStyle name="Примечание 3 2 10 2 2" xfId="1193"/>
    <cellStyle name="Примечание 3 2 10 2 2 2" xfId="3291"/>
    <cellStyle name="Примечание 3 2 10 2 2 2 2" xfId="8485"/>
    <cellStyle name="Примечание 3 2 10 2 2 2 2 2" xfId="19412"/>
    <cellStyle name="Примечание 3 2 10 2 2 2 2 3" xfId="34773"/>
    <cellStyle name="Примечание 3 2 10 2 2 2 3" xfId="24373"/>
    <cellStyle name="Примечание 3 2 10 2 2 2 3 2" xfId="39734"/>
    <cellStyle name="Примечание 3 2 10 2 2 2 4" xfId="13849"/>
    <cellStyle name="Примечание 3 2 10 2 2 2 5" xfId="29324"/>
    <cellStyle name="Примечание 3 2 10 2 2 3" xfId="5508"/>
    <cellStyle name="Примечание 3 2 10 2 2 3 2" xfId="10672"/>
    <cellStyle name="Примечание 3 2 10 2 2 3 2 2" xfId="21606"/>
    <cellStyle name="Примечание 3 2 10 2 2 3 2 3" xfId="36967"/>
    <cellStyle name="Примечание 3 2 10 2 2 3 3" xfId="26559"/>
    <cellStyle name="Примечание 3 2 10 2 2 3 3 2" xfId="41920"/>
    <cellStyle name="Примечание 3 2 10 2 2 3 4" xfId="16043"/>
    <cellStyle name="Примечание 3 2 10 2 2 3 5" xfId="31510"/>
    <cellStyle name="Примечание 3 2 10 2 2 4" xfId="6447"/>
    <cellStyle name="Примечание 3 2 10 2 2 4 2" xfId="16415"/>
    <cellStyle name="Примечание 3 2 10 2 2 4 3" xfId="31882"/>
    <cellStyle name="Примечание 3 2 10 2 2 5" xfId="22335"/>
    <cellStyle name="Примечание 3 2 10 2 2 5 2" xfId="37696"/>
    <cellStyle name="Примечание 3 2 10 2 2 6" xfId="11774"/>
    <cellStyle name="Примечание 3 2 10 2 2 7" xfId="27286"/>
    <cellStyle name="Примечание 3 2 10 2 3" xfId="2101"/>
    <cellStyle name="Примечание 3 2 10 2 3 2" xfId="7337"/>
    <cellStyle name="Примечание 3 2 10 2 3 2 2" xfId="18239"/>
    <cellStyle name="Примечание 3 2 10 2 3 2 3" xfId="33600"/>
    <cellStyle name="Примечание 3 2 10 2 3 3" xfId="23225"/>
    <cellStyle name="Примечание 3 2 10 2 3 3 2" xfId="38586"/>
    <cellStyle name="Примечание 3 2 10 2 3 4" xfId="12676"/>
    <cellStyle name="Примечание 3 2 10 2 3 5" xfId="28176"/>
    <cellStyle name="Примечание 3 2 10 2 4" xfId="2396"/>
    <cellStyle name="Примечание 3 2 10 2 4 2" xfId="7632"/>
    <cellStyle name="Примечание 3 2 10 2 4 2 2" xfId="18534"/>
    <cellStyle name="Примечание 3 2 10 2 4 2 3" xfId="33895"/>
    <cellStyle name="Примечание 3 2 10 2 4 3" xfId="23520"/>
    <cellStyle name="Примечание 3 2 10 2 4 3 2" xfId="38881"/>
    <cellStyle name="Примечание 3 2 10 2 4 4" xfId="12971"/>
    <cellStyle name="Примечание 3 2 10 2 4 5" xfId="28471"/>
    <cellStyle name="Примечание 3 2 10 2 5" xfId="1212"/>
    <cellStyle name="Примечание 3 2 10 2 5 2" xfId="6465"/>
    <cellStyle name="Примечание 3 2 10 2 5 2 2" xfId="16396"/>
    <cellStyle name="Примечание 3 2 10 2 5 2 3" xfId="31863"/>
    <cellStyle name="Примечание 3 2 10 2 5 3" xfId="22353"/>
    <cellStyle name="Примечание 3 2 10 2 5 3 2" xfId="37714"/>
    <cellStyle name="Примечание 3 2 10 2 5 4" xfId="11793"/>
    <cellStyle name="Примечание 3 2 10 2 5 5" xfId="27304"/>
    <cellStyle name="Примечание 3 2 10 2 6" xfId="4149"/>
    <cellStyle name="Примечание 3 2 10 2 6 2" xfId="9336"/>
    <cellStyle name="Примечание 3 2 10 2 6 2 2" xfId="20263"/>
    <cellStyle name="Примечание 3 2 10 2 6 2 3" xfId="35624"/>
    <cellStyle name="Примечание 3 2 10 2 6 3" xfId="25224"/>
    <cellStyle name="Примечание 3 2 10 2 6 3 2" xfId="40585"/>
    <cellStyle name="Примечание 3 2 10 2 6 4" xfId="14700"/>
    <cellStyle name="Примечание 3 2 10 2 6 5" xfId="30175"/>
    <cellStyle name="Примечание 3 2 10 2 7" xfId="4921"/>
    <cellStyle name="Примечание 3 2 10 2 7 2" xfId="10108"/>
    <cellStyle name="Примечание 3 2 10 2 7 2 2" xfId="21035"/>
    <cellStyle name="Примечание 3 2 10 2 7 2 3" xfId="36396"/>
    <cellStyle name="Примечание 3 2 10 2 7 3" xfId="25996"/>
    <cellStyle name="Примечание 3 2 10 2 7 3 2" xfId="41357"/>
    <cellStyle name="Примечание 3 2 10 2 7 4" xfId="15472"/>
    <cellStyle name="Примечание 3 2 10 2 7 5" xfId="30947"/>
    <cellStyle name="Примечание 3 2 10 2 8" xfId="5957"/>
    <cellStyle name="Примечание 3 2 10 2 8 2" xfId="16910"/>
    <cellStyle name="Примечание 3 2 10 2 8 3" xfId="32377"/>
    <cellStyle name="Примечание 3 2 10 2 9" xfId="21845"/>
    <cellStyle name="Примечание 3 2 10 2 9 2" xfId="37206"/>
    <cellStyle name="Примечание 3 2 10 3" xfId="1188"/>
    <cellStyle name="Примечание 3 2 10 3 2" xfId="3292"/>
    <cellStyle name="Примечание 3 2 10 3 2 2" xfId="8486"/>
    <cellStyle name="Примечание 3 2 10 3 2 2 2" xfId="19413"/>
    <cellStyle name="Примечание 3 2 10 3 2 2 3" xfId="34774"/>
    <cellStyle name="Примечание 3 2 10 3 2 3" xfId="24374"/>
    <cellStyle name="Примечание 3 2 10 3 2 3 2" xfId="39735"/>
    <cellStyle name="Примечание 3 2 10 3 2 4" xfId="13850"/>
    <cellStyle name="Примечание 3 2 10 3 2 5" xfId="29325"/>
    <cellStyle name="Примечание 3 2 10 3 3" xfId="5509"/>
    <cellStyle name="Примечание 3 2 10 3 3 2" xfId="10673"/>
    <cellStyle name="Примечание 3 2 10 3 3 2 2" xfId="21607"/>
    <cellStyle name="Примечание 3 2 10 3 3 2 3" xfId="36968"/>
    <cellStyle name="Примечание 3 2 10 3 3 3" xfId="26560"/>
    <cellStyle name="Примечание 3 2 10 3 3 3 2" xfId="41921"/>
    <cellStyle name="Примечание 3 2 10 3 3 4" xfId="16044"/>
    <cellStyle name="Примечание 3 2 10 3 3 5" xfId="31511"/>
    <cellStyle name="Примечание 3 2 10 3 4" xfId="6442"/>
    <cellStyle name="Примечание 3 2 10 3 4 2" xfId="16420"/>
    <cellStyle name="Примечание 3 2 10 3 4 3" xfId="31887"/>
    <cellStyle name="Примечание 3 2 10 3 5" xfId="22330"/>
    <cellStyle name="Примечание 3 2 10 3 5 2" xfId="37691"/>
    <cellStyle name="Примечание 3 2 10 3 6" xfId="11769"/>
    <cellStyle name="Примечание 3 2 10 3 7" xfId="27281"/>
    <cellStyle name="Примечание 3 2 10 4" xfId="1995"/>
    <cellStyle name="Примечание 3 2 10 4 2" xfId="7231"/>
    <cellStyle name="Примечание 3 2 10 4 2 2" xfId="18133"/>
    <cellStyle name="Примечание 3 2 10 4 2 3" xfId="33494"/>
    <cellStyle name="Примечание 3 2 10 4 3" xfId="23119"/>
    <cellStyle name="Примечание 3 2 10 4 3 2" xfId="38480"/>
    <cellStyle name="Примечание 3 2 10 4 4" xfId="12570"/>
    <cellStyle name="Примечание 3 2 10 4 5" xfId="28070"/>
    <cellStyle name="Примечание 3 2 10 5" xfId="2468"/>
    <cellStyle name="Примечание 3 2 10 5 2" xfId="7704"/>
    <cellStyle name="Примечание 3 2 10 5 2 2" xfId="18606"/>
    <cellStyle name="Примечание 3 2 10 5 2 3" xfId="33967"/>
    <cellStyle name="Примечание 3 2 10 5 3" xfId="23592"/>
    <cellStyle name="Примечание 3 2 10 5 3 2" xfId="38953"/>
    <cellStyle name="Примечание 3 2 10 5 4" xfId="13043"/>
    <cellStyle name="Примечание 3 2 10 5 5" xfId="28543"/>
    <cellStyle name="Примечание 3 2 10 6" xfId="2922"/>
    <cellStyle name="Примечание 3 2 10 6 2" xfId="8123"/>
    <cellStyle name="Примечание 3 2 10 6 2 2" xfId="19043"/>
    <cellStyle name="Примечание 3 2 10 6 2 3" xfId="34404"/>
    <cellStyle name="Примечание 3 2 10 6 3" xfId="24011"/>
    <cellStyle name="Примечание 3 2 10 6 3 2" xfId="39372"/>
    <cellStyle name="Примечание 3 2 10 6 4" xfId="13480"/>
    <cellStyle name="Примечание 3 2 10 6 5" xfId="28962"/>
    <cellStyle name="Примечание 3 2 10 7" xfId="4083"/>
    <cellStyle name="Примечание 3 2 10 7 2" xfId="9270"/>
    <cellStyle name="Примечание 3 2 10 7 2 2" xfId="20197"/>
    <cellStyle name="Примечание 3 2 10 7 2 3" xfId="35558"/>
    <cellStyle name="Примечание 3 2 10 7 3" xfId="25158"/>
    <cellStyle name="Примечание 3 2 10 7 3 2" xfId="40519"/>
    <cellStyle name="Примечание 3 2 10 7 4" xfId="14634"/>
    <cellStyle name="Примечание 3 2 10 7 5" xfId="30109"/>
    <cellStyle name="Примечание 3 2 10 8" xfId="4890"/>
    <cellStyle name="Примечание 3 2 10 8 2" xfId="10077"/>
    <cellStyle name="Примечание 3 2 10 8 2 2" xfId="21004"/>
    <cellStyle name="Примечание 3 2 10 8 2 3" xfId="36365"/>
    <cellStyle name="Примечание 3 2 10 8 3" xfId="25965"/>
    <cellStyle name="Примечание 3 2 10 8 3 2" xfId="41326"/>
    <cellStyle name="Примечание 3 2 10 8 4" xfId="15441"/>
    <cellStyle name="Примечание 3 2 10 8 5" xfId="30916"/>
    <cellStyle name="Примечание 3 2 10 9" xfId="5891"/>
    <cellStyle name="Примечание 3 2 10 9 2" xfId="16980"/>
    <cellStyle name="Примечание 3 2 10 9 3" xfId="32447"/>
    <cellStyle name="Примечание 3 2 11" xfId="585"/>
    <cellStyle name="Примечание 3 2 11 10" xfId="21780"/>
    <cellStyle name="Примечание 3 2 11 10 2" xfId="37141"/>
    <cellStyle name="Примечание 3 2 11 11" xfId="11210"/>
    <cellStyle name="Примечание 3 2 11 12" xfId="26731"/>
    <cellStyle name="Примечание 3 2 11 2" xfId="694"/>
    <cellStyle name="Примечание 3 2 11 2 10" xfId="11278"/>
    <cellStyle name="Примечание 3 2 11 2 11" xfId="26795"/>
    <cellStyle name="Примечание 3 2 11 2 2" xfId="1387"/>
    <cellStyle name="Примечание 3 2 11 2 2 2" xfId="3294"/>
    <cellStyle name="Примечание 3 2 11 2 2 2 2" xfId="8488"/>
    <cellStyle name="Примечание 3 2 11 2 2 2 2 2" xfId="19415"/>
    <cellStyle name="Примечание 3 2 11 2 2 2 2 3" xfId="34776"/>
    <cellStyle name="Примечание 3 2 11 2 2 2 3" xfId="24376"/>
    <cellStyle name="Примечание 3 2 11 2 2 2 3 2" xfId="39737"/>
    <cellStyle name="Примечание 3 2 11 2 2 2 4" xfId="13852"/>
    <cellStyle name="Примечание 3 2 11 2 2 2 5" xfId="29327"/>
    <cellStyle name="Примечание 3 2 11 2 2 3" xfId="5510"/>
    <cellStyle name="Примечание 3 2 11 2 2 3 2" xfId="10674"/>
    <cellStyle name="Примечание 3 2 11 2 2 3 2 2" xfId="21608"/>
    <cellStyle name="Примечание 3 2 11 2 2 3 2 3" xfId="36969"/>
    <cellStyle name="Примечание 3 2 11 2 2 3 3" xfId="26561"/>
    <cellStyle name="Примечание 3 2 11 2 2 3 3 2" xfId="41922"/>
    <cellStyle name="Примечание 3 2 11 2 2 3 4" xfId="16045"/>
    <cellStyle name="Примечание 3 2 11 2 2 3 5" xfId="31512"/>
    <cellStyle name="Примечание 3 2 11 2 2 4" xfId="6637"/>
    <cellStyle name="Примечание 3 2 11 2 2 4 2" xfId="16222"/>
    <cellStyle name="Примечание 3 2 11 2 2 4 3" xfId="31689"/>
    <cellStyle name="Примечание 3 2 11 2 2 5" xfId="22525"/>
    <cellStyle name="Примечание 3 2 11 2 2 5 2" xfId="37886"/>
    <cellStyle name="Примечание 3 2 11 2 2 6" xfId="11967"/>
    <cellStyle name="Примечание 3 2 11 2 2 7" xfId="27476"/>
    <cellStyle name="Примечание 3 2 11 2 3" xfId="2100"/>
    <cellStyle name="Примечание 3 2 11 2 3 2" xfId="7336"/>
    <cellStyle name="Примечание 3 2 11 2 3 2 2" xfId="18238"/>
    <cellStyle name="Примечание 3 2 11 2 3 2 3" xfId="33599"/>
    <cellStyle name="Примечание 3 2 11 2 3 3" xfId="23224"/>
    <cellStyle name="Примечание 3 2 11 2 3 3 2" xfId="38585"/>
    <cellStyle name="Примечание 3 2 11 2 3 4" xfId="12675"/>
    <cellStyle name="Примечание 3 2 11 2 3 5" xfId="28175"/>
    <cellStyle name="Примечание 3 2 11 2 4" xfId="2031"/>
    <cellStyle name="Примечание 3 2 11 2 4 2" xfId="7267"/>
    <cellStyle name="Примечание 3 2 11 2 4 2 2" xfId="18169"/>
    <cellStyle name="Примечание 3 2 11 2 4 2 3" xfId="33530"/>
    <cellStyle name="Примечание 3 2 11 2 4 3" xfId="23155"/>
    <cellStyle name="Примечание 3 2 11 2 4 3 2" xfId="38516"/>
    <cellStyle name="Примечание 3 2 11 2 4 4" xfId="12606"/>
    <cellStyle name="Примечание 3 2 11 2 4 5" xfId="28106"/>
    <cellStyle name="Примечание 3 2 11 2 5" xfId="3600"/>
    <cellStyle name="Примечание 3 2 11 2 5 2" xfId="8787"/>
    <cellStyle name="Примечание 3 2 11 2 5 2 2" xfId="19714"/>
    <cellStyle name="Примечание 3 2 11 2 5 2 3" xfId="35075"/>
    <cellStyle name="Примечание 3 2 11 2 5 3" xfId="24675"/>
    <cellStyle name="Примечание 3 2 11 2 5 3 2" xfId="40036"/>
    <cellStyle name="Примечание 3 2 11 2 5 4" xfId="14151"/>
    <cellStyle name="Примечание 3 2 11 2 5 5" xfId="29626"/>
    <cellStyle name="Примечание 3 2 11 2 6" xfId="4148"/>
    <cellStyle name="Примечание 3 2 11 2 6 2" xfId="9335"/>
    <cellStyle name="Примечание 3 2 11 2 6 2 2" xfId="20262"/>
    <cellStyle name="Примечание 3 2 11 2 6 2 3" xfId="35623"/>
    <cellStyle name="Примечание 3 2 11 2 6 3" xfId="25223"/>
    <cellStyle name="Примечание 3 2 11 2 6 3 2" xfId="40584"/>
    <cellStyle name="Примечание 3 2 11 2 6 4" xfId="14699"/>
    <cellStyle name="Примечание 3 2 11 2 6 5" xfId="30174"/>
    <cellStyle name="Примечание 3 2 11 2 7" xfId="4626"/>
    <cellStyle name="Примечание 3 2 11 2 7 2" xfId="9813"/>
    <cellStyle name="Примечание 3 2 11 2 7 2 2" xfId="20740"/>
    <cellStyle name="Примечание 3 2 11 2 7 2 3" xfId="36101"/>
    <cellStyle name="Примечание 3 2 11 2 7 3" xfId="25701"/>
    <cellStyle name="Примечание 3 2 11 2 7 3 2" xfId="41062"/>
    <cellStyle name="Примечание 3 2 11 2 7 4" xfId="15177"/>
    <cellStyle name="Примечание 3 2 11 2 7 5" xfId="30652"/>
    <cellStyle name="Примечание 3 2 11 2 8" xfId="5956"/>
    <cellStyle name="Примечание 3 2 11 2 8 2" xfId="16911"/>
    <cellStyle name="Примечание 3 2 11 2 8 3" xfId="32378"/>
    <cellStyle name="Примечание 3 2 11 2 9" xfId="21844"/>
    <cellStyle name="Примечание 3 2 11 2 9 2" xfId="37205"/>
    <cellStyle name="Примечание 3 2 11 3" xfId="987"/>
    <cellStyle name="Примечание 3 2 11 3 2" xfId="3295"/>
    <cellStyle name="Примечание 3 2 11 3 2 2" xfId="8489"/>
    <cellStyle name="Примечание 3 2 11 3 2 2 2" xfId="19416"/>
    <cellStyle name="Примечание 3 2 11 3 2 2 3" xfId="34777"/>
    <cellStyle name="Примечание 3 2 11 3 2 3" xfId="24377"/>
    <cellStyle name="Примечание 3 2 11 3 2 3 2" xfId="39738"/>
    <cellStyle name="Примечание 3 2 11 3 2 4" xfId="13853"/>
    <cellStyle name="Примечание 3 2 11 3 2 5" xfId="29328"/>
    <cellStyle name="Примечание 3 2 11 3 3" xfId="5511"/>
    <cellStyle name="Примечание 3 2 11 3 3 2" xfId="10675"/>
    <cellStyle name="Примечание 3 2 11 3 3 2 2" xfId="21609"/>
    <cellStyle name="Примечание 3 2 11 3 3 2 3" xfId="36970"/>
    <cellStyle name="Примечание 3 2 11 3 3 3" xfId="26562"/>
    <cellStyle name="Примечание 3 2 11 3 3 3 2" xfId="41923"/>
    <cellStyle name="Примечание 3 2 11 3 3 4" xfId="16046"/>
    <cellStyle name="Примечание 3 2 11 3 3 5" xfId="31513"/>
    <cellStyle name="Примечание 3 2 11 3 4" xfId="6246"/>
    <cellStyle name="Примечание 3 2 11 3 4 2" xfId="16619"/>
    <cellStyle name="Примечание 3 2 11 3 4 3" xfId="32086"/>
    <cellStyle name="Примечание 3 2 11 3 5" xfId="22134"/>
    <cellStyle name="Примечание 3 2 11 3 5 2" xfId="37495"/>
    <cellStyle name="Примечание 3 2 11 3 6" xfId="11570"/>
    <cellStyle name="Примечание 3 2 11 3 7" xfId="27085"/>
    <cellStyle name="Примечание 3 2 11 4" xfId="1996"/>
    <cellStyle name="Примечание 3 2 11 4 2" xfId="7232"/>
    <cellStyle name="Примечание 3 2 11 4 2 2" xfId="18134"/>
    <cellStyle name="Примечание 3 2 11 4 2 3" xfId="33495"/>
    <cellStyle name="Примечание 3 2 11 4 3" xfId="23120"/>
    <cellStyle name="Примечание 3 2 11 4 3 2" xfId="38481"/>
    <cellStyle name="Примечание 3 2 11 4 4" xfId="12571"/>
    <cellStyle name="Примечание 3 2 11 4 5" xfId="28071"/>
    <cellStyle name="Примечание 3 2 11 5" xfId="1858"/>
    <cellStyle name="Примечание 3 2 11 5 2" xfId="7097"/>
    <cellStyle name="Примечание 3 2 11 5 2 2" xfId="17999"/>
    <cellStyle name="Примечание 3 2 11 5 2 3" xfId="33360"/>
    <cellStyle name="Примечание 3 2 11 5 3" xfId="22985"/>
    <cellStyle name="Примечание 3 2 11 5 3 2" xfId="38346"/>
    <cellStyle name="Примечание 3 2 11 5 4" xfId="12436"/>
    <cellStyle name="Примечание 3 2 11 5 5" xfId="27936"/>
    <cellStyle name="Примечание 3 2 11 6" xfId="3582"/>
    <cellStyle name="Примечание 3 2 11 6 2" xfId="8769"/>
    <cellStyle name="Примечание 3 2 11 6 2 2" xfId="19696"/>
    <cellStyle name="Примечание 3 2 11 6 2 3" xfId="35057"/>
    <cellStyle name="Примечание 3 2 11 6 3" xfId="24657"/>
    <cellStyle name="Примечание 3 2 11 6 3 2" xfId="40018"/>
    <cellStyle name="Примечание 3 2 11 6 4" xfId="14133"/>
    <cellStyle name="Примечание 3 2 11 6 5" xfId="29608"/>
    <cellStyle name="Примечание 3 2 11 7" xfId="4084"/>
    <cellStyle name="Примечание 3 2 11 7 2" xfId="9271"/>
    <cellStyle name="Примечание 3 2 11 7 2 2" xfId="20198"/>
    <cellStyle name="Примечание 3 2 11 7 2 3" xfId="35559"/>
    <cellStyle name="Примечание 3 2 11 7 3" xfId="25159"/>
    <cellStyle name="Примечание 3 2 11 7 3 2" xfId="40520"/>
    <cellStyle name="Примечание 3 2 11 7 4" xfId="14635"/>
    <cellStyle name="Примечание 3 2 11 7 5" xfId="30110"/>
    <cellStyle name="Примечание 3 2 11 8" xfId="4657"/>
    <cellStyle name="Примечание 3 2 11 8 2" xfId="9844"/>
    <cellStyle name="Примечание 3 2 11 8 2 2" xfId="20771"/>
    <cellStyle name="Примечание 3 2 11 8 2 3" xfId="36132"/>
    <cellStyle name="Примечание 3 2 11 8 3" xfId="25732"/>
    <cellStyle name="Примечание 3 2 11 8 3 2" xfId="41093"/>
    <cellStyle name="Примечание 3 2 11 8 4" xfId="15208"/>
    <cellStyle name="Примечание 3 2 11 8 5" xfId="30683"/>
    <cellStyle name="Примечание 3 2 11 9" xfId="5892"/>
    <cellStyle name="Примечание 3 2 11 9 2" xfId="16979"/>
    <cellStyle name="Примечание 3 2 11 9 3" xfId="32446"/>
    <cellStyle name="Примечание 3 2 12" xfId="586"/>
    <cellStyle name="Примечание 3 2 12 10" xfId="21781"/>
    <cellStyle name="Примечание 3 2 12 10 2" xfId="37142"/>
    <cellStyle name="Примечание 3 2 12 11" xfId="11211"/>
    <cellStyle name="Примечание 3 2 12 12" xfId="26732"/>
    <cellStyle name="Примечание 3 2 12 2" xfId="693"/>
    <cellStyle name="Примечание 3 2 12 2 10" xfId="11277"/>
    <cellStyle name="Примечание 3 2 12 2 11" xfId="26794"/>
    <cellStyle name="Примечание 3 2 12 2 2" xfId="70"/>
    <cellStyle name="Примечание 3 2 12 2 2 2" xfId="3296"/>
    <cellStyle name="Примечание 3 2 12 2 2 2 2" xfId="8490"/>
    <cellStyle name="Примечание 3 2 12 2 2 2 2 2" xfId="19417"/>
    <cellStyle name="Примечание 3 2 12 2 2 2 2 3" xfId="34778"/>
    <cellStyle name="Примечание 3 2 12 2 2 2 3" xfId="24378"/>
    <cellStyle name="Примечание 3 2 12 2 2 2 3 2" xfId="39739"/>
    <cellStyle name="Примечание 3 2 12 2 2 2 4" xfId="13854"/>
    <cellStyle name="Примечание 3 2 12 2 2 2 5" xfId="29329"/>
    <cellStyle name="Примечание 3 2 12 2 2 3" xfId="5512"/>
    <cellStyle name="Примечание 3 2 12 2 2 3 2" xfId="10676"/>
    <cellStyle name="Примечание 3 2 12 2 2 3 2 2" xfId="21610"/>
    <cellStyle name="Примечание 3 2 12 2 2 3 2 3" xfId="36971"/>
    <cellStyle name="Примечание 3 2 12 2 2 3 3" xfId="26563"/>
    <cellStyle name="Примечание 3 2 12 2 2 3 3 2" xfId="41924"/>
    <cellStyle name="Примечание 3 2 12 2 2 3 4" xfId="16047"/>
    <cellStyle name="Примечание 3 2 12 2 2 3 5" xfId="31514"/>
    <cellStyle name="Примечание 3 2 12 2 2 4" xfId="5596"/>
    <cellStyle name="Примечание 3 2 12 2 2 4 2" xfId="17401"/>
    <cellStyle name="Примечание 3 2 12 2 2 4 3" xfId="32868"/>
    <cellStyle name="Примечание 3 2 12 2 2 5" xfId="17059"/>
    <cellStyle name="Примечание 3 2 12 2 2 5 2" xfId="32526"/>
    <cellStyle name="Примечание 3 2 12 2 2 6" xfId="10784"/>
    <cellStyle name="Примечание 3 2 12 2 2 7" xfId="11127"/>
    <cellStyle name="Примечание 3 2 12 2 3" xfId="2099"/>
    <cellStyle name="Примечание 3 2 12 2 3 2" xfId="7335"/>
    <cellStyle name="Примечание 3 2 12 2 3 2 2" xfId="18237"/>
    <cellStyle name="Примечание 3 2 12 2 3 2 3" xfId="33598"/>
    <cellStyle name="Примечание 3 2 12 2 3 3" xfId="23223"/>
    <cellStyle name="Примечание 3 2 12 2 3 3 2" xfId="38584"/>
    <cellStyle name="Примечание 3 2 12 2 3 4" xfId="12674"/>
    <cellStyle name="Примечание 3 2 12 2 3 5" xfId="28174"/>
    <cellStyle name="Примечание 3 2 12 2 4" xfId="1386"/>
    <cellStyle name="Примечание 3 2 12 2 4 2" xfId="6636"/>
    <cellStyle name="Примечание 3 2 12 2 4 2 2" xfId="16223"/>
    <cellStyle name="Примечание 3 2 12 2 4 2 3" xfId="31690"/>
    <cellStyle name="Примечание 3 2 12 2 4 3" xfId="22524"/>
    <cellStyle name="Примечание 3 2 12 2 4 3 2" xfId="37885"/>
    <cellStyle name="Примечание 3 2 12 2 4 4" xfId="11966"/>
    <cellStyle name="Примечание 3 2 12 2 4 5" xfId="27475"/>
    <cellStyle name="Примечание 3 2 12 2 5" xfId="2679"/>
    <cellStyle name="Примечание 3 2 12 2 5 2" xfId="7910"/>
    <cellStyle name="Примечание 3 2 12 2 5 2 2" xfId="18814"/>
    <cellStyle name="Примечание 3 2 12 2 5 2 3" xfId="34175"/>
    <cellStyle name="Примечание 3 2 12 2 5 3" xfId="23798"/>
    <cellStyle name="Примечание 3 2 12 2 5 3 2" xfId="39159"/>
    <cellStyle name="Примечание 3 2 12 2 5 4" xfId="13251"/>
    <cellStyle name="Примечание 3 2 12 2 5 5" xfId="28749"/>
    <cellStyle name="Примечание 3 2 12 2 6" xfId="4147"/>
    <cellStyle name="Примечание 3 2 12 2 6 2" xfId="9334"/>
    <cellStyle name="Примечание 3 2 12 2 6 2 2" xfId="20261"/>
    <cellStyle name="Примечание 3 2 12 2 6 2 3" xfId="35622"/>
    <cellStyle name="Примечание 3 2 12 2 6 3" xfId="25222"/>
    <cellStyle name="Примечание 3 2 12 2 6 3 2" xfId="40583"/>
    <cellStyle name="Примечание 3 2 12 2 6 4" xfId="14698"/>
    <cellStyle name="Примечание 3 2 12 2 6 5" xfId="30173"/>
    <cellStyle name="Примечание 3 2 12 2 7" xfId="4920"/>
    <cellStyle name="Примечание 3 2 12 2 7 2" xfId="10107"/>
    <cellStyle name="Примечание 3 2 12 2 7 2 2" xfId="21034"/>
    <cellStyle name="Примечание 3 2 12 2 7 2 3" xfId="36395"/>
    <cellStyle name="Примечание 3 2 12 2 7 3" xfId="25995"/>
    <cellStyle name="Примечание 3 2 12 2 7 3 2" xfId="41356"/>
    <cellStyle name="Примечание 3 2 12 2 7 4" xfId="15471"/>
    <cellStyle name="Примечание 3 2 12 2 7 5" xfId="30946"/>
    <cellStyle name="Примечание 3 2 12 2 8" xfId="5955"/>
    <cellStyle name="Примечание 3 2 12 2 8 2" xfId="16912"/>
    <cellStyle name="Примечание 3 2 12 2 8 3" xfId="32379"/>
    <cellStyle name="Примечание 3 2 12 2 9" xfId="21843"/>
    <cellStyle name="Примечание 3 2 12 2 9 2" xfId="37204"/>
    <cellStyle name="Примечание 3 2 12 3" xfId="1673"/>
    <cellStyle name="Примечание 3 2 12 3 2" xfId="3297"/>
    <cellStyle name="Примечание 3 2 12 3 2 2" xfId="8491"/>
    <cellStyle name="Примечание 3 2 12 3 2 2 2" xfId="19418"/>
    <cellStyle name="Примечание 3 2 12 3 2 2 3" xfId="34779"/>
    <cellStyle name="Примечание 3 2 12 3 2 3" xfId="24379"/>
    <cellStyle name="Примечание 3 2 12 3 2 3 2" xfId="39740"/>
    <cellStyle name="Примечание 3 2 12 3 2 4" xfId="13855"/>
    <cellStyle name="Примечание 3 2 12 3 2 5" xfId="29330"/>
    <cellStyle name="Примечание 3 2 12 3 3" xfId="5513"/>
    <cellStyle name="Примечание 3 2 12 3 3 2" xfId="10677"/>
    <cellStyle name="Примечание 3 2 12 3 3 2 2" xfId="21611"/>
    <cellStyle name="Примечание 3 2 12 3 3 2 3" xfId="36972"/>
    <cellStyle name="Примечание 3 2 12 3 3 3" xfId="26564"/>
    <cellStyle name="Примечание 3 2 12 3 3 3 2" xfId="41925"/>
    <cellStyle name="Примечание 3 2 12 3 3 4" xfId="16048"/>
    <cellStyle name="Примечание 3 2 12 3 3 5" xfId="31515"/>
    <cellStyle name="Примечание 3 2 12 3 4" xfId="6918"/>
    <cellStyle name="Примечание 3 2 12 3 4 2" xfId="17815"/>
    <cellStyle name="Примечание 3 2 12 3 4 3" xfId="33176"/>
    <cellStyle name="Примечание 3 2 12 3 5" xfId="22806"/>
    <cellStyle name="Примечание 3 2 12 3 5 2" xfId="38167"/>
    <cellStyle name="Примечание 3 2 12 3 6" xfId="12251"/>
    <cellStyle name="Примечание 3 2 12 3 7" xfId="27757"/>
    <cellStyle name="Примечание 3 2 12 4" xfId="1997"/>
    <cellStyle name="Примечание 3 2 12 4 2" xfId="7233"/>
    <cellStyle name="Примечание 3 2 12 4 2 2" xfId="18135"/>
    <cellStyle name="Примечание 3 2 12 4 2 3" xfId="33496"/>
    <cellStyle name="Примечание 3 2 12 4 3" xfId="23121"/>
    <cellStyle name="Примечание 3 2 12 4 3 2" xfId="38482"/>
    <cellStyle name="Примечание 3 2 12 4 4" xfId="12572"/>
    <cellStyle name="Примечание 3 2 12 4 5" xfId="28072"/>
    <cellStyle name="Примечание 3 2 12 5" xfId="2840"/>
    <cellStyle name="Примечание 3 2 12 5 2" xfId="8055"/>
    <cellStyle name="Примечание 3 2 12 5 2 2" xfId="18970"/>
    <cellStyle name="Примечание 3 2 12 5 2 3" xfId="34331"/>
    <cellStyle name="Примечание 3 2 12 5 3" xfId="23943"/>
    <cellStyle name="Примечание 3 2 12 5 3 2" xfId="39304"/>
    <cellStyle name="Примечание 3 2 12 5 4" xfId="13407"/>
    <cellStyle name="Примечание 3 2 12 5 5" xfId="28894"/>
    <cellStyle name="Примечание 3 2 12 6" xfId="2921"/>
    <cellStyle name="Примечание 3 2 12 6 2" xfId="8122"/>
    <cellStyle name="Примечание 3 2 12 6 2 2" xfId="19042"/>
    <cellStyle name="Примечание 3 2 12 6 2 3" xfId="34403"/>
    <cellStyle name="Примечание 3 2 12 6 3" xfId="24010"/>
    <cellStyle name="Примечание 3 2 12 6 3 2" xfId="39371"/>
    <cellStyle name="Примечание 3 2 12 6 4" xfId="13479"/>
    <cellStyle name="Примечание 3 2 12 6 5" xfId="28961"/>
    <cellStyle name="Примечание 3 2 12 7" xfId="4085"/>
    <cellStyle name="Примечание 3 2 12 7 2" xfId="9272"/>
    <cellStyle name="Примечание 3 2 12 7 2 2" xfId="20199"/>
    <cellStyle name="Примечание 3 2 12 7 2 3" xfId="35560"/>
    <cellStyle name="Примечание 3 2 12 7 3" xfId="25160"/>
    <cellStyle name="Примечание 3 2 12 7 3 2" xfId="40521"/>
    <cellStyle name="Примечание 3 2 12 7 4" xfId="14636"/>
    <cellStyle name="Примечание 3 2 12 7 5" xfId="30111"/>
    <cellStyle name="Примечание 3 2 12 8" xfId="4891"/>
    <cellStyle name="Примечание 3 2 12 8 2" xfId="10078"/>
    <cellStyle name="Примечание 3 2 12 8 2 2" xfId="21005"/>
    <cellStyle name="Примечание 3 2 12 8 2 3" xfId="36366"/>
    <cellStyle name="Примечание 3 2 12 8 3" xfId="25966"/>
    <cellStyle name="Примечание 3 2 12 8 3 2" xfId="41327"/>
    <cellStyle name="Примечание 3 2 12 8 4" xfId="15442"/>
    <cellStyle name="Примечание 3 2 12 8 5" xfId="30917"/>
    <cellStyle name="Примечание 3 2 12 9" xfId="5893"/>
    <cellStyle name="Примечание 3 2 12 9 2" xfId="16978"/>
    <cellStyle name="Примечание 3 2 12 9 3" xfId="32445"/>
    <cellStyle name="Примечание 3 2 13" xfId="587"/>
    <cellStyle name="Примечание 3 2 13 10" xfId="21782"/>
    <cellStyle name="Примечание 3 2 13 10 2" xfId="37143"/>
    <cellStyle name="Примечание 3 2 13 11" xfId="11212"/>
    <cellStyle name="Примечание 3 2 13 12" xfId="26733"/>
    <cellStyle name="Примечание 3 2 13 2" xfId="692"/>
    <cellStyle name="Примечание 3 2 13 2 10" xfId="11276"/>
    <cellStyle name="Примечание 3 2 13 2 11" xfId="26793"/>
    <cellStyle name="Примечание 3 2 13 2 2" xfId="1563"/>
    <cellStyle name="Примечание 3 2 13 2 2 2" xfId="3298"/>
    <cellStyle name="Примечание 3 2 13 2 2 2 2" xfId="8492"/>
    <cellStyle name="Примечание 3 2 13 2 2 2 2 2" xfId="19419"/>
    <cellStyle name="Примечание 3 2 13 2 2 2 2 3" xfId="34780"/>
    <cellStyle name="Примечание 3 2 13 2 2 2 3" xfId="24380"/>
    <cellStyle name="Примечание 3 2 13 2 2 2 3 2" xfId="39741"/>
    <cellStyle name="Примечание 3 2 13 2 2 2 4" xfId="13856"/>
    <cellStyle name="Примечание 3 2 13 2 2 2 5" xfId="29331"/>
    <cellStyle name="Примечание 3 2 13 2 2 3" xfId="5514"/>
    <cellStyle name="Примечание 3 2 13 2 2 3 2" xfId="10678"/>
    <cellStyle name="Примечание 3 2 13 2 2 3 2 2" xfId="21612"/>
    <cellStyle name="Примечание 3 2 13 2 2 3 2 3" xfId="36973"/>
    <cellStyle name="Примечание 3 2 13 2 2 3 3" xfId="26565"/>
    <cellStyle name="Примечание 3 2 13 2 2 3 3 2" xfId="41926"/>
    <cellStyle name="Примечание 3 2 13 2 2 3 4" xfId="16049"/>
    <cellStyle name="Примечание 3 2 13 2 2 3 5" xfId="31516"/>
    <cellStyle name="Примечание 3 2 13 2 2 4" xfId="6810"/>
    <cellStyle name="Примечание 3 2 13 2 2 4 2" xfId="17705"/>
    <cellStyle name="Примечание 3 2 13 2 2 4 3" xfId="33066"/>
    <cellStyle name="Примечание 3 2 13 2 2 5" xfId="22698"/>
    <cellStyle name="Примечание 3 2 13 2 2 5 2" xfId="38059"/>
    <cellStyle name="Примечание 3 2 13 2 2 6" xfId="12141"/>
    <cellStyle name="Примечание 3 2 13 2 2 7" xfId="27649"/>
    <cellStyle name="Примечание 3 2 13 2 3" xfId="2098"/>
    <cellStyle name="Примечание 3 2 13 2 3 2" xfId="7334"/>
    <cellStyle name="Примечание 3 2 13 2 3 2 2" xfId="18236"/>
    <cellStyle name="Примечание 3 2 13 2 3 2 3" xfId="33597"/>
    <cellStyle name="Примечание 3 2 13 2 3 3" xfId="23222"/>
    <cellStyle name="Примечание 3 2 13 2 3 3 2" xfId="38583"/>
    <cellStyle name="Примечание 3 2 13 2 3 4" xfId="12673"/>
    <cellStyle name="Примечание 3 2 13 2 3 5" xfId="28173"/>
    <cellStyle name="Примечание 3 2 13 2 4" xfId="2397"/>
    <cellStyle name="Примечание 3 2 13 2 4 2" xfId="7633"/>
    <cellStyle name="Примечание 3 2 13 2 4 2 2" xfId="18535"/>
    <cellStyle name="Примечание 3 2 13 2 4 2 3" xfId="33896"/>
    <cellStyle name="Примечание 3 2 13 2 4 3" xfId="23521"/>
    <cellStyle name="Примечание 3 2 13 2 4 3 2" xfId="38882"/>
    <cellStyle name="Примечание 3 2 13 2 4 4" xfId="12972"/>
    <cellStyle name="Примечание 3 2 13 2 4 5" xfId="28472"/>
    <cellStyle name="Примечание 3 2 13 2 5" xfId="3830"/>
    <cellStyle name="Примечание 3 2 13 2 5 2" xfId="9017"/>
    <cellStyle name="Примечание 3 2 13 2 5 2 2" xfId="19944"/>
    <cellStyle name="Примечание 3 2 13 2 5 2 3" xfId="35305"/>
    <cellStyle name="Примечание 3 2 13 2 5 3" xfId="24905"/>
    <cellStyle name="Примечание 3 2 13 2 5 3 2" xfId="40266"/>
    <cellStyle name="Примечание 3 2 13 2 5 4" xfId="14381"/>
    <cellStyle name="Примечание 3 2 13 2 5 5" xfId="29856"/>
    <cellStyle name="Примечание 3 2 13 2 6" xfId="4146"/>
    <cellStyle name="Примечание 3 2 13 2 6 2" xfId="9333"/>
    <cellStyle name="Примечание 3 2 13 2 6 2 2" xfId="20260"/>
    <cellStyle name="Примечание 3 2 13 2 6 2 3" xfId="35621"/>
    <cellStyle name="Примечание 3 2 13 2 6 3" xfId="25221"/>
    <cellStyle name="Примечание 3 2 13 2 6 3 2" xfId="40582"/>
    <cellStyle name="Примечание 3 2 13 2 6 4" xfId="14697"/>
    <cellStyle name="Примечание 3 2 13 2 6 5" xfId="30172"/>
    <cellStyle name="Примечание 3 2 13 2 7" xfId="4627"/>
    <cellStyle name="Примечание 3 2 13 2 7 2" xfId="9814"/>
    <cellStyle name="Примечание 3 2 13 2 7 2 2" xfId="20741"/>
    <cellStyle name="Примечание 3 2 13 2 7 2 3" xfId="36102"/>
    <cellStyle name="Примечание 3 2 13 2 7 3" xfId="25702"/>
    <cellStyle name="Примечание 3 2 13 2 7 3 2" xfId="41063"/>
    <cellStyle name="Примечание 3 2 13 2 7 4" xfId="15178"/>
    <cellStyle name="Примечание 3 2 13 2 7 5" xfId="30653"/>
    <cellStyle name="Примечание 3 2 13 2 8" xfId="5954"/>
    <cellStyle name="Примечание 3 2 13 2 8 2" xfId="16913"/>
    <cellStyle name="Примечание 3 2 13 2 8 3" xfId="32380"/>
    <cellStyle name="Примечание 3 2 13 2 9" xfId="21842"/>
    <cellStyle name="Примечание 3 2 13 2 9 2" xfId="37203"/>
    <cellStyle name="Примечание 3 2 13 3" xfId="1703"/>
    <cellStyle name="Примечание 3 2 13 3 2" xfId="3299"/>
    <cellStyle name="Примечание 3 2 13 3 2 2" xfId="8493"/>
    <cellStyle name="Примечание 3 2 13 3 2 2 2" xfId="19420"/>
    <cellStyle name="Примечание 3 2 13 3 2 2 3" xfId="34781"/>
    <cellStyle name="Примечание 3 2 13 3 2 3" xfId="24381"/>
    <cellStyle name="Примечание 3 2 13 3 2 3 2" xfId="39742"/>
    <cellStyle name="Примечание 3 2 13 3 2 4" xfId="13857"/>
    <cellStyle name="Примечание 3 2 13 3 2 5" xfId="29332"/>
    <cellStyle name="Примечание 3 2 13 3 3" xfId="5515"/>
    <cellStyle name="Примечание 3 2 13 3 3 2" xfId="10679"/>
    <cellStyle name="Примечание 3 2 13 3 3 2 2" xfId="21613"/>
    <cellStyle name="Примечание 3 2 13 3 3 2 3" xfId="36974"/>
    <cellStyle name="Примечание 3 2 13 3 3 3" xfId="26566"/>
    <cellStyle name="Примечание 3 2 13 3 3 3 2" xfId="41927"/>
    <cellStyle name="Примечание 3 2 13 3 3 4" xfId="16050"/>
    <cellStyle name="Примечание 3 2 13 3 3 5" xfId="31517"/>
    <cellStyle name="Примечание 3 2 13 3 4" xfId="6946"/>
    <cellStyle name="Примечание 3 2 13 3 4 2" xfId="17845"/>
    <cellStyle name="Примечание 3 2 13 3 4 3" xfId="33206"/>
    <cellStyle name="Примечание 3 2 13 3 5" xfId="22834"/>
    <cellStyle name="Примечание 3 2 13 3 5 2" xfId="38195"/>
    <cellStyle name="Примечание 3 2 13 3 6" xfId="12281"/>
    <cellStyle name="Примечание 3 2 13 3 7" xfId="27785"/>
    <cellStyle name="Примечание 3 2 13 4" xfId="1998"/>
    <cellStyle name="Примечание 3 2 13 4 2" xfId="7234"/>
    <cellStyle name="Примечание 3 2 13 4 2 2" xfId="18136"/>
    <cellStyle name="Примечание 3 2 13 4 2 3" xfId="33497"/>
    <cellStyle name="Примечание 3 2 13 4 3" xfId="23122"/>
    <cellStyle name="Примечание 3 2 13 4 3 2" xfId="38483"/>
    <cellStyle name="Примечание 3 2 13 4 4" xfId="12573"/>
    <cellStyle name="Примечание 3 2 13 4 5" xfId="28073"/>
    <cellStyle name="Примечание 3 2 13 5" xfId="2465"/>
    <cellStyle name="Примечание 3 2 13 5 2" xfId="7701"/>
    <cellStyle name="Примечание 3 2 13 5 2 2" xfId="18603"/>
    <cellStyle name="Примечание 3 2 13 5 2 3" xfId="33964"/>
    <cellStyle name="Примечание 3 2 13 5 3" xfId="23589"/>
    <cellStyle name="Примечание 3 2 13 5 3 2" xfId="38950"/>
    <cellStyle name="Примечание 3 2 13 5 4" xfId="13040"/>
    <cellStyle name="Примечание 3 2 13 5 5" xfId="28540"/>
    <cellStyle name="Примечание 3 2 13 6" xfId="3412"/>
    <cellStyle name="Примечание 3 2 13 6 2" xfId="8606"/>
    <cellStyle name="Примечание 3 2 13 6 2 2" xfId="19533"/>
    <cellStyle name="Примечание 3 2 13 6 2 3" xfId="34894"/>
    <cellStyle name="Примечание 3 2 13 6 3" xfId="24494"/>
    <cellStyle name="Примечание 3 2 13 6 3 2" xfId="39855"/>
    <cellStyle name="Примечание 3 2 13 6 4" xfId="13970"/>
    <cellStyle name="Примечание 3 2 13 6 5" xfId="29445"/>
    <cellStyle name="Примечание 3 2 13 7" xfId="4086"/>
    <cellStyle name="Примечание 3 2 13 7 2" xfId="9273"/>
    <cellStyle name="Примечание 3 2 13 7 2 2" xfId="20200"/>
    <cellStyle name="Примечание 3 2 13 7 2 3" xfId="35561"/>
    <cellStyle name="Примечание 3 2 13 7 3" xfId="25161"/>
    <cellStyle name="Примечание 3 2 13 7 3 2" xfId="40522"/>
    <cellStyle name="Примечание 3 2 13 7 4" xfId="14637"/>
    <cellStyle name="Примечание 3 2 13 7 5" xfId="30112"/>
    <cellStyle name="Примечание 3 2 13 8" xfId="4656"/>
    <cellStyle name="Примечание 3 2 13 8 2" xfId="9843"/>
    <cellStyle name="Примечание 3 2 13 8 2 2" xfId="20770"/>
    <cellStyle name="Примечание 3 2 13 8 2 3" xfId="36131"/>
    <cellStyle name="Примечание 3 2 13 8 3" xfId="25731"/>
    <cellStyle name="Примечание 3 2 13 8 3 2" xfId="41092"/>
    <cellStyle name="Примечание 3 2 13 8 4" xfId="15207"/>
    <cellStyle name="Примечание 3 2 13 8 5" xfId="30682"/>
    <cellStyle name="Примечание 3 2 13 9" xfId="5894"/>
    <cellStyle name="Примечание 3 2 13 9 2" xfId="16977"/>
    <cellStyle name="Примечание 3 2 13 9 3" xfId="32444"/>
    <cellStyle name="Примечание 3 2 14" xfId="588"/>
    <cellStyle name="Примечание 3 2 14 10" xfId="21783"/>
    <cellStyle name="Примечание 3 2 14 10 2" xfId="37144"/>
    <cellStyle name="Примечание 3 2 14 11" xfId="11213"/>
    <cellStyle name="Примечание 3 2 14 12" xfId="26734"/>
    <cellStyle name="Примечание 3 2 14 2" xfId="691"/>
    <cellStyle name="Примечание 3 2 14 2 10" xfId="11275"/>
    <cellStyle name="Примечание 3 2 14 2 11" xfId="26792"/>
    <cellStyle name="Примечание 3 2 14 2 2" xfId="1728"/>
    <cellStyle name="Примечание 3 2 14 2 2 2" xfId="3300"/>
    <cellStyle name="Примечание 3 2 14 2 2 2 2" xfId="8494"/>
    <cellStyle name="Примечание 3 2 14 2 2 2 2 2" xfId="19421"/>
    <cellStyle name="Примечание 3 2 14 2 2 2 2 3" xfId="34782"/>
    <cellStyle name="Примечание 3 2 14 2 2 2 3" xfId="24382"/>
    <cellStyle name="Примечание 3 2 14 2 2 2 3 2" xfId="39743"/>
    <cellStyle name="Примечание 3 2 14 2 2 2 4" xfId="13858"/>
    <cellStyle name="Примечание 3 2 14 2 2 2 5" xfId="29333"/>
    <cellStyle name="Примечание 3 2 14 2 2 3" xfId="5516"/>
    <cellStyle name="Примечание 3 2 14 2 2 3 2" xfId="10680"/>
    <cellStyle name="Примечание 3 2 14 2 2 3 2 2" xfId="21614"/>
    <cellStyle name="Примечание 3 2 14 2 2 3 2 3" xfId="36975"/>
    <cellStyle name="Примечание 3 2 14 2 2 3 3" xfId="26567"/>
    <cellStyle name="Примечание 3 2 14 2 2 3 3 2" xfId="41928"/>
    <cellStyle name="Примечание 3 2 14 2 2 3 4" xfId="16051"/>
    <cellStyle name="Примечание 3 2 14 2 2 3 5" xfId="31518"/>
    <cellStyle name="Примечание 3 2 14 2 2 4" xfId="6968"/>
    <cellStyle name="Примечание 3 2 14 2 2 4 2" xfId="17869"/>
    <cellStyle name="Примечание 3 2 14 2 2 4 3" xfId="33230"/>
    <cellStyle name="Примечание 3 2 14 2 2 5" xfId="22856"/>
    <cellStyle name="Примечание 3 2 14 2 2 5 2" xfId="38217"/>
    <cellStyle name="Примечание 3 2 14 2 2 6" xfId="12306"/>
    <cellStyle name="Примечание 3 2 14 2 2 7" xfId="27807"/>
    <cellStyle name="Примечание 3 2 14 2 3" xfId="2097"/>
    <cellStyle name="Примечание 3 2 14 2 3 2" xfId="7333"/>
    <cellStyle name="Примечание 3 2 14 2 3 2 2" xfId="18235"/>
    <cellStyle name="Примечание 3 2 14 2 3 2 3" xfId="33596"/>
    <cellStyle name="Примечание 3 2 14 2 3 3" xfId="23221"/>
    <cellStyle name="Примечание 3 2 14 2 3 3 2" xfId="38582"/>
    <cellStyle name="Примечание 3 2 14 2 3 4" xfId="12672"/>
    <cellStyle name="Примечание 3 2 14 2 3 5" xfId="28172"/>
    <cellStyle name="Примечание 3 2 14 2 4" xfId="2751"/>
    <cellStyle name="Примечание 3 2 14 2 4 2" xfId="7980"/>
    <cellStyle name="Примечание 3 2 14 2 4 2 2" xfId="18884"/>
    <cellStyle name="Примечание 3 2 14 2 4 2 3" xfId="34245"/>
    <cellStyle name="Примечание 3 2 14 2 4 3" xfId="23868"/>
    <cellStyle name="Примечание 3 2 14 2 4 3 2" xfId="39229"/>
    <cellStyle name="Примечание 3 2 14 2 4 4" xfId="13321"/>
    <cellStyle name="Примечание 3 2 14 2 4 5" xfId="28819"/>
    <cellStyle name="Примечание 3 2 14 2 5" xfId="3437"/>
    <cellStyle name="Примечание 3 2 14 2 5 2" xfId="8626"/>
    <cellStyle name="Примечание 3 2 14 2 5 2 2" xfId="19553"/>
    <cellStyle name="Примечание 3 2 14 2 5 2 3" xfId="34914"/>
    <cellStyle name="Примечание 3 2 14 2 5 3" xfId="24514"/>
    <cellStyle name="Примечание 3 2 14 2 5 3 2" xfId="39875"/>
    <cellStyle name="Примечание 3 2 14 2 5 4" xfId="13990"/>
    <cellStyle name="Примечание 3 2 14 2 5 5" xfId="29465"/>
    <cellStyle name="Примечание 3 2 14 2 6" xfId="4145"/>
    <cellStyle name="Примечание 3 2 14 2 6 2" xfId="9332"/>
    <cellStyle name="Примечание 3 2 14 2 6 2 2" xfId="20259"/>
    <cellStyle name="Примечание 3 2 14 2 6 2 3" xfId="35620"/>
    <cellStyle name="Примечание 3 2 14 2 6 3" xfId="25220"/>
    <cellStyle name="Примечание 3 2 14 2 6 3 2" xfId="40581"/>
    <cellStyle name="Примечание 3 2 14 2 6 4" xfId="14696"/>
    <cellStyle name="Примечание 3 2 14 2 6 5" xfId="30171"/>
    <cellStyle name="Примечание 3 2 14 2 7" xfId="4919"/>
    <cellStyle name="Примечание 3 2 14 2 7 2" xfId="10106"/>
    <cellStyle name="Примечание 3 2 14 2 7 2 2" xfId="21033"/>
    <cellStyle name="Примечание 3 2 14 2 7 2 3" xfId="36394"/>
    <cellStyle name="Примечание 3 2 14 2 7 3" xfId="25994"/>
    <cellStyle name="Примечание 3 2 14 2 7 3 2" xfId="41355"/>
    <cellStyle name="Примечание 3 2 14 2 7 4" xfId="15470"/>
    <cellStyle name="Примечание 3 2 14 2 7 5" xfId="30945"/>
    <cellStyle name="Примечание 3 2 14 2 8" xfId="5953"/>
    <cellStyle name="Примечание 3 2 14 2 8 2" xfId="16914"/>
    <cellStyle name="Примечание 3 2 14 2 8 3" xfId="32381"/>
    <cellStyle name="Примечание 3 2 14 2 9" xfId="21841"/>
    <cellStyle name="Примечание 3 2 14 2 9 2" xfId="37202"/>
    <cellStyle name="Примечание 3 2 14 3" xfId="974"/>
    <cellStyle name="Примечание 3 2 14 3 2" xfId="3301"/>
    <cellStyle name="Примечание 3 2 14 3 2 2" xfId="8495"/>
    <cellStyle name="Примечание 3 2 14 3 2 2 2" xfId="19422"/>
    <cellStyle name="Примечание 3 2 14 3 2 2 3" xfId="34783"/>
    <cellStyle name="Примечание 3 2 14 3 2 3" xfId="24383"/>
    <cellStyle name="Примечание 3 2 14 3 2 3 2" xfId="39744"/>
    <cellStyle name="Примечание 3 2 14 3 2 4" xfId="13859"/>
    <cellStyle name="Примечание 3 2 14 3 2 5" xfId="29334"/>
    <cellStyle name="Примечание 3 2 14 3 3" xfId="5517"/>
    <cellStyle name="Примечание 3 2 14 3 3 2" xfId="10681"/>
    <cellStyle name="Примечание 3 2 14 3 3 2 2" xfId="21615"/>
    <cellStyle name="Примечание 3 2 14 3 3 2 3" xfId="36976"/>
    <cellStyle name="Примечание 3 2 14 3 3 3" xfId="26568"/>
    <cellStyle name="Примечание 3 2 14 3 3 3 2" xfId="41929"/>
    <cellStyle name="Примечание 3 2 14 3 3 4" xfId="16052"/>
    <cellStyle name="Примечание 3 2 14 3 3 5" xfId="31519"/>
    <cellStyle name="Примечание 3 2 14 3 4" xfId="6234"/>
    <cellStyle name="Примечание 3 2 14 3 4 2" xfId="16632"/>
    <cellStyle name="Примечание 3 2 14 3 4 3" xfId="32099"/>
    <cellStyle name="Примечание 3 2 14 3 5" xfId="22122"/>
    <cellStyle name="Примечание 3 2 14 3 5 2" xfId="37483"/>
    <cellStyle name="Примечание 3 2 14 3 6" xfId="11557"/>
    <cellStyle name="Примечание 3 2 14 3 7" xfId="27073"/>
    <cellStyle name="Примечание 3 2 14 4" xfId="1999"/>
    <cellStyle name="Примечание 3 2 14 4 2" xfId="7235"/>
    <cellStyle name="Примечание 3 2 14 4 2 2" xfId="18137"/>
    <cellStyle name="Примечание 3 2 14 4 2 3" xfId="33498"/>
    <cellStyle name="Примечание 3 2 14 4 3" xfId="23123"/>
    <cellStyle name="Примечание 3 2 14 4 3 2" xfId="38484"/>
    <cellStyle name="Примечание 3 2 14 4 4" xfId="12574"/>
    <cellStyle name="Примечание 3 2 14 4 5" xfId="28074"/>
    <cellStyle name="Примечание 3 2 14 5" xfId="2822"/>
    <cellStyle name="Примечание 3 2 14 5 2" xfId="8040"/>
    <cellStyle name="Примечание 3 2 14 5 2 2" xfId="18952"/>
    <cellStyle name="Примечание 3 2 14 5 2 3" xfId="34313"/>
    <cellStyle name="Примечание 3 2 14 5 3" xfId="23928"/>
    <cellStyle name="Примечание 3 2 14 5 3 2" xfId="39289"/>
    <cellStyle name="Примечание 3 2 14 5 4" xfId="13389"/>
    <cellStyle name="Примечание 3 2 14 5 5" xfId="28879"/>
    <cellStyle name="Примечание 3 2 14 6" xfId="2658"/>
    <cellStyle name="Примечание 3 2 14 6 2" xfId="7889"/>
    <cellStyle name="Примечание 3 2 14 6 2 2" xfId="18793"/>
    <cellStyle name="Примечание 3 2 14 6 2 3" xfId="34154"/>
    <cellStyle name="Примечание 3 2 14 6 3" xfId="23777"/>
    <cellStyle name="Примечание 3 2 14 6 3 2" xfId="39138"/>
    <cellStyle name="Примечание 3 2 14 6 4" xfId="13230"/>
    <cellStyle name="Примечание 3 2 14 6 5" xfId="28728"/>
    <cellStyle name="Примечание 3 2 14 7" xfId="4087"/>
    <cellStyle name="Примечание 3 2 14 7 2" xfId="9274"/>
    <cellStyle name="Примечание 3 2 14 7 2 2" xfId="20201"/>
    <cellStyle name="Примечание 3 2 14 7 2 3" xfId="35562"/>
    <cellStyle name="Примечание 3 2 14 7 3" xfId="25162"/>
    <cellStyle name="Примечание 3 2 14 7 3 2" xfId="40523"/>
    <cellStyle name="Примечание 3 2 14 7 4" xfId="14638"/>
    <cellStyle name="Примечание 3 2 14 7 5" xfId="30113"/>
    <cellStyle name="Примечание 3 2 14 8" xfId="4892"/>
    <cellStyle name="Примечание 3 2 14 8 2" xfId="10079"/>
    <cellStyle name="Примечание 3 2 14 8 2 2" xfId="21006"/>
    <cellStyle name="Примечание 3 2 14 8 2 3" xfId="36367"/>
    <cellStyle name="Примечание 3 2 14 8 3" xfId="25967"/>
    <cellStyle name="Примечание 3 2 14 8 3 2" xfId="41328"/>
    <cellStyle name="Примечание 3 2 14 8 4" xfId="15443"/>
    <cellStyle name="Примечание 3 2 14 8 5" xfId="30918"/>
    <cellStyle name="Примечание 3 2 14 9" xfId="5895"/>
    <cellStyle name="Примечание 3 2 14 9 2" xfId="16976"/>
    <cellStyle name="Примечание 3 2 14 9 3" xfId="32443"/>
    <cellStyle name="Примечание 3 2 15" xfId="589"/>
    <cellStyle name="Примечание 3 2 15 10" xfId="21784"/>
    <cellStyle name="Примечание 3 2 15 10 2" xfId="37145"/>
    <cellStyle name="Примечание 3 2 15 11" xfId="11214"/>
    <cellStyle name="Примечание 3 2 15 12" xfId="26735"/>
    <cellStyle name="Примечание 3 2 15 2" xfId="690"/>
    <cellStyle name="Примечание 3 2 15 2 10" xfId="11274"/>
    <cellStyle name="Примечание 3 2 15 2 11" xfId="26791"/>
    <cellStyle name="Примечание 3 2 15 2 2" xfId="1097"/>
    <cellStyle name="Примечание 3 2 15 2 2 2" xfId="3302"/>
    <cellStyle name="Примечание 3 2 15 2 2 2 2" xfId="8496"/>
    <cellStyle name="Примечание 3 2 15 2 2 2 2 2" xfId="19423"/>
    <cellStyle name="Примечание 3 2 15 2 2 2 2 3" xfId="34784"/>
    <cellStyle name="Примечание 3 2 15 2 2 2 3" xfId="24384"/>
    <cellStyle name="Примечание 3 2 15 2 2 2 3 2" xfId="39745"/>
    <cellStyle name="Примечание 3 2 15 2 2 2 4" xfId="13860"/>
    <cellStyle name="Примечание 3 2 15 2 2 2 5" xfId="29335"/>
    <cellStyle name="Примечание 3 2 15 2 2 3" xfId="5518"/>
    <cellStyle name="Примечание 3 2 15 2 2 3 2" xfId="10682"/>
    <cellStyle name="Примечание 3 2 15 2 2 3 2 2" xfId="21616"/>
    <cellStyle name="Примечание 3 2 15 2 2 3 2 3" xfId="36977"/>
    <cellStyle name="Примечание 3 2 15 2 2 3 3" xfId="26569"/>
    <cellStyle name="Примечание 3 2 15 2 2 3 3 2" xfId="41930"/>
    <cellStyle name="Примечание 3 2 15 2 2 3 4" xfId="16053"/>
    <cellStyle name="Примечание 3 2 15 2 2 3 5" xfId="31520"/>
    <cellStyle name="Примечание 3 2 15 2 2 4" xfId="6353"/>
    <cellStyle name="Примечание 3 2 15 2 2 4 2" xfId="16510"/>
    <cellStyle name="Примечание 3 2 15 2 2 4 3" xfId="31977"/>
    <cellStyle name="Примечание 3 2 15 2 2 5" xfId="22241"/>
    <cellStyle name="Примечание 3 2 15 2 2 5 2" xfId="37602"/>
    <cellStyle name="Примечание 3 2 15 2 2 6" xfId="11679"/>
    <cellStyle name="Примечание 3 2 15 2 2 7" xfId="27192"/>
    <cellStyle name="Примечание 3 2 15 2 3" xfId="2096"/>
    <cellStyle name="Примечание 3 2 15 2 3 2" xfId="7332"/>
    <cellStyle name="Примечание 3 2 15 2 3 2 2" xfId="18234"/>
    <cellStyle name="Примечание 3 2 15 2 3 2 3" xfId="33595"/>
    <cellStyle name="Примечание 3 2 15 2 3 3" xfId="23220"/>
    <cellStyle name="Примечание 3 2 15 2 3 3 2" xfId="38581"/>
    <cellStyle name="Примечание 3 2 15 2 3 4" xfId="12671"/>
    <cellStyle name="Примечание 3 2 15 2 3 5" xfId="28171"/>
    <cellStyle name="Примечание 3 2 15 2 4" xfId="2750"/>
    <cellStyle name="Примечание 3 2 15 2 4 2" xfId="7979"/>
    <cellStyle name="Примечание 3 2 15 2 4 2 2" xfId="18883"/>
    <cellStyle name="Примечание 3 2 15 2 4 2 3" xfId="34244"/>
    <cellStyle name="Примечание 3 2 15 2 4 3" xfId="23867"/>
    <cellStyle name="Примечание 3 2 15 2 4 3 2" xfId="39228"/>
    <cellStyle name="Примечание 3 2 15 2 4 4" xfId="13320"/>
    <cellStyle name="Примечание 3 2 15 2 4 5" xfId="28818"/>
    <cellStyle name="Примечание 3 2 15 2 5" xfId="3593"/>
    <cellStyle name="Примечание 3 2 15 2 5 2" xfId="8780"/>
    <cellStyle name="Примечание 3 2 15 2 5 2 2" xfId="19707"/>
    <cellStyle name="Примечание 3 2 15 2 5 2 3" xfId="35068"/>
    <cellStyle name="Примечание 3 2 15 2 5 3" xfId="24668"/>
    <cellStyle name="Примечание 3 2 15 2 5 3 2" xfId="40029"/>
    <cellStyle name="Примечание 3 2 15 2 5 4" xfId="14144"/>
    <cellStyle name="Примечание 3 2 15 2 5 5" xfId="29619"/>
    <cellStyle name="Примечание 3 2 15 2 6" xfId="4144"/>
    <cellStyle name="Примечание 3 2 15 2 6 2" xfId="9331"/>
    <cellStyle name="Примечание 3 2 15 2 6 2 2" xfId="20258"/>
    <cellStyle name="Примечание 3 2 15 2 6 2 3" xfId="35619"/>
    <cellStyle name="Примечание 3 2 15 2 6 3" xfId="25219"/>
    <cellStyle name="Примечание 3 2 15 2 6 3 2" xfId="40580"/>
    <cellStyle name="Примечание 3 2 15 2 6 4" xfId="14695"/>
    <cellStyle name="Примечание 3 2 15 2 6 5" xfId="30170"/>
    <cellStyle name="Примечание 3 2 15 2 7" xfId="4628"/>
    <cellStyle name="Примечание 3 2 15 2 7 2" xfId="9815"/>
    <cellStyle name="Примечание 3 2 15 2 7 2 2" xfId="20742"/>
    <cellStyle name="Примечание 3 2 15 2 7 2 3" xfId="36103"/>
    <cellStyle name="Примечание 3 2 15 2 7 3" xfId="25703"/>
    <cellStyle name="Примечание 3 2 15 2 7 3 2" xfId="41064"/>
    <cellStyle name="Примечание 3 2 15 2 7 4" xfId="15179"/>
    <cellStyle name="Примечание 3 2 15 2 7 5" xfId="30654"/>
    <cellStyle name="Примечание 3 2 15 2 8" xfId="5952"/>
    <cellStyle name="Примечание 3 2 15 2 8 2" xfId="16915"/>
    <cellStyle name="Примечание 3 2 15 2 8 3" xfId="32382"/>
    <cellStyle name="Примечание 3 2 15 2 9" xfId="21840"/>
    <cellStyle name="Примечание 3 2 15 2 9 2" xfId="37201"/>
    <cellStyle name="Примечание 3 2 15 3" xfId="107"/>
    <cellStyle name="Примечание 3 2 15 3 2" xfId="3303"/>
    <cellStyle name="Примечание 3 2 15 3 2 2" xfId="8497"/>
    <cellStyle name="Примечание 3 2 15 3 2 2 2" xfId="19424"/>
    <cellStyle name="Примечание 3 2 15 3 2 2 3" xfId="34785"/>
    <cellStyle name="Примечание 3 2 15 3 2 3" xfId="24385"/>
    <cellStyle name="Примечание 3 2 15 3 2 3 2" xfId="39746"/>
    <cellStyle name="Примечание 3 2 15 3 2 4" xfId="13861"/>
    <cellStyle name="Примечание 3 2 15 3 2 5" xfId="29336"/>
    <cellStyle name="Примечание 3 2 15 3 3" xfId="5519"/>
    <cellStyle name="Примечание 3 2 15 3 3 2" xfId="10683"/>
    <cellStyle name="Примечание 3 2 15 3 3 2 2" xfId="21617"/>
    <cellStyle name="Примечание 3 2 15 3 3 2 3" xfId="36978"/>
    <cellStyle name="Примечание 3 2 15 3 3 3" xfId="26570"/>
    <cellStyle name="Примечание 3 2 15 3 3 3 2" xfId="41931"/>
    <cellStyle name="Примечание 3 2 15 3 3 4" xfId="16054"/>
    <cellStyle name="Примечание 3 2 15 3 3 5" xfId="31521"/>
    <cellStyle name="Примечание 3 2 15 3 4" xfId="5633"/>
    <cellStyle name="Примечание 3 2 15 3 4 2" xfId="17364"/>
    <cellStyle name="Примечание 3 2 15 3 4 3" xfId="32831"/>
    <cellStyle name="Примечание 3 2 15 3 5" xfId="17076"/>
    <cellStyle name="Примечание 3 2 15 3 5 2" xfId="32543"/>
    <cellStyle name="Примечание 3 2 15 3 6" xfId="10821"/>
    <cellStyle name="Примечание 3 2 15 3 7" xfId="11110"/>
    <cellStyle name="Примечание 3 2 15 4" xfId="2000"/>
    <cellStyle name="Примечание 3 2 15 4 2" xfId="7236"/>
    <cellStyle name="Примечание 3 2 15 4 2 2" xfId="18138"/>
    <cellStyle name="Примечание 3 2 15 4 2 3" xfId="33499"/>
    <cellStyle name="Примечание 3 2 15 4 3" xfId="23124"/>
    <cellStyle name="Примечание 3 2 15 4 3 2" xfId="38485"/>
    <cellStyle name="Примечание 3 2 15 4 4" xfId="12575"/>
    <cellStyle name="Примечание 3 2 15 4 5" xfId="28075"/>
    <cellStyle name="Примечание 3 2 15 5" xfId="2463"/>
    <cellStyle name="Примечание 3 2 15 5 2" xfId="7699"/>
    <cellStyle name="Примечание 3 2 15 5 2 2" xfId="18601"/>
    <cellStyle name="Примечание 3 2 15 5 2 3" xfId="33962"/>
    <cellStyle name="Примечание 3 2 15 5 3" xfId="23587"/>
    <cellStyle name="Примечание 3 2 15 5 3 2" xfId="38948"/>
    <cellStyle name="Примечание 3 2 15 5 4" xfId="13038"/>
    <cellStyle name="Примечание 3 2 15 5 5" xfId="28538"/>
    <cellStyle name="Примечание 3 2 15 6" xfId="3413"/>
    <cellStyle name="Примечание 3 2 15 6 2" xfId="8607"/>
    <cellStyle name="Примечание 3 2 15 6 2 2" xfId="19534"/>
    <cellStyle name="Примечание 3 2 15 6 2 3" xfId="34895"/>
    <cellStyle name="Примечание 3 2 15 6 3" xfId="24495"/>
    <cellStyle name="Примечание 3 2 15 6 3 2" xfId="39856"/>
    <cellStyle name="Примечание 3 2 15 6 4" xfId="13971"/>
    <cellStyle name="Примечание 3 2 15 6 5" xfId="29446"/>
    <cellStyle name="Примечание 3 2 15 7" xfId="4088"/>
    <cellStyle name="Примечание 3 2 15 7 2" xfId="9275"/>
    <cellStyle name="Примечание 3 2 15 7 2 2" xfId="20202"/>
    <cellStyle name="Примечание 3 2 15 7 2 3" xfId="35563"/>
    <cellStyle name="Примечание 3 2 15 7 3" xfId="25163"/>
    <cellStyle name="Примечание 3 2 15 7 3 2" xfId="40524"/>
    <cellStyle name="Примечание 3 2 15 7 4" xfId="14639"/>
    <cellStyle name="Примечание 3 2 15 7 5" xfId="30114"/>
    <cellStyle name="Примечание 3 2 15 8" xfId="4655"/>
    <cellStyle name="Примечание 3 2 15 8 2" xfId="9842"/>
    <cellStyle name="Примечание 3 2 15 8 2 2" xfId="20769"/>
    <cellStyle name="Примечание 3 2 15 8 2 3" xfId="36130"/>
    <cellStyle name="Примечание 3 2 15 8 3" xfId="25730"/>
    <cellStyle name="Примечание 3 2 15 8 3 2" xfId="41091"/>
    <cellStyle name="Примечание 3 2 15 8 4" xfId="15206"/>
    <cellStyle name="Примечание 3 2 15 8 5" xfId="30681"/>
    <cellStyle name="Примечание 3 2 15 9" xfId="5896"/>
    <cellStyle name="Примечание 3 2 15 9 2" xfId="16975"/>
    <cellStyle name="Примечание 3 2 15 9 3" xfId="32442"/>
    <cellStyle name="Примечание 3 2 16" xfId="590"/>
    <cellStyle name="Примечание 3 2 16 10" xfId="21785"/>
    <cellStyle name="Примечание 3 2 16 10 2" xfId="37146"/>
    <cellStyle name="Примечание 3 2 16 11" xfId="11215"/>
    <cellStyle name="Примечание 3 2 16 12" xfId="26736"/>
    <cellStyle name="Примечание 3 2 16 2" xfId="689"/>
    <cellStyle name="Примечание 3 2 16 2 10" xfId="11273"/>
    <cellStyle name="Примечание 3 2 16 2 11" xfId="26790"/>
    <cellStyle name="Примечание 3 2 16 2 2" xfId="1544"/>
    <cellStyle name="Примечание 3 2 16 2 2 2" xfId="3304"/>
    <cellStyle name="Примечание 3 2 16 2 2 2 2" xfId="8498"/>
    <cellStyle name="Примечание 3 2 16 2 2 2 2 2" xfId="19425"/>
    <cellStyle name="Примечание 3 2 16 2 2 2 2 3" xfId="34786"/>
    <cellStyle name="Примечание 3 2 16 2 2 2 3" xfId="24386"/>
    <cellStyle name="Примечание 3 2 16 2 2 2 3 2" xfId="39747"/>
    <cellStyle name="Примечание 3 2 16 2 2 2 4" xfId="13862"/>
    <cellStyle name="Примечание 3 2 16 2 2 2 5" xfId="29337"/>
    <cellStyle name="Примечание 3 2 16 2 2 3" xfId="5520"/>
    <cellStyle name="Примечание 3 2 16 2 2 3 2" xfId="10684"/>
    <cellStyle name="Примечание 3 2 16 2 2 3 2 2" xfId="21618"/>
    <cellStyle name="Примечание 3 2 16 2 2 3 2 3" xfId="36979"/>
    <cellStyle name="Примечание 3 2 16 2 2 3 3" xfId="26571"/>
    <cellStyle name="Примечание 3 2 16 2 2 3 3 2" xfId="41932"/>
    <cellStyle name="Примечание 3 2 16 2 2 3 4" xfId="16055"/>
    <cellStyle name="Примечание 3 2 16 2 2 3 5" xfId="31522"/>
    <cellStyle name="Примечание 3 2 16 2 2 4" xfId="6791"/>
    <cellStyle name="Примечание 3 2 16 2 2 4 2" xfId="17686"/>
    <cellStyle name="Примечание 3 2 16 2 2 4 3" xfId="33047"/>
    <cellStyle name="Примечание 3 2 16 2 2 5" xfId="22679"/>
    <cellStyle name="Примечание 3 2 16 2 2 5 2" xfId="38040"/>
    <cellStyle name="Примечание 3 2 16 2 2 6" xfId="12122"/>
    <cellStyle name="Примечание 3 2 16 2 2 7" xfId="27630"/>
    <cellStyle name="Примечание 3 2 16 2 3" xfId="2095"/>
    <cellStyle name="Примечание 3 2 16 2 3 2" xfId="7331"/>
    <cellStyle name="Примечание 3 2 16 2 3 2 2" xfId="18233"/>
    <cellStyle name="Примечание 3 2 16 2 3 2 3" xfId="33594"/>
    <cellStyle name="Примечание 3 2 16 2 3 3" xfId="23219"/>
    <cellStyle name="Примечание 3 2 16 2 3 3 2" xfId="38580"/>
    <cellStyle name="Примечание 3 2 16 2 3 4" xfId="12670"/>
    <cellStyle name="Примечание 3 2 16 2 3 5" xfId="28170"/>
    <cellStyle name="Примечание 3 2 16 2 4" xfId="2399"/>
    <cellStyle name="Примечание 3 2 16 2 4 2" xfId="7635"/>
    <cellStyle name="Примечание 3 2 16 2 4 2 2" xfId="18537"/>
    <cellStyle name="Примечание 3 2 16 2 4 2 3" xfId="33898"/>
    <cellStyle name="Примечание 3 2 16 2 4 3" xfId="23523"/>
    <cellStyle name="Примечание 3 2 16 2 4 3 2" xfId="38884"/>
    <cellStyle name="Примечание 3 2 16 2 4 4" xfId="12974"/>
    <cellStyle name="Примечание 3 2 16 2 4 5" xfId="28474"/>
    <cellStyle name="Примечание 3 2 16 2 5" xfId="3408"/>
    <cellStyle name="Примечание 3 2 16 2 5 2" xfId="8602"/>
    <cellStyle name="Примечание 3 2 16 2 5 2 2" xfId="19529"/>
    <cellStyle name="Примечание 3 2 16 2 5 2 3" xfId="34890"/>
    <cellStyle name="Примечание 3 2 16 2 5 3" xfId="24490"/>
    <cellStyle name="Примечание 3 2 16 2 5 3 2" xfId="39851"/>
    <cellStyle name="Примечание 3 2 16 2 5 4" xfId="13966"/>
    <cellStyle name="Примечание 3 2 16 2 5 5" xfId="29441"/>
    <cellStyle name="Примечание 3 2 16 2 6" xfId="4143"/>
    <cellStyle name="Примечание 3 2 16 2 6 2" xfId="9330"/>
    <cellStyle name="Примечание 3 2 16 2 6 2 2" xfId="20257"/>
    <cellStyle name="Примечание 3 2 16 2 6 2 3" xfId="35618"/>
    <cellStyle name="Примечание 3 2 16 2 6 3" xfId="25218"/>
    <cellStyle name="Примечание 3 2 16 2 6 3 2" xfId="40579"/>
    <cellStyle name="Примечание 3 2 16 2 6 4" xfId="14694"/>
    <cellStyle name="Примечание 3 2 16 2 6 5" xfId="30169"/>
    <cellStyle name="Примечание 3 2 16 2 7" xfId="4918"/>
    <cellStyle name="Примечание 3 2 16 2 7 2" xfId="10105"/>
    <cellStyle name="Примечание 3 2 16 2 7 2 2" xfId="21032"/>
    <cellStyle name="Примечание 3 2 16 2 7 2 3" xfId="36393"/>
    <cellStyle name="Примечание 3 2 16 2 7 3" xfId="25993"/>
    <cellStyle name="Примечание 3 2 16 2 7 3 2" xfId="41354"/>
    <cellStyle name="Примечание 3 2 16 2 7 4" xfId="15469"/>
    <cellStyle name="Примечание 3 2 16 2 7 5" xfId="30944"/>
    <cellStyle name="Примечание 3 2 16 2 8" xfId="5951"/>
    <cellStyle name="Примечание 3 2 16 2 8 2" xfId="16916"/>
    <cellStyle name="Примечание 3 2 16 2 8 3" xfId="32383"/>
    <cellStyle name="Примечание 3 2 16 2 9" xfId="21839"/>
    <cellStyle name="Примечание 3 2 16 2 9 2" xfId="37200"/>
    <cellStyle name="Примечание 3 2 16 3" xfId="1078"/>
    <cellStyle name="Примечание 3 2 16 3 2" xfId="3305"/>
    <cellStyle name="Примечание 3 2 16 3 2 2" xfId="8499"/>
    <cellStyle name="Примечание 3 2 16 3 2 2 2" xfId="19426"/>
    <cellStyle name="Примечание 3 2 16 3 2 2 3" xfId="34787"/>
    <cellStyle name="Примечание 3 2 16 3 2 3" xfId="24387"/>
    <cellStyle name="Примечание 3 2 16 3 2 3 2" xfId="39748"/>
    <cellStyle name="Примечание 3 2 16 3 2 4" xfId="13863"/>
    <cellStyle name="Примечание 3 2 16 3 2 5" xfId="29338"/>
    <cellStyle name="Примечание 3 2 16 3 3" xfId="5521"/>
    <cellStyle name="Примечание 3 2 16 3 3 2" xfId="10685"/>
    <cellStyle name="Примечание 3 2 16 3 3 2 2" xfId="21619"/>
    <cellStyle name="Примечание 3 2 16 3 3 2 3" xfId="36980"/>
    <cellStyle name="Примечание 3 2 16 3 3 3" xfId="26572"/>
    <cellStyle name="Примечание 3 2 16 3 3 3 2" xfId="41933"/>
    <cellStyle name="Примечание 3 2 16 3 3 4" xfId="16056"/>
    <cellStyle name="Примечание 3 2 16 3 3 5" xfId="31523"/>
    <cellStyle name="Примечание 3 2 16 3 4" xfId="6335"/>
    <cellStyle name="Примечание 3 2 16 3 4 2" xfId="16529"/>
    <cellStyle name="Примечание 3 2 16 3 4 3" xfId="31996"/>
    <cellStyle name="Примечание 3 2 16 3 5" xfId="22223"/>
    <cellStyle name="Примечание 3 2 16 3 5 2" xfId="37584"/>
    <cellStyle name="Примечание 3 2 16 3 6" xfId="11660"/>
    <cellStyle name="Примечание 3 2 16 3 7" xfId="27174"/>
    <cellStyle name="Примечание 3 2 16 4" xfId="2001"/>
    <cellStyle name="Примечание 3 2 16 4 2" xfId="7237"/>
    <cellStyle name="Примечание 3 2 16 4 2 2" xfId="18139"/>
    <cellStyle name="Примечание 3 2 16 4 2 3" xfId="33500"/>
    <cellStyle name="Примечание 3 2 16 4 3" xfId="23125"/>
    <cellStyle name="Примечание 3 2 16 4 3 2" xfId="38486"/>
    <cellStyle name="Примечание 3 2 16 4 4" xfId="12576"/>
    <cellStyle name="Примечание 3 2 16 4 5" xfId="28076"/>
    <cellStyle name="Примечание 3 2 16 5" xfId="1855"/>
    <cellStyle name="Примечание 3 2 16 5 2" xfId="7094"/>
    <cellStyle name="Примечание 3 2 16 5 2 2" xfId="17996"/>
    <cellStyle name="Примечание 3 2 16 5 2 3" xfId="33357"/>
    <cellStyle name="Примечание 3 2 16 5 3" xfId="22982"/>
    <cellStyle name="Примечание 3 2 16 5 3 2" xfId="38343"/>
    <cellStyle name="Примечание 3 2 16 5 4" xfId="12433"/>
    <cellStyle name="Примечание 3 2 16 5 5" xfId="27933"/>
    <cellStyle name="Примечание 3 2 16 6" xfId="2548"/>
    <cellStyle name="Примечание 3 2 16 6 2" xfId="7781"/>
    <cellStyle name="Примечание 3 2 16 6 2 2" xfId="18683"/>
    <cellStyle name="Примечание 3 2 16 6 2 3" xfId="34044"/>
    <cellStyle name="Примечание 3 2 16 6 3" xfId="23669"/>
    <cellStyle name="Примечание 3 2 16 6 3 2" xfId="39030"/>
    <cellStyle name="Примечание 3 2 16 6 4" xfId="13120"/>
    <cellStyle name="Примечание 3 2 16 6 5" xfId="28620"/>
    <cellStyle name="Примечание 3 2 16 7" xfId="4089"/>
    <cellStyle name="Примечание 3 2 16 7 2" xfId="9276"/>
    <cellStyle name="Примечание 3 2 16 7 2 2" xfId="20203"/>
    <cellStyle name="Примечание 3 2 16 7 2 3" xfId="35564"/>
    <cellStyle name="Примечание 3 2 16 7 3" xfId="25164"/>
    <cellStyle name="Примечание 3 2 16 7 3 2" xfId="40525"/>
    <cellStyle name="Примечание 3 2 16 7 4" xfId="14640"/>
    <cellStyle name="Примечание 3 2 16 7 5" xfId="30115"/>
    <cellStyle name="Примечание 3 2 16 8" xfId="4893"/>
    <cellStyle name="Примечание 3 2 16 8 2" xfId="10080"/>
    <cellStyle name="Примечание 3 2 16 8 2 2" xfId="21007"/>
    <cellStyle name="Примечание 3 2 16 8 2 3" xfId="36368"/>
    <cellStyle name="Примечание 3 2 16 8 3" xfId="25968"/>
    <cellStyle name="Примечание 3 2 16 8 3 2" xfId="41329"/>
    <cellStyle name="Примечание 3 2 16 8 4" xfId="15444"/>
    <cellStyle name="Примечание 3 2 16 8 5" xfId="30919"/>
    <cellStyle name="Примечание 3 2 16 9" xfId="5897"/>
    <cellStyle name="Примечание 3 2 16 9 2" xfId="16974"/>
    <cellStyle name="Примечание 3 2 16 9 3" xfId="32441"/>
    <cellStyle name="Примечание 3 2 17" xfId="591"/>
    <cellStyle name="Примечание 3 2 17 10" xfId="21786"/>
    <cellStyle name="Примечание 3 2 17 10 2" xfId="37147"/>
    <cellStyle name="Примечание 3 2 17 11" xfId="11216"/>
    <cellStyle name="Примечание 3 2 17 12" xfId="26737"/>
    <cellStyle name="Примечание 3 2 17 2" xfId="688"/>
    <cellStyle name="Примечание 3 2 17 2 10" xfId="11272"/>
    <cellStyle name="Примечание 3 2 17 2 11" xfId="26789"/>
    <cellStyle name="Примечание 3 2 17 2 2" xfId="1111"/>
    <cellStyle name="Примечание 3 2 17 2 2 2" xfId="3306"/>
    <cellStyle name="Примечание 3 2 17 2 2 2 2" xfId="8500"/>
    <cellStyle name="Примечание 3 2 17 2 2 2 2 2" xfId="19427"/>
    <cellStyle name="Примечание 3 2 17 2 2 2 2 3" xfId="34788"/>
    <cellStyle name="Примечание 3 2 17 2 2 2 3" xfId="24388"/>
    <cellStyle name="Примечание 3 2 17 2 2 2 3 2" xfId="39749"/>
    <cellStyle name="Примечание 3 2 17 2 2 2 4" xfId="13864"/>
    <cellStyle name="Примечание 3 2 17 2 2 2 5" xfId="29339"/>
    <cellStyle name="Примечание 3 2 17 2 2 3" xfId="5522"/>
    <cellStyle name="Примечание 3 2 17 2 2 3 2" xfId="10686"/>
    <cellStyle name="Примечание 3 2 17 2 2 3 2 2" xfId="21620"/>
    <cellStyle name="Примечание 3 2 17 2 2 3 2 3" xfId="36981"/>
    <cellStyle name="Примечание 3 2 17 2 2 3 3" xfId="26573"/>
    <cellStyle name="Примечание 3 2 17 2 2 3 3 2" xfId="41934"/>
    <cellStyle name="Примечание 3 2 17 2 2 3 4" xfId="16057"/>
    <cellStyle name="Примечание 3 2 17 2 2 3 5" xfId="31524"/>
    <cellStyle name="Примечание 3 2 17 2 2 4" xfId="6366"/>
    <cellStyle name="Примечание 3 2 17 2 2 4 2" xfId="16497"/>
    <cellStyle name="Примечание 3 2 17 2 2 4 3" xfId="31964"/>
    <cellStyle name="Примечание 3 2 17 2 2 5" xfId="22254"/>
    <cellStyle name="Примечание 3 2 17 2 2 5 2" xfId="37615"/>
    <cellStyle name="Примечание 3 2 17 2 2 6" xfId="11692"/>
    <cellStyle name="Примечание 3 2 17 2 2 7" xfId="27205"/>
    <cellStyle name="Примечание 3 2 17 2 3" xfId="2094"/>
    <cellStyle name="Примечание 3 2 17 2 3 2" xfId="7330"/>
    <cellStyle name="Примечание 3 2 17 2 3 2 2" xfId="18232"/>
    <cellStyle name="Примечание 3 2 17 2 3 2 3" xfId="33593"/>
    <cellStyle name="Примечание 3 2 17 2 3 3" xfId="23218"/>
    <cellStyle name="Примечание 3 2 17 2 3 3 2" xfId="38579"/>
    <cellStyle name="Примечание 3 2 17 2 3 4" xfId="12669"/>
    <cellStyle name="Примечание 3 2 17 2 3 5" xfId="28169"/>
    <cellStyle name="Примечание 3 2 17 2 4" xfId="2610"/>
    <cellStyle name="Примечание 3 2 17 2 4 2" xfId="7842"/>
    <cellStyle name="Примечание 3 2 17 2 4 2 2" xfId="18745"/>
    <cellStyle name="Примечание 3 2 17 2 4 2 3" xfId="34106"/>
    <cellStyle name="Примечание 3 2 17 2 4 3" xfId="23730"/>
    <cellStyle name="Примечание 3 2 17 2 4 3 2" xfId="39091"/>
    <cellStyle name="Примечание 3 2 17 2 4 4" xfId="13182"/>
    <cellStyle name="Примечание 3 2 17 2 4 5" xfId="28681"/>
    <cellStyle name="Примечание 3 2 17 2 5" xfId="3823"/>
    <cellStyle name="Примечание 3 2 17 2 5 2" xfId="9010"/>
    <cellStyle name="Примечание 3 2 17 2 5 2 2" xfId="19937"/>
    <cellStyle name="Примечание 3 2 17 2 5 2 3" xfId="35298"/>
    <cellStyle name="Примечание 3 2 17 2 5 3" xfId="24898"/>
    <cellStyle name="Примечание 3 2 17 2 5 3 2" xfId="40259"/>
    <cellStyle name="Примечание 3 2 17 2 5 4" xfId="14374"/>
    <cellStyle name="Примечание 3 2 17 2 5 5" xfId="29849"/>
    <cellStyle name="Примечание 3 2 17 2 6" xfId="4142"/>
    <cellStyle name="Примечание 3 2 17 2 6 2" xfId="9329"/>
    <cellStyle name="Примечание 3 2 17 2 6 2 2" xfId="20256"/>
    <cellStyle name="Примечание 3 2 17 2 6 2 3" xfId="35617"/>
    <cellStyle name="Примечание 3 2 17 2 6 3" xfId="25217"/>
    <cellStyle name="Примечание 3 2 17 2 6 3 2" xfId="40578"/>
    <cellStyle name="Примечание 3 2 17 2 6 4" xfId="14693"/>
    <cellStyle name="Примечание 3 2 17 2 6 5" xfId="30168"/>
    <cellStyle name="Примечание 3 2 17 2 7" xfId="4629"/>
    <cellStyle name="Примечание 3 2 17 2 7 2" xfId="9816"/>
    <cellStyle name="Примечание 3 2 17 2 7 2 2" xfId="20743"/>
    <cellStyle name="Примечание 3 2 17 2 7 2 3" xfId="36104"/>
    <cellStyle name="Примечание 3 2 17 2 7 3" xfId="25704"/>
    <cellStyle name="Примечание 3 2 17 2 7 3 2" xfId="41065"/>
    <cellStyle name="Примечание 3 2 17 2 7 4" xfId="15180"/>
    <cellStyle name="Примечание 3 2 17 2 7 5" xfId="30655"/>
    <cellStyle name="Примечание 3 2 17 2 8" xfId="5950"/>
    <cellStyle name="Примечание 3 2 17 2 8 2" xfId="16917"/>
    <cellStyle name="Примечание 3 2 17 2 8 3" xfId="32384"/>
    <cellStyle name="Примечание 3 2 17 2 9" xfId="21838"/>
    <cellStyle name="Примечание 3 2 17 2 9 2" xfId="37199"/>
    <cellStyle name="Примечание 3 2 17 3" xfId="1474"/>
    <cellStyle name="Примечание 3 2 17 3 2" xfId="3307"/>
    <cellStyle name="Примечание 3 2 17 3 2 2" xfId="8501"/>
    <cellStyle name="Примечание 3 2 17 3 2 2 2" xfId="19428"/>
    <cellStyle name="Примечание 3 2 17 3 2 2 3" xfId="34789"/>
    <cellStyle name="Примечание 3 2 17 3 2 3" xfId="24389"/>
    <cellStyle name="Примечание 3 2 17 3 2 3 2" xfId="39750"/>
    <cellStyle name="Примечание 3 2 17 3 2 4" xfId="13865"/>
    <cellStyle name="Примечание 3 2 17 3 2 5" xfId="29340"/>
    <cellStyle name="Примечание 3 2 17 3 3" xfId="5523"/>
    <cellStyle name="Примечание 3 2 17 3 3 2" xfId="10687"/>
    <cellStyle name="Примечание 3 2 17 3 3 2 2" xfId="21621"/>
    <cellStyle name="Примечание 3 2 17 3 3 2 3" xfId="36982"/>
    <cellStyle name="Примечание 3 2 17 3 3 3" xfId="26574"/>
    <cellStyle name="Примечание 3 2 17 3 3 3 2" xfId="41935"/>
    <cellStyle name="Примечание 3 2 17 3 3 4" xfId="16058"/>
    <cellStyle name="Примечание 3 2 17 3 3 5" xfId="31525"/>
    <cellStyle name="Примечание 3 2 17 3 4" xfId="6721"/>
    <cellStyle name="Примечание 3 2 17 3 4 2" xfId="16137"/>
    <cellStyle name="Примечание 3 2 17 3 4 3" xfId="31604"/>
    <cellStyle name="Примечание 3 2 17 3 5" xfId="22609"/>
    <cellStyle name="Примечание 3 2 17 3 5 2" xfId="37970"/>
    <cellStyle name="Примечание 3 2 17 3 6" xfId="12052"/>
    <cellStyle name="Примечание 3 2 17 3 7" xfId="27560"/>
    <cellStyle name="Примечание 3 2 17 4" xfId="2002"/>
    <cellStyle name="Примечание 3 2 17 4 2" xfId="7238"/>
    <cellStyle name="Примечание 3 2 17 4 2 2" xfId="18140"/>
    <cellStyle name="Примечание 3 2 17 4 2 3" xfId="33501"/>
    <cellStyle name="Примечание 3 2 17 4 3" xfId="23126"/>
    <cellStyle name="Примечание 3 2 17 4 3 2" xfId="38487"/>
    <cellStyle name="Примечание 3 2 17 4 4" xfId="12577"/>
    <cellStyle name="Примечание 3 2 17 4 5" xfId="28077"/>
    <cellStyle name="Примечание 3 2 17 5" xfId="1420"/>
    <cellStyle name="Примечание 3 2 17 5 2" xfId="6668"/>
    <cellStyle name="Примечание 3 2 17 5 2 2" xfId="16190"/>
    <cellStyle name="Примечание 3 2 17 5 2 3" xfId="31657"/>
    <cellStyle name="Примечание 3 2 17 5 3" xfId="22556"/>
    <cellStyle name="Примечание 3 2 17 5 3 2" xfId="37917"/>
    <cellStyle name="Примечание 3 2 17 5 4" xfId="11999"/>
    <cellStyle name="Примечание 3 2 17 5 5" xfId="27507"/>
    <cellStyle name="Примечание 3 2 17 6" xfId="3419"/>
    <cellStyle name="Примечание 3 2 17 6 2" xfId="8612"/>
    <cellStyle name="Примечание 3 2 17 6 2 2" xfId="19539"/>
    <cellStyle name="Примечание 3 2 17 6 2 3" xfId="34900"/>
    <cellStyle name="Примечание 3 2 17 6 3" xfId="24500"/>
    <cellStyle name="Примечание 3 2 17 6 3 2" xfId="39861"/>
    <cellStyle name="Примечание 3 2 17 6 4" xfId="13976"/>
    <cellStyle name="Примечание 3 2 17 6 5" xfId="29451"/>
    <cellStyle name="Примечание 3 2 17 7" xfId="4090"/>
    <cellStyle name="Примечание 3 2 17 7 2" xfId="9277"/>
    <cellStyle name="Примечание 3 2 17 7 2 2" xfId="20204"/>
    <cellStyle name="Примечание 3 2 17 7 2 3" xfId="35565"/>
    <cellStyle name="Примечание 3 2 17 7 3" xfId="25165"/>
    <cellStyle name="Примечание 3 2 17 7 3 2" xfId="40526"/>
    <cellStyle name="Примечание 3 2 17 7 4" xfId="14641"/>
    <cellStyle name="Примечание 3 2 17 7 5" xfId="30116"/>
    <cellStyle name="Примечание 3 2 17 8" xfId="4654"/>
    <cellStyle name="Примечание 3 2 17 8 2" xfId="9841"/>
    <cellStyle name="Примечание 3 2 17 8 2 2" xfId="20768"/>
    <cellStyle name="Примечание 3 2 17 8 2 3" xfId="36129"/>
    <cellStyle name="Примечание 3 2 17 8 3" xfId="25729"/>
    <cellStyle name="Примечание 3 2 17 8 3 2" xfId="41090"/>
    <cellStyle name="Примечание 3 2 17 8 4" xfId="15205"/>
    <cellStyle name="Примечание 3 2 17 8 5" xfId="30680"/>
    <cellStyle name="Примечание 3 2 17 9" xfId="5898"/>
    <cellStyle name="Примечание 3 2 17 9 2" xfId="16973"/>
    <cellStyle name="Примечание 3 2 17 9 3" xfId="32440"/>
    <cellStyle name="Примечание 3 2 18" xfId="592"/>
    <cellStyle name="Примечание 3 2 18 10" xfId="21787"/>
    <cellStyle name="Примечание 3 2 18 10 2" xfId="37148"/>
    <cellStyle name="Примечание 3 2 18 11" xfId="11217"/>
    <cellStyle name="Примечание 3 2 18 12" xfId="26738"/>
    <cellStyle name="Примечание 3 2 18 2" xfId="687"/>
    <cellStyle name="Примечание 3 2 18 2 10" xfId="11271"/>
    <cellStyle name="Примечание 3 2 18 2 11" xfId="26788"/>
    <cellStyle name="Примечание 3 2 18 2 2" xfId="1273"/>
    <cellStyle name="Примечание 3 2 18 2 2 2" xfId="3308"/>
    <cellStyle name="Примечание 3 2 18 2 2 2 2" xfId="8502"/>
    <cellStyle name="Примечание 3 2 18 2 2 2 2 2" xfId="19429"/>
    <cellStyle name="Примечание 3 2 18 2 2 2 2 3" xfId="34790"/>
    <cellStyle name="Примечание 3 2 18 2 2 2 3" xfId="24390"/>
    <cellStyle name="Примечание 3 2 18 2 2 2 3 2" xfId="39751"/>
    <cellStyle name="Примечание 3 2 18 2 2 2 4" xfId="13866"/>
    <cellStyle name="Примечание 3 2 18 2 2 2 5" xfId="29341"/>
    <cellStyle name="Примечание 3 2 18 2 2 3" xfId="5524"/>
    <cellStyle name="Примечание 3 2 18 2 2 3 2" xfId="10688"/>
    <cellStyle name="Примечание 3 2 18 2 2 3 2 2" xfId="21622"/>
    <cellStyle name="Примечание 3 2 18 2 2 3 2 3" xfId="36983"/>
    <cellStyle name="Примечание 3 2 18 2 2 3 3" xfId="26575"/>
    <cellStyle name="Примечание 3 2 18 2 2 3 3 2" xfId="41936"/>
    <cellStyle name="Примечание 3 2 18 2 2 3 4" xfId="16059"/>
    <cellStyle name="Примечание 3 2 18 2 2 3 5" xfId="31526"/>
    <cellStyle name="Примечание 3 2 18 2 2 4" xfId="6526"/>
    <cellStyle name="Примечание 3 2 18 2 2 4 2" xfId="16335"/>
    <cellStyle name="Примечание 3 2 18 2 2 4 3" xfId="31802"/>
    <cellStyle name="Примечание 3 2 18 2 2 5" xfId="22414"/>
    <cellStyle name="Примечание 3 2 18 2 2 5 2" xfId="37775"/>
    <cellStyle name="Примечание 3 2 18 2 2 6" xfId="11854"/>
    <cellStyle name="Примечание 3 2 18 2 2 7" xfId="27365"/>
    <cellStyle name="Примечание 3 2 18 2 3" xfId="2093"/>
    <cellStyle name="Примечание 3 2 18 2 3 2" xfId="7329"/>
    <cellStyle name="Примечание 3 2 18 2 3 2 2" xfId="18231"/>
    <cellStyle name="Примечание 3 2 18 2 3 2 3" xfId="33592"/>
    <cellStyle name="Примечание 3 2 18 2 3 3" xfId="23217"/>
    <cellStyle name="Примечание 3 2 18 2 3 3 2" xfId="38578"/>
    <cellStyle name="Примечание 3 2 18 2 3 4" xfId="12668"/>
    <cellStyle name="Примечание 3 2 18 2 3 5" xfId="28168"/>
    <cellStyle name="Примечание 3 2 18 2 4" xfId="2611"/>
    <cellStyle name="Примечание 3 2 18 2 4 2" xfId="7843"/>
    <cellStyle name="Примечание 3 2 18 2 4 2 2" xfId="18746"/>
    <cellStyle name="Примечание 3 2 18 2 4 2 3" xfId="34107"/>
    <cellStyle name="Примечание 3 2 18 2 4 3" xfId="23731"/>
    <cellStyle name="Примечание 3 2 18 2 4 3 2" xfId="39092"/>
    <cellStyle name="Примечание 3 2 18 2 4 4" xfId="13183"/>
    <cellStyle name="Примечание 3 2 18 2 4 5" xfId="28682"/>
    <cellStyle name="Примечание 3 2 18 2 5" xfId="3599"/>
    <cellStyle name="Примечание 3 2 18 2 5 2" xfId="8786"/>
    <cellStyle name="Примечание 3 2 18 2 5 2 2" xfId="19713"/>
    <cellStyle name="Примечание 3 2 18 2 5 2 3" xfId="35074"/>
    <cellStyle name="Примечание 3 2 18 2 5 3" xfId="24674"/>
    <cellStyle name="Примечание 3 2 18 2 5 3 2" xfId="40035"/>
    <cellStyle name="Примечание 3 2 18 2 5 4" xfId="14150"/>
    <cellStyle name="Примечание 3 2 18 2 5 5" xfId="29625"/>
    <cellStyle name="Примечание 3 2 18 2 6" xfId="4141"/>
    <cellStyle name="Примечание 3 2 18 2 6 2" xfId="9328"/>
    <cellStyle name="Примечание 3 2 18 2 6 2 2" xfId="20255"/>
    <cellStyle name="Примечание 3 2 18 2 6 2 3" xfId="35616"/>
    <cellStyle name="Примечание 3 2 18 2 6 3" xfId="25216"/>
    <cellStyle name="Примечание 3 2 18 2 6 3 2" xfId="40577"/>
    <cellStyle name="Примечание 3 2 18 2 6 4" xfId="14692"/>
    <cellStyle name="Примечание 3 2 18 2 6 5" xfId="30167"/>
    <cellStyle name="Примечание 3 2 18 2 7" xfId="4630"/>
    <cellStyle name="Примечание 3 2 18 2 7 2" xfId="9817"/>
    <cellStyle name="Примечание 3 2 18 2 7 2 2" xfId="20744"/>
    <cellStyle name="Примечание 3 2 18 2 7 2 3" xfId="36105"/>
    <cellStyle name="Примечание 3 2 18 2 7 3" xfId="25705"/>
    <cellStyle name="Примечание 3 2 18 2 7 3 2" xfId="41066"/>
    <cellStyle name="Примечание 3 2 18 2 7 4" xfId="15181"/>
    <cellStyle name="Примечание 3 2 18 2 7 5" xfId="30656"/>
    <cellStyle name="Примечание 3 2 18 2 8" xfId="5949"/>
    <cellStyle name="Примечание 3 2 18 2 8 2" xfId="16918"/>
    <cellStyle name="Примечание 3 2 18 2 8 3" xfId="32385"/>
    <cellStyle name="Примечание 3 2 18 2 9" xfId="21837"/>
    <cellStyle name="Примечание 3 2 18 2 9 2" xfId="37198"/>
    <cellStyle name="Примечание 3 2 18 3" xfId="1141"/>
    <cellStyle name="Примечание 3 2 18 3 2" xfId="3309"/>
    <cellStyle name="Примечание 3 2 18 3 2 2" xfId="8503"/>
    <cellStyle name="Примечание 3 2 18 3 2 2 2" xfId="19430"/>
    <cellStyle name="Примечание 3 2 18 3 2 2 3" xfId="34791"/>
    <cellStyle name="Примечание 3 2 18 3 2 3" xfId="24391"/>
    <cellStyle name="Примечание 3 2 18 3 2 3 2" xfId="39752"/>
    <cellStyle name="Примечание 3 2 18 3 2 4" xfId="13867"/>
    <cellStyle name="Примечание 3 2 18 3 2 5" xfId="29342"/>
    <cellStyle name="Примечание 3 2 18 3 3" xfId="5525"/>
    <cellStyle name="Примечание 3 2 18 3 3 2" xfId="10689"/>
    <cellStyle name="Примечание 3 2 18 3 3 2 2" xfId="21623"/>
    <cellStyle name="Примечание 3 2 18 3 3 2 3" xfId="36984"/>
    <cellStyle name="Примечание 3 2 18 3 3 3" xfId="26576"/>
    <cellStyle name="Примечание 3 2 18 3 3 3 2" xfId="41937"/>
    <cellStyle name="Примечание 3 2 18 3 3 4" xfId="16060"/>
    <cellStyle name="Примечание 3 2 18 3 3 5" xfId="31527"/>
    <cellStyle name="Примечание 3 2 18 3 4" xfId="6396"/>
    <cellStyle name="Примечание 3 2 18 3 4 2" xfId="16467"/>
    <cellStyle name="Примечание 3 2 18 3 4 3" xfId="31934"/>
    <cellStyle name="Примечание 3 2 18 3 5" xfId="22284"/>
    <cellStyle name="Примечание 3 2 18 3 5 2" xfId="37645"/>
    <cellStyle name="Примечание 3 2 18 3 6" xfId="11722"/>
    <cellStyle name="Примечание 3 2 18 3 7" xfId="27235"/>
    <cellStyle name="Примечание 3 2 18 4" xfId="2003"/>
    <cellStyle name="Примечание 3 2 18 4 2" xfId="7239"/>
    <cellStyle name="Примечание 3 2 18 4 2 2" xfId="18141"/>
    <cellStyle name="Примечание 3 2 18 4 2 3" xfId="33502"/>
    <cellStyle name="Примечание 3 2 18 4 3" xfId="23127"/>
    <cellStyle name="Примечание 3 2 18 4 3 2" xfId="38488"/>
    <cellStyle name="Примечание 3 2 18 4 4" xfId="12578"/>
    <cellStyle name="Примечание 3 2 18 4 5" xfId="28078"/>
    <cellStyle name="Примечание 3 2 18 5" xfId="1809"/>
    <cellStyle name="Примечание 3 2 18 5 2" xfId="7048"/>
    <cellStyle name="Примечание 3 2 18 5 2 2" xfId="17950"/>
    <cellStyle name="Примечание 3 2 18 5 2 3" xfId="33311"/>
    <cellStyle name="Примечание 3 2 18 5 3" xfId="22936"/>
    <cellStyle name="Примечание 3 2 18 5 3 2" xfId="38297"/>
    <cellStyle name="Примечание 3 2 18 5 4" xfId="12387"/>
    <cellStyle name="Примечание 3 2 18 5 5" xfId="27887"/>
    <cellStyle name="Примечание 3 2 18 6" xfId="2547"/>
    <cellStyle name="Примечание 3 2 18 6 2" xfId="7780"/>
    <cellStyle name="Примечание 3 2 18 6 2 2" xfId="18682"/>
    <cellStyle name="Примечание 3 2 18 6 2 3" xfId="34043"/>
    <cellStyle name="Примечание 3 2 18 6 3" xfId="23668"/>
    <cellStyle name="Примечание 3 2 18 6 3 2" xfId="39029"/>
    <cellStyle name="Примечание 3 2 18 6 4" xfId="13119"/>
    <cellStyle name="Примечание 3 2 18 6 5" xfId="28619"/>
    <cellStyle name="Примечание 3 2 18 7" xfId="4091"/>
    <cellStyle name="Примечание 3 2 18 7 2" xfId="9278"/>
    <cellStyle name="Примечание 3 2 18 7 2 2" xfId="20205"/>
    <cellStyle name="Примечание 3 2 18 7 2 3" xfId="35566"/>
    <cellStyle name="Примечание 3 2 18 7 3" xfId="25166"/>
    <cellStyle name="Примечание 3 2 18 7 3 2" xfId="40527"/>
    <cellStyle name="Примечание 3 2 18 7 4" xfId="14642"/>
    <cellStyle name="Примечание 3 2 18 7 5" xfId="30117"/>
    <cellStyle name="Примечание 3 2 18 8" xfId="4894"/>
    <cellStyle name="Примечание 3 2 18 8 2" xfId="10081"/>
    <cellStyle name="Примечание 3 2 18 8 2 2" xfId="21008"/>
    <cellStyle name="Примечание 3 2 18 8 2 3" xfId="36369"/>
    <cellStyle name="Примечание 3 2 18 8 3" xfId="25969"/>
    <cellStyle name="Примечание 3 2 18 8 3 2" xfId="41330"/>
    <cellStyle name="Примечание 3 2 18 8 4" xfId="15445"/>
    <cellStyle name="Примечание 3 2 18 8 5" xfId="30920"/>
    <cellStyle name="Примечание 3 2 18 9" xfId="5899"/>
    <cellStyle name="Примечание 3 2 18 9 2" xfId="16972"/>
    <cellStyle name="Примечание 3 2 18 9 3" xfId="32439"/>
    <cellStyle name="Примечание 3 2 19" xfId="593"/>
    <cellStyle name="Примечание 3 2 19 10" xfId="21788"/>
    <cellStyle name="Примечание 3 2 19 10 2" xfId="37149"/>
    <cellStyle name="Примечание 3 2 19 11" xfId="11218"/>
    <cellStyle name="Примечание 3 2 19 12" xfId="26739"/>
    <cellStyle name="Примечание 3 2 19 2" xfId="686"/>
    <cellStyle name="Примечание 3 2 19 2 10" xfId="11270"/>
    <cellStyle name="Примечание 3 2 19 2 11" xfId="26787"/>
    <cellStyle name="Примечание 3 2 19 2 2" xfId="1381"/>
    <cellStyle name="Примечание 3 2 19 2 2 2" xfId="3310"/>
    <cellStyle name="Примечание 3 2 19 2 2 2 2" xfId="8504"/>
    <cellStyle name="Примечание 3 2 19 2 2 2 2 2" xfId="19431"/>
    <cellStyle name="Примечание 3 2 19 2 2 2 2 3" xfId="34792"/>
    <cellStyle name="Примечание 3 2 19 2 2 2 3" xfId="24392"/>
    <cellStyle name="Примечание 3 2 19 2 2 2 3 2" xfId="39753"/>
    <cellStyle name="Примечание 3 2 19 2 2 2 4" xfId="13868"/>
    <cellStyle name="Примечание 3 2 19 2 2 2 5" xfId="29343"/>
    <cellStyle name="Примечание 3 2 19 2 2 3" xfId="5526"/>
    <cellStyle name="Примечание 3 2 19 2 2 3 2" xfId="10690"/>
    <cellStyle name="Примечание 3 2 19 2 2 3 2 2" xfId="21624"/>
    <cellStyle name="Примечание 3 2 19 2 2 3 2 3" xfId="36985"/>
    <cellStyle name="Примечание 3 2 19 2 2 3 3" xfId="26577"/>
    <cellStyle name="Примечание 3 2 19 2 2 3 3 2" xfId="41938"/>
    <cellStyle name="Примечание 3 2 19 2 2 3 4" xfId="16061"/>
    <cellStyle name="Примечание 3 2 19 2 2 3 5" xfId="31528"/>
    <cellStyle name="Примечание 3 2 19 2 2 4" xfId="6631"/>
    <cellStyle name="Примечание 3 2 19 2 2 4 2" xfId="16228"/>
    <cellStyle name="Примечание 3 2 19 2 2 4 3" xfId="31695"/>
    <cellStyle name="Примечание 3 2 19 2 2 5" xfId="22519"/>
    <cellStyle name="Примечание 3 2 19 2 2 5 2" xfId="37880"/>
    <cellStyle name="Примечание 3 2 19 2 2 6" xfId="11961"/>
    <cellStyle name="Примечание 3 2 19 2 2 7" xfId="27470"/>
    <cellStyle name="Примечание 3 2 19 2 3" xfId="2092"/>
    <cellStyle name="Примечание 3 2 19 2 3 2" xfId="7328"/>
    <cellStyle name="Примечание 3 2 19 2 3 2 2" xfId="18230"/>
    <cellStyle name="Примечание 3 2 19 2 3 2 3" xfId="33591"/>
    <cellStyle name="Примечание 3 2 19 2 3 3" xfId="23216"/>
    <cellStyle name="Примечание 3 2 19 2 3 3 2" xfId="38577"/>
    <cellStyle name="Примечание 3 2 19 2 3 4" xfId="12667"/>
    <cellStyle name="Примечание 3 2 19 2 3 5" xfId="28167"/>
    <cellStyle name="Примечание 3 2 19 2 4" xfId="2401"/>
    <cellStyle name="Примечание 3 2 19 2 4 2" xfId="7637"/>
    <cellStyle name="Примечание 3 2 19 2 4 2 2" xfId="18539"/>
    <cellStyle name="Примечание 3 2 19 2 4 2 3" xfId="33900"/>
    <cellStyle name="Примечание 3 2 19 2 4 3" xfId="23525"/>
    <cellStyle name="Примечание 3 2 19 2 4 3 2" xfId="38886"/>
    <cellStyle name="Примечание 3 2 19 2 4 4" xfId="12976"/>
    <cellStyle name="Примечание 3 2 19 2 4 5" xfId="28476"/>
    <cellStyle name="Примечание 3 2 19 2 5" xfId="3439"/>
    <cellStyle name="Примечание 3 2 19 2 5 2" xfId="8628"/>
    <cellStyle name="Примечание 3 2 19 2 5 2 2" xfId="19555"/>
    <cellStyle name="Примечание 3 2 19 2 5 2 3" xfId="34916"/>
    <cellStyle name="Примечание 3 2 19 2 5 3" xfId="24516"/>
    <cellStyle name="Примечание 3 2 19 2 5 3 2" xfId="39877"/>
    <cellStyle name="Примечание 3 2 19 2 5 4" xfId="13992"/>
    <cellStyle name="Примечание 3 2 19 2 5 5" xfId="29467"/>
    <cellStyle name="Примечание 3 2 19 2 6" xfId="4140"/>
    <cellStyle name="Примечание 3 2 19 2 6 2" xfId="9327"/>
    <cellStyle name="Примечание 3 2 19 2 6 2 2" xfId="20254"/>
    <cellStyle name="Примечание 3 2 19 2 6 2 3" xfId="35615"/>
    <cellStyle name="Примечание 3 2 19 2 6 3" xfId="25215"/>
    <cellStyle name="Примечание 3 2 19 2 6 3 2" xfId="40576"/>
    <cellStyle name="Примечание 3 2 19 2 6 4" xfId="14691"/>
    <cellStyle name="Примечание 3 2 19 2 6 5" xfId="30166"/>
    <cellStyle name="Примечание 3 2 19 2 7" xfId="4916"/>
    <cellStyle name="Примечание 3 2 19 2 7 2" xfId="10103"/>
    <cellStyle name="Примечание 3 2 19 2 7 2 2" xfId="21030"/>
    <cellStyle name="Примечание 3 2 19 2 7 2 3" xfId="36391"/>
    <cellStyle name="Примечание 3 2 19 2 7 3" xfId="25991"/>
    <cellStyle name="Примечание 3 2 19 2 7 3 2" xfId="41352"/>
    <cellStyle name="Примечание 3 2 19 2 7 4" xfId="15467"/>
    <cellStyle name="Примечание 3 2 19 2 7 5" xfId="30942"/>
    <cellStyle name="Примечание 3 2 19 2 8" xfId="5948"/>
    <cellStyle name="Примечание 3 2 19 2 8 2" xfId="16919"/>
    <cellStyle name="Примечание 3 2 19 2 8 3" xfId="32386"/>
    <cellStyle name="Примечание 3 2 19 2 9" xfId="21836"/>
    <cellStyle name="Примечание 3 2 19 2 9 2" xfId="37197"/>
    <cellStyle name="Примечание 3 2 19 3" xfId="1274"/>
    <cellStyle name="Примечание 3 2 19 3 2" xfId="3311"/>
    <cellStyle name="Примечание 3 2 19 3 2 2" xfId="8505"/>
    <cellStyle name="Примечание 3 2 19 3 2 2 2" xfId="19432"/>
    <cellStyle name="Примечание 3 2 19 3 2 2 3" xfId="34793"/>
    <cellStyle name="Примечание 3 2 19 3 2 3" xfId="24393"/>
    <cellStyle name="Примечание 3 2 19 3 2 3 2" xfId="39754"/>
    <cellStyle name="Примечание 3 2 19 3 2 4" xfId="13869"/>
    <cellStyle name="Примечание 3 2 19 3 2 5" xfId="29344"/>
    <cellStyle name="Примечание 3 2 19 3 3" xfId="5527"/>
    <cellStyle name="Примечание 3 2 19 3 3 2" xfId="10691"/>
    <cellStyle name="Примечание 3 2 19 3 3 2 2" xfId="21625"/>
    <cellStyle name="Примечание 3 2 19 3 3 2 3" xfId="36986"/>
    <cellStyle name="Примечание 3 2 19 3 3 3" xfId="26578"/>
    <cellStyle name="Примечание 3 2 19 3 3 3 2" xfId="41939"/>
    <cellStyle name="Примечание 3 2 19 3 3 4" xfId="16062"/>
    <cellStyle name="Примечание 3 2 19 3 3 5" xfId="31529"/>
    <cellStyle name="Примечание 3 2 19 3 4" xfId="6527"/>
    <cellStyle name="Примечание 3 2 19 3 4 2" xfId="16334"/>
    <cellStyle name="Примечание 3 2 19 3 4 3" xfId="31801"/>
    <cellStyle name="Примечание 3 2 19 3 5" xfId="22415"/>
    <cellStyle name="Примечание 3 2 19 3 5 2" xfId="37776"/>
    <cellStyle name="Примечание 3 2 19 3 6" xfId="11855"/>
    <cellStyle name="Примечание 3 2 19 3 7" xfId="27366"/>
    <cellStyle name="Примечание 3 2 19 4" xfId="2004"/>
    <cellStyle name="Примечание 3 2 19 4 2" xfId="7240"/>
    <cellStyle name="Примечание 3 2 19 4 2 2" xfId="18142"/>
    <cellStyle name="Примечание 3 2 19 4 2 3" xfId="33503"/>
    <cellStyle name="Примечание 3 2 19 4 3" xfId="23128"/>
    <cellStyle name="Примечание 3 2 19 4 3 2" xfId="38489"/>
    <cellStyle name="Примечание 3 2 19 4 4" xfId="12579"/>
    <cellStyle name="Примечание 3 2 19 4 5" xfId="28079"/>
    <cellStyle name="Примечание 3 2 19 5" xfId="2462"/>
    <cellStyle name="Примечание 3 2 19 5 2" xfId="7698"/>
    <cellStyle name="Примечание 3 2 19 5 2 2" xfId="18600"/>
    <cellStyle name="Примечание 3 2 19 5 2 3" xfId="33961"/>
    <cellStyle name="Примечание 3 2 19 5 3" xfId="23586"/>
    <cellStyle name="Примечание 3 2 19 5 3 2" xfId="38947"/>
    <cellStyle name="Примечание 3 2 19 5 4" xfId="13037"/>
    <cellStyle name="Примечание 3 2 19 5 5" xfId="28537"/>
    <cellStyle name="Примечание 3 2 19 6" xfId="3583"/>
    <cellStyle name="Примечание 3 2 19 6 2" xfId="8770"/>
    <cellStyle name="Примечание 3 2 19 6 2 2" xfId="19697"/>
    <cellStyle name="Примечание 3 2 19 6 2 3" xfId="35058"/>
    <cellStyle name="Примечание 3 2 19 6 3" xfId="24658"/>
    <cellStyle name="Примечание 3 2 19 6 3 2" xfId="40019"/>
    <cellStyle name="Примечание 3 2 19 6 4" xfId="14134"/>
    <cellStyle name="Примечание 3 2 19 6 5" xfId="29609"/>
    <cellStyle name="Примечание 3 2 19 7" xfId="4092"/>
    <cellStyle name="Примечание 3 2 19 7 2" xfId="9279"/>
    <cellStyle name="Примечание 3 2 19 7 2 2" xfId="20206"/>
    <cellStyle name="Примечание 3 2 19 7 2 3" xfId="35567"/>
    <cellStyle name="Примечание 3 2 19 7 3" xfId="25167"/>
    <cellStyle name="Примечание 3 2 19 7 3 2" xfId="40528"/>
    <cellStyle name="Примечание 3 2 19 7 4" xfId="14643"/>
    <cellStyle name="Примечание 3 2 19 7 5" xfId="30118"/>
    <cellStyle name="Примечание 3 2 19 8" xfId="4653"/>
    <cellStyle name="Примечание 3 2 19 8 2" xfId="9840"/>
    <cellStyle name="Примечание 3 2 19 8 2 2" xfId="20767"/>
    <cellStyle name="Примечание 3 2 19 8 2 3" xfId="36128"/>
    <cellStyle name="Примечание 3 2 19 8 3" xfId="25728"/>
    <cellStyle name="Примечание 3 2 19 8 3 2" xfId="41089"/>
    <cellStyle name="Примечание 3 2 19 8 4" xfId="15204"/>
    <cellStyle name="Примечание 3 2 19 8 5" xfId="30679"/>
    <cellStyle name="Примечание 3 2 19 9" xfId="5900"/>
    <cellStyle name="Примечание 3 2 19 9 2" xfId="16971"/>
    <cellStyle name="Примечание 3 2 19 9 3" xfId="32438"/>
    <cellStyle name="Примечание 3 2 2" xfId="594"/>
    <cellStyle name="Примечание 3 2 2 10" xfId="21789"/>
    <cellStyle name="Примечание 3 2 2 10 2" xfId="37150"/>
    <cellStyle name="Примечание 3 2 2 11" xfId="11219"/>
    <cellStyle name="Примечание 3 2 2 12" xfId="26740"/>
    <cellStyle name="Примечание 3 2 2 2" xfId="685"/>
    <cellStyle name="Примечание 3 2 2 2 10" xfId="11269"/>
    <cellStyle name="Примечание 3 2 2 2 11" xfId="26786"/>
    <cellStyle name="Примечание 3 2 2 2 2" xfId="1338"/>
    <cellStyle name="Примечание 3 2 2 2 2 2" xfId="3312"/>
    <cellStyle name="Примечание 3 2 2 2 2 2 2" xfId="8506"/>
    <cellStyle name="Примечание 3 2 2 2 2 2 2 2" xfId="19433"/>
    <cellStyle name="Примечание 3 2 2 2 2 2 2 3" xfId="34794"/>
    <cellStyle name="Примечание 3 2 2 2 2 2 3" xfId="24394"/>
    <cellStyle name="Примечание 3 2 2 2 2 2 3 2" xfId="39755"/>
    <cellStyle name="Примечание 3 2 2 2 2 2 4" xfId="13870"/>
    <cellStyle name="Примечание 3 2 2 2 2 2 5" xfId="29345"/>
    <cellStyle name="Примечание 3 2 2 2 2 3" xfId="5528"/>
    <cellStyle name="Примечание 3 2 2 2 2 3 2" xfId="10692"/>
    <cellStyle name="Примечание 3 2 2 2 2 3 2 2" xfId="21626"/>
    <cellStyle name="Примечание 3 2 2 2 2 3 2 3" xfId="36987"/>
    <cellStyle name="Примечание 3 2 2 2 2 3 3" xfId="26579"/>
    <cellStyle name="Примечание 3 2 2 2 2 3 3 2" xfId="41940"/>
    <cellStyle name="Примечание 3 2 2 2 2 3 4" xfId="16063"/>
    <cellStyle name="Примечание 3 2 2 2 2 3 5" xfId="31530"/>
    <cellStyle name="Примечание 3 2 2 2 2 4" xfId="6591"/>
    <cellStyle name="Примечание 3 2 2 2 2 4 2" xfId="16270"/>
    <cellStyle name="Примечание 3 2 2 2 2 4 3" xfId="31737"/>
    <cellStyle name="Примечание 3 2 2 2 2 4 4" xfId="46600"/>
    <cellStyle name="Примечание 3 2 2 2 2 5" xfId="22479"/>
    <cellStyle name="Примечание 3 2 2 2 2 5 2" xfId="37840"/>
    <cellStyle name="Примечание 3 2 2 2 2 6" xfId="11919"/>
    <cellStyle name="Примечание 3 2 2 2 2 7" xfId="27430"/>
    <cellStyle name="Примечание 3 2 2 2 3" xfId="2091"/>
    <cellStyle name="Примечание 3 2 2 2 3 2" xfId="7327"/>
    <cellStyle name="Примечание 3 2 2 2 3 2 2" xfId="18229"/>
    <cellStyle name="Примечание 3 2 2 2 3 2 3" xfId="33590"/>
    <cellStyle name="Примечание 3 2 2 2 3 3" xfId="23215"/>
    <cellStyle name="Примечание 3 2 2 2 3 3 2" xfId="38576"/>
    <cellStyle name="Примечание 3 2 2 2 3 4" xfId="12666"/>
    <cellStyle name="Примечание 3 2 2 2 3 5" xfId="28166"/>
    <cellStyle name="Примечание 3 2 2 2 4" xfId="2747"/>
    <cellStyle name="Примечание 3 2 2 2 4 2" xfId="7976"/>
    <cellStyle name="Примечание 3 2 2 2 4 2 2" xfId="18880"/>
    <cellStyle name="Примечание 3 2 2 2 4 2 3" xfId="34241"/>
    <cellStyle name="Примечание 3 2 2 2 4 3" xfId="23864"/>
    <cellStyle name="Примечание 3 2 2 2 4 3 2" xfId="39225"/>
    <cellStyle name="Примечание 3 2 2 2 4 4" xfId="13317"/>
    <cellStyle name="Примечание 3 2 2 2 4 5" xfId="28815"/>
    <cellStyle name="Примечание 3 2 2 2 5" xfId="3824"/>
    <cellStyle name="Примечание 3 2 2 2 5 2" xfId="9011"/>
    <cellStyle name="Примечание 3 2 2 2 5 2 2" xfId="19938"/>
    <cellStyle name="Примечание 3 2 2 2 5 2 3" xfId="35299"/>
    <cellStyle name="Примечание 3 2 2 2 5 3" xfId="24899"/>
    <cellStyle name="Примечание 3 2 2 2 5 3 2" xfId="40260"/>
    <cellStyle name="Примечание 3 2 2 2 5 4" xfId="14375"/>
    <cellStyle name="Примечание 3 2 2 2 5 5" xfId="29850"/>
    <cellStyle name="Примечание 3 2 2 2 5 6" xfId="46599"/>
    <cellStyle name="Примечание 3 2 2 2 6" xfId="4139"/>
    <cellStyle name="Примечание 3 2 2 2 6 2" xfId="9326"/>
    <cellStyle name="Примечание 3 2 2 2 6 2 2" xfId="20253"/>
    <cellStyle name="Примечание 3 2 2 2 6 2 3" xfId="35614"/>
    <cellStyle name="Примечание 3 2 2 2 6 3" xfId="25214"/>
    <cellStyle name="Примечание 3 2 2 2 6 3 2" xfId="40575"/>
    <cellStyle name="Примечание 3 2 2 2 6 4" xfId="14690"/>
    <cellStyle name="Примечание 3 2 2 2 6 5" xfId="30165"/>
    <cellStyle name="Примечание 3 2 2 2 7" xfId="4631"/>
    <cellStyle name="Примечание 3 2 2 2 7 2" xfId="9818"/>
    <cellStyle name="Примечание 3 2 2 2 7 2 2" xfId="20745"/>
    <cellStyle name="Примечание 3 2 2 2 7 2 3" xfId="36106"/>
    <cellStyle name="Примечание 3 2 2 2 7 3" xfId="25706"/>
    <cellStyle name="Примечание 3 2 2 2 7 3 2" xfId="41067"/>
    <cellStyle name="Примечание 3 2 2 2 7 4" xfId="15182"/>
    <cellStyle name="Примечание 3 2 2 2 7 5" xfId="30657"/>
    <cellStyle name="Примечание 3 2 2 2 8" xfId="5947"/>
    <cellStyle name="Примечание 3 2 2 2 8 2" xfId="16920"/>
    <cellStyle name="Примечание 3 2 2 2 8 3" xfId="32387"/>
    <cellStyle name="Примечание 3 2 2 2 9" xfId="21835"/>
    <cellStyle name="Примечание 3 2 2 2 9 2" xfId="37196"/>
    <cellStyle name="Примечание 3 2 2 3" xfId="1554"/>
    <cellStyle name="Примечание 3 2 2 3 2" xfId="3313"/>
    <cellStyle name="Примечание 3 2 2 3 2 2" xfId="8507"/>
    <cellStyle name="Примечание 3 2 2 3 2 2 2" xfId="19434"/>
    <cellStyle name="Примечание 3 2 2 3 2 2 3" xfId="34795"/>
    <cellStyle name="Примечание 3 2 2 3 2 3" xfId="24395"/>
    <cellStyle name="Примечание 3 2 2 3 2 3 2" xfId="39756"/>
    <cellStyle name="Примечание 3 2 2 3 2 4" xfId="13871"/>
    <cellStyle name="Примечание 3 2 2 3 2 4 2" xfId="46602"/>
    <cellStyle name="Примечание 3 2 2 3 2 5" xfId="29346"/>
    <cellStyle name="Примечание 3 2 2 3 3" xfId="5529"/>
    <cellStyle name="Примечание 3 2 2 3 3 2" xfId="10693"/>
    <cellStyle name="Примечание 3 2 2 3 3 2 2" xfId="21627"/>
    <cellStyle name="Примечание 3 2 2 3 3 2 3" xfId="36988"/>
    <cellStyle name="Примечание 3 2 2 3 3 3" xfId="26580"/>
    <cellStyle name="Примечание 3 2 2 3 3 3 2" xfId="41941"/>
    <cellStyle name="Примечание 3 2 2 3 3 4" xfId="16064"/>
    <cellStyle name="Примечание 3 2 2 3 3 5" xfId="31531"/>
    <cellStyle name="Примечание 3 2 2 3 4" xfId="6801"/>
    <cellStyle name="Примечание 3 2 2 3 4 2" xfId="17696"/>
    <cellStyle name="Примечание 3 2 2 3 4 3" xfId="33057"/>
    <cellStyle name="Примечание 3 2 2 3 5" xfId="22689"/>
    <cellStyle name="Примечание 3 2 2 3 5 2" xfId="38050"/>
    <cellStyle name="Примечание 3 2 2 3 5 3" xfId="46601"/>
    <cellStyle name="Примечание 3 2 2 3 6" xfId="12132"/>
    <cellStyle name="Примечание 3 2 2 3 7" xfId="27640"/>
    <cellStyle name="Примечание 3 2 2 4" xfId="2005"/>
    <cellStyle name="Примечание 3 2 2 4 2" xfId="7241"/>
    <cellStyle name="Примечание 3 2 2 4 2 2" xfId="18143"/>
    <cellStyle name="Примечание 3 2 2 4 2 3" xfId="33504"/>
    <cellStyle name="Примечание 3 2 2 4 3" xfId="23129"/>
    <cellStyle name="Примечание 3 2 2 4 3 2" xfId="38490"/>
    <cellStyle name="Примечание 3 2 2 4 4" xfId="12580"/>
    <cellStyle name="Примечание 3 2 2 4 5" xfId="28080"/>
    <cellStyle name="Примечание 3 2 2 5" xfId="1807"/>
    <cellStyle name="Примечание 3 2 2 5 2" xfId="7046"/>
    <cellStyle name="Примечание 3 2 2 5 2 2" xfId="17948"/>
    <cellStyle name="Примечание 3 2 2 5 2 3" xfId="33309"/>
    <cellStyle name="Примечание 3 2 2 5 2 4" xfId="46603"/>
    <cellStyle name="Примечание 3 2 2 5 3" xfId="22934"/>
    <cellStyle name="Примечание 3 2 2 5 3 2" xfId="38295"/>
    <cellStyle name="Примечание 3 2 2 5 4" xfId="12385"/>
    <cellStyle name="Примечание 3 2 2 5 5" xfId="27885"/>
    <cellStyle name="Примечание 3 2 2 6" xfId="3898"/>
    <cellStyle name="Примечание 3 2 2 6 2" xfId="9085"/>
    <cellStyle name="Примечание 3 2 2 6 2 2" xfId="20012"/>
    <cellStyle name="Примечание 3 2 2 6 2 3" xfId="35373"/>
    <cellStyle name="Примечание 3 2 2 6 3" xfId="24973"/>
    <cellStyle name="Примечание 3 2 2 6 3 2" xfId="40334"/>
    <cellStyle name="Примечание 3 2 2 6 4" xfId="14449"/>
    <cellStyle name="Примечание 3 2 2 6 5" xfId="29924"/>
    <cellStyle name="Примечание 3 2 2 7" xfId="4093"/>
    <cellStyle name="Примечание 3 2 2 7 2" xfId="9280"/>
    <cellStyle name="Примечание 3 2 2 7 2 2" xfId="20207"/>
    <cellStyle name="Примечание 3 2 2 7 2 3" xfId="35568"/>
    <cellStyle name="Примечание 3 2 2 7 3" xfId="25168"/>
    <cellStyle name="Примечание 3 2 2 7 3 2" xfId="40529"/>
    <cellStyle name="Примечание 3 2 2 7 4" xfId="14644"/>
    <cellStyle name="Примечание 3 2 2 7 5" xfId="30119"/>
    <cellStyle name="Примечание 3 2 2 8" xfId="4810"/>
    <cellStyle name="Примечание 3 2 2 8 2" xfId="9997"/>
    <cellStyle name="Примечание 3 2 2 8 2 2" xfId="20924"/>
    <cellStyle name="Примечание 3 2 2 8 2 3" xfId="36285"/>
    <cellStyle name="Примечание 3 2 2 8 3" xfId="25885"/>
    <cellStyle name="Примечание 3 2 2 8 3 2" xfId="41246"/>
    <cellStyle name="Примечание 3 2 2 8 4" xfId="15361"/>
    <cellStyle name="Примечание 3 2 2 8 5" xfId="30836"/>
    <cellStyle name="Примечание 3 2 2 9" xfId="5901"/>
    <cellStyle name="Примечание 3 2 2 9 2" xfId="16970"/>
    <cellStyle name="Примечание 3 2 2 9 3" xfId="32437"/>
    <cellStyle name="Примечание 3 2 20" xfId="595"/>
    <cellStyle name="Примечание 3 2 20 10" xfId="21790"/>
    <cellStyle name="Примечание 3 2 20 10 2" xfId="37151"/>
    <cellStyle name="Примечание 3 2 20 11" xfId="11220"/>
    <cellStyle name="Примечание 3 2 20 12" xfId="26741"/>
    <cellStyle name="Примечание 3 2 20 2" xfId="684"/>
    <cellStyle name="Примечание 3 2 20 2 10" xfId="11268"/>
    <cellStyle name="Примечание 3 2 20 2 11" xfId="26785"/>
    <cellStyle name="Примечание 3 2 20 2 2" xfId="1304"/>
    <cellStyle name="Примечание 3 2 20 2 2 2" xfId="3316"/>
    <cellStyle name="Примечание 3 2 20 2 2 2 2" xfId="8510"/>
    <cellStyle name="Примечание 3 2 20 2 2 2 2 2" xfId="19437"/>
    <cellStyle name="Примечание 3 2 20 2 2 2 2 3" xfId="34798"/>
    <cellStyle name="Примечание 3 2 20 2 2 2 3" xfId="24398"/>
    <cellStyle name="Примечание 3 2 20 2 2 2 3 2" xfId="39759"/>
    <cellStyle name="Примечание 3 2 20 2 2 2 4" xfId="13874"/>
    <cellStyle name="Примечание 3 2 20 2 2 2 5" xfId="29349"/>
    <cellStyle name="Примечание 3 2 20 2 2 3" xfId="5530"/>
    <cellStyle name="Примечание 3 2 20 2 2 3 2" xfId="10694"/>
    <cellStyle name="Примечание 3 2 20 2 2 3 2 2" xfId="21628"/>
    <cellStyle name="Примечание 3 2 20 2 2 3 2 3" xfId="36989"/>
    <cellStyle name="Примечание 3 2 20 2 2 3 3" xfId="26581"/>
    <cellStyle name="Примечание 3 2 20 2 2 3 3 2" xfId="41942"/>
    <cellStyle name="Примечание 3 2 20 2 2 3 4" xfId="16065"/>
    <cellStyle name="Примечание 3 2 20 2 2 3 5" xfId="31532"/>
    <cellStyle name="Примечание 3 2 20 2 2 4" xfId="6557"/>
    <cellStyle name="Примечание 3 2 20 2 2 4 2" xfId="16304"/>
    <cellStyle name="Примечание 3 2 20 2 2 4 3" xfId="31771"/>
    <cellStyle name="Примечание 3 2 20 2 2 5" xfId="22445"/>
    <cellStyle name="Примечание 3 2 20 2 2 5 2" xfId="37806"/>
    <cellStyle name="Примечание 3 2 20 2 2 6" xfId="11885"/>
    <cellStyle name="Примечание 3 2 20 2 2 7" xfId="27396"/>
    <cellStyle name="Примечание 3 2 20 2 3" xfId="2090"/>
    <cellStyle name="Примечание 3 2 20 2 3 2" xfId="7326"/>
    <cellStyle name="Примечание 3 2 20 2 3 2 2" xfId="18228"/>
    <cellStyle name="Примечание 3 2 20 2 3 2 3" xfId="33589"/>
    <cellStyle name="Примечание 3 2 20 2 3 3" xfId="23214"/>
    <cellStyle name="Примечание 3 2 20 2 3 3 2" xfId="38575"/>
    <cellStyle name="Примечание 3 2 20 2 3 4" xfId="12665"/>
    <cellStyle name="Примечание 3 2 20 2 3 5" xfId="28165"/>
    <cellStyle name="Примечание 3 2 20 2 4" xfId="2746"/>
    <cellStyle name="Примечание 3 2 20 2 4 2" xfId="7975"/>
    <cellStyle name="Примечание 3 2 20 2 4 2 2" xfId="18879"/>
    <cellStyle name="Примечание 3 2 20 2 4 2 3" xfId="34240"/>
    <cellStyle name="Примечание 3 2 20 2 4 3" xfId="23863"/>
    <cellStyle name="Примечание 3 2 20 2 4 3 2" xfId="39224"/>
    <cellStyle name="Примечание 3 2 20 2 4 4" xfId="13316"/>
    <cellStyle name="Примечание 3 2 20 2 4 5" xfId="28814"/>
    <cellStyle name="Примечание 3 2 20 2 5" xfId="1479"/>
    <cellStyle name="Примечание 3 2 20 2 5 2" xfId="6726"/>
    <cellStyle name="Примечание 3 2 20 2 5 2 2" xfId="16132"/>
    <cellStyle name="Примечание 3 2 20 2 5 2 3" xfId="31599"/>
    <cellStyle name="Примечание 3 2 20 2 5 3" xfId="22614"/>
    <cellStyle name="Примечание 3 2 20 2 5 3 2" xfId="37975"/>
    <cellStyle name="Примечание 3 2 20 2 5 4" xfId="12057"/>
    <cellStyle name="Примечание 3 2 20 2 5 5" xfId="27565"/>
    <cellStyle name="Примечание 3 2 20 2 6" xfId="4138"/>
    <cellStyle name="Примечание 3 2 20 2 6 2" xfId="9325"/>
    <cellStyle name="Примечание 3 2 20 2 6 2 2" xfId="20252"/>
    <cellStyle name="Примечание 3 2 20 2 6 2 3" xfId="35613"/>
    <cellStyle name="Примечание 3 2 20 2 6 3" xfId="25213"/>
    <cellStyle name="Примечание 3 2 20 2 6 3 2" xfId="40574"/>
    <cellStyle name="Примечание 3 2 20 2 6 4" xfId="14689"/>
    <cellStyle name="Примечание 3 2 20 2 6 5" xfId="30164"/>
    <cellStyle name="Примечание 3 2 20 2 7" xfId="4915"/>
    <cellStyle name="Примечание 3 2 20 2 7 2" xfId="10102"/>
    <cellStyle name="Примечание 3 2 20 2 7 2 2" xfId="21029"/>
    <cellStyle name="Примечание 3 2 20 2 7 2 3" xfId="36390"/>
    <cellStyle name="Примечание 3 2 20 2 7 3" xfId="25990"/>
    <cellStyle name="Примечание 3 2 20 2 7 3 2" xfId="41351"/>
    <cellStyle name="Примечание 3 2 20 2 7 4" xfId="15466"/>
    <cellStyle name="Примечание 3 2 20 2 7 5" xfId="30941"/>
    <cellStyle name="Примечание 3 2 20 2 8" xfId="5946"/>
    <cellStyle name="Примечание 3 2 20 2 8 2" xfId="16921"/>
    <cellStyle name="Примечание 3 2 20 2 8 3" xfId="32388"/>
    <cellStyle name="Примечание 3 2 20 2 9" xfId="21834"/>
    <cellStyle name="Примечание 3 2 20 2 9 2" xfId="37195"/>
    <cellStyle name="Примечание 3 2 20 3" xfId="1320"/>
    <cellStyle name="Примечание 3 2 20 3 2" xfId="3317"/>
    <cellStyle name="Примечание 3 2 20 3 2 2" xfId="8511"/>
    <cellStyle name="Примечание 3 2 20 3 2 2 2" xfId="19438"/>
    <cellStyle name="Примечание 3 2 20 3 2 2 3" xfId="34799"/>
    <cellStyle name="Примечание 3 2 20 3 2 3" xfId="24399"/>
    <cellStyle name="Примечание 3 2 20 3 2 3 2" xfId="39760"/>
    <cellStyle name="Примечание 3 2 20 3 2 4" xfId="13875"/>
    <cellStyle name="Примечание 3 2 20 3 2 5" xfId="29350"/>
    <cellStyle name="Примечание 3 2 20 3 3" xfId="5531"/>
    <cellStyle name="Примечание 3 2 20 3 3 2" xfId="10695"/>
    <cellStyle name="Примечание 3 2 20 3 3 2 2" xfId="21629"/>
    <cellStyle name="Примечание 3 2 20 3 3 2 3" xfId="36990"/>
    <cellStyle name="Примечание 3 2 20 3 3 3" xfId="26582"/>
    <cellStyle name="Примечание 3 2 20 3 3 3 2" xfId="41943"/>
    <cellStyle name="Примечание 3 2 20 3 3 4" xfId="16066"/>
    <cellStyle name="Примечание 3 2 20 3 3 5" xfId="31533"/>
    <cellStyle name="Примечание 3 2 20 3 4" xfId="6573"/>
    <cellStyle name="Примечание 3 2 20 3 4 2" xfId="16288"/>
    <cellStyle name="Примечание 3 2 20 3 4 3" xfId="31755"/>
    <cellStyle name="Примечание 3 2 20 3 5" xfId="22461"/>
    <cellStyle name="Примечание 3 2 20 3 5 2" xfId="37822"/>
    <cellStyle name="Примечание 3 2 20 3 6" xfId="11901"/>
    <cellStyle name="Примечание 3 2 20 3 7" xfId="27412"/>
    <cellStyle name="Примечание 3 2 20 4" xfId="2006"/>
    <cellStyle name="Примечание 3 2 20 4 2" xfId="7242"/>
    <cellStyle name="Примечание 3 2 20 4 2 2" xfId="18144"/>
    <cellStyle name="Примечание 3 2 20 4 2 3" xfId="33505"/>
    <cellStyle name="Примечание 3 2 20 4 3" xfId="23130"/>
    <cellStyle name="Примечание 3 2 20 4 3 2" xfId="38491"/>
    <cellStyle name="Примечание 3 2 20 4 4" xfId="12581"/>
    <cellStyle name="Примечание 3 2 20 4 5" xfId="28081"/>
    <cellStyle name="Примечание 3 2 20 5" xfId="1555"/>
    <cellStyle name="Примечание 3 2 20 5 2" xfId="6802"/>
    <cellStyle name="Примечание 3 2 20 5 2 2" xfId="17697"/>
    <cellStyle name="Примечание 3 2 20 5 2 3" xfId="33058"/>
    <cellStyle name="Примечание 3 2 20 5 3" xfId="22690"/>
    <cellStyle name="Примечание 3 2 20 5 3 2" xfId="38051"/>
    <cellStyle name="Примечание 3 2 20 5 4" xfId="12133"/>
    <cellStyle name="Примечание 3 2 20 5 5" xfId="27641"/>
    <cellStyle name="Примечание 3 2 20 6" xfId="3584"/>
    <cellStyle name="Примечание 3 2 20 6 2" xfId="8771"/>
    <cellStyle name="Примечание 3 2 20 6 2 2" xfId="19698"/>
    <cellStyle name="Примечание 3 2 20 6 2 3" xfId="35059"/>
    <cellStyle name="Примечание 3 2 20 6 3" xfId="24659"/>
    <cellStyle name="Примечание 3 2 20 6 3 2" xfId="40020"/>
    <cellStyle name="Примечание 3 2 20 6 4" xfId="14135"/>
    <cellStyle name="Примечание 3 2 20 6 5" xfId="29610"/>
    <cellStyle name="Примечание 3 2 20 7" xfId="4094"/>
    <cellStyle name="Примечание 3 2 20 7 2" xfId="9281"/>
    <cellStyle name="Примечание 3 2 20 7 2 2" xfId="20208"/>
    <cellStyle name="Примечание 3 2 20 7 2 3" xfId="35569"/>
    <cellStyle name="Примечание 3 2 20 7 3" xfId="25169"/>
    <cellStyle name="Примечание 3 2 20 7 3 2" xfId="40530"/>
    <cellStyle name="Примечание 3 2 20 7 4" xfId="14645"/>
    <cellStyle name="Примечание 3 2 20 7 5" xfId="30120"/>
    <cellStyle name="Примечание 3 2 20 8" xfId="4652"/>
    <cellStyle name="Примечание 3 2 20 8 2" xfId="9839"/>
    <cellStyle name="Примечание 3 2 20 8 2 2" xfId="20766"/>
    <cellStyle name="Примечание 3 2 20 8 2 3" xfId="36127"/>
    <cellStyle name="Примечание 3 2 20 8 3" xfId="25727"/>
    <cellStyle name="Примечание 3 2 20 8 3 2" xfId="41088"/>
    <cellStyle name="Примечание 3 2 20 8 4" xfId="15203"/>
    <cellStyle name="Примечание 3 2 20 8 5" xfId="30678"/>
    <cellStyle name="Примечание 3 2 20 9" xfId="5902"/>
    <cellStyle name="Примечание 3 2 20 9 2" xfId="16969"/>
    <cellStyle name="Примечание 3 2 20 9 3" xfId="32436"/>
    <cellStyle name="Примечание 3 2 21" xfId="596"/>
    <cellStyle name="Примечание 3 2 21 10" xfId="21791"/>
    <cellStyle name="Примечание 3 2 21 10 2" xfId="37152"/>
    <cellStyle name="Примечание 3 2 21 11" xfId="11221"/>
    <cellStyle name="Примечание 3 2 21 12" xfId="26742"/>
    <cellStyle name="Примечание 3 2 21 2" xfId="683"/>
    <cellStyle name="Примечание 3 2 21 2 10" xfId="11267"/>
    <cellStyle name="Примечание 3 2 21 2 11" xfId="26784"/>
    <cellStyle name="Примечание 3 2 21 2 2" xfId="1574"/>
    <cellStyle name="Примечание 3 2 21 2 2 2" xfId="3320"/>
    <cellStyle name="Примечание 3 2 21 2 2 2 2" xfId="8514"/>
    <cellStyle name="Примечание 3 2 21 2 2 2 2 2" xfId="19441"/>
    <cellStyle name="Примечание 3 2 21 2 2 2 2 3" xfId="34802"/>
    <cellStyle name="Примечание 3 2 21 2 2 2 3" xfId="24402"/>
    <cellStyle name="Примечание 3 2 21 2 2 2 3 2" xfId="39763"/>
    <cellStyle name="Примечание 3 2 21 2 2 2 4" xfId="13878"/>
    <cellStyle name="Примечание 3 2 21 2 2 2 5" xfId="29353"/>
    <cellStyle name="Примечание 3 2 21 2 2 3" xfId="5532"/>
    <cellStyle name="Примечание 3 2 21 2 2 3 2" xfId="10696"/>
    <cellStyle name="Примечание 3 2 21 2 2 3 2 2" xfId="21630"/>
    <cellStyle name="Примечание 3 2 21 2 2 3 2 3" xfId="36991"/>
    <cellStyle name="Примечание 3 2 21 2 2 3 3" xfId="26583"/>
    <cellStyle name="Примечание 3 2 21 2 2 3 3 2" xfId="41944"/>
    <cellStyle name="Примечание 3 2 21 2 2 3 4" xfId="16067"/>
    <cellStyle name="Примечание 3 2 21 2 2 3 5" xfId="31534"/>
    <cellStyle name="Примечание 3 2 21 2 2 4" xfId="6821"/>
    <cellStyle name="Примечание 3 2 21 2 2 4 2" xfId="17716"/>
    <cellStyle name="Примечание 3 2 21 2 2 4 3" xfId="33077"/>
    <cellStyle name="Примечание 3 2 21 2 2 5" xfId="22709"/>
    <cellStyle name="Примечание 3 2 21 2 2 5 2" xfId="38070"/>
    <cellStyle name="Примечание 3 2 21 2 2 6" xfId="12152"/>
    <cellStyle name="Примечание 3 2 21 2 2 7" xfId="27660"/>
    <cellStyle name="Примечание 3 2 21 2 3" xfId="2089"/>
    <cellStyle name="Примечание 3 2 21 2 3 2" xfId="7325"/>
    <cellStyle name="Примечание 3 2 21 2 3 2 2" xfId="18227"/>
    <cellStyle name="Примечание 3 2 21 2 3 2 3" xfId="33588"/>
    <cellStyle name="Примечание 3 2 21 2 3 3" xfId="23213"/>
    <cellStyle name="Примечание 3 2 21 2 3 3 2" xfId="38574"/>
    <cellStyle name="Примечание 3 2 21 2 3 4" xfId="12664"/>
    <cellStyle name="Примечание 3 2 21 2 3 5" xfId="28164"/>
    <cellStyle name="Примечание 3 2 21 2 4" xfId="2403"/>
    <cellStyle name="Примечание 3 2 21 2 4 2" xfId="7639"/>
    <cellStyle name="Примечание 3 2 21 2 4 2 2" xfId="18541"/>
    <cellStyle name="Примечание 3 2 21 2 4 2 3" xfId="33902"/>
    <cellStyle name="Примечание 3 2 21 2 4 3" xfId="23527"/>
    <cellStyle name="Примечание 3 2 21 2 4 3 2" xfId="38888"/>
    <cellStyle name="Примечание 3 2 21 2 4 4" xfId="12978"/>
    <cellStyle name="Примечание 3 2 21 2 4 5" xfId="28478"/>
    <cellStyle name="Примечание 3 2 21 2 5" xfId="3598"/>
    <cellStyle name="Примечание 3 2 21 2 5 2" xfId="8785"/>
    <cellStyle name="Примечание 3 2 21 2 5 2 2" xfId="19712"/>
    <cellStyle name="Примечание 3 2 21 2 5 2 3" xfId="35073"/>
    <cellStyle name="Примечание 3 2 21 2 5 3" xfId="24673"/>
    <cellStyle name="Примечание 3 2 21 2 5 3 2" xfId="40034"/>
    <cellStyle name="Примечание 3 2 21 2 5 4" xfId="14149"/>
    <cellStyle name="Примечание 3 2 21 2 5 5" xfId="29624"/>
    <cellStyle name="Примечание 3 2 21 2 6" xfId="4137"/>
    <cellStyle name="Примечание 3 2 21 2 6 2" xfId="9324"/>
    <cellStyle name="Примечание 3 2 21 2 6 2 2" xfId="20251"/>
    <cellStyle name="Примечание 3 2 21 2 6 2 3" xfId="35612"/>
    <cellStyle name="Примечание 3 2 21 2 6 3" xfId="25212"/>
    <cellStyle name="Примечание 3 2 21 2 6 3 2" xfId="40573"/>
    <cellStyle name="Примечание 3 2 21 2 6 4" xfId="14688"/>
    <cellStyle name="Примечание 3 2 21 2 6 5" xfId="30163"/>
    <cellStyle name="Примечание 3 2 21 2 7" xfId="4632"/>
    <cellStyle name="Примечание 3 2 21 2 7 2" xfId="9819"/>
    <cellStyle name="Примечание 3 2 21 2 7 2 2" xfId="20746"/>
    <cellStyle name="Примечание 3 2 21 2 7 2 3" xfId="36107"/>
    <cellStyle name="Примечание 3 2 21 2 7 3" xfId="25707"/>
    <cellStyle name="Примечание 3 2 21 2 7 3 2" xfId="41068"/>
    <cellStyle name="Примечание 3 2 21 2 7 4" xfId="15183"/>
    <cellStyle name="Примечание 3 2 21 2 7 5" xfId="30658"/>
    <cellStyle name="Примечание 3 2 21 2 8" xfId="5945"/>
    <cellStyle name="Примечание 3 2 21 2 8 2" xfId="16922"/>
    <cellStyle name="Примечание 3 2 21 2 8 3" xfId="32389"/>
    <cellStyle name="Примечание 3 2 21 2 9" xfId="21833"/>
    <cellStyle name="Примечание 3 2 21 2 9 2" xfId="37194"/>
    <cellStyle name="Примечание 3 2 21 3" xfId="1531"/>
    <cellStyle name="Примечание 3 2 21 3 2" xfId="3321"/>
    <cellStyle name="Примечание 3 2 21 3 2 2" xfId="8515"/>
    <cellStyle name="Примечание 3 2 21 3 2 2 2" xfId="19442"/>
    <cellStyle name="Примечание 3 2 21 3 2 2 3" xfId="34803"/>
    <cellStyle name="Примечание 3 2 21 3 2 3" xfId="24403"/>
    <cellStyle name="Примечание 3 2 21 3 2 3 2" xfId="39764"/>
    <cellStyle name="Примечание 3 2 21 3 2 4" xfId="13879"/>
    <cellStyle name="Примечание 3 2 21 3 2 5" xfId="29354"/>
    <cellStyle name="Примечание 3 2 21 3 3" xfId="5533"/>
    <cellStyle name="Примечание 3 2 21 3 3 2" xfId="10697"/>
    <cellStyle name="Примечание 3 2 21 3 3 2 2" xfId="21631"/>
    <cellStyle name="Примечание 3 2 21 3 3 2 3" xfId="36992"/>
    <cellStyle name="Примечание 3 2 21 3 3 3" xfId="26584"/>
    <cellStyle name="Примечание 3 2 21 3 3 3 2" xfId="41945"/>
    <cellStyle name="Примечание 3 2 21 3 3 4" xfId="16068"/>
    <cellStyle name="Примечание 3 2 21 3 3 5" xfId="31535"/>
    <cellStyle name="Примечание 3 2 21 3 4" xfId="6778"/>
    <cellStyle name="Примечание 3 2 21 3 4 2" xfId="17673"/>
    <cellStyle name="Примечание 3 2 21 3 4 3" xfId="33034"/>
    <cellStyle name="Примечание 3 2 21 3 5" xfId="22666"/>
    <cellStyle name="Примечание 3 2 21 3 5 2" xfId="38027"/>
    <cellStyle name="Примечание 3 2 21 3 6" xfId="12109"/>
    <cellStyle name="Примечание 3 2 21 3 7" xfId="27617"/>
    <cellStyle name="Примечание 3 2 21 4" xfId="2007"/>
    <cellStyle name="Примечание 3 2 21 4 2" xfId="7243"/>
    <cellStyle name="Примечание 3 2 21 4 2 2" xfId="18145"/>
    <cellStyle name="Примечание 3 2 21 4 2 3" xfId="33506"/>
    <cellStyle name="Примечание 3 2 21 4 3" xfId="23131"/>
    <cellStyle name="Примечание 3 2 21 4 3 2" xfId="38492"/>
    <cellStyle name="Примечание 3 2 21 4 4" xfId="12582"/>
    <cellStyle name="Примечание 3 2 21 4 5" xfId="28082"/>
    <cellStyle name="Примечание 3 2 21 5" xfId="1805"/>
    <cellStyle name="Примечание 3 2 21 5 2" xfId="7044"/>
    <cellStyle name="Примечание 3 2 21 5 2 2" xfId="17946"/>
    <cellStyle name="Примечание 3 2 21 5 2 3" xfId="33307"/>
    <cellStyle name="Примечание 3 2 21 5 3" xfId="22932"/>
    <cellStyle name="Примечание 3 2 21 5 3 2" xfId="38293"/>
    <cellStyle name="Примечание 3 2 21 5 4" xfId="12383"/>
    <cellStyle name="Примечание 3 2 21 5 5" xfId="27883"/>
    <cellStyle name="Примечание 3 2 21 6" xfId="3899"/>
    <cellStyle name="Примечание 3 2 21 6 2" xfId="9086"/>
    <cellStyle name="Примечание 3 2 21 6 2 2" xfId="20013"/>
    <cellStyle name="Примечание 3 2 21 6 2 3" xfId="35374"/>
    <cellStyle name="Примечание 3 2 21 6 3" xfId="24974"/>
    <cellStyle name="Примечание 3 2 21 6 3 2" xfId="40335"/>
    <cellStyle name="Примечание 3 2 21 6 4" xfId="14450"/>
    <cellStyle name="Примечание 3 2 21 6 5" xfId="29925"/>
    <cellStyle name="Примечание 3 2 21 7" xfId="4095"/>
    <cellStyle name="Примечание 3 2 21 7 2" xfId="9282"/>
    <cellStyle name="Примечание 3 2 21 7 2 2" xfId="20209"/>
    <cellStyle name="Примечание 3 2 21 7 2 3" xfId="35570"/>
    <cellStyle name="Примечание 3 2 21 7 3" xfId="25170"/>
    <cellStyle name="Примечание 3 2 21 7 3 2" xfId="40531"/>
    <cellStyle name="Примечание 3 2 21 7 4" xfId="14646"/>
    <cellStyle name="Примечание 3 2 21 7 5" xfId="30121"/>
    <cellStyle name="Примечание 3 2 21 8" xfId="4811"/>
    <cellStyle name="Примечание 3 2 21 8 2" xfId="9998"/>
    <cellStyle name="Примечание 3 2 21 8 2 2" xfId="20925"/>
    <cellStyle name="Примечание 3 2 21 8 2 3" xfId="36286"/>
    <cellStyle name="Примечание 3 2 21 8 3" xfId="25886"/>
    <cellStyle name="Примечание 3 2 21 8 3 2" xfId="41247"/>
    <cellStyle name="Примечание 3 2 21 8 4" xfId="15362"/>
    <cellStyle name="Примечание 3 2 21 8 5" xfId="30837"/>
    <cellStyle name="Примечание 3 2 21 9" xfId="5903"/>
    <cellStyle name="Примечание 3 2 21 9 2" xfId="16968"/>
    <cellStyle name="Примечание 3 2 21 9 3" xfId="32435"/>
    <cellStyle name="Примечание 3 2 22" xfId="597"/>
    <cellStyle name="Примечание 3 2 22 10" xfId="21792"/>
    <cellStyle name="Примечание 3 2 22 10 2" xfId="37153"/>
    <cellStyle name="Примечание 3 2 22 11" xfId="11222"/>
    <cellStyle name="Примечание 3 2 22 12" xfId="26743"/>
    <cellStyle name="Примечание 3 2 22 2" xfId="682"/>
    <cellStyle name="Примечание 3 2 22 2 10" xfId="11266"/>
    <cellStyle name="Примечание 3 2 22 2 11" xfId="26783"/>
    <cellStyle name="Примечание 3 2 22 2 2" xfId="71"/>
    <cellStyle name="Примечание 3 2 22 2 2 2" xfId="3324"/>
    <cellStyle name="Примечание 3 2 22 2 2 2 2" xfId="8518"/>
    <cellStyle name="Примечание 3 2 22 2 2 2 2 2" xfId="19445"/>
    <cellStyle name="Примечание 3 2 22 2 2 2 2 3" xfId="34806"/>
    <cellStyle name="Примечание 3 2 22 2 2 2 3" xfId="24406"/>
    <cellStyle name="Примечание 3 2 22 2 2 2 3 2" xfId="39767"/>
    <cellStyle name="Примечание 3 2 22 2 2 2 4" xfId="13882"/>
    <cellStyle name="Примечание 3 2 22 2 2 2 5" xfId="29357"/>
    <cellStyle name="Примечание 3 2 22 2 2 3" xfId="5534"/>
    <cellStyle name="Примечание 3 2 22 2 2 3 2" xfId="10698"/>
    <cellStyle name="Примечание 3 2 22 2 2 3 2 2" xfId="21632"/>
    <cellStyle name="Примечание 3 2 22 2 2 3 2 3" xfId="36993"/>
    <cellStyle name="Примечание 3 2 22 2 2 3 3" xfId="26585"/>
    <cellStyle name="Примечание 3 2 22 2 2 3 3 2" xfId="41946"/>
    <cellStyle name="Примечание 3 2 22 2 2 3 4" xfId="16069"/>
    <cellStyle name="Примечание 3 2 22 2 2 3 5" xfId="31536"/>
    <cellStyle name="Примечание 3 2 22 2 2 4" xfId="5597"/>
    <cellStyle name="Примечание 3 2 22 2 2 4 2" xfId="17400"/>
    <cellStyle name="Примечание 3 2 22 2 2 4 3" xfId="32867"/>
    <cellStyle name="Примечание 3 2 22 2 2 5" xfId="17427"/>
    <cellStyle name="Примечание 3 2 22 2 2 5 2" xfId="32894"/>
    <cellStyle name="Примечание 3 2 22 2 2 6" xfId="10785"/>
    <cellStyle name="Примечание 3 2 22 2 2 7" xfId="10758"/>
    <cellStyle name="Примечание 3 2 22 2 3" xfId="2088"/>
    <cellStyle name="Примечание 3 2 22 2 3 2" xfId="7324"/>
    <cellStyle name="Примечание 3 2 22 2 3 2 2" xfId="18226"/>
    <cellStyle name="Примечание 3 2 22 2 3 2 3" xfId="33587"/>
    <cellStyle name="Примечание 3 2 22 2 3 3" xfId="23212"/>
    <cellStyle name="Примечание 3 2 22 2 3 3 2" xfId="38573"/>
    <cellStyle name="Примечание 3 2 22 2 3 4" xfId="12663"/>
    <cellStyle name="Примечание 3 2 22 2 3 5" xfId="28163"/>
    <cellStyle name="Примечание 3 2 22 2 4" xfId="2744"/>
    <cellStyle name="Примечание 3 2 22 2 4 2" xfId="7973"/>
    <cellStyle name="Примечание 3 2 22 2 4 2 2" xfId="18877"/>
    <cellStyle name="Примечание 3 2 22 2 4 2 3" xfId="34238"/>
    <cellStyle name="Примечание 3 2 22 2 4 3" xfId="23861"/>
    <cellStyle name="Примечание 3 2 22 2 4 3 2" xfId="39222"/>
    <cellStyle name="Примечание 3 2 22 2 4 4" xfId="13314"/>
    <cellStyle name="Примечание 3 2 22 2 4 5" xfId="28812"/>
    <cellStyle name="Примечание 3 2 22 2 5" xfId="2415"/>
    <cellStyle name="Примечание 3 2 22 2 5 2" xfId="7651"/>
    <cellStyle name="Примечание 3 2 22 2 5 2 2" xfId="18553"/>
    <cellStyle name="Примечание 3 2 22 2 5 2 3" xfId="33914"/>
    <cellStyle name="Примечание 3 2 22 2 5 3" xfId="23539"/>
    <cellStyle name="Примечание 3 2 22 2 5 3 2" xfId="38900"/>
    <cellStyle name="Примечание 3 2 22 2 5 4" xfId="12990"/>
    <cellStyle name="Примечание 3 2 22 2 5 5" xfId="28490"/>
    <cellStyle name="Примечание 3 2 22 2 6" xfId="4136"/>
    <cellStyle name="Примечание 3 2 22 2 6 2" xfId="9323"/>
    <cellStyle name="Примечание 3 2 22 2 6 2 2" xfId="20250"/>
    <cellStyle name="Примечание 3 2 22 2 6 2 3" xfId="35611"/>
    <cellStyle name="Примечание 3 2 22 2 6 3" xfId="25211"/>
    <cellStyle name="Примечание 3 2 22 2 6 3 2" xfId="40572"/>
    <cellStyle name="Примечание 3 2 22 2 6 4" xfId="14687"/>
    <cellStyle name="Примечание 3 2 22 2 6 5" xfId="30162"/>
    <cellStyle name="Примечание 3 2 22 2 7" xfId="4914"/>
    <cellStyle name="Примечание 3 2 22 2 7 2" xfId="10101"/>
    <cellStyle name="Примечание 3 2 22 2 7 2 2" xfId="21028"/>
    <cellStyle name="Примечание 3 2 22 2 7 2 3" xfId="36389"/>
    <cellStyle name="Примечание 3 2 22 2 7 3" xfId="25989"/>
    <cellStyle name="Примечание 3 2 22 2 7 3 2" xfId="41350"/>
    <cellStyle name="Примечание 3 2 22 2 7 4" xfId="15465"/>
    <cellStyle name="Примечание 3 2 22 2 7 5" xfId="30940"/>
    <cellStyle name="Примечание 3 2 22 2 8" xfId="5944"/>
    <cellStyle name="Примечание 3 2 22 2 8 2" xfId="16923"/>
    <cellStyle name="Примечание 3 2 22 2 8 3" xfId="32390"/>
    <cellStyle name="Примечание 3 2 22 2 9" xfId="21832"/>
    <cellStyle name="Примечание 3 2 22 2 9 2" xfId="37193"/>
    <cellStyle name="Примечание 3 2 22 3" xfId="1385"/>
    <cellStyle name="Примечание 3 2 22 3 2" xfId="3325"/>
    <cellStyle name="Примечание 3 2 22 3 2 2" xfId="8519"/>
    <cellStyle name="Примечание 3 2 22 3 2 2 2" xfId="19446"/>
    <cellStyle name="Примечание 3 2 22 3 2 2 3" xfId="34807"/>
    <cellStyle name="Примечание 3 2 22 3 2 3" xfId="24407"/>
    <cellStyle name="Примечание 3 2 22 3 2 3 2" xfId="39768"/>
    <cellStyle name="Примечание 3 2 22 3 2 4" xfId="13883"/>
    <cellStyle name="Примечание 3 2 22 3 2 5" xfId="29358"/>
    <cellStyle name="Примечание 3 2 22 3 3" xfId="5535"/>
    <cellStyle name="Примечание 3 2 22 3 3 2" xfId="10699"/>
    <cellStyle name="Примечание 3 2 22 3 3 2 2" xfId="21633"/>
    <cellStyle name="Примечание 3 2 22 3 3 2 3" xfId="36994"/>
    <cellStyle name="Примечание 3 2 22 3 3 3" xfId="26586"/>
    <cellStyle name="Примечание 3 2 22 3 3 3 2" xfId="41947"/>
    <cellStyle name="Примечание 3 2 22 3 3 4" xfId="16070"/>
    <cellStyle name="Примечание 3 2 22 3 3 5" xfId="31537"/>
    <cellStyle name="Примечание 3 2 22 3 4" xfId="6635"/>
    <cellStyle name="Примечание 3 2 22 3 4 2" xfId="16224"/>
    <cellStyle name="Примечание 3 2 22 3 4 3" xfId="31691"/>
    <cellStyle name="Примечание 3 2 22 3 5" xfId="22523"/>
    <cellStyle name="Примечание 3 2 22 3 5 2" xfId="37884"/>
    <cellStyle name="Примечание 3 2 22 3 6" xfId="11965"/>
    <cellStyle name="Примечание 3 2 22 3 7" xfId="27474"/>
    <cellStyle name="Примечание 3 2 22 4" xfId="2008"/>
    <cellStyle name="Примечание 3 2 22 4 2" xfId="7244"/>
    <cellStyle name="Примечание 3 2 22 4 2 2" xfId="18146"/>
    <cellStyle name="Примечание 3 2 22 4 2 3" xfId="33507"/>
    <cellStyle name="Примечание 3 2 22 4 3" xfId="23132"/>
    <cellStyle name="Примечание 3 2 22 4 3 2" xfId="38493"/>
    <cellStyle name="Примечание 3 2 22 4 4" xfId="12583"/>
    <cellStyle name="Примечание 3 2 22 4 5" xfId="28083"/>
    <cellStyle name="Примечание 3 2 22 5" xfId="2460"/>
    <cellStyle name="Примечание 3 2 22 5 2" xfId="7696"/>
    <cellStyle name="Примечание 3 2 22 5 2 2" xfId="18598"/>
    <cellStyle name="Примечание 3 2 22 5 2 3" xfId="33959"/>
    <cellStyle name="Примечание 3 2 22 5 3" xfId="23584"/>
    <cellStyle name="Примечание 3 2 22 5 3 2" xfId="38945"/>
    <cellStyle name="Примечание 3 2 22 5 4" xfId="13035"/>
    <cellStyle name="Примечание 3 2 22 5 5" xfId="28535"/>
    <cellStyle name="Примечание 3 2 22 6" xfId="3585"/>
    <cellStyle name="Примечание 3 2 22 6 2" xfId="8772"/>
    <cellStyle name="Примечание 3 2 22 6 2 2" xfId="19699"/>
    <cellStyle name="Примечание 3 2 22 6 2 3" xfId="35060"/>
    <cellStyle name="Примечание 3 2 22 6 3" xfId="24660"/>
    <cellStyle name="Примечание 3 2 22 6 3 2" xfId="40021"/>
    <cellStyle name="Примечание 3 2 22 6 4" xfId="14136"/>
    <cellStyle name="Примечание 3 2 22 6 5" xfId="29611"/>
    <cellStyle name="Примечание 3 2 22 7" xfId="4096"/>
    <cellStyle name="Примечание 3 2 22 7 2" xfId="9283"/>
    <cellStyle name="Примечание 3 2 22 7 2 2" xfId="20210"/>
    <cellStyle name="Примечание 3 2 22 7 2 3" xfId="35571"/>
    <cellStyle name="Примечание 3 2 22 7 3" xfId="25171"/>
    <cellStyle name="Примечание 3 2 22 7 3 2" xfId="40532"/>
    <cellStyle name="Примечание 3 2 22 7 4" xfId="14647"/>
    <cellStyle name="Примечание 3 2 22 7 5" xfId="30122"/>
    <cellStyle name="Примечание 3 2 22 8" xfId="4651"/>
    <cellStyle name="Примечание 3 2 22 8 2" xfId="9838"/>
    <cellStyle name="Примечание 3 2 22 8 2 2" xfId="20765"/>
    <cellStyle name="Примечание 3 2 22 8 2 3" xfId="36126"/>
    <cellStyle name="Примечание 3 2 22 8 3" xfId="25726"/>
    <cellStyle name="Примечание 3 2 22 8 3 2" xfId="41087"/>
    <cellStyle name="Примечание 3 2 22 8 4" xfId="15202"/>
    <cellStyle name="Примечание 3 2 22 8 5" xfId="30677"/>
    <cellStyle name="Примечание 3 2 22 9" xfId="5904"/>
    <cellStyle name="Примечание 3 2 22 9 2" xfId="16967"/>
    <cellStyle name="Примечание 3 2 22 9 3" xfId="32434"/>
    <cellStyle name="Примечание 3 2 23" xfId="696"/>
    <cellStyle name="Примечание 3 2 23 10" xfId="11280"/>
    <cellStyle name="Примечание 3 2 23 11" xfId="26797"/>
    <cellStyle name="Примечание 3 2 23 2" xfId="104"/>
    <cellStyle name="Примечание 3 2 23 2 2" xfId="3327"/>
    <cellStyle name="Примечание 3 2 23 2 2 2" xfId="8521"/>
    <cellStyle name="Примечание 3 2 23 2 2 2 2" xfId="19448"/>
    <cellStyle name="Примечание 3 2 23 2 2 2 3" xfId="34809"/>
    <cellStyle name="Примечание 3 2 23 2 2 3" xfId="24409"/>
    <cellStyle name="Примечание 3 2 23 2 2 3 2" xfId="39770"/>
    <cellStyle name="Примечание 3 2 23 2 2 4" xfId="13885"/>
    <cellStyle name="Примечание 3 2 23 2 2 5" xfId="29360"/>
    <cellStyle name="Примечание 3 2 23 2 3" xfId="5536"/>
    <cellStyle name="Примечание 3 2 23 2 3 2" xfId="10700"/>
    <cellStyle name="Примечание 3 2 23 2 3 2 2" xfId="21634"/>
    <cellStyle name="Примечание 3 2 23 2 3 2 3" xfId="36995"/>
    <cellStyle name="Примечание 3 2 23 2 3 3" xfId="26587"/>
    <cellStyle name="Примечание 3 2 23 2 3 3 2" xfId="41948"/>
    <cellStyle name="Примечание 3 2 23 2 3 4" xfId="16071"/>
    <cellStyle name="Примечание 3 2 23 2 3 5" xfId="31538"/>
    <cellStyle name="Примечание 3 2 23 2 4" xfId="5630"/>
    <cellStyle name="Примечание 3 2 23 2 4 2" xfId="17367"/>
    <cellStyle name="Примечание 3 2 23 2 4 3" xfId="32834"/>
    <cellStyle name="Примечание 3 2 23 2 5" xfId="21447"/>
    <cellStyle name="Примечание 3 2 23 2 5 2" xfId="36808"/>
    <cellStyle name="Примечание 3 2 23 2 6" xfId="10818"/>
    <cellStyle name="Примечание 3 2 23 2 7" xfId="15884"/>
    <cellStyle name="Примечание 3 2 23 3" xfId="2102"/>
    <cellStyle name="Примечание 3 2 23 3 2" xfId="7338"/>
    <cellStyle name="Примечание 3 2 23 3 2 2" xfId="18240"/>
    <cellStyle name="Примечание 3 2 23 3 2 3" xfId="33601"/>
    <cellStyle name="Примечание 3 2 23 3 3" xfId="23226"/>
    <cellStyle name="Примечание 3 2 23 3 3 2" xfId="38587"/>
    <cellStyle name="Примечание 3 2 23 3 4" xfId="12677"/>
    <cellStyle name="Примечание 3 2 23 3 5" xfId="28177"/>
    <cellStyle name="Примечание 3 2 23 4" xfId="2580"/>
    <cellStyle name="Примечание 3 2 23 4 2" xfId="7813"/>
    <cellStyle name="Примечание 3 2 23 4 2 2" xfId="18715"/>
    <cellStyle name="Примечание 3 2 23 4 2 3" xfId="34076"/>
    <cellStyle name="Примечание 3 2 23 4 3" xfId="23701"/>
    <cellStyle name="Примечание 3 2 23 4 3 2" xfId="39062"/>
    <cellStyle name="Примечание 3 2 23 4 4" xfId="13152"/>
    <cellStyle name="Примечание 3 2 23 4 5" xfId="28652"/>
    <cellStyle name="Примечание 3 2 23 5" xfId="3822"/>
    <cellStyle name="Примечание 3 2 23 5 2" xfId="9009"/>
    <cellStyle name="Примечание 3 2 23 5 2 2" xfId="19936"/>
    <cellStyle name="Примечание 3 2 23 5 2 3" xfId="35297"/>
    <cellStyle name="Примечание 3 2 23 5 3" xfId="24897"/>
    <cellStyle name="Примечание 3 2 23 5 3 2" xfId="40258"/>
    <cellStyle name="Примечание 3 2 23 5 4" xfId="14373"/>
    <cellStyle name="Примечание 3 2 23 5 5" xfId="29848"/>
    <cellStyle name="Примечание 3 2 23 6" xfId="4150"/>
    <cellStyle name="Примечание 3 2 23 6 2" xfId="9337"/>
    <cellStyle name="Примечание 3 2 23 6 2 2" xfId="20264"/>
    <cellStyle name="Примечание 3 2 23 6 2 3" xfId="35625"/>
    <cellStyle name="Примечание 3 2 23 6 3" xfId="25225"/>
    <cellStyle name="Примечание 3 2 23 6 3 2" xfId="40586"/>
    <cellStyle name="Примечание 3 2 23 6 4" xfId="14701"/>
    <cellStyle name="Примечание 3 2 23 6 5" xfId="30176"/>
    <cellStyle name="Примечание 3 2 23 7" xfId="4625"/>
    <cellStyle name="Примечание 3 2 23 7 2" xfId="9812"/>
    <cellStyle name="Примечание 3 2 23 7 2 2" xfId="20739"/>
    <cellStyle name="Примечание 3 2 23 7 2 3" xfId="36100"/>
    <cellStyle name="Примечание 3 2 23 7 3" xfId="25700"/>
    <cellStyle name="Примечание 3 2 23 7 3 2" xfId="41061"/>
    <cellStyle name="Примечание 3 2 23 7 4" xfId="15176"/>
    <cellStyle name="Примечание 3 2 23 7 5" xfId="30651"/>
    <cellStyle name="Примечание 3 2 23 8" xfId="5958"/>
    <cellStyle name="Примечание 3 2 23 8 2" xfId="16909"/>
    <cellStyle name="Примечание 3 2 23 8 3" xfId="32376"/>
    <cellStyle name="Примечание 3 2 23 9" xfId="21846"/>
    <cellStyle name="Примечание 3 2 23 9 2" xfId="37207"/>
    <cellStyle name="Примечание 3 2 24" xfId="956"/>
    <cellStyle name="Примечание 3 2 24 2" xfId="3328"/>
    <cellStyle name="Примечание 3 2 24 2 2" xfId="8522"/>
    <cellStyle name="Примечание 3 2 24 2 2 2" xfId="19449"/>
    <cellStyle name="Примечание 3 2 24 2 2 3" xfId="34810"/>
    <cellStyle name="Примечание 3 2 24 2 3" xfId="24410"/>
    <cellStyle name="Примечание 3 2 24 2 3 2" xfId="39771"/>
    <cellStyle name="Примечание 3 2 24 2 4" xfId="13886"/>
    <cellStyle name="Примечание 3 2 24 2 5" xfId="29361"/>
    <cellStyle name="Примечание 3 2 24 3" xfId="5537"/>
    <cellStyle name="Примечание 3 2 24 3 2" xfId="10701"/>
    <cellStyle name="Примечание 3 2 24 3 2 2" xfId="21635"/>
    <cellStyle name="Примечание 3 2 24 3 2 3" xfId="36996"/>
    <cellStyle name="Примечание 3 2 24 3 3" xfId="26588"/>
    <cellStyle name="Примечание 3 2 24 3 3 2" xfId="41949"/>
    <cellStyle name="Примечание 3 2 24 3 4" xfId="16072"/>
    <cellStyle name="Примечание 3 2 24 3 5" xfId="31539"/>
    <cellStyle name="Примечание 3 2 24 4" xfId="6218"/>
    <cellStyle name="Примечание 3 2 24 4 2" xfId="16649"/>
    <cellStyle name="Примечание 3 2 24 4 3" xfId="32116"/>
    <cellStyle name="Примечание 3 2 24 5" xfId="22106"/>
    <cellStyle name="Примечание 3 2 24 5 2" xfId="37467"/>
    <cellStyle name="Примечание 3 2 24 6" xfId="11540"/>
    <cellStyle name="Примечание 3 2 24 7" xfId="27057"/>
    <cellStyle name="Примечание 3 2 25" xfId="1994"/>
    <cellStyle name="Примечание 3 2 25 2" xfId="7230"/>
    <cellStyle name="Примечание 3 2 25 2 2" xfId="18132"/>
    <cellStyle name="Примечание 3 2 25 2 3" xfId="33493"/>
    <cellStyle name="Примечание 3 2 25 3" xfId="23118"/>
    <cellStyle name="Примечание 3 2 25 3 2" xfId="38479"/>
    <cellStyle name="Примечание 3 2 25 4" xfId="12569"/>
    <cellStyle name="Примечание 3 2 25 5" xfId="28069"/>
    <cellStyle name="Примечание 3 2 26" xfId="1859"/>
    <cellStyle name="Примечание 3 2 26 2" xfId="7098"/>
    <cellStyle name="Примечание 3 2 26 2 2" xfId="18000"/>
    <cellStyle name="Примечание 3 2 26 2 3" xfId="33361"/>
    <cellStyle name="Примечание 3 2 26 3" xfId="22986"/>
    <cellStyle name="Примечание 3 2 26 3 2" xfId="38347"/>
    <cellStyle name="Примечание 3 2 26 4" xfId="12437"/>
    <cellStyle name="Примечание 3 2 26 5" xfId="27937"/>
    <cellStyle name="Примечание 3 2 27" xfId="3581"/>
    <cellStyle name="Примечание 3 2 27 2" xfId="8768"/>
    <cellStyle name="Примечание 3 2 27 2 2" xfId="19695"/>
    <cellStyle name="Примечание 3 2 27 2 3" xfId="35056"/>
    <cellStyle name="Примечание 3 2 27 3" xfId="24656"/>
    <cellStyle name="Примечание 3 2 27 3 2" xfId="40017"/>
    <cellStyle name="Примечание 3 2 27 4" xfId="14132"/>
    <cellStyle name="Примечание 3 2 27 5" xfId="29607"/>
    <cellStyle name="Примечание 3 2 27 6" xfId="46598"/>
    <cellStyle name="Примечание 3 2 28" xfId="4082"/>
    <cellStyle name="Примечание 3 2 28 2" xfId="9269"/>
    <cellStyle name="Примечание 3 2 28 2 2" xfId="20196"/>
    <cellStyle name="Примечание 3 2 28 2 3" xfId="35557"/>
    <cellStyle name="Примечание 3 2 28 3" xfId="25157"/>
    <cellStyle name="Примечание 3 2 28 3 2" xfId="40518"/>
    <cellStyle name="Примечание 3 2 28 4" xfId="14633"/>
    <cellStyle name="Примечание 3 2 28 5" xfId="30108"/>
    <cellStyle name="Примечание 3 2 29" xfId="4658"/>
    <cellStyle name="Примечание 3 2 29 2" xfId="9845"/>
    <cellStyle name="Примечание 3 2 29 2 2" xfId="20772"/>
    <cellStyle name="Примечание 3 2 29 2 3" xfId="36133"/>
    <cellStyle name="Примечание 3 2 29 3" xfId="25733"/>
    <cellStyle name="Примечание 3 2 29 3 2" xfId="41094"/>
    <cellStyle name="Примечание 3 2 29 4" xfId="15209"/>
    <cellStyle name="Примечание 3 2 29 5" xfId="30684"/>
    <cellStyle name="Примечание 3 2 3" xfId="598"/>
    <cellStyle name="Примечание 3 2 3 10" xfId="21793"/>
    <cellStyle name="Примечание 3 2 3 10 2" xfId="37154"/>
    <cellStyle name="Примечание 3 2 3 11" xfId="11223"/>
    <cellStyle name="Примечание 3 2 3 12" xfId="26744"/>
    <cellStyle name="Примечание 3 2 3 2" xfId="681"/>
    <cellStyle name="Примечание 3 2 3 2 10" xfId="11265"/>
    <cellStyle name="Примечание 3 2 3 2 11" xfId="26782"/>
    <cellStyle name="Примечание 3 2 3 2 2" xfId="1257"/>
    <cellStyle name="Примечание 3 2 3 2 2 2" xfId="3331"/>
    <cellStyle name="Примечание 3 2 3 2 2 2 2" xfId="8525"/>
    <cellStyle name="Примечание 3 2 3 2 2 2 2 2" xfId="19452"/>
    <cellStyle name="Примечание 3 2 3 2 2 2 2 3" xfId="34813"/>
    <cellStyle name="Примечание 3 2 3 2 2 2 3" xfId="24413"/>
    <cellStyle name="Примечание 3 2 3 2 2 2 3 2" xfId="39774"/>
    <cellStyle name="Примечание 3 2 3 2 2 2 4" xfId="13889"/>
    <cellStyle name="Примечание 3 2 3 2 2 2 5" xfId="29364"/>
    <cellStyle name="Примечание 3 2 3 2 2 3" xfId="5538"/>
    <cellStyle name="Примечание 3 2 3 2 2 3 2" xfId="10702"/>
    <cellStyle name="Примечание 3 2 3 2 2 3 2 2" xfId="21636"/>
    <cellStyle name="Примечание 3 2 3 2 2 3 2 3" xfId="36997"/>
    <cellStyle name="Примечание 3 2 3 2 2 3 3" xfId="26589"/>
    <cellStyle name="Примечание 3 2 3 2 2 3 3 2" xfId="41950"/>
    <cellStyle name="Примечание 3 2 3 2 2 3 4" xfId="16073"/>
    <cellStyle name="Примечание 3 2 3 2 2 3 5" xfId="31540"/>
    <cellStyle name="Примечание 3 2 3 2 2 4" xfId="6510"/>
    <cellStyle name="Примечание 3 2 3 2 2 4 2" xfId="16351"/>
    <cellStyle name="Примечание 3 2 3 2 2 4 3" xfId="31818"/>
    <cellStyle name="Примечание 3 2 3 2 2 5" xfId="22398"/>
    <cellStyle name="Примечание 3 2 3 2 2 5 2" xfId="37759"/>
    <cellStyle name="Примечание 3 2 3 2 2 6" xfId="11838"/>
    <cellStyle name="Примечание 3 2 3 2 2 7" xfId="27349"/>
    <cellStyle name="Примечание 3 2 3 2 3" xfId="2087"/>
    <cellStyle name="Примечание 3 2 3 2 3 2" xfId="7323"/>
    <cellStyle name="Примечание 3 2 3 2 3 2 2" xfId="18225"/>
    <cellStyle name="Примечание 3 2 3 2 3 2 3" xfId="33586"/>
    <cellStyle name="Примечание 3 2 3 2 3 3" xfId="23211"/>
    <cellStyle name="Примечание 3 2 3 2 3 3 2" xfId="38572"/>
    <cellStyle name="Примечание 3 2 3 2 3 4" xfId="12662"/>
    <cellStyle name="Примечание 3 2 3 2 3 5" xfId="28162"/>
    <cellStyle name="Примечание 3 2 3 2 4" xfId="2405"/>
    <cellStyle name="Примечание 3 2 3 2 4 2" xfId="7641"/>
    <cellStyle name="Примечание 3 2 3 2 4 2 2" xfId="18543"/>
    <cellStyle name="Примечание 3 2 3 2 4 2 3" xfId="33904"/>
    <cellStyle name="Примечание 3 2 3 2 4 3" xfId="23529"/>
    <cellStyle name="Примечание 3 2 3 2 4 3 2" xfId="38890"/>
    <cellStyle name="Примечание 3 2 3 2 4 4" xfId="12980"/>
    <cellStyle name="Примечание 3 2 3 2 4 5" xfId="28480"/>
    <cellStyle name="Примечание 3 2 3 2 5" xfId="3825"/>
    <cellStyle name="Примечание 3 2 3 2 5 2" xfId="9012"/>
    <cellStyle name="Примечание 3 2 3 2 5 2 2" xfId="19939"/>
    <cellStyle name="Примечание 3 2 3 2 5 2 3" xfId="35300"/>
    <cellStyle name="Примечание 3 2 3 2 5 3" xfId="24900"/>
    <cellStyle name="Примечание 3 2 3 2 5 3 2" xfId="40261"/>
    <cellStyle name="Примечание 3 2 3 2 5 4" xfId="14376"/>
    <cellStyle name="Примечание 3 2 3 2 5 5" xfId="29851"/>
    <cellStyle name="Примечание 3 2 3 2 5 6" xfId="46605"/>
    <cellStyle name="Примечание 3 2 3 2 6" xfId="4135"/>
    <cellStyle name="Примечание 3 2 3 2 6 2" xfId="9322"/>
    <cellStyle name="Примечание 3 2 3 2 6 2 2" xfId="20249"/>
    <cellStyle name="Примечание 3 2 3 2 6 2 3" xfId="35610"/>
    <cellStyle name="Примечание 3 2 3 2 6 3" xfId="25210"/>
    <cellStyle name="Примечание 3 2 3 2 6 3 2" xfId="40571"/>
    <cellStyle name="Примечание 3 2 3 2 6 4" xfId="14686"/>
    <cellStyle name="Примечание 3 2 3 2 6 5" xfId="30161"/>
    <cellStyle name="Примечание 3 2 3 2 7" xfId="4633"/>
    <cellStyle name="Примечание 3 2 3 2 7 2" xfId="9820"/>
    <cellStyle name="Примечание 3 2 3 2 7 2 2" xfId="20747"/>
    <cellStyle name="Примечание 3 2 3 2 7 2 3" xfId="36108"/>
    <cellStyle name="Примечание 3 2 3 2 7 3" xfId="25708"/>
    <cellStyle name="Примечание 3 2 3 2 7 3 2" xfId="41069"/>
    <cellStyle name="Примечание 3 2 3 2 7 4" xfId="15184"/>
    <cellStyle name="Примечание 3 2 3 2 7 5" xfId="30659"/>
    <cellStyle name="Примечание 3 2 3 2 8" xfId="5943"/>
    <cellStyle name="Примечание 3 2 3 2 8 2" xfId="16924"/>
    <cellStyle name="Примечание 3 2 3 2 8 3" xfId="32391"/>
    <cellStyle name="Примечание 3 2 3 2 9" xfId="21831"/>
    <cellStyle name="Примечание 3 2 3 2 9 2" xfId="37192"/>
    <cellStyle name="Примечание 3 2 3 3" xfId="1552"/>
    <cellStyle name="Примечание 3 2 3 3 2" xfId="3332"/>
    <cellStyle name="Примечание 3 2 3 3 2 2" xfId="8526"/>
    <cellStyle name="Примечание 3 2 3 3 2 2 2" xfId="19453"/>
    <cellStyle name="Примечание 3 2 3 3 2 2 3" xfId="34814"/>
    <cellStyle name="Примечание 3 2 3 3 2 3" xfId="24414"/>
    <cellStyle name="Примечание 3 2 3 3 2 3 2" xfId="39775"/>
    <cellStyle name="Примечание 3 2 3 3 2 4" xfId="13890"/>
    <cellStyle name="Примечание 3 2 3 3 2 5" xfId="29365"/>
    <cellStyle name="Примечание 3 2 3 3 3" xfId="5539"/>
    <cellStyle name="Примечание 3 2 3 3 3 2" xfId="10703"/>
    <cellStyle name="Примечание 3 2 3 3 3 2 2" xfId="21637"/>
    <cellStyle name="Примечание 3 2 3 3 3 2 3" xfId="36998"/>
    <cellStyle name="Примечание 3 2 3 3 3 3" xfId="26590"/>
    <cellStyle name="Примечание 3 2 3 3 3 3 2" xfId="41951"/>
    <cellStyle name="Примечание 3 2 3 3 3 4" xfId="16074"/>
    <cellStyle name="Примечание 3 2 3 3 3 5" xfId="31541"/>
    <cellStyle name="Примечание 3 2 3 3 4" xfId="6799"/>
    <cellStyle name="Примечание 3 2 3 3 4 2" xfId="17694"/>
    <cellStyle name="Примечание 3 2 3 3 4 3" xfId="33055"/>
    <cellStyle name="Примечание 3 2 3 3 5" xfId="22687"/>
    <cellStyle name="Примечание 3 2 3 3 5 2" xfId="38048"/>
    <cellStyle name="Примечание 3 2 3 3 6" xfId="12130"/>
    <cellStyle name="Примечание 3 2 3 3 7" xfId="27638"/>
    <cellStyle name="Примечание 3 2 3 4" xfId="2009"/>
    <cellStyle name="Примечание 3 2 3 4 2" xfId="7245"/>
    <cellStyle name="Примечание 3 2 3 4 2 2" xfId="18147"/>
    <cellStyle name="Примечание 3 2 3 4 2 3" xfId="33508"/>
    <cellStyle name="Примечание 3 2 3 4 3" xfId="23133"/>
    <cellStyle name="Примечание 3 2 3 4 3 2" xfId="38494"/>
    <cellStyle name="Примечание 3 2 3 4 4" xfId="12584"/>
    <cellStyle name="Примечание 3 2 3 4 5" xfId="28084"/>
    <cellStyle name="Примечание 3 2 3 5" xfId="1803"/>
    <cellStyle name="Примечание 3 2 3 5 2" xfId="7042"/>
    <cellStyle name="Примечание 3 2 3 5 2 2" xfId="17944"/>
    <cellStyle name="Примечание 3 2 3 5 2 3" xfId="33305"/>
    <cellStyle name="Примечание 3 2 3 5 3" xfId="22930"/>
    <cellStyle name="Примечание 3 2 3 5 3 2" xfId="38291"/>
    <cellStyle name="Примечание 3 2 3 5 4" xfId="12381"/>
    <cellStyle name="Примечание 3 2 3 5 5" xfId="27881"/>
    <cellStyle name="Примечание 3 2 3 6" xfId="3912"/>
    <cellStyle name="Примечание 3 2 3 6 2" xfId="9099"/>
    <cellStyle name="Примечание 3 2 3 6 2 2" xfId="20026"/>
    <cellStyle name="Примечание 3 2 3 6 2 3" xfId="35387"/>
    <cellStyle name="Примечание 3 2 3 6 3" xfId="24987"/>
    <cellStyle name="Примечание 3 2 3 6 3 2" xfId="40348"/>
    <cellStyle name="Примечание 3 2 3 6 4" xfId="14463"/>
    <cellStyle name="Примечание 3 2 3 6 5" xfId="29938"/>
    <cellStyle name="Примечание 3 2 3 6 6" xfId="46604"/>
    <cellStyle name="Примечание 3 2 3 7" xfId="4097"/>
    <cellStyle name="Примечание 3 2 3 7 2" xfId="9284"/>
    <cellStyle name="Примечание 3 2 3 7 2 2" xfId="20211"/>
    <cellStyle name="Примечание 3 2 3 7 2 3" xfId="35572"/>
    <cellStyle name="Примечание 3 2 3 7 3" xfId="25172"/>
    <cellStyle name="Примечание 3 2 3 7 3 2" xfId="40533"/>
    <cellStyle name="Примечание 3 2 3 7 4" xfId="14648"/>
    <cellStyle name="Примечание 3 2 3 7 5" xfId="30123"/>
    <cellStyle name="Примечание 3 2 3 8" xfId="4812"/>
    <cellStyle name="Примечание 3 2 3 8 2" xfId="9999"/>
    <cellStyle name="Примечание 3 2 3 8 2 2" xfId="20926"/>
    <cellStyle name="Примечание 3 2 3 8 2 3" xfId="36287"/>
    <cellStyle name="Примечание 3 2 3 8 3" xfId="25887"/>
    <cellStyle name="Примечание 3 2 3 8 3 2" xfId="41248"/>
    <cellStyle name="Примечание 3 2 3 8 4" xfId="15363"/>
    <cellStyle name="Примечание 3 2 3 8 5" xfId="30838"/>
    <cellStyle name="Примечание 3 2 3 9" xfId="5905"/>
    <cellStyle name="Примечание 3 2 3 9 2" xfId="16966"/>
    <cellStyle name="Примечание 3 2 3 9 3" xfId="32433"/>
    <cellStyle name="Примечание 3 2 30" xfId="5890"/>
    <cellStyle name="Примечание 3 2 30 2" xfId="16981"/>
    <cellStyle name="Примечание 3 2 30 3" xfId="32448"/>
    <cellStyle name="Примечание 3 2 31" xfId="21778"/>
    <cellStyle name="Примечание 3 2 31 2" xfId="37139"/>
    <cellStyle name="Примечание 3 2 32" xfId="11208"/>
    <cellStyle name="Примечание 3 2 33" xfId="26729"/>
    <cellStyle name="Примечание 3 2 4" xfId="599"/>
    <cellStyle name="Примечание 3 2 4 10" xfId="21794"/>
    <cellStyle name="Примечание 3 2 4 10 2" xfId="37155"/>
    <cellStyle name="Примечание 3 2 4 11" xfId="11224"/>
    <cellStyle name="Примечание 3 2 4 12" xfId="26745"/>
    <cellStyle name="Примечание 3 2 4 2" xfId="680"/>
    <cellStyle name="Примечание 3 2 4 2 10" xfId="11264"/>
    <cellStyle name="Примечание 3 2 4 2 11" xfId="26781"/>
    <cellStyle name="Примечание 3 2 4 2 2" xfId="1190"/>
    <cellStyle name="Примечание 3 2 4 2 2 2" xfId="3335"/>
    <cellStyle name="Примечание 3 2 4 2 2 2 2" xfId="8529"/>
    <cellStyle name="Примечание 3 2 4 2 2 2 2 2" xfId="19456"/>
    <cellStyle name="Примечание 3 2 4 2 2 2 2 3" xfId="34817"/>
    <cellStyle name="Примечание 3 2 4 2 2 2 3" xfId="24417"/>
    <cellStyle name="Примечание 3 2 4 2 2 2 3 2" xfId="39778"/>
    <cellStyle name="Примечание 3 2 4 2 2 2 4" xfId="13893"/>
    <cellStyle name="Примечание 3 2 4 2 2 2 5" xfId="29368"/>
    <cellStyle name="Примечание 3 2 4 2 2 3" xfId="5540"/>
    <cellStyle name="Примечание 3 2 4 2 2 3 2" xfId="10704"/>
    <cellStyle name="Примечание 3 2 4 2 2 3 2 2" xfId="21638"/>
    <cellStyle name="Примечание 3 2 4 2 2 3 2 3" xfId="36999"/>
    <cellStyle name="Примечание 3 2 4 2 2 3 3" xfId="26591"/>
    <cellStyle name="Примечание 3 2 4 2 2 3 3 2" xfId="41952"/>
    <cellStyle name="Примечание 3 2 4 2 2 3 4" xfId="16075"/>
    <cellStyle name="Примечание 3 2 4 2 2 3 5" xfId="31542"/>
    <cellStyle name="Примечание 3 2 4 2 2 4" xfId="6444"/>
    <cellStyle name="Примечание 3 2 4 2 2 4 2" xfId="16418"/>
    <cellStyle name="Примечание 3 2 4 2 2 4 3" xfId="31885"/>
    <cellStyle name="Примечание 3 2 4 2 2 5" xfId="22332"/>
    <cellStyle name="Примечание 3 2 4 2 2 5 2" xfId="37693"/>
    <cellStyle name="Примечание 3 2 4 2 2 6" xfId="11771"/>
    <cellStyle name="Примечание 3 2 4 2 2 7" xfId="27283"/>
    <cellStyle name="Примечание 3 2 4 2 3" xfId="2086"/>
    <cellStyle name="Примечание 3 2 4 2 3 2" xfId="7322"/>
    <cellStyle name="Примечание 3 2 4 2 3 2 2" xfId="18224"/>
    <cellStyle name="Примечание 3 2 4 2 3 2 3" xfId="33585"/>
    <cellStyle name="Примечание 3 2 4 2 3 3" xfId="23210"/>
    <cellStyle name="Примечание 3 2 4 2 3 3 2" xfId="38571"/>
    <cellStyle name="Примечание 3 2 4 2 3 4" xfId="12661"/>
    <cellStyle name="Примечание 3 2 4 2 3 5" xfId="28161"/>
    <cellStyle name="Примечание 3 2 4 2 4" xfId="2613"/>
    <cellStyle name="Примечание 3 2 4 2 4 2" xfId="7845"/>
    <cellStyle name="Примечание 3 2 4 2 4 2 2" xfId="18748"/>
    <cellStyle name="Примечание 3 2 4 2 4 2 3" xfId="34109"/>
    <cellStyle name="Примечание 3 2 4 2 4 3" xfId="23733"/>
    <cellStyle name="Примечание 3 2 4 2 4 3 2" xfId="39094"/>
    <cellStyle name="Примечание 3 2 4 2 4 4" xfId="13185"/>
    <cellStyle name="Примечание 3 2 4 2 4 5" xfId="28684"/>
    <cellStyle name="Примечание 3 2 4 2 5" xfId="1219"/>
    <cellStyle name="Примечание 3 2 4 2 5 2" xfId="6472"/>
    <cellStyle name="Примечание 3 2 4 2 5 2 2" xfId="16389"/>
    <cellStyle name="Примечание 3 2 4 2 5 2 3" xfId="31856"/>
    <cellStyle name="Примечание 3 2 4 2 5 3" xfId="22360"/>
    <cellStyle name="Примечание 3 2 4 2 5 3 2" xfId="37721"/>
    <cellStyle name="Примечание 3 2 4 2 5 4" xfId="11800"/>
    <cellStyle name="Примечание 3 2 4 2 5 5" xfId="27311"/>
    <cellStyle name="Примечание 3 2 4 2 6" xfId="4134"/>
    <cellStyle name="Примечание 3 2 4 2 6 2" xfId="9321"/>
    <cellStyle name="Примечание 3 2 4 2 6 2 2" xfId="20248"/>
    <cellStyle name="Примечание 3 2 4 2 6 2 3" xfId="35609"/>
    <cellStyle name="Примечание 3 2 4 2 6 3" xfId="25209"/>
    <cellStyle name="Примечание 3 2 4 2 6 3 2" xfId="40570"/>
    <cellStyle name="Примечание 3 2 4 2 6 4" xfId="14685"/>
    <cellStyle name="Примечание 3 2 4 2 6 5" xfId="30160"/>
    <cellStyle name="Примечание 3 2 4 2 7" xfId="4913"/>
    <cellStyle name="Примечание 3 2 4 2 7 2" xfId="10100"/>
    <cellStyle name="Примечание 3 2 4 2 7 2 2" xfId="21027"/>
    <cellStyle name="Примечание 3 2 4 2 7 2 3" xfId="36388"/>
    <cellStyle name="Примечание 3 2 4 2 7 3" xfId="25988"/>
    <cellStyle name="Примечание 3 2 4 2 7 3 2" xfId="41349"/>
    <cellStyle name="Примечание 3 2 4 2 7 4" xfId="15464"/>
    <cellStyle name="Примечание 3 2 4 2 7 5" xfId="30939"/>
    <cellStyle name="Примечание 3 2 4 2 8" xfId="5942"/>
    <cellStyle name="Примечание 3 2 4 2 8 2" xfId="16925"/>
    <cellStyle name="Примечание 3 2 4 2 8 3" xfId="32392"/>
    <cellStyle name="Примечание 3 2 4 2 9" xfId="21830"/>
    <cellStyle name="Примечание 3 2 4 2 9 2" xfId="37191"/>
    <cellStyle name="Примечание 3 2 4 3" xfId="1591"/>
    <cellStyle name="Примечание 3 2 4 3 2" xfId="3336"/>
    <cellStyle name="Примечание 3 2 4 3 2 2" xfId="8530"/>
    <cellStyle name="Примечание 3 2 4 3 2 2 2" xfId="19457"/>
    <cellStyle name="Примечание 3 2 4 3 2 2 3" xfId="34818"/>
    <cellStyle name="Примечание 3 2 4 3 2 3" xfId="24418"/>
    <cellStyle name="Примечание 3 2 4 3 2 3 2" xfId="39779"/>
    <cellStyle name="Примечание 3 2 4 3 2 4" xfId="13894"/>
    <cellStyle name="Примечание 3 2 4 3 2 5" xfId="29369"/>
    <cellStyle name="Примечание 3 2 4 3 3" xfId="5541"/>
    <cellStyle name="Примечание 3 2 4 3 3 2" xfId="10705"/>
    <cellStyle name="Примечание 3 2 4 3 3 2 2" xfId="21639"/>
    <cellStyle name="Примечание 3 2 4 3 3 2 3" xfId="37000"/>
    <cellStyle name="Примечание 3 2 4 3 3 3" xfId="26592"/>
    <cellStyle name="Примечание 3 2 4 3 3 3 2" xfId="41953"/>
    <cellStyle name="Примечание 3 2 4 3 3 4" xfId="16076"/>
    <cellStyle name="Примечание 3 2 4 3 3 5" xfId="31543"/>
    <cellStyle name="Примечание 3 2 4 3 4" xfId="6838"/>
    <cellStyle name="Примечание 3 2 4 3 4 2" xfId="17733"/>
    <cellStyle name="Примечание 3 2 4 3 4 3" xfId="33094"/>
    <cellStyle name="Примечание 3 2 4 3 5" xfId="22726"/>
    <cellStyle name="Примечание 3 2 4 3 5 2" xfId="38087"/>
    <cellStyle name="Примечание 3 2 4 3 6" xfId="12169"/>
    <cellStyle name="Примечание 3 2 4 3 7" xfId="27677"/>
    <cellStyle name="Примечание 3 2 4 4" xfId="2010"/>
    <cellStyle name="Примечание 3 2 4 4 2" xfId="7246"/>
    <cellStyle name="Примечание 3 2 4 4 2 2" xfId="18148"/>
    <cellStyle name="Примечание 3 2 4 4 2 3" xfId="33509"/>
    <cellStyle name="Примечание 3 2 4 4 3" xfId="23134"/>
    <cellStyle name="Примечание 3 2 4 4 3 2" xfId="38495"/>
    <cellStyle name="Примечание 3 2 4 4 4" xfId="12585"/>
    <cellStyle name="Примечание 3 2 4 4 5" xfId="28085"/>
    <cellStyle name="Примечание 3 2 4 5" xfId="2459"/>
    <cellStyle name="Примечание 3 2 4 5 2" xfId="7695"/>
    <cellStyle name="Примечание 3 2 4 5 2 2" xfId="18597"/>
    <cellStyle name="Примечание 3 2 4 5 2 3" xfId="33958"/>
    <cellStyle name="Примечание 3 2 4 5 3" xfId="23583"/>
    <cellStyle name="Примечание 3 2 4 5 3 2" xfId="38944"/>
    <cellStyle name="Примечание 3 2 4 5 4" xfId="13034"/>
    <cellStyle name="Примечание 3 2 4 5 5" xfId="28534"/>
    <cellStyle name="Примечание 3 2 4 6" xfId="3586"/>
    <cellStyle name="Примечание 3 2 4 6 2" xfId="8773"/>
    <cellStyle name="Примечание 3 2 4 6 2 2" xfId="19700"/>
    <cellStyle name="Примечание 3 2 4 6 2 3" xfId="35061"/>
    <cellStyle name="Примечание 3 2 4 6 3" xfId="24661"/>
    <cellStyle name="Примечание 3 2 4 6 3 2" xfId="40022"/>
    <cellStyle name="Примечание 3 2 4 6 4" xfId="14137"/>
    <cellStyle name="Примечание 3 2 4 6 5" xfId="29612"/>
    <cellStyle name="Примечание 3 2 4 7" xfId="4098"/>
    <cellStyle name="Примечание 3 2 4 7 2" xfId="9285"/>
    <cellStyle name="Примечание 3 2 4 7 2 2" xfId="20212"/>
    <cellStyle name="Примечание 3 2 4 7 2 3" xfId="35573"/>
    <cellStyle name="Примечание 3 2 4 7 3" xfId="25173"/>
    <cellStyle name="Примечание 3 2 4 7 3 2" xfId="40534"/>
    <cellStyle name="Примечание 3 2 4 7 4" xfId="14649"/>
    <cellStyle name="Примечание 3 2 4 7 5" xfId="30124"/>
    <cellStyle name="Примечание 3 2 4 8" xfId="4650"/>
    <cellStyle name="Примечание 3 2 4 8 2" xfId="9837"/>
    <cellStyle name="Примечание 3 2 4 8 2 2" xfId="20764"/>
    <cellStyle name="Примечание 3 2 4 8 2 3" xfId="36125"/>
    <cellStyle name="Примечание 3 2 4 8 3" xfId="25725"/>
    <cellStyle name="Примечание 3 2 4 8 3 2" xfId="41086"/>
    <cellStyle name="Примечание 3 2 4 8 4" xfId="15201"/>
    <cellStyle name="Примечание 3 2 4 8 5" xfId="30676"/>
    <cellStyle name="Примечание 3 2 4 9" xfId="5906"/>
    <cellStyle name="Примечание 3 2 4 9 2" xfId="16965"/>
    <cellStyle name="Примечание 3 2 4 9 3" xfId="32432"/>
    <cellStyle name="Примечание 3 2 5" xfId="600"/>
    <cellStyle name="Примечание 3 2 5 10" xfId="21795"/>
    <cellStyle name="Примечание 3 2 5 10 2" xfId="37156"/>
    <cellStyle name="Примечание 3 2 5 11" xfId="11225"/>
    <cellStyle name="Примечание 3 2 5 12" xfId="26746"/>
    <cellStyle name="Примечание 3 2 5 2" xfId="679"/>
    <cellStyle name="Примечание 3 2 5 2 10" xfId="11263"/>
    <cellStyle name="Примечание 3 2 5 2 11" xfId="26780"/>
    <cellStyle name="Примечание 3 2 5 2 2" xfId="1625"/>
    <cellStyle name="Примечание 3 2 5 2 2 2" xfId="3339"/>
    <cellStyle name="Примечание 3 2 5 2 2 2 2" xfId="8533"/>
    <cellStyle name="Примечание 3 2 5 2 2 2 2 2" xfId="19460"/>
    <cellStyle name="Примечание 3 2 5 2 2 2 2 3" xfId="34821"/>
    <cellStyle name="Примечание 3 2 5 2 2 2 3" xfId="24421"/>
    <cellStyle name="Примечание 3 2 5 2 2 2 3 2" xfId="39782"/>
    <cellStyle name="Примечание 3 2 5 2 2 2 4" xfId="13897"/>
    <cellStyle name="Примечание 3 2 5 2 2 2 5" xfId="29372"/>
    <cellStyle name="Примечание 3 2 5 2 2 3" xfId="5542"/>
    <cellStyle name="Примечание 3 2 5 2 2 3 2" xfId="10706"/>
    <cellStyle name="Примечание 3 2 5 2 2 3 2 2" xfId="21640"/>
    <cellStyle name="Примечание 3 2 5 2 2 3 2 3" xfId="37001"/>
    <cellStyle name="Примечание 3 2 5 2 2 3 3" xfId="26593"/>
    <cellStyle name="Примечание 3 2 5 2 2 3 3 2" xfId="41954"/>
    <cellStyle name="Примечание 3 2 5 2 2 3 4" xfId="16077"/>
    <cellStyle name="Примечание 3 2 5 2 2 3 5" xfId="31544"/>
    <cellStyle name="Примечание 3 2 5 2 2 4" xfId="6871"/>
    <cellStyle name="Примечание 3 2 5 2 2 4 2" xfId="17767"/>
    <cellStyle name="Примечание 3 2 5 2 2 4 3" xfId="33128"/>
    <cellStyle name="Примечание 3 2 5 2 2 5" xfId="22759"/>
    <cellStyle name="Примечание 3 2 5 2 2 5 2" xfId="38120"/>
    <cellStyle name="Примечание 3 2 5 2 2 6" xfId="12203"/>
    <cellStyle name="Примечание 3 2 5 2 2 7" xfId="27710"/>
    <cellStyle name="Примечание 3 2 5 2 3" xfId="2085"/>
    <cellStyle name="Примечание 3 2 5 2 3 2" xfId="7321"/>
    <cellStyle name="Примечание 3 2 5 2 3 2 2" xfId="18223"/>
    <cellStyle name="Примечание 3 2 5 2 3 2 3" xfId="33584"/>
    <cellStyle name="Примечание 3 2 5 2 3 3" xfId="23209"/>
    <cellStyle name="Примечание 3 2 5 2 3 3 2" xfId="38570"/>
    <cellStyle name="Примечание 3 2 5 2 3 4" xfId="12660"/>
    <cellStyle name="Примечание 3 2 5 2 3 5" xfId="28160"/>
    <cellStyle name="Примечание 3 2 5 2 4" xfId="2742"/>
    <cellStyle name="Примечание 3 2 5 2 4 2" xfId="7971"/>
    <cellStyle name="Примечание 3 2 5 2 4 2 2" xfId="18875"/>
    <cellStyle name="Примечание 3 2 5 2 4 2 3" xfId="34236"/>
    <cellStyle name="Примечание 3 2 5 2 4 3" xfId="23859"/>
    <cellStyle name="Примечание 3 2 5 2 4 3 2" xfId="39220"/>
    <cellStyle name="Примечание 3 2 5 2 4 4" xfId="13312"/>
    <cellStyle name="Примечание 3 2 5 2 4 5" xfId="28810"/>
    <cellStyle name="Примечание 3 2 5 2 5" xfId="3597"/>
    <cellStyle name="Примечание 3 2 5 2 5 2" xfId="8784"/>
    <cellStyle name="Примечание 3 2 5 2 5 2 2" xfId="19711"/>
    <cellStyle name="Примечание 3 2 5 2 5 2 3" xfId="35072"/>
    <cellStyle name="Примечание 3 2 5 2 5 3" xfId="24672"/>
    <cellStyle name="Примечание 3 2 5 2 5 3 2" xfId="40033"/>
    <cellStyle name="Примечание 3 2 5 2 5 4" xfId="14148"/>
    <cellStyle name="Примечание 3 2 5 2 5 5" xfId="29623"/>
    <cellStyle name="Примечание 3 2 5 2 6" xfId="4133"/>
    <cellStyle name="Примечание 3 2 5 2 6 2" xfId="9320"/>
    <cellStyle name="Примечание 3 2 5 2 6 2 2" xfId="20247"/>
    <cellStyle name="Примечание 3 2 5 2 6 2 3" xfId="35608"/>
    <cellStyle name="Примечание 3 2 5 2 6 3" xfId="25208"/>
    <cellStyle name="Примечание 3 2 5 2 6 3 2" xfId="40569"/>
    <cellStyle name="Примечание 3 2 5 2 6 4" xfId="14684"/>
    <cellStyle name="Примечание 3 2 5 2 6 5" xfId="30159"/>
    <cellStyle name="Примечание 3 2 5 2 7" xfId="4634"/>
    <cellStyle name="Примечание 3 2 5 2 7 2" xfId="9821"/>
    <cellStyle name="Примечание 3 2 5 2 7 2 2" xfId="20748"/>
    <cellStyle name="Примечание 3 2 5 2 7 2 3" xfId="36109"/>
    <cellStyle name="Примечание 3 2 5 2 7 3" xfId="25709"/>
    <cellStyle name="Примечание 3 2 5 2 7 3 2" xfId="41070"/>
    <cellStyle name="Примечание 3 2 5 2 7 4" xfId="15185"/>
    <cellStyle name="Примечание 3 2 5 2 7 5" xfId="30660"/>
    <cellStyle name="Примечание 3 2 5 2 8" xfId="5941"/>
    <cellStyle name="Примечание 3 2 5 2 8 2" xfId="16926"/>
    <cellStyle name="Примечание 3 2 5 2 8 3" xfId="32393"/>
    <cellStyle name="Примечание 3 2 5 2 9" xfId="21829"/>
    <cellStyle name="Примечание 3 2 5 2 9 2" xfId="37190"/>
    <cellStyle name="Примечание 3 2 5 3" xfId="1096"/>
    <cellStyle name="Примечание 3 2 5 3 2" xfId="3340"/>
    <cellStyle name="Примечание 3 2 5 3 2 2" xfId="8534"/>
    <cellStyle name="Примечание 3 2 5 3 2 2 2" xfId="19461"/>
    <cellStyle name="Примечание 3 2 5 3 2 2 3" xfId="34822"/>
    <cellStyle name="Примечание 3 2 5 3 2 3" xfId="24422"/>
    <cellStyle name="Примечание 3 2 5 3 2 3 2" xfId="39783"/>
    <cellStyle name="Примечание 3 2 5 3 2 4" xfId="13898"/>
    <cellStyle name="Примечание 3 2 5 3 2 5" xfId="29373"/>
    <cellStyle name="Примечание 3 2 5 3 3" xfId="5543"/>
    <cellStyle name="Примечание 3 2 5 3 3 2" xfId="10707"/>
    <cellStyle name="Примечание 3 2 5 3 3 2 2" xfId="21641"/>
    <cellStyle name="Примечание 3 2 5 3 3 2 3" xfId="37002"/>
    <cellStyle name="Примечание 3 2 5 3 3 3" xfId="26594"/>
    <cellStyle name="Примечание 3 2 5 3 3 3 2" xfId="41955"/>
    <cellStyle name="Примечание 3 2 5 3 3 4" xfId="16078"/>
    <cellStyle name="Примечание 3 2 5 3 3 5" xfId="31545"/>
    <cellStyle name="Примечание 3 2 5 3 4" xfId="6352"/>
    <cellStyle name="Примечание 3 2 5 3 4 2" xfId="16511"/>
    <cellStyle name="Примечание 3 2 5 3 4 3" xfId="31978"/>
    <cellStyle name="Примечание 3 2 5 3 5" xfId="22240"/>
    <cellStyle name="Примечание 3 2 5 3 5 2" xfId="37601"/>
    <cellStyle name="Примечание 3 2 5 3 6" xfId="11678"/>
    <cellStyle name="Примечание 3 2 5 3 7" xfId="27191"/>
    <cellStyle name="Примечание 3 2 5 4" xfId="2011"/>
    <cellStyle name="Примечание 3 2 5 4 2" xfId="7247"/>
    <cellStyle name="Примечание 3 2 5 4 2 2" xfId="18149"/>
    <cellStyle name="Примечание 3 2 5 4 2 3" xfId="33510"/>
    <cellStyle name="Примечание 3 2 5 4 3" xfId="23135"/>
    <cellStyle name="Примечание 3 2 5 4 3 2" xfId="38496"/>
    <cellStyle name="Примечание 3 2 5 4 4" xfId="12586"/>
    <cellStyle name="Примечание 3 2 5 4 5" xfId="28086"/>
    <cellStyle name="Примечание 3 2 5 5" xfId="1801"/>
    <cellStyle name="Примечание 3 2 5 5 2" xfId="7040"/>
    <cellStyle name="Примечание 3 2 5 5 2 2" xfId="17942"/>
    <cellStyle name="Примечание 3 2 5 5 2 3" xfId="33303"/>
    <cellStyle name="Примечание 3 2 5 5 3" xfId="22928"/>
    <cellStyle name="Примечание 3 2 5 5 3 2" xfId="38289"/>
    <cellStyle name="Примечание 3 2 5 5 4" xfId="12379"/>
    <cellStyle name="Примечание 3 2 5 5 5" xfId="27879"/>
    <cellStyle name="Примечание 3 2 5 6" xfId="3587"/>
    <cellStyle name="Примечание 3 2 5 6 2" xfId="8774"/>
    <cellStyle name="Примечание 3 2 5 6 2 2" xfId="19701"/>
    <cellStyle name="Примечание 3 2 5 6 2 3" xfId="35062"/>
    <cellStyle name="Примечание 3 2 5 6 3" xfId="24662"/>
    <cellStyle name="Примечание 3 2 5 6 3 2" xfId="40023"/>
    <cellStyle name="Примечание 3 2 5 6 4" xfId="14138"/>
    <cellStyle name="Примечание 3 2 5 6 5" xfId="29613"/>
    <cellStyle name="Примечание 3 2 5 7" xfId="4099"/>
    <cellStyle name="Примечание 3 2 5 7 2" xfId="9286"/>
    <cellStyle name="Примечание 3 2 5 7 2 2" xfId="20213"/>
    <cellStyle name="Примечание 3 2 5 7 2 3" xfId="35574"/>
    <cellStyle name="Примечание 3 2 5 7 3" xfId="25174"/>
    <cellStyle name="Примечание 3 2 5 7 3 2" xfId="40535"/>
    <cellStyle name="Примечание 3 2 5 7 4" xfId="14650"/>
    <cellStyle name="Примечание 3 2 5 7 5" xfId="30125"/>
    <cellStyle name="Примечание 3 2 5 8" xfId="4649"/>
    <cellStyle name="Примечание 3 2 5 8 2" xfId="9836"/>
    <cellStyle name="Примечание 3 2 5 8 2 2" xfId="20763"/>
    <cellStyle name="Примечание 3 2 5 8 2 3" xfId="36124"/>
    <cellStyle name="Примечание 3 2 5 8 3" xfId="25724"/>
    <cellStyle name="Примечание 3 2 5 8 3 2" xfId="41085"/>
    <cellStyle name="Примечание 3 2 5 8 4" xfId="15200"/>
    <cellStyle name="Примечание 3 2 5 8 5" xfId="30675"/>
    <cellStyle name="Примечание 3 2 5 9" xfId="5907"/>
    <cellStyle name="Примечание 3 2 5 9 2" xfId="16964"/>
    <cellStyle name="Примечание 3 2 5 9 3" xfId="32431"/>
    <cellStyle name="Примечание 3 2 6" xfId="601"/>
    <cellStyle name="Примечание 3 2 6 10" xfId="21796"/>
    <cellStyle name="Примечание 3 2 6 10 2" xfId="37157"/>
    <cellStyle name="Примечание 3 2 6 11" xfId="11226"/>
    <cellStyle name="Примечание 3 2 6 12" xfId="26747"/>
    <cellStyle name="Примечание 3 2 6 2" xfId="678"/>
    <cellStyle name="Примечание 3 2 6 2 10" xfId="11262"/>
    <cellStyle name="Примечание 3 2 6 2 11" xfId="26779"/>
    <cellStyle name="Примечание 3 2 6 2 2" xfId="1696"/>
    <cellStyle name="Примечание 3 2 6 2 2 2" xfId="3343"/>
    <cellStyle name="Примечание 3 2 6 2 2 2 2" xfId="8537"/>
    <cellStyle name="Примечание 3 2 6 2 2 2 2 2" xfId="19464"/>
    <cellStyle name="Примечание 3 2 6 2 2 2 2 3" xfId="34825"/>
    <cellStyle name="Примечание 3 2 6 2 2 2 3" xfId="24425"/>
    <cellStyle name="Примечание 3 2 6 2 2 2 3 2" xfId="39786"/>
    <cellStyle name="Примечание 3 2 6 2 2 2 4" xfId="13901"/>
    <cellStyle name="Примечание 3 2 6 2 2 2 5" xfId="29376"/>
    <cellStyle name="Примечание 3 2 6 2 2 3" xfId="5544"/>
    <cellStyle name="Примечание 3 2 6 2 2 3 2" xfId="10708"/>
    <cellStyle name="Примечание 3 2 6 2 2 3 2 2" xfId="21642"/>
    <cellStyle name="Примечание 3 2 6 2 2 3 2 3" xfId="37003"/>
    <cellStyle name="Примечание 3 2 6 2 2 3 3" xfId="26595"/>
    <cellStyle name="Примечание 3 2 6 2 2 3 3 2" xfId="41956"/>
    <cellStyle name="Примечание 3 2 6 2 2 3 4" xfId="16079"/>
    <cellStyle name="Примечание 3 2 6 2 2 3 5" xfId="31546"/>
    <cellStyle name="Примечание 3 2 6 2 2 4" xfId="6940"/>
    <cellStyle name="Примечание 3 2 6 2 2 4 2" xfId="17838"/>
    <cellStyle name="Примечание 3 2 6 2 2 4 3" xfId="33199"/>
    <cellStyle name="Примечание 3 2 6 2 2 5" xfId="22828"/>
    <cellStyle name="Примечание 3 2 6 2 2 5 2" xfId="38189"/>
    <cellStyle name="Примечание 3 2 6 2 2 6" xfId="12274"/>
    <cellStyle name="Примечание 3 2 6 2 2 7" xfId="27779"/>
    <cellStyle name="Примечание 3 2 6 2 3" xfId="2084"/>
    <cellStyle name="Примечание 3 2 6 2 3 2" xfId="7320"/>
    <cellStyle name="Примечание 3 2 6 2 3 2 2" xfId="18222"/>
    <cellStyle name="Примечание 3 2 6 2 3 2 3" xfId="33583"/>
    <cellStyle name="Примечание 3 2 6 2 3 3" xfId="23208"/>
    <cellStyle name="Примечание 3 2 6 2 3 3 2" xfId="38569"/>
    <cellStyle name="Примечание 3 2 6 2 3 4" xfId="12659"/>
    <cellStyle name="Примечание 3 2 6 2 3 5" xfId="28159"/>
    <cellStyle name="Примечание 3 2 6 2 4" xfId="2741"/>
    <cellStyle name="Примечание 3 2 6 2 4 2" xfId="7970"/>
    <cellStyle name="Примечание 3 2 6 2 4 2 2" xfId="18874"/>
    <cellStyle name="Примечание 3 2 6 2 4 2 3" xfId="34235"/>
    <cellStyle name="Примечание 3 2 6 2 4 3" xfId="23858"/>
    <cellStyle name="Примечание 3 2 6 2 4 3 2" xfId="39219"/>
    <cellStyle name="Примечание 3 2 6 2 4 4" xfId="13311"/>
    <cellStyle name="Примечание 3 2 6 2 4 5" xfId="28809"/>
    <cellStyle name="Примечание 3 2 6 2 5" xfId="2417"/>
    <cellStyle name="Примечание 3 2 6 2 5 2" xfId="7653"/>
    <cellStyle name="Примечание 3 2 6 2 5 2 2" xfId="18555"/>
    <cellStyle name="Примечание 3 2 6 2 5 2 3" xfId="33916"/>
    <cellStyle name="Примечание 3 2 6 2 5 3" xfId="23541"/>
    <cellStyle name="Примечание 3 2 6 2 5 3 2" xfId="38902"/>
    <cellStyle name="Примечание 3 2 6 2 5 4" xfId="12992"/>
    <cellStyle name="Примечание 3 2 6 2 5 5" xfId="28492"/>
    <cellStyle name="Примечание 3 2 6 2 6" xfId="4132"/>
    <cellStyle name="Примечание 3 2 6 2 6 2" xfId="9319"/>
    <cellStyle name="Примечание 3 2 6 2 6 2 2" xfId="20246"/>
    <cellStyle name="Примечание 3 2 6 2 6 2 3" xfId="35607"/>
    <cellStyle name="Примечание 3 2 6 2 6 3" xfId="25207"/>
    <cellStyle name="Примечание 3 2 6 2 6 3 2" xfId="40568"/>
    <cellStyle name="Примечание 3 2 6 2 6 4" xfId="14683"/>
    <cellStyle name="Примечание 3 2 6 2 6 5" xfId="30158"/>
    <cellStyle name="Примечание 3 2 6 2 7" xfId="4912"/>
    <cellStyle name="Примечание 3 2 6 2 7 2" xfId="10099"/>
    <cellStyle name="Примечание 3 2 6 2 7 2 2" xfId="21026"/>
    <cellStyle name="Примечание 3 2 6 2 7 2 3" xfId="36387"/>
    <cellStyle name="Примечание 3 2 6 2 7 3" xfId="25987"/>
    <cellStyle name="Примечание 3 2 6 2 7 3 2" xfId="41348"/>
    <cellStyle name="Примечание 3 2 6 2 7 4" xfId="15463"/>
    <cellStyle name="Примечание 3 2 6 2 7 5" xfId="30938"/>
    <cellStyle name="Примечание 3 2 6 2 8" xfId="5940"/>
    <cellStyle name="Примечание 3 2 6 2 8 2" xfId="16927"/>
    <cellStyle name="Примечание 3 2 6 2 8 3" xfId="32394"/>
    <cellStyle name="Примечание 3 2 6 2 9" xfId="21828"/>
    <cellStyle name="Примечание 3 2 6 2 9 2" xfId="37189"/>
    <cellStyle name="Примечание 3 2 6 3" xfId="84"/>
    <cellStyle name="Примечание 3 2 6 3 2" xfId="3344"/>
    <cellStyle name="Примечание 3 2 6 3 2 2" xfId="8538"/>
    <cellStyle name="Примечание 3 2 6 3 2 2 2" xfId="19465"/>
    <cellStyle name="Примечание 3 2 6 3 2 2 3" xfId="34826"/>
    <cellStyle name="Примечание 3 2 6 3 2 3" xfId="24426"/>
    <cellStyle name="Примечание 3 2 6 3 2 3 2" xfId="39787"/>
    <cellStyle name="Примечание 3 2 6 3 2 4" xfId="13902"/>
    <cellStyle name="Примечание 3 2 6 3 2 5" xfId="29377"/>
    <cellStyle name="Примечание 3 2 6 3 3" xfId="5545"/>
    <cellStyle name="Примечание 3 2 6 3 3 2" xfId="10709"/>
    <cellStyle name="Примечание 3 2 6 3 3 2 2" xfId="21643"/>
    <cellStyle name="Примечание 3 2 6 3 3 2 3" xfId="37004"/>
    <cellStyle name="Примечание 3 2 6 3 3 3" xfId="26596"/>
    <cellStyle name="Примечание 3 2 6 3 3 3 2" xfId="41957"/>
    <cellStyle name="Примечание 3 2 6 3 3 4" xfId="16080"/>
    <cellStyle name="Примечание 3 2 6 3 3 5" xfId="31547"/>
    <cellStyle name="Примечание 3 2 6 3 4" xfId="5610"/>
    <cellStyle name="Примечание 3 2 6 3 4 2" xfId="17387"/>
    <cellStyle name="Примечание 3 2 6 3 4 3" xfId="32854"/>
    <cellStyle name="Примечание 3 2 6 3 5" xfId="17065"/>
    <cellStyle name="Примечание 3 2 6 3 5 2" xfId="32532"/>
    <cellStyle name="Примечание 3 2 6 3 6" xfId="10798"/>
    <cellStyle name="Примечание 3 2 6 3 7" xfId="11121"/>
    <cellStyle name="Примечание 3 2 6 4" xfId="2012"/>
    <cellStyle name="Примечание 3 2 6 4 2" xfId="7248"/>
    <cellStyle name="Примечание 3 2 6 4 2 2" xfId="18150"/>
    <cellStyle name="Примечание 3 2 6 4 2 3" xfId="33511"/>
    <cellStyle name="Примечание 3 2 6 4 3" xfId="23136"/>
    <cellStyle name="Примечание 3 2 6 4 3 2" xfId="38497"/>
    <cellStyle name="Примечание 3 2 6 4 4" xfId="12587"/>
    <cellStyle name="Примечание 3 2 6 4 5" xfId="28087"/>
    <cellStyle name="Примечание 3 2 6 5" xfId="2457"/>
    <cellStyle name="Примечание 3 2 6 5 2" xfId="7693"/>
    <cellStyle name="Примечание 3 2 6 5 2 2" xfId="18595"/>
    <cellStyle name="Примечание 3 2 6 5 2 3" xfId="33956"/>
    <cellStyle name="Примечание 3 2 6 5 3" xfId="23581"/>
    <cellStyle name="Примечание 3 2 6 5 3 2" xfId="38942"/>
    <cellStyle name="Примечание 3 2 6 5 4" xfId="13032"/>
    <cellStyle name="Примечание 3 2 6 5 5" xfId="28532"/>
    <cellStyle name="Примечание 3 2 6 6" xfId="2545"/>
    <cellStyle name="Примечание 3 2 6 6 2" xfId="7778"/>
    <cellStyle name="Примечание 3 2 6 6 2 2" xfId="18680"/>
    <cellStyle name="Примечание 3 2 6 6 2 3" xfId="34041"/>
    <cellStyle name="Примечание 3 2 6 6 3" xfId="23666"/>
    <cellStyle name="Примечание 3 2 6 6 3 2" xfId="39027"/>
    <cellStyle name="Примечание 3 2 6 6 4" xfId="13117"/>
    <cellStyle name="Примечание 3 2 6 6 5" xfId="28617"/>
    <cellStyle name="Примечание 3 2 6 7" xfId="4100"/>
    <cellStyle name="Примечание 3 2 6 7 2" xfId="9287"/>
    <cellStyle name="Примечание 3 2 6 7 2 2" xfId="20214"/>
    <cellStyle name="Примечание 3 2 6 7 2 3" xfId="35575"/>
    <cellStyle name="Примечание 3 2 6 7 3" xfId="25175"/>
    <cellStyle name="Примечание 3 2 6 7 3 2" xfId="40536"/>
    <cellStyle name="Примечание 3 2 6 7 4" xfId="14651"/>
    <cellStyle name="Примечание 3 2 6 7 5" xfId="30126"/>
    <cellStyle name="Примечание 3 2 6 8" xfId="4895"/>
    <cellStyle name="Примечание 3 2 6 8 2" xfId="10082"/>
    <cellStyle name="Примечание 3 2 6 8 2 2" xfId="21009"/>
    <cellStyle name="Примечание 3 2 6 8 2 3" xfId="36370"/>
    <cellStyle name="Примечание 3 2 6 8 3" xfId="25970"/>
    <cellStyle name="Примечание 3 2 6 8 3 2" xfId="41331"/>
    <cellStyle name="Примечание 3 2 6 8 4" xfId="15446"/>
    <cellStyle name="Примечание 3 2 6 8 5" xfId="30921"/>
    <cellStyle name="Примечание 3 2 6 9" xfId="5908"/>
    <cellStyle name="Примечание 3 2 6 9 2" xfId="16963"/>
    <cellStyle name="Примечание 3 2 6 9 3" xfId="32430"/>
    <cellStyle name="Примечание 3 2 7" xfId="602"/>
    <cellStyle name="Примечание 3 2 7 10" xfId="21797"/>
    <cellStyle name="Примечание 3 2 7 10 2" xfId="37158"/>
    <cellStyle name="Примечание 3 2 7 11" xfId="11227"/>
    <cellStyle name="Примечание 3 2 7 12" xfId="26748"/>
    <cellStyle name="Примечание 3 2 7 2" xfId="677"/>
    <cellStyle name="Примечание 3 2 7 2 10" xfId="11261"/>
    <cellStyle name="Примечание 3 2 7 2 11" xfId="26778"/>
    <cellStyle name="Примечание 3 2 7 2 2" xfId="1357"/>
    <cellStyle name="Примечание 3 2 7 2 2 2" xfId="3347"/>
    <cellStyle name="Примечание 3 2 7 2 2 2 2" xfId="8541"/>
    <cellStyle name="Примечание 3 2 7 2 2 2 2 2" xfId="19468"/>
    <cellStyle name="Примечание 3 2 7 2 2 2 2 3" xfId="34829"/>
    <cellStyle name="Примечание 3 2 7 2 2 2 3" xfId="24429"/>
    <cellStyle name="Примечание 3 2 7 2 2 2 3 2" xfId="39790"/>
    <cellStyle name="Примечание 3 2 7 2 2 2 4" xfId="13905"/>
    <cellStyle name="Примечание 3 2 7 2 2 2 5" xfId="29380"/>
    <cellStyle name="Примечание 3 2 7 2 2 3" xfId="5546"/>
    <cellStyle name="Примечание 3 2 7 2 2 3 2" xfId="10710"/>
    <cellStyle name="Примечание 3 2 7 2 2 3 2 2" xfId="21644"/>
    <cellStyle name="Примечание 3 2 7 2 2 3 2 3" xfId="37005"/>
    <cellStyle name="Примечание 3 2 7 2 2 3 3" xfId="26597"/>
    <cellStyle name="Примечание 3 2 7 2 2 3 3 2" xfId="41958"/>
    <cellStyle name="Примечание 3 2 7 2 2 3 4" xfId="16081"/>
    <cellStyle name="Примечание 3 2 7 2 2 3 5" xfId="31548"/>
    <cellStyle name="Примечание 3 2 7 2 2 4" xfId="6608"/>
    <cellStyle name="Примечание 3 2 7 2 2 4 2" xfId="16252"/>
    <cellStyle name="Примечание 3 2 7 2 2 4 3" xfId="31719"/>
    <cellStyle name="Примечание 3 2 7 2 2 5" xfId="22496"/>
    <cellStyle name="Примечание 3 2 7 2 2 5 2" xfId="37857"/>
    <cellStyle name="Примечание 3 2 7 2 2 6" xfId="11937"/>
    <cellStyle name="Примечание 3 2 7 2 2 7" xfId="27447"/>
    <cellStyle name="Примечание 3 2 7 2 3" xfId="2083"/>
    <cellStyle name="Примечание 3 2 7 2 3 2" xfId="7319"/>
    <cellStyle name="Примечание 3 2 7 2 3 2 2" xfId="18221"/>
    <cellStyle name="Примечание 3 2 7 2 3 2 3" xfId="33582"/>
    <cellStyle name="Примечание 3 2 7 2 3 3" xfId="23207"/>
    <cellStyle name="Примечание 3 2 7 2 3 3 2" xfId="38568"/>
    <cellStyle name="Примечание 3 2 7 2 3 4" xfId="12658"/>
    <cellStyle name="Примечание 3 2 7 2 3 5" xfId="28158"/>
    <cellStyle name="Примечание 3 2 7 2 4" xfId="2408"/>
    <cellStyle name="Примечание 3 2 7 2 4 2" xfId="7644"/>
    <cellStyle name="Примечание 3 2 7 2 4 2 2" xfId="18546"/>
    <cellStyle name="Примечание 3 2 7 2 4 2 3" xfId="33907"/>
    <cellStyle name="Примечание 3 2 7 2 4 3" xfId="23532"/>
    <cellStyle name="Примечание 3 2 7 2 4 3 2" xfId="38893"/>
    <cellStyle name="Примечание 3 2 7 2 4 4" xfId="12983"/>
    <cellStyle name="Примечание 3 2 7 2 4 5" xfId="28483"/>
    <cellStyle name="Примечание 3 2 7 2 5" xfId="3826"/>
    <cellStyle name="Примечание 3 2 7 2 5 2" xfId="9013"/>
    <cellStyle name="Примечание 3 2 7 2 5 2 2" xfId="19940"/>
    <cellStyle name="Примечание 3 2 7 2 5 2 3" xfId="35301"/>
    <cellStyle name="Примечание 3 2 7 2 5 3" xfId="24901"/>
    <cellStyle name="Примечание 3 2 7 2 5 3 2" xfId="40262"/>
    <cellStyle name="Примечание 3 2 7 2 5 4" xfId="14377"/>
    <cellStyle name="Примечание 3 2 7 2 5 5" xfId="29852"/>
    <cellStyle name="Примечание 3 2 7 2 6" xfId="4131"/>
    <cellStyle name="Примечание 3 2 7 2 6 2" xfId="9318"/>
    <cellStyle name="Примечание 3 2 7 2 6 2 2" xfId="20245"/>
    <cellStyle name="Примечание 3 2 7 2 6 2 3" xfId="35606"/>
    <cellStyle name="Примечание 3 2 7 2 6 3" xfId="25206"/>
    <cellStyle name="Примечание 3 2 7 2 6 3 2" xfId="40567"/>
    <cellStyle name="Примечание 3 2 7 2 6 4" xfId="14682"/>
    <cellStyle name="Примечание 3 2 7 2 6 5" xfId="30157"/>
    <cellStyle name="Примечание 3 2 7 2 7" xfId="4635"/>
    <cellStyle name="Примечание 3 2 7 2 7 2" xfId="9822"/>
    <cellStyle name="Примечание 3 2 7 2 7 2 2" xfId="20749"/>
    <cellStyle name="Примечание 3 2 7 2 7 2 3" xfId="36110"/>
    <cellStyle name="Примечание 3 2 7 2 7 3" xfId="25710"/>
    <cellStyle name="Примечание 3 2 7 2 7 3 2" xfId="41071"/>
    <cellStyle name="Примечание 3 2 7 2 7 4" xfId="15186"/>
    <cellStyle name="Примечание 3 2 7 2 7 5" xfId="30661"/>
    <cellStyle name="Примечание 3 2 7 2 8" xfId="5939"/>
    <cellStyle name="Примечание 3 2 7 2 8 2" xfId="16928"/>
    <cellStyle name="Примечание 3 2 7 2 8 3" xfId="32395"/>
    <cellStyle name="Примечание 3 2 7 2 9" xfId="21827"/>
    <cellStyle name="Примечание 3 2 7 2 9 2" xfId="37188"/>
    <cellStyle name="Примечание 3 2 7 3" xfId="1059"/>
    <cellStyle name="Примечание 3 2 7 3 2" xfId="3348"/>
    <cellStyle name="Примечание 3 2 7 3 2 2" xfId="8542"/>
    <cellStyle name="Примечание 3 2 7 3 2 2 2" xfId="19469"/>
    <cellStyle name="Примечание 3 2 7 3 2 2 3" xfId="34830"/>
    <cellStyle name="Примечание 3 2 7 3 2 3" xfId="24430"/>
    <cellStyle name="Примечание 3 2 7 3 2 3 2" xfId="39791"/>
    <cellStyle name="Примечание 3 2 7 3 2 4" xfId="13906"/>
    <cellStyle name="Примечание 3 2 7 3 2 5" xfId="29381"/>
    <cellStyle name="Примечание 3 2 7 3 3" xfId="5547"/>
    <cellStyle name="Примечание 3 2 7 3 3 2" xfId="10711"/>
    <cellStyle name="Примечание 3 2 7 3 3 2 2" xfId="21645"/>
    <cellStyle name="Примечание 3 2 7 3 3 2 3" xfId="37006"/>
    <cellStyle name="Примечание 3 2 7 3 3 3" xfId="26598"/>
    <cellStyle name="Примечание 3 2 7 3 3 3 2" xfId="41959"/>
    <cellStyle name="Примечание 3 2 7 3 3 4" xfId="16082"/>
    <cellStyle name="Примечание 3 2 7 3 3 5" xfId="31549"/>
    <cellStyle name="Примечание 3 2 7 3 4" xfId="6316"/>
    <cellStyle name="Примечание 3 2 7 3 4 2" xfId="16548"/>
    <cellStyle name="Примечание 3 2 7 3 4 3" xfId="32015"/>
    <cellStyle name="Примечание 3 2 7 3 5" xfId="22204"/>
    <cellStyle name="Примечание 3 2 7 3 5 2" xfId="37565"/>
    <cellStyle name="Примечание 3 2 7 3 6" xfId="11641"/>
    <cellStyle name="Примечание 3 2 7 3 7" xfId="27155"/>
    <cellStyle name="Примечание 3 2 7 4" xfId="2013"/>
    <cellStyle name="Примечание 3 2 7 4 2" xfId="7249"/>
    <cellStyle name="Примечание 3 2 7 4 2 2" xfId="18151"/>
    <cellStyle name="Примечание 3 2 7 4 2 3" xfId="33512"/>
    <cellStyle name="Примечание 3 2 7 4 3" xfId="23137"/>
    <cellStyle name="Примечание 3 2 7 4 3 2" xfId="38498"/>
    <cellStyle name="Примечание 3 2 7 4 4" xfId="12588"/>
    <cellStyle name="Примечание 3 2 7 4 5" xfId="28088"/>
    <cellStyle name="Примечание 3 2 7 5" xfId="1799"/>
    <cellStyle name="Примечание 3 2 7 5 2" xfId="7038"/>
    <cellStyle name="Примечание 3 2 7 5 2 2" xfId="17940"/>
    <cellStyle name="Примечание 3 2 7 5 2 3" xfId="33301"/>
    <cellStyle name="Примечание 3 2 7 5 3" xfId="22926"/>
    <cellStyle name="Примечание 3 2 7 5 3 2" xfId="38287"/>
    <cellStyle name="Примечание 3 2 7 5 4" xfId="12377"/>
    <cellStyle name="Примечание 3 2 7 5 5" xfId="27877"/>
    <cellStyle name="Примечание 3 2 7 6" xfId="3588"/>
    <cellStyle name="Примечание 3 2 7 6 2" xfId="8775"/>
    <cellStyle name="Примечание 3 2 7 6 2 2" xfId="19702"/>
    <cellStyle name="Примечание 3 2 7 6 2 3" xfId="35063"/>
    <cellStyle name="Примечание 3 2 7 6 3" xfId="24663"/>
    <cellStyle name="Примечание 3 2 7 6 3 2" xfId="40024"/>
    <cellStyle name="Примечание 3 2 7 6 4" xfId="14139"/>
    <cellStyle name="Примечание 3 2 7 6 5" xfId="29614"/>
    <cellStyle name="Примечание 3 2 7 7" xfId="4101"/>
    <cellStyle name="Примечание 3 2 7 7 2" xfId="9288"/>
    <cellStyle name="Примечание 3 2 7 7 2 2" xfId="20215"/>
    <cellStyle name="Примечание 3 2 7 7 2 3" xfId="35576"/>
    <cellStyle name="Примечание 3 2 7 7 3" xfId="25176"/>
    <cellStyle name="Примечание 3 2 7 7 3 2" xfId="40537"/>
    <cellStyle name="Примечание 3 2 7 7 4" xfId="14652"/>
    <cellStyle name="Примечание 3 2 7 7 5" xfId="30127"/>
    <cellStyle name="Примечание 3 2 7 8" xfId="4648"/>
    <cellStyle name="Примечание 3 2 7 8 2" xfId="9835"/>
    <cellStyle name="Примечание 3 2 7 8 2 2" xfId="20762"/>
    <cellStyle name="Примечание 3 2 7 8 2 3" xfId="36123"/>
    <cellStyle name="Примечание 3 2 7 8 3" xfId="25723"/>
    <cellStyle name="Примечание 3 2 7 8 3 2" xfId="41084"/>
    <cellStyle name="Примечание 3 2 7 8 4" xfId="15199"/>
    <cellStyle name="Примечание 3 2 7 8 5" xfId="30674"/>
    <cellStyle name="Примечание 3 2 7 9" xfId="5909"/>
    <cellStyle name="Примечание 3 2 7 9 2" xfId="16962"/>
    <cellStyle name="Примечание 3 2 7 9 3" xfId="32429"/>
    <cellStyle name="Примечание 3 2 8" xfId="603"/>
    <cellStyle name="Примечание 3 2 8 10" xfId="21798"/>
    <cellStyle name="Примечание 3 2 8 10 2" xfId="37159"/>
    <cellStyle name="Примечание 3 2 8 11" xfId="11228"/>
    <cellStyle name="Примечание 3 2 8 12" xfId="26749"/>
    <cellStyle name="Примечание 3 2 8 2" xfId="676"/>
    <cellStyle name="Примечание 3 2 8 2 10" xfId="11260"/>
    <cellStyle name="Примечание 3 2 8 2 11" xfId="26777"/>
    <cellStyle name="Примечание 3 2 8 2 2" xfId="1581"/>
    <cellStyle name="Примечание 3 2 8 2 2 2" xfId="3351"/>
    <cellStyle name="Примечание 3 2 8 2 2 2 2" xfId="8545"/>
    <cellStyle name="Примечание 3 2 8 2 2 2 2 2" xfId="19472"/>
    <cellStyle name="Примечание 3 2 8 2 2 2 2 3" xfId="34833"/>
    <cellStyle name="Примечание 3 2 8 2 2 2 3" xfId="24433"/>
    <cellStyle name="Примечание 3 2 8 2 2 2 3 2" xfId="39794"/>
    <cellStyle name="Примечание 3 2 8 2 2 2 4" xfId="13909"/>
    <cellStyle name="Примечание 3 2 8 2 2 2 5" xfId="29384"/>
    <cellStyle name="Примечание 3 2 8 2 2 3" xfId="5548"/>
    <cellStyle name="Примечание 3 2 8 2 2 3 2" xfId="10712"/>
    <cellStyle name="Примечание 3 2 8 2 2 3 2 2" xfId="21646"/>
    <cellStyle name="Примечание 3 2 8 2 2 3 2 3" xfId="37007"/>
    <cellStyle name="Примечание 3 2 8 2 2 3 3" xfId="26599"/>
    <cellStyle name="Примечание 3 2 8 2 2 3 3 2" xfId="41960"/>
    <cellStyle name="Примечание 3 2 8 2 2 3 4" xfId="16083"/>
    <cellStyle name="Примечание 3 2 8 2 2 3 5" xfId="31550"/>
    <cellStyle name="Примечание 3 2 8 2 2 4" xfId="6828"/>
    <cellStyle name="Примечание 3 2 8 2 2 4 2" xfId="17723"/>
    <cellStyle name="Примечание 3 2 8 2 2 4 3" xfId="33084"/>
    <cellStyle name="Примечание 3 2 8 2 2 5" xfId="22716"/>
    <cellStyle name="Примечание 3 2 8 2 2 5 2" xfId="38077"/>
    <cellStyle name="Примечание 3 2 8 2 2 6" xfId="12159"/>
    <cellStyle name="Примечание 3 2 8 2 2 7" xfId="27667"/>
    <cellStyle name="Примечание 3 2 8 2 3" xfId="2082"/>
    <cellStyle name="Примечание 3 2 8 2 3 2" xfId="7318"/>
    <cellStyle name="Примечание 3 2 8 2 3 2 2" xfId="18220"/>
    <cellStyle name="Примечание 3 2 8 2 3 2 3" xfId="33581"/>
    <cellStyle name="Примечание 3 2 8 2 3 3" xfId="23206"/>
    <cellStyle name="Примечание 3 2 8 2 3 3 2" xfId="38567"/>
    <cellStyle name="Примечание 3 2 8 2 3 4" xfId="12657"/>
    <cellStyle name="Примечание 3 2 8 2 3 5" xfId="28157"/>
    <cellStyle name="Примечание 3 2 8 2 4" xfId="2739"/>
    <cellStyle name="Примечание 3 2 8 2 4 2" xfId="7968"/>
    <cellStyle name="Примечание 3 2 8 2 4 2 2" xfId="18872"/>
    <cellStyle name="Примечание 3 2 8 2 4 2 3" xfId="34233"/>
    <cellStyle name="Примечание 3 2 8 2 4 3" xfId="23856"/>
    <cellStyle name="Примечание 3 2 8 2 4 3 2" xfId="39217"/>
    <cellStyle name="Примечание 3 2 8 2 4 4" xfId="13309"/>
    <cellStyle name="Примечание 3 2 8 2 4 5" xfId="28807"/>
    <cellStyle name="Примечание 3 2 8 2 5" xfId="91"/>
    <cellStyle name="Примечание 3 2 8 2 5 2" xfId="5617"/>
    <cellStyle name="Примечание 3 2 8 2 5 2 2" xfId="17380"/>
    <cellStyle name="Примечание 3 2 8 2 5 2 3" xfId="32847"/>
    <cellStyle name="Примечание 3 2 8 2 5 3" xfId="17420"/>
    <cellStyle name="Примечание 3 2 8 2 5 3 2" xfId="32887"/>
    <cellStyle name="Примечание 3 2 8 2 5 4" xfId="10805"/>
    <cellStyle name="Примечание 3 2 8 2 5 5" xfId="10765"/>
    <cellStyle name="Примечание 3 2 8 2 6" xfId="4130"/>
    <cellStyle name="Примечание 3 2 8 2 6 2" xfId="9317"/>
    <cellStyle name="Примечание 3 2 8 2 6 2 2" xfId="20244"/>
    <cellStyle name="Примечание 3 2 8 2 6 2 3" xfId="35605"/>
    <cellStyle name="Примечание 3 2 8 2 6 3" xfId="25205"/>
    <cellStyle name="Примечание 3 2 8 2 6 3 2" xfId="40566"/>
    <cellStyle name="Примечание 3 2 8 2 6 4" xfId="14681"/>
    <cellStyle name="Примечание 3 2 8 2 6 5" xfId="30156"/>
    <cellStyle name="Примечание 3 2 8 2 7" xfId="4911"/>
    <cellStyle name="Примечание 3 2 8 2 7 2" xfId="10098"/>
    <cellStyle name="Примечание 3 2 8 2 7 2 2" xfId="21025"/>
    <cellStyle name="Примечание 3 2 8 2 7 2 3" xfId="36386"/>
    <cellStyle name="Примечание 3 2 8 2 7 3" xfId="25986"/>
    <cellStyle name="Примечание 3 2 8 2 7 3 2" xfId="41347"/>
    <cellStyle name="Примечание 3 2 8 2 7 4" xfId="15462"/>
    <cellStyle name="Примечание 3 2 8 2 7 5" xfId="30937"/>
    <cellStyle name="Примечание 3 2 8 2 8" xfId="5938"/>
    <cellStyle name="Примечание 3 2 8 2 8 2" xfId="16929"/>
    <cellStyle name="Примечание 3 2 8 2 8 3" xfId="32396"/>
    <cellStyle name="Примечание 3 2 8 2 9" xfId="21826"/>
    <cellStyle name="Примечание 3 2 8 2 9 2" xfId="37187"/>
    <cellStyle name="Примечание 3 2 8 3" xfId="1291"/>
    <cellStyle name="Примечание 3 2 8 3 2" xfId="3352"/>
    <cellStyle name="Примечание 3 2 8 3 2 2" xfId="8546"/>
    <cellStyle name="Примечание 3 2 8 3 2 2 2" xfId="19473"/>
    <cellStyle name="Примечание 3 2 8 3 2 2 3" xfId="34834"/>
    <cellStyle name="Примечание 3 2 8 3 2 3" xfId="24434"/>
    <cellStyle name="Примечание 3 2 8 3 2 3 2" xfId="39795"/>
    <cellStyle name="Примечание 3 2 8 3 2 4" xfId="13910"/>
    <cellStyle name="Примечание 3 2 8 3 2 5" xfId="29385"/>
    <cellStyle name="Примечание 3 2 8 3 3" xfId="5549"/>
    <cellStyle name="Примечание 3 2 8 3 3 2" xfId="10713"/>
    <cellStyle name="Примечание 3 2 8 3 3 2 2" xfId="21647"/>
    <cellStyle name="Примечание 3 2 8 3 3 2 3" xfId="37008"/>
    <cellStyle name="Примечание 3 2 8 3 3 3" xfId="26600"/>
    <cellStyle name="Примечание 3 2 8 3 3 3 2" xfId="41961"/>
    <cellStyle name="Примечание 3 2 8 3 3 4" xfId="16084"/>
    <cellStyle name="Примечание 3 2 8 3 3 5" xfId="31551"/>
    <cellStyle name="Примечание 3 2 8 3 4" xfId="6544"/>
    <cellStyle name="Примечание 3 2 8 3 4 2" xfId="16317"/>
    <cellStyle name="Примечание 3 2 8 3 4 3" xfId="31784"/>
    <cellStyle name="Примечание 3 2 8 3 5" xfId="22432"/>
    <cellStyle name="Примечание 3 2 8 3 5 2" xfId="37793"/>
    <cellStyle name="Примечание 3 2 8 3 6" xfId="11872"/>
    <cellStyle name="Примечание 3 2 8 3 7" xfId="27383"/>
    <cellStyle name="Примечание 3 2 8 4" xfId="2014"/>
    <cellStyle name="Примечание 3 2 8 4 2" xfId="7250"/>
    <cellStyle name="Примечание 3 2 8 4 2 2" xfId="18152"/>
    <cellStyle name="Примечание 3 2 8 4 2 3" xfId="33513"/>
    <cellStyle name="Примечание 3 2 8 4 3" xfId="23138"/>
    <cellStyle name="Примечание 3 2 8 4 3 2" xfId="38499"/>
    <cellStyle name="Примечание 3 2 8 4 4" xfId="12589"/>
    <cellStyle name="Примечание 3 2 8 4 5" xfId="28089"/>
    <cellStyle name="Примечание 3 2 8 5" xfId="2455"/>
    <cellStyle name="Примечание 3 2 8 5 2" xfId="7691"/>
    <cellStyle name="Примечание 3 2 8 5 2 2" xfId="18593"/>
    <cellStyle name="Примечание 3 2 8 5 2 3" xfId="33954"/>
    <cellStyle name="Примечание 3 2 8 5 3" xfId="23579"/>
    <cellStyle name="Примечание 3 2 8 5 3 2" xfId="38940"/>
    <cellStyle name="Примечание 3 2 8 5 4" xfId="13030"/>
    <cellStyle name="Примечание 3 2 8 5 5" xfId="28530"/>
    <cellStyle name="Примечание 3 2 8 6" xfId="3451"/>
    <cellStyle name="Примечание 3 2 8 6 2" xfId="8638"/>
    <cellStyle name="Примечание 3 2 8 6 2 2" xfId="19565"/>
    <cellStyle name="Примечание 3 2 8 6 2 3" xfId="34926"/>
    <cellStyle name="Примечание 3 2 8 6 3" xfId="24526"/>
    <cellStyle name="Примечание 3 2 8 6 3 2" xfId="39887"/>
    <cellStyle name="Примечание 3 2 8 6 4" xfId="14002"/>
    <cellStyle name="Примечание 3 2 8 6 5" xfId="29477"/>
    <cellStyle name="Примечание 3 2 8 7" xfId="4102"/>
    <cellStyle name="Примечание 3 2 8 7 2" xfId="9289"/>
    <cellStyle name="Примечание 3 2 8 7 2 2" xfId="20216"/>
    <cellStyle name="Примечание 3 2 8 7 2 3" xfId="35577"/>
    <cellStyle name="Примечание 3 2 8 7 3" xfId="25177"/>
    <cellStyle name="Примечание 3 2 8 7 3 2" xfId="40538"/>
    <cellStyle name="Примечание 3 2 8 7 4" xfId="14653"/>
    <cellStyle name="Примечание 3 2 8 7 5" xfId="30128"/>
    <cellStyle name="Примечание 3 2 8 8" xfId="4896"/>
    <cellStyle name="Примечание 3 2 8 8 2" xfId="10083"/>
    <cellStyle name="Примечание 3 2 8 8 2 2" xfId="21010"/>
    <cellStyle name="Примечание 3 2 8 8 2 3" xfId="36371"/>
    <cellStyle name="Примечание 3 2 8 8 3" xfId="25971"/>
    <cellStyle name="Примечание 3 2 8 8 3 2" xfId="41332"/>
    <cellStyle name="Примечание 3 2 8 8 4" xfId="15447"/>
    <cellStyle name="Примечание 3 2 8 8 5" xfId="30922"/>
    <cellStyle name="Примечание 3 2 8 9" xfId="5910"/>
    <cellStyle name="Примечание 3 2 8 9 2" xfId="16961"/>
    <cellStyle name="Примечание 3 2 8 9 3" xfId="32428"/>
    <cellStyle name="Примечание 3 2 9" xfId="604"/>
    <cellStyle name="Примечание 3 2 9 10" xfId="21799"/>
    <cellStyle name="Примечание 3 2 9 10 2" xfId="37160"/>
    <cellStyle name="Примечание 3 2 9 11" xfId="11229"/>
    <cellStyle name="Примечание 3 2 9 12" xfId="26750"/>
    <cellStyle name="Примечание 3 2 9 2" xfId="675"/>
    <cellStyle name="Примечание 3 2 9 2 10" xfId="11259"/>
    <cellStyle name="Примечание 3 2 9 2 11" xfId="26776"/>
    <cellStyle name="Примечание 3 2 9 2 2" xfId="1343"/>
    <cellStyle name="Примечание 3 2 9 2 2 2" xfId="3355"/>
    <cellStyle name="Примечание 3 2 9 2 2 2 2" xfId="8549"/>
    <cellStyle name="Примечание 3 2 9 2 2 2 2 2" xfId="19476"/>
    <cellStyle name="Примечание 3 2 9 2 2 2 2 3" xfId="34837"/>
    <cellStyle name="Примечание 3 2 9 2 2 2 3" xfId="24437"/>
    <cellStyle name="Примечание 3 2 9 2 2 2 3 2" xfId="39798"/>
    <cellStyle name="Примечание 3 2 9 2 2 2 4" xfId="13913"/>
    <cellStyle name="Примечание 3 2 9 2 2 2 5" xfId="29388"/>
    <cellStyle name="Примечание 3 2 9 2 2 3" xfId="5550"/>
    <cellStyle name="Примечание 3 2 9 2 2 3 2" xfId="10714"/>
    <cellStyle name="Примечание 3 2 9 2 2 3 2 2" xfId="21648"/>
    <cellStyle name="Примечание 3 2 9 2 2 3 2 3" xfId="37009"/>
    <cellStyle name="Примечание 3 2 9 2 2 3 3" xfId="26601"/>
    <cellStyle name="Примечание 3 2 9 2 2 3 3 2" xfId="41962"/>
    <cellStyle name="Примечание 3 2 9 2 2 3 4" xfId="16085"/>
    <cellStyle name="Примечание 3 2 9 2 2 3 5" xfId="31552"/>
    <cellStyle name="Примечание 3 2 9 2 2 4" xfId="6596"/>
    <cellStyle name="Примечание 3 2 9 2 2 4 2" xfId="16265"/>
    <cellStyle name="Примечание 3 2 9 2 2 4 3" xfId="31732"/>
    <cellStyle name="Примечание 3 2 9 2 2 5" xfId="22484"/>
    <cellStyle name="Примечание 3 2 9 2 2 5 2" xfId="37845"/>
    <cellStyle name="Примечание 3 2 9 2 2 6" xfId="11924"/>
    <cellStyle name="Примечание 3 2 9 2 2 7" xfId="27435"/>
    <cellStyle name="Примечание 3 2 9 2 3" xfId="2081"/>
    <cellStyle name="Примечание 3 2 9 2 3 2" xfId="7317"/>
    <cellStyle name="Примечание 3 2 9 2 3 2 2" xfId="18219"/>
    <cellStyle name="Примечание 3 2 9 2 3 2 3" xfId="33580"/>
    <cellStyle name="Примечание 3 2 9 2 3 3" xfId="23205"/>
    <cellStyle name="Примечание 3 2 9 2 3 3 2" xfId="38566"/>
    <cellStyle name="Примечание 3 2 9 2 3 4" xfId="12656"/>
    <cellStyle name="Примечание 3 2 9 2 3 5" xfId="28156"/>
    <cellStyle name="Примечание 3 2 9 2 4" xfId="2883"/>
    <cellStyle name="Примечание 3 2 9 2 4 2" xfId="8090"/>
    <cellStyle name="Примечание 3 2 9 2 4 2 2" xfId="19010"/>
    <cellStyle name="Примечание 3 2 9 2 4 2 3" xfId="34371"/>
    <cellStyle name="Примечание 3 2 9 2 4 3" xfId="23978"/>
    <cellStyle name="Примечание 3 2 9 2 4 3 2" xfId="39339"/>
    <cellStyle name="Примечание 3 2 9 2 4 4" xfId="13447"/>
    <cellStyle name="Примечание 3 2 9 2 4 5" xfId="28929"/>
    <cellStyle name="Примечание 3 2 9 2 5" xfId="3596"/>
    <cellStyle name="Примечание 3 2 9 2 5 2" xfId="8783"/>
    <cellStyle name="Примечание 3 2 9 2 5 2 2" xfId="19710"/>
    <cellStyle name="Примечание 3 2 9 2 5 2 3" xfId="35071"/>
    <cellStyle name="Примечание 3 2 9 2 5 3" xfId="24671"/>
    <cellStyle name="Примечание 3 2 9 2 5 3 2" xfId="40032"/>
    <cellStyle name="Примечание 3 2 9 2 5 4" xfId="14147"/>
    <cellStyle name="Примечание 3 2 9 2 5 5" xfId="29622"/>
    <cellStyle name="Примечание 3 2 9 2 6" xfId="4129"/>
    <cellStyle name="Примечание 3 2 9 2 6 2" xfId="9316"/>
    <cellStyle name="Примечание 3 2 9 2 6 2 2" xfId="20243"/>
    <cellStyle name="Примечание 3 2 9 2 6 2 3" xfId="35604"/>
    <cellStyle name="Примечание 3 2 9 2 6 3" xfId="25204"/>
    <cellStyle name="Примечание 3 2 9 2 6 3 2" xfId="40565"/>
    <cellStyle name="Примечание 3 2 9 2 6 4" xfId="14680"/>
    <cellStyle name="Примечание 3 2 9 2 6 5" xfId="30155"/>
    <cellStyle name="Примечание 3 2 9 2 7" xfId="4636"/>
    <cellStyle name="Примечание 3 2 9 2 7 2" xfId="9823"/>
    <cellStyle name="Примечание 3 2 9 2 7 2 2" xfId="20750"/>
    <cellStyle name="Примечание 3 2 9 2 7 2 3" xfId="36111"/>
    <cellStyle name="Примечание 3 2 9 2 7 3" xfId="25711"/>
    <cellStyle name="Примечание 3 2 9 2 7 3 2" xfId="41072"/>
    <cellStyle name="Примечание 3 2 9 2 7 4" xfId="15187"/>
    <cellStyle name="Примечание 3 2 9 2 7 5" xfId="30662"/>
    <cellStyle name="Примечание 3 2 9 2 8" xfId="5937"/>
    <cellStyle name="Примечание 3 2 9 2 8 2" xfId="16930"/>
    <cellStyle name="Примечание 3 2 9 2 8 3" xfId="32397"/>
    <cellStyle name="Примечание 3 2 9 2 9" xfId="21825"/>
    <cellStyle name="Примечание 3 2 9 2 9 2" xfId="37186"/>
    <cellStyle name="Примечание 3 2 9 3" xfId="955"/>
    <cellStyle name="Примечание 3 2 9 3 2" xfId="3356"/>
    <cellStyle name="Примечание 3 2 9 3 2 2" xfId="8550"/>
    <cellStyle name="Примечание 3 2 9 3 2 2 2" xfId="19477"/>
    <cellStyle name="Примечание 3 2 9 3 2 2 3" xfId="34838"/>
    <cellStyle name="Примечание 3 2 9 3 2 3" xfId="24438"/>
    <cellStyle name="Примечание 3 2 9 3 2 3 2" xfId="39799"/>
    <cellStyle name="Примечание 3 2 9 3 2 4" xfId="13914"/>
    <cellStyle name="Примечание 3 2 9 3 2 5" xfId="29389"/>
    <cellStyle name="Примечание 3 2 9 3 3" xfId="5551"/>
    <cellStyle name="Примечание 3 2 9 3 3 2" xfId="10715"/>
    <cellStyle name="Примечание 3 2 9 3 3 2 2" xfId="21649"/>
    <cellStyle name="Примечание 3 2 9 3 3 2 3" xfId="37010"/>
    <cellStyle name="Примечание 3 2 9 3 3 3" xfId="26602"/>
    <cellStyle name="Примечание 3 2 9 3 3 3 2" xfId="41963"/>
    <cellStyle name="Примечание 3 2 9 3 3 4" xfId="16086"/>
    <cellStyle name="Примечание 3 2 9 3 3 5" xfId="31553"/>
    <cellStyle name="Примечание 3 2 9 3 4" xfId="6217"/>
    <cellStyle name="Примечание 3 2 9 3 4 2" xfId="16650"/>
    <cellStyle name="Примечание 3 2 9 3 4 3" xfId="32117"/>
    <cellStyle name="Примечание 3 2 9 3 5" xfId="22105"/>
    <cellStyle name="Примечание 3 2 9 3 5 2" xfId="37466"/>
    <cellStyle name="Примечание 3 2 9 3 6" xfId="11539"/>
    <cellStyle name="Примечание 3 2 9 3 7" xfId="27056"/>
    <cellStyle name="Примечание 3 2 9 4" xfId="2015"/>
    <cellStyle name="Примечание 3 2 9 4 2" xfId="7251"/>
    <cellStyle name="Примечание 3 2 9 4 2 2" xfId="18153"/>
    <cellStyle name="Примечание 3 2 9 4 2 3" xfId="33514"/>
    <cellStyle name="Примечание 3 2 9 4 3" xfId="23139"/>
    <cellStyle name="Примечание 3 2 9 4 3 2" xfId="38500"/>
    <cellStyle name="Примечание 3 2 9 4 4" xfId="12590"/>
    <cellStyle name="Примечание 3 2 9 4 5" xfId="28090"/>
    <cellStyle name="Примечание 3 2 9 5" xfId="1797"/>
    <cellStyle name="Примечание 3 2 9 5 2" xfId="7036"/>
    <cellStyle name="Примечание 3 2 9 5 2 2" xfId="17938"/>
    <cellStyle name="Примечание 3 2 9 5 2 3" xfId="33299"/>
    <cellStyle name="Примечание 3 2 9 5 3" xfId="22924"/>
    <cellStyle name="Примечание 3 2 9 5 3 2" xfId="38285"/>
    <cellStyle name="Примечание 3 2 9 5 4" xfId="12375"/>
    <cellStyle name="Примечание 3 2 9 5 5" xfId="27875"/>
    <cellStyle name="Примечание 3 2 9 6" xfId="3589"/>
    <cellStyle name="Примечание 3 2 9 6 2" xfId="8776"/>
    <cellStyle name="Примечание 3 2 9 6 2 2" xfId="19703"/>
    <cellStyle name="Примечание 3 2 9 6 2 3" xfId="35064"/>
    <cellStyle name="Примечание 3 2 9 6 3" xfId="24664"/>
    <cellStyle name="Примечание 3 2 9 6 3 2" xfId="40025"/>
    <cellStyle name="Примечание 3 2 9 6 4" xfId="14140"/>
    <cellStyle name="Примечание 3 2 9 6 5" xfId="29615"/>
    <cellStyle name="Примечание 3 2 9 7" xfId="4103"/>
    <cellStyle name="Примечание 3 2 9 7 2" xfId="9290"/>
    <cellStyle name="Примечание 3 2 9 7 2 2" xfId="20217"/>
    <cellStyle name="Примечание 3 2 9 7 2 3" xfId="35578"/>
    <cellStyle name="Примечание 3 2 9 7 3" xfId="25178"/>
    <cellStyle name="Примечание 3 2 9 7 3 2" xfId="40539"/>
    <cellStyle name="Примечание 3 2 9 7 4" xfId="14654"/>
    <cellStyle name="Примечание 3 2 9 7 5" xfId="30129"/>
    <cellStyle name="Примечание 3 2 9 8" xfId="4647"/>
    <cellStyle name="Примечание 3 2 9 8 2" xfId="9834"/>
    <cellStyle name="Примечание 3 2 9 8 2 2" xfId="20761"/>
    <cellStyle name="Примечание 3 2 9 8 2 3" xfId="36122"/>
    <cellStyle name="Примечание 3 2 9 8 3" xfId="25722"/>
    <cellStyle name="Примечание 3 2 9 8 3 2" xfId="41083"/>
    <cellStyle name="Примечание 3 2 9 8 4" xfId="15198"/>
    <cellStyle name="Примечание 3 2 9 8 5" xfId="30673"/>
    <cellStyle name="Примечание 3 2 9 9" xfId="5911"/>
    <cellStyle name="Примечание 3 2 9 9 2" xfId="16960"/>
    <cellStyle name="Примечание 3 2 9 9 3" xfId="32427"/>
    <cellStyle name="Примечание 3 20" xfId="605"/>
    <cellStyle name="Примечание 3 20 10" xfId="21800"/>
    <cellStyle name="Примечание 3 20 10 2" xfId="37161"/>
    <cellStyle name="Примечание 3 20 11" xfId="11230"/>
    <cellStyle name="Примечание 3 20 12" xfId="26751"/>
    <cellStyle name="Примечание 3 20 2" xfId="674"/>
    <cellStyle name="Примечание 3 20 2 10" xfId="11258"/>
    <cellStyle name="Примечание 3 20 2 11" xfId="26775"/>
    <cellStyle name="Примечание 3 20 2 2" xfId="1675"/>
    <cellStyle name="Примечание 3 20 2 2 2" xfId="3359"/>
    <cellStyle name="Примечание 3 20 2 2 2 2" xfId="8553"/>
    <cellStyle name="Примечание 3 20 2 2 2 2 2" xfId="19480"/>
    <cellStyle name="Примечание 3 20 2 2 2 2 3" xfId="34841"/>
    <cellStyle name="Примечание 3 20 2 2 2 3" xfId="24441"/>
    <cellStyle name="Примечание 3 20 2 2 2 3 2" xfId="39802"/>
    <cellStyle name="Примечание 3 20 2 2 2 4" xfId="13917"/>
    <cellStyle name="Примечание 3 20 2 2 2 5" xfId="29392"/>
    <cellStyle name="Примечание 3 20 2 2 3" xfId="5552"/>
    <cellStyle name="Примечание 3 20 2 2 3 2" xfId="10716"/>
    <cellStyle name="Примечание 3 20 2 2 3 2 2" xfId="21650"/>
    <cellStyle name="Примечание 3 20 2 2 3 2 3" xfId="37011"/>
    <cellStyle name="Примечание 3 20 2 2 3 3" xfId="26603"/>
    <cellStyle name="Примечание 3 20 2 2 3 3 2" xfId="41964"/>
    <cellStyle name="Примечание 3 20 2 2 3 4" xfId="16087"/>
    <cellStyle name="Примечание 3 20 2 2 3 5" xfId="31554"/>
    <cellStyle name="Примечание 3 20 2 2 4" xfId="6920"/>
    <cellStyle name="Примечание 3 20 2 2 4 2" xfId="17817"/>
    <cellStyle name="Примечание 3 20 2 2 4 3" xfId="33178"/>
    <cellStyle name="Примечание 3 20 2 2 5" xfId="22808"/>
    <cellStyle name="Примечание 3 20 2 2 5 2" xfId="38169"/>
    <cellStyle name="Примечание 3 20 2 2 6" xfId="12253"/>
    <cellStyle name="Примечание 3 20 2 2 7" xfId="27759"/>
    <cellStyle name="Примечание 3 20 2 3" xfId="2080"/>
    <cellStyle name="Примечание 3 20 2 3 2" xfId="7316"/>
    <cellStyle name="Примечание 3 20 2 3 2 2" xfId="18218"/>
    <cellStyle name="Примечание 3 20 2 3 2 3" xfId="33579"/>
    <cellStyle name="Примечание 3 20 2 3 3" xfId="23204"/>
    <cellStyle name="Примечание 3 20 2 3 3 2" xfId="38565"/>
    <cellStyle name="Примечание 3 20 2 3 4" xfId="12655"/>
    <cellStyle name="Примечание 3 20 2 3 5" xfId="28155"/>
    <cellStyle name="Примечание 3 20 2 4" xfId="2738"/>
    <cellStyle name="Примечание 3 20 2 4 2" xfId="7967"/>
    <cellStyle name="Примечание 3 20 2 4 2 2" xfId="18871"/>
    <cellStyle name="Примечание 3 20 2 4 2 3" xfId="34232"/>
    <cellStyle name="Примечание 3 20 2 4 3" xfId="23855"/>
    <cellStyle name="Примечание 3 20 2 4 3 2" xfId="39216"/>
    <cellStyle name="Примечание 3 20 2 4 4" xfId="13308"/>
    <cellStyle name="Примечание 3 20 2 4 5" xfId="28806"/>
    <cellStyle name="Примечание 3 20 2 5" xfId="2528"/>
    <cellStyle name="Примечание 3 20 2 5 2" xfId="7761"/>
    <cellStyle name="Примечание 3 20 2 5 2 2" xfId="18663"/>
    <cellStyle name="Примечание 3 20 2 5 2 3" xfId="34024"/>
    <cellStyle name="Примечание 3 20 2 5 3" xfId="23649"/>
    <cellStyle name="Примечание 3 20 2 5 3 2" xfId="39010"/>
    <cellStyle name="Примечание 3 20 2 5 4" xfId="13100"/>
    <cellStyle name="Примечание 3 20 2 5 5" xfId="28600"/>
    <cellStyle name="Примечание 3 20 2 6" xfId="4128"/>
    <cellStyle name="Примечание 3 20 2 6 2" xfId="9315"/>
    <cellStyle name="Примечание 3 20 2 6 2 2" xfId="20242"/>
    <cellStyle name="Примечание 3 20 2 6 2 3" xfId="35603"/>
    <cellStyle name="Примечание 3 20 2 6 3" xfId="25203"/>
    <cellStyle name="Примечание 3 20 2 6 3 2" xfId="40564"/>
    <cellStyle name="Примечание 3 20 2 6 4" xfId="14679"/>
    <cellStyle name="Примечание 3 20 2 6 5" xfId="30154"/>
    <cellStyle name="Примечание 3 20 2 7" xfId="4910"/>
    <cellStyle name="Примечание 3 20 2 7 2" xfId="10097"/>
    <cellStyle name="Примечание 3 20 2 7 2 2" xfId="21024"/>
    <cellStyle name="Примечание 3 20 2 7 2 3" xfId="36385"/>
    <cellStyle name="Примечание 3 20 2 7 3" xfId="25985"/>
    <cellStyle name="Примечание 3 20 2 7 3 2" xfId="41346"/>
    <cellStyle name="Примечание 3 20 2 7 4" xfId="15461"/>
    <cellStyle name="Примечание 3 20 2 7 5" xfId="30936"/>
    <cellStyle name="Примечание 3 20 2 8" xfId="5936"/>
    <cellStyle name="Примечание 3 20 2 8 2" xfId="16931"/>
    <cellStyle name="Примечание 3 20 2 8 3" xfId="32398"/>
    <cellStyle name="Примечание 3 20 2 9" xfId="21824"/>
    <cellStyle name="Примечание 3 20 2 9 2" xfId="37185"/>
    <cellStyle name="Примечание 3 20 3" xfId="1584"/>
    <cellStyle name="Примечание 3 20 3 2" xfId="3360"/>
    <cellStyle name="Примечание 3 20 3 2 2" xfId="8554"/>
    <cellStyle name="Примечание 3 20 3 2 2 2" xfId="19481"/>
    <cellStyle name="Примечание 3 20 3 2 2 3" xfId="34842"/>
    <cellStyle name="Примечание 3 20 3 2 3" xfId="24442"/>
    <cellStyle name="Примечание 3 20 3 2 3 2" xfId="39803"/>
    <cellStyle name="Примечание 3 20 3 2 4" xfId="13918"/>
    <cellStyle name="Примечание 3 20 3 2 5" xfId="29393"/>
    <cellStyle name="Примечание 3 20 3 3" xfId="5553"/>
    <cellStyle name="Примечание 3 20 3 3 2" xfId="10717"/>
    <cellStyle name="Примечание 3 20 3 3 2 2" xfId="21651"/>
    <cellStyle name="Примечание 3 20 3 3 2 3" xfId="37012"/>
    <cellStyle name="Примечание 3 20 3 3 3" xfId="26604"/>
    <cellStyle name="Примечание 3 20 3 3 3 2" xfId="41965"/>
    <cellStyle name="Примечание 3 20 3 3 4" xfId="16088"/>
    <cellStyle name="Примечание 3 20 3 3 5" xfId="31555"/>
    <cellStyle name="Примечание 3 20 3 4" xfId="6831"/>
    <cellStyle name="Примечание 3 20 3 4 2" xfId="17726"/>
    <cellStyle name="Примечание 3 20 3 4 3" xfId="33087"/>
    <cellStyle name="Примечание 3 20 3 5" xfId="22719"/>
    <cellStyle name="Примечание 3 20 3 5 2" xfId="38080"/>
    <cellStyle name="Примечание 3 20 3 6" xfId="12162"/>
    <cellStyle name="Примечание 3 20 3 7" xfId="27670"/>
    <cellStyle name="Примечание 3 20 4" xfId="2016"/>
    <cellStyle name="Примечание 3 20 4 2" xfId="7252"/>
    <cellStyle name="Примечание 3 20 4 2 2" xfId="18154"/>
    <cellStyle name="Примечание 3 20 4 2 3" xfId="33515"/>
    <cellStyle name="Примечание 3 20 4 3" xfId="23140"/>
    <cellStyle name="Примечание 3 20 4 3 2" xfId="38501"/>
    <cellStyle name="Примечание 3 20 4 4" xfId="12591"/>
    <cellStyle name="Примечание 3 20 4 5" xfId="28091"/>
    <cellStyle name="Примечание 3 20 5" xfId="2452"/>
    <cellStyle name="Примечание 3 20 5 2" xfId="7688"/>
    <cellStyle name="Примечание 3 20 5 2 2" xfId="18590"/>
    <cellStyle name="Примечание 3 20 5 2 3" xfId="33951"/>
    <cellStyle name="Примечание 3 20 5 3" xfId="23576"/>
    <cellStyle name="Примечание 3 20 5 3 2" xfId="38937"/>
    <cellStyle name="Примечание 3 20 5 4" xfId="13027"/>
    <cellStyle name="Примечание 3 20 5 5" xfId="28527"/>
    <cellStyle name="Примечание 3 20 6" xfId="2663"/>
    <cellStyle name="Примечание 3 20 6 2" xfId="7894"/>
    <cellStyle name="Примечание 3 20 6 2 2" xfId="18798"/>
    <cellStyle name="Примечание 3 20 6 2 3" xfId="34159"/>
    <cellStyle name="Примечание 3 20 6 3" xfId="23782"/>
    <cellStyle name="Примечание 3 20 6 3 2" xfId="39143"/>
    <cellStyle name="Примечание 3 20 6 4" xfId="13235"/>
    <cellStyle name="Примечание 3 20 6 5" xfId="28733"/>
    <cellStyle name="Примечание 3 20 7" xfId="4104"/>
    <cellStyle name="Примечание 3 20 7 2" xfId="9291"/>
    <cellStyle name="Примечание 3 20 7 2 2" xfId="20218"/>
    <cellStyle name="Примечание 3 20 7 2 3" xfId="35579"/>
    <cellStyle name="Примечание 3 20 7 3" xfId="25179"/>
    <cellStyle name="Примечание 3 20 7 3 2" xfId="40540"/>
    <cellStyle name="Примечание 3 20 7 4" xfId="14655"/>
    <cellStyle name="Примечание 3 20 7 5" xfId="30130"/>
    <cellStyle name="Примечание 3 20 8" xfId="4897"/>
    <cellStyle name="Примечание 3 20 8 2" xfId="10084"/>
    <cellStyle name="Примечание 3 20 8 2 2" xfId="21011"/>
    <cellStyle name="Примечание 3 20 8 2 3" xfId="36372"/>
    <cellStyle name="Примечание 3 20 8 3" xfId="25972"/>
    <cellStyle name="Примечание 3 20 8 3 2" xfId="41333"/>
    <cellStyle name="Примечание 3 20 8 4" xfId="15448"/>
    <cellStyle name="Примечание 3 20 8 5" xfId="30923"/>
    <cellStyle name="Примечание 3 20 9" xfId="5912"/>
    <cellStyle name="Примечание 3 20 9 2" xfId="16959"/>
    <cellStyle name="Примечание 3 20 9 3" xfId="32426"/>
    <cellStyle name="Примечание 3 21" xfId="606"/>
    <cellStyle name="Примечание 3 21 10" xfId="21801"/>
    <cellStyle name="Примечание 3 21 10 2" xfId="37162"/>
    <cellStyle name="Примечание 3 21 11" xfId="11231"/>
    <cellStyle name="Примечание 3 21 12" xfId="26752"/>
    <cellStyle name="Примечание 3 21 2" xfId="673"/>
    <cellStyle name="Примечание 3 21 2 10" xfId="11257"/>
    <cellStyle name="Примечание 3 21 2 11" xfId="26774"/>
    <cellStyle name="Примечание 3 21 2 2" xfId="1521"/>
    <cellStyle name="Примечание 3 21 2 2 2" xfId="3363"/>
    <cellStyle name="Примечание 3 21 2 2 2 2" xfId="8557"/>
    <cellStyle name="Примечание 3 21 2 2 2 2 2" xfId="19484"/>
    <cellStyle name="Примечание 3 21 2 2 2 2 3" xfId="34845"/>
    <cellStyle name="Примечание 3 21 2 2 2 3" xfId="24445"/>
    <cellStyle name="Примечание 3 21 2 2 2 3 2" xfId="39806"/>
    <cellStyle name="Примечание 3 21 2 2 2 4" xfId="13921"/>
    <cellStyle name="Примечание 3 21 2 2 2 5" xfId="29396"/>
    <cellStyle name="Примечание 3 21 2 2 3" xfId="5554"/>
    <cellStyle name="Примечание 3 21 2 2 3 2" xfId="10718"/>
    <cellStyle name="Примечание 3 21 2 2 3 2 2" xfId="21652"/>
    <cellStyle name="Примечание 3 21 2 2 3 2 3" xfId="37013"/>
    <cellStyle name="Примечание 3 21 2 2 3 3" xfId="26605"/>
    <cellStyle name="Примечание 3 21 2 2 3 3 2" xfId="41966"/>
    <cellStyle name="Примечание 3 21 2 2 3 4" xfId="16089"/>
    <cellStyle name="Примечание 3 21 2 2 3 5" xfId="31556"/>
    <cellStyle name="Примечание 3 21 2 2 4" xfId="6768"/>
    <cellStyle name="Примечание 3 21 2 2 4 2" xfId="17663"/>
    <cellStyle name="Примечание 3 21 2 2 4 3" xfId="33024"/>
    <cellStyle name="Примечание 3 21 2 2 5" xfId="22656"/>
    <cellStyle name="Примечание 3 21 2 2 5 2" xfId="38017"/>
    <cellStyle name="Примечание 3 21 2 2 6" xfId="12099"/>
    <cellStyle name="Примечание 3 21 2 2 7" xfId="27607"/>
    <cellStyle name="Примечание 3 21 2 3" xfId="2079"/>
    <cellStyle name="Примечание 3 21 2 3 2" xfId="7315"/>
    <cellStyle name="Примечание 3 21 2 3 2 2" xfId="18217"/>
    <cellStyle name="Примечание 3 21 2 3 2 3" xfId="33578"/>
    <cellStyle name="Примечание 3 21 2 3 3" xfId="23203"/>
    <cellStyle name="Примечание 3 21 2 3 3 2" xfId="38564"/>
    <cellStyle name="Примечание 3 21 2 3 4" xfId="12654"/>
    <cellStyle name="Примечание 3 21 2 3 5" xfId="28154"/>
    <cellStyle name="Примечание 3 21 2 4" xfId="1161"/>
    <cellStyle name="Примечание 3 21 2 4 2" xfId="6415"/>
    <cellStyle name="Примечание 3 21 2 4 2 2" xfId="16447"/>
    <cellStyle name="Примечание 3 21 2 4 2 3" xfId="31914"/>
    <cellStyle name="Примечание 3 21 2 4 3" xfId="22303"/>
    <cellStyle name="Примечание 3 21 2 4 3 2" xfId="37664"/>
    <cellStyle name="Примечание 3 21 2 4 4" xfId="11742"/>
    <cellStyle name="Примечание 3 21 2 4 5" xfId="27254"/>
    <cellStyle name="Примечание 3 21 2 5" xfId="3827"/>
    <cellStyle name="Примечание 3 21 2 5 2" xfId="9014"/>
    <cellStyle name="Примечание 3 21 2 5 2 2" xfId="19941"/>
    <cellStyle name="Примечание 3 21 2 5 2 3" xfId="35302"/>
    <cellStyle name="Примечание 3 21 2 5 3" xfId="24902"/>
    <cellStyle name="Примечание 3 21 2 5 3 2" xfId="40263"/>
    <cellStyle name="Примечание 3 21 2 5 4" xfId="14378"/>
    <cellStyle name="Примечание 3 21 2 5 5" xfId="29853"/>
    <cellStyle name="Примечание 3 21 2 6" xfId="4127"/>
    <cellStyle name="Примечание 3 21 2 6 2" xfId="9314"/>
    <cellStyle name="Примечание 3 21 2 6 2 2" xfId="20241"/>
    <cellStyle name="Примечание 3 21 2 6 2 3" xfId="35602"/>
    <cellStyle name="Примечание 3 21 2 6 3" xfId="25202"/>
    <cellStyle name="Примечание 3 21 2 6 3 2" xfId="40563"/>
    <cellStyle name="Примечание 3 21 2 6 4" xfId="14678"/>
    <cellStyle name="Примечание 3 21 2 6 5" xfId="30153"/>
    <cellStyle name="Примечание 3 21 2 7" xfId="4637"/>
    <cellStyle name="Примечание 3 21 2 7 2" xfId="9824"/>
    <cellStyle name="Примечание 3 21 2 7 2 2" xfId="20751"/>
    <cellStyle name="Примечание 3 21 2 7 2 3" xfId="36112"/>
    <cellStyle name="Примечание 3 21 2 7 3" xfId="25712"/>
    <cellStyle name="Примечание 3 21 2 7 3 2" xfId="41073"/>
    <cellStyle name="Примечание 3 21 2 7 4" xfId="15188"/>
    <cellStyle name="Примечание 3 21 2 7 5" xfId="30663"/>
    <cellStyle name="Примечание 3 21 2 8" xfId="5935"/>
    <cellStyle name="Примечание 3 21 2 8 2" xfId="16932"/>
    <cellStyle name="Примечание 3 21 2 8 3" xfId="32399"/>
    <cellStyle name="Примечание 3 21 2 9" xfId="21823"/>
    <cellStyle name="Примечание 3 21 2 9 2" xfId="37184"/>
    <cellStyle name="Примечание 3 21 3" xfId="988"/>
    <cellStyle name="Примечание 3 21 3 2" xfId="3364"/>
    <cellStyle name="Примечание 3 21 3 2 2" xfId="8558"/>
    <cellStyle name="Примечание 3 21 3 2 2 2" xfId="19485"/>
    <cellStyle name="Примечание 3 21 3 2 2 3" xfId="34846"/>
    <cellStyle name="Примечание 3 21 3 2 3" xfId="24446"/>
    <cellStyle name="Примечание 3 21 3 2 3 2" xfId="39807"/>
    <cellStyle name="Примечание 3 21 3 2 4" xfId="13922"/>
    <cellStyle name="Примечание 3 21 3 2 5" xfId="29397"/>
    <cellStyle name="Примечание 3 21 3 3" xfId="5555"/>
    <cellStyle name="Примечание 3 21 3 3 2" xfId="10719"/>
    <cellStyle name="Примечание 3 21 3 3 2 2" xfId="21653"/>
    <cellStyle name="Примечание 3 21 3 3 2 3" xfId="37014"/>
    <cellStyle name="Примечание 3 21 3 3 3" xfId="26606"/>
    <cellStyle name="Примечание 3 21 3 3 3 2" xfId="41967"/>
    <cellStyle name="Примечание 3 21 3 3 4" xfId="16090"/>
    <cellStyle name="Примечание 3 21 3 3 5" xfId="31557"/>
    <cellStyle name="Примечание 3 21 3 4" xfId="6247"/>
    <cellStyle name="Примечание 3 21 3 4 2" xfId="16618"/>
    <cellStyle name="Примечание 3 21 3 4 3" xfId="32085"/>
    <cellStyle name="Примечание 3 21 3 5" xfId="22135"/>
    <cellStyle name="Примечание 3 21 3 5 2" xfId="37496"/>
    <cellStyle name="Примечание 3 21 3 6" xfId="11571"/>
    <cellStyle name="Примечание 3 21 3 7" xfId="27086"/>
    <cellStyle name="Примечание 3 21 4" xfId="2017"/>
    <cellStyle name="Примечание 3 21 4 2" xfId="7253"/>
    <cellStyle name="Примечание 3 21 4 2 2" xfId="18155"/>
    <cellStyle name="Примечание 3 21 4 2 3" xfId="33516"/>
    <cellStyle name="Примечание 3 21 4 3" xfId="23141"/>
    <cellStyle name="Примечание 3 21 4 3 2" xfId="38502"/>
    <cellStyle name="Примечание 3 21 4 4" xfId="12592"/>
    <cellStyle name="Примечание 3 21 4 5" xfId="28092"/>
    <cellStyle name="Примечание 3 21 5" xfId="1795"/>
    <cellStyle name="Примечание 3 21 5 2" xfId="7034"/>
    <cellStyle name="Примечание 3 21 5 2 2" xfId="17936"/>
    <cellStyle name="Примечание 3 21 5 2 3" xfId="33297"/>
    <cellStyle name="Примечание 3 21 5 3" xfId="22922"/>
    <cellStyle name="Примечание 3 21 5 3 2" xfId="38283"/>
    <cellStyle name="Примечание 3 21 5 4" xfId="12373"/>
    <cellStyle name="Примечание 3 21 5 5" xfId="27873"/>
    <cellStyle name="Примечание 3 21 6" xfId="3590"/>
    <cellStyle name="Примечание 3 21 6 2" xfId="8777"/>
    <cellStyle name="Примечание 3 21 6 2 2" xfId="19704"/>
    <cellStyle name="Примечание 3 21 6 2 3" xfId="35065"/>
    <cellStyle name="Примечание 3 21 6 3" xfId="24665"/>
    <cellStyle name="Примечание 3 21 6 3 2" xfId="40026"/>
    <cellStyle name="Примечание 3 21 6 4" xfId="14141"/>
    <cellStyle name="Примечание 3 21 6 5" xfId="29616"/>
    <cellStyle name="Примечание 3 21 7" xfId="4105"/>
    <cellStyle name="Примечание 3 21 7 2" xfId="9292"/>
    <cellStyle name="Примечание 3 21 7 2 2" xfId="20219"/>
    <cellStyle name="Примечание 3 21 7 2 3" xfId="35580"/>
    <cellStyle name="Примечание 3 21 7 3" xfId="25180"/>
    <cellStyle name="Примечание 3 21 7 3 2" xfId="40541"/>
    <cellStyle name="Примечание 3 21 7 4" xfId="14656"/>
    <cellStyle name="Примечание 3 21 7 5" xfId="30131"/>
    <cellStyle name="Примечание 3 21 8" xfId="4646"/>
    <cellStyle name="Примечание 3 21 8 2" xfId="9833"/>
    <cellStyle name="Примечание 3 21 8 2 2" xfId="20760"/>
    <cellStyle name="Примечание 3 21 8 2 3" xfId="36121"/>
    <cellStyle name="Примечание 3 21 8 3" xfId="25721"/>
    <cellStyle name="Примечание 3 21 8 3 2" xfId="41082"/>
    <cellStyle name="Примечание 3 21 8 4" xfId="15197"/>
    <cellStyle name="Примечание 3 21 8 5" xfId="30672"/>
    <cellStyle name="Примечание 3 21 9" xfId="5913"/>
    <cellStyle name="Примечание 3 21 9 2" xfId="16958"/>
    <cellStyle name="Примечание 3 21 9 3" xfId="32425"/>
    <cellStyle name="Примечание 3 22" xfId="607"/>
    <cellStyle name="Примечание 3 22 10" xfId="21802"/>
    <cellStyle name="Примечание 3 22 10 2" xfId="37163"/>
    <cellStyle name="Примечание 3 22 11" xfId="11232"/>
    <cellStyle name="Примечание 3 22 12" xfId="26753"/>
    <cellStyle name="Примечание 3 22 2" xfId="672"/>
    <cellStyle name="Примечание 3 22 2 10" xfId="11256"/>
    <cellStyle name="Примечание 3 22 2 11" xfId="26773"/>
    <cellStyle name="Примечание 3 22 2 2" xfId="1310"/>
    <cellStyle name="Примечание 3 22 2 2 2" xfId="3367"/>
    <cellStyle name="Примечание 3 22 2 2 2 2" xfId="8561"/>
    <cellStyle name="Примечание 3 22 2 2 2 2 2" xfId="19488"/>
    <cellStyle name="Примечание 3 22 2 2 2 2 3" xfId="34849"/>
    <cellStyle name="Примечание 3 22 2 2 2 3" xfId="24449"/>
    <cellStyle name="Примечание 3 22 2 2 2 3 2" xfId="39810"/>
    <cellStyle name="Примечание 3 22 2 2 2 4" xfId="13925"/>
    <cellStyle name="Примечание 3 22 2 2 2 5" xfId="29400"/>
    <cellStyle name="Примечание 3 22 2 2 3" xfId="5556"/>
    <cellStyle name="Примечание 3 22 2 2 3 2" xfId="10720"/>
    <cellStyle name="Примечание 3 22 2 2 3 2 2" xfId="21654"/>
    <cellStyle name="Примечание 3 22 2 2 3 2 3" xfId="37015"/>
    <cellStyle name="Примечание 3 22 2 2 3 3" xfId="26607"/>
    <cellStyle name="Примечание 3 22 2 2 3 3 2" xfId="41968"/>
    <cellStyle name="Примечание 3 22 2 2 3 4" xfId="16091"/>
    <cellStyle name="Примечание 3 22 2 2 3 5" xfId="31558"/>
    <cellStyle name="Примечание 3 22 2 2 4" xfId="6563"/>
    <cellStyle name="Примечание 3 22 2 2 4 2" xfId="16298"/>
    <cellStyle name="Примечание 3 22 2 2 4 3" xfId="31765"/>
    <cellStyle name="Примечание 3 22 2 2 5" xfId="22451"/>
    <cellStyle name="Примечание 3 22 2 2 5 2" xfId="37812"/>
    <cellStyle name="Примечание 3 22 2 2 6" xfId="11891"/>
    <cellStyle name="Примечание 3 22 2 2 7" xfId="27402"/>
    <cellStyle name="Примечание 3 22 2 3" xfId="2078"/>
    <cellStyle name="Примечание 3 22 2 3 2" xfId="7314"/>
    <cellStyle name="Примечание 3 22 2 3 2 2" xfId="18216"/>
    <cellStyle name="Примечание 3 22 2 3 2 3" xfId="33577"/>
    <cellStyle name="Примечание 3 22 2 3 3" xfId="23202"/>
    <cellStyle name="Примечание 3 22 2 3 3 2" xfId="38563"/>
    <cellStyle name="Примечание 3 22 2 3 4" xfId="12653"/>
    <cellStyle name="Примечание 3 22 2 3 5" xfId="28153"/>
    <cellStyle name="Примечание 3 22 2 4" xfId="2737"/>
    <cellStyle name="Примечание 3 22 2 4 2" xfId="7966"/>
    <cellStyle name="Примечание 3 22 2 4 2 2" xfId="18870"/>
    <cellStyle name="Примечание 3 22 2 4 2 3" xfId="34231"/>
    <cellStyle name="Примечание 3 22 2 4 3" xfId="23854"/>
    <cellStyle name="Примечание 3 22 2 4 3 2" xfId="39215"/>
    <cellStyle name="Примечание 3 22 2 4 4" xfId="13307"/>
    <cellStyle name="Примечание 3 22 2 4 5" xfId="28805"/>
    <cellStyle name="Примечание 3 22 2 5" xfId="2677"/>
    <cellStyle name="Примечание 3 22 2 5 2" xfId="7908"/>
    <cellStyle name="Примечание 3 22 2 5 2 2" xfId="18812"/>
    <cellStyle name="Примечание 3 22 2 5 2 3" xfId="34173"/>
    <cellStyle name="Примечание 3 22 2 5 3" xfId="23796"/>
    <cellStyle name="Примечание 3 22 2 5 3 2" xfId="39157"/>
    <cellStyle name="Примечание 3 22 2 5 4" xfId="13249"/>
    <cellStyle name="Примечание 3 22 2 5 5" xfId="28747"/>
    <cellStyle name="Примечание 3 22 2 6" xfId="4126"/>
    <cellStyle name="Примечание 3 22 2 6 2" xfId="9313"/>
    <cellStyle name="Примечание 3 22 2 6 2 2" xfId="20240"/>
    <cellStyle name="Примечание 3 22 2 6 2 3" xfId="35601"/>
    <cellStyle name="Примечание 3 22 2 6 3" xfId="25201"/>
    <cellStyle name="Примечание 3 22 2 6 3 2" xfId="40562"/>
    <cellStyle name="Примечание 3 22 2 6 4" xfId="14677"/>
    <cellStyle name="Примечание 3 22 2 6 5" xfId="30152"/>
    <cellStyle name="Примечание 3 22 2 7" xfId="4909"/>
    <cellStyle name="Примечание 3 22 2 7 2" xfId="10096"/>
    <cellStyle name="Примечание 3 22 2 7 2 2" xfId="21023"/>
    <cellStyle name="Примечание 3 22 2 7 2 3" xfId="36384"/>
    <cellStyle name="Примечание 3 22 2 7 3" xfId="25984"/>
    <cellStyle name="Примечание 3 22 2 7 3 2" xfId="41345"/>
    <cellStyle name="Примечание 3 22 2 7 4" xfId="15460"/>
    <cellStyle name="Примечание 3 22 2 7 5" xfId="30935"/>
    <cellStyle name="Примечание 3 22 2 8" xfId="5934"/>
    <cellStyle name="Примечание 3 22 2 8 2" xfId="16933"/>
    <cellStyle name="Примечание 3 22 2 8 3" xfId="32400"/>
    <cellStyle name="Примечание 3 22 2 9" xfId="21822"/>
    <cellStyle name="Примечание 3 22 2 9 2" xfId="37183"/>
    <cellStyle name="Примечание 3 22 3" xfId="1676"/>
    <cellStyle name="Примечание 3 22 3 2" xfId="3368"/>
    <cellStyle name="Примечание 3 22 3 2 2" xfId="8562"/>
    <cellStyle name="Примечание 3 22 3 2 2 2" xfId="19489"/>
    <cellStyle name="Примечание 3 22 3 2 2 3" xfId="34850"/>
    <cellStyle name="Примечание 3 22 3 2 3" xfId="24450"/>
    <cellStyle name="Примечание 3 22 3 2 3 2" xfId="39811"/>
    <cellStyle name="Примечание 3 22 3 2 4" xfId="13926"/>
    <cellStyle name="Примечание 3 22 3 2 5" xfId="29401"/>
    <cellStyle name="Примечание 3 22 3 3" xfId="5557"/>
    <cellStyle name="Примечание 3 22 3 3 2" xfId="10721"/>
    <cellStyle name="Примечание 3 22 3 3 2 2" xfId="21655"/>
    <cellStyle name="Примечание 3 22 3 3 2 3" xfId="37016"/>
    <cellStyle name="Примечание 3 22 3 3 3" xfId="26608"/>
    <cellStyle name="Примечание 3 22 3 3 3 2" xfId="41969"/>
    <cellStyle name="Примечание 3 22 3 3 4" xfId="16092"/>
    <cellStyle name="Примечание 3 22 3 3 5" xfId="31559"/>
    <cellStyle name="Примечание 3 22 3 4" xfId="6921"/>
    <cellStyle name="Примечание 3 22 3 4 2" xfId="17818"/>
    <cellStyle name="Примечание 3 22 3 4 3" xfId="33179"/>
    <cellStyle name="Примечание 3 22 3 5" xfId="22809"/>
    <cellStyle name="Примечание 3 22 3 5 2" xfId="38170"/>
    <cellStyle name="Примечание 3 22 3 6" xfId="12254"/>
    <cellStyle name="Примечание 3 22 3 7" xfId="27760"/>
    <cellStyle name="Примечание 3 22 4" xfId="2018"/>
    <cellStyle name="Примечание 3 22 4 2" xfId="7254"/>
    <cellStyle name="Примечание 3 22 4 2 2" xfId="18156"/>
    <cellStyle name="Примечание 3 22 4 2 3" xfId="33517"/>
    <cellStyle name="Примечание 3 22 4 3" xfId="23142"/>
    <cellStyle name="Примечание 3 22 4 3 2" xfId="38503"/>
    <cellStyle name="Примечание 3 22 4 4" xfId="12593"/>
    <cellStyle name="Примечание 3 22 4 5" xfId="28093"/>
    <cellStyle name="Примечание 3 22 5" xfId="2027"/>
    <cellStyle name="Примечание 3 22 5 2" xfId="7263"/>
    <cellStyle name="Примечание 3 22 5 2 2" xfId="18165"/>
    <cellStyle name="Примечание 3 22 5 2 3" xfId="33526"/>
    <cellStyle name="Примечание 3 22 5 3" xfId="23151"/>
    <cellStyle name="Примечание 3 22 5 3 2" xfId="38512"/>
    <cellStyle name="Примечание 3 22 5 4" xfId="12602"/>
    <cellStyle name="Примечание 3 22 5 5" xfId="28102"/>
    <cellStyle name="Примечание 3 22 6" xfId="2543"/>
    <cellStyle name="Примечание 3 22 6 2" xfId="7776"/>
    <cellStyle name="Примечание 3 22 6 2 2" xfId="18678"/>
    <cellStyle name="Примечание 3 22 6 2 3" xfId="34039"/>
    <cellStyle name="Примечание 3 22 6 3" xfId="23664"/>
    <cellStyle name="Примечание 3 22 6 3 2" xfId="39025"/>
    <cellStyle name="Примечание 3 22 6 4" xfId="13115"/>
    <cellStyle name="Примечание 3 22 6 5" xfId="28615"/>
    <cellStyle name="Примечание 3 22 7" xfId="4106"/>
    <cellStyle name="Примечание 3 22 7 2" xfId="9293"/>
    <cellStyle name="Примечание 3 22 7 2 2" xfId="20220"/>
    <cellStyle name="Примечание 3 22 7 2 3" xfId="35581"/>
    <cellStyle name="Примечание 3 22 7 3" xfId="25181"/>
    <cellStyle name="Примечание 3 22 7 3 2" xfId="40542"/>
    <cellStyle name="Примечание 3 22 7 4" xfId="14657"/>
    <cellStyle name="Примечание 3 22 7 5" xfId="30132"/>
    <cellStyle name="Примечание 3 22 8" xfId="4898"/>
    <cellStyle name="Примечание 3 22 8 2" xfId="10085"/>
    <cellStyle name="Примечание 3 22 8 2 2" xfId="21012"/>
    <cellStyle name="Примечание 3 22 8 2 3" xfId="36373"/>
    <cellStyle name="Примечание 3 22 8 3" xfId="25973"/>
    <cellStyle name="Примечание 3 22 8 3 2" xfId="41334"/>
    <cellStyle name="Примечание 3 22 8 4" xfId="15449"/>
    <cellStyle name="Примечание 3 22 8 5" xfId="30924"/>
    <cellStyle name="Примечание 3 22 9" xfId="5914"/>
    <cellStyle name="Примечание 3 22 9 2" xfId="16957"/>
    <cellStyle name="Примечание 3 22 9 3" xfId="32424"/>
    <cellStyle name="Примечание 3 23" xfId="608"/>
    <cellStyle name="Примечание 3 23 10" xfId="21803"/>
    <cellStyle name="Примечание 3 23 10 2" xfId="37164"/>
    <cellStyle name="Примечание 3 23 11" xfId="11233"/>
    <cellStyle name="Примечание 3 23 12" xfId="26754"/>
    <cellStyle name="Примечание 3 23 2" xfId="671"/>
    <cellStyle name="Примечание 3 23 2 10" xfId="11255"/>
    <cellStyle name="Примечание 3 23 2 11" xfId="26772"/>
    <cellStyle name="Примечание 3 23 2 2" xfId="953"/>
    <cellStyle name="Примечание 3 23 2 2 2" xfId="3371"/>
    <cellStyle name="Примечание 3 23 2 2 2 2" xfId="8565"/>
    <cellStyle name="Примечание 3 23 2 2 2 2 2" xfId="19492"/>
    <cellStyle name="Примечание 3 23 2 2 2 2 3" xfId="34853"/>
    <cellStyle name="Примечание 3 23 2 2 2 3" xfId="24453"/>
    <cellStyle name="Примечание 3 23 2 2 2 3 2" xfId="39814"/>
    <cellStyle name="Примечание 3 23 2 2 2 4" xfId="13929"/>
    <cellStyle name="Примечание 3 23 2 2 2 5" xfId="29404"/>
    <cellStyle name="Примечание 3 23 2 2 3" xfId="5558"/>
    <cellStyle name="Примечание 3 23 2 2 3 2" xfId="10722"/>
    <cellStyle name="Примечание 3 23 2 2 3 2 2" xfId="21656"/>
    <cellStyle name="Примечание 3 23 2 2 3 2 3" xfId="37017"/>
    <cellStyle name="Примечание 3 23 2 2 3 3" xfId="26609"/>
    <cellStyle name="Примечание 3 23 2 2 3 3 2" xfId="41970"/>
    <cellStyle name="Примечание 3 23 2 2 3 4" xfId="16093"/>
    <cellStyle name="Примечание 3 23 2 2 3 5" xfId="31560"/>
    <cellStyle name="Примечание 3 23 2 2 4" xfId="6215"/>
    <cellStyle name="Примечание 3 23 2 2 4 2" xfId="16652"/>
    <cellStyle name="Примечание 3 23 2 2 4 3" xfId="32119"/>
    <cellStyle name="Примечание 3 23 2 2 5" xfId="22103"/>
    <cellStyle name="Примечание 3 23 2 2 5 2" xfId="37464"/>
    <cellStyle name="Примечание 3 23 2 2 6" xfId="11537"/>
    <cellStyle name="Примечание 3 23 2 2 7" xfId="27054"/>
    <cellStyle name="Примечание 3 23 2 3" xfId="2077"/>
    <cellStyle name="Примечание 3 23 2 3 2" xfId="7313"/>
    <cellStyle name="Примечание 3 23 2 3 2 2" xfId="18215"/>
    <cellStyle name="Примечание 3 23 2 3 2 3" xfId="33576"/>
    <cellStyle name="Примечание 3 23 2 3 3" xfId="23201"/>
    <cellStyle name="Примечание 3 23 2 3 3 2" xfId="38562"/>
    <cellStyle name="Примечание 3 23 2 3 4" xfId="12652"/>
    <cellStyle name="Примечание 3 23 2 3 5" xfId="28152"/>
    <cellStyle name="Примечание 3 23 2 4" xfId="1451"/>
    <cellStyle name="Примечание 3 23 2 4 2" xfId="6698"/>
    <cellStyle name="Примечание 3 23 2 4 2 2" xfId="16160"/>
    <cellStyle name="Примечание 3 23 2 4 2 3" xfId="31627"/>
    <cellStyle name="Примечание 3 23 2 4 3" xfId="22586"/>
    <cellStyle name="Примечание 3 23 2 4 3 2" xfId="37947"/>
    <cellStyle name="Примечание 3 23 2 4 4" xfId="12029"/>
    <cellStyle name="Примечание 3 23 2 4 5" xfId="27537"/>
    <cellStyle name="Примечание 3 23 2 5" xfId="3595"/>
    <cellStyle name="Примечание 3 23 2 5 2" xfId="8782"/>
    <cellStyle name="Примечание 3 23 2 5 2 2" xfId="19709"/>
    <cellStyle name="Примечание 3 23 2 5 2 3" xfId="35070"/>
    <cellStyle name="Примечание 3 23 2 5 3" xfId="24670"/>
    <cellStyle name="Примечание 3 23 2 5 3 2" xfId="40031"/>
    <cellStyle name="Примечание 3 23 2 5 4" xfId="14146"/>
    <cellStyle name="Примечание 3 23 2 5 5" xfId="29621"/>
    <cellStyle name="Примечание 3 23 2 6" xfId="4125"/>
    <cellStyle name="Примечание 3 23 2 6 2" xfId="9312"/>
    <cellStyle name="Примечание 3 23 2 6 2 2" xfId="20239"/>
    <cellStyle name="Примечание 3 23 2 6 2 3" xfId="35600"/>
    <cellStyle name="Примечание 3 23 2 6 3" xfId="25200"/>
    <cellStyle name="Примечание 3 23 2 6 3 2" xfId="40561"/>
    <cellStyle name="Примечание 3 23 2 6 4" xfId="14676"/>
    <cellStyle name="Примечание 3 23 2 6 5" xfId="30151"/>
    <cellStyle name="Примечание 3 23 2 7" xfId="4638"/>
    <cellStyle name="Примечание 3 23 2 7 2" xfId="9825"/>
    <cellStyle name="Примечание 3 23 2 7 2 2" xfId="20752"/>
    <cellStyle name="Примечание 3 23 2 7 2 3" xfId="36113"/>
    <cellStyle name="Примечание 3 23 2 7 3" xfId="25713"/>
    <cellStyle name="Примечание 3 23 2 7 3 2" xfId="41074"/>
    <cellStyle name="Примечание 3 23 2 7 4" xfId="15189"/>
    <cellStyle name="Примечание 3 23 2 7 5" xfId="30664"/>
    <cellStyle name="Примечание 3 23 2 8" xfId="5933"/>
    <cellStyle name="Примечание 3 23 2 8 2" xfId="16934"/>
    <cellStyle name="Примечание 3 23 2 8 3" xfId="32401"/>
    <cellStyle name="Примечание 3 23 2 9" xfId="21821"/>
    <cellStyle name="Примечание 3 23 2 9 2" xfId="37182"/>
    <cellStyle name="Примечание 3 23 3" xfId="1624"/>
    <cellStyle name="Примечание 3 23 3 2" xfId="3372"/>
    <cellStyle name="Примечание 3 23 3 2 2" xfId="8566"/>
    <cellStyle name="Примечание 3 23 3 2 2 2" xfId="19493"/>
    <cellStyle name="Примечание 3 23 3 2 2 3" xfId="34854"/>
    <cellStyle name="Примечание 3 23 3 2 3" xfId="24454"/>
    <cellStyle name="Примечание 3 23 3 2 3 2" xfId="39815"/>
    <cellStyle name="Примечание 3 23 3 2 4" xfId="13930"/>
    <cellStyle name="Примечание 3 23 3 2 5" xfId="29405"/>
    <cellStyle name="Примечание 3 23 3 3" xfId="5559"/>
    <cellStyle name="Примечание 3 23 3 3 2" xfId="10723"/>
    <cellStyle name="Примечание 3 23 3 3 2 2" xfId="21657"/>
    <cellStyle name="Примечание 3 23 3 3 2 3" xfId="37018"/>
    <cellStyle name="Примечание 3 23 3 3 3" xfId="26610"/>
    <cellStyle name="Примечание 3 23 3 3 3 2" xfId="41971"/>
    <cellStyle name="Примечание 3 23 3 3 4" xfId="16094"/>
    <cellStyle name="Примечание 3 23 3 3 5" xfId="31561"/>
    <cellStyle name="Примечание 3 23 3 4" xfId="6870"/>
    <cellStyle name="Примечание 3 23 3 4 2" xfId="17766"/>
    <cellStyle name="Примечание 3 23 3 4 3" xfId="33127"/>
    <cellStyle name="Примечание 3 23 3 5" xfId="22758"/>
    <cellStyle name="Примечание 3 23 3 5 2" xfId="38119"/>
    <cellStyle name="Примечание 3 23 3 6" xfId="12202"/>
    <cellStyle name="Примечание 3 23 3 7" xfId="27709"/>
    <cellStyle name="Примечание 3 23 4" xfId="2019"/>
    <cellStyle name="Примечание 3 23 4 2" xfId="7255"/>
    <cellStyle name="Примечание 3 23 4 2 2" xfId="18157"/>
    <cellStyle name="Примечание 3 23 4 2 3" xfId="33518"/>
    <cellStyle name="Примечание 3 23 4 3" xfId="23143"/>
    <cellStyle name="Примечание 3 23 4 3 2" xfId="38504"/>
    <cellStyle name="Примечание 3 23 4 4" xfId="12594"/>
    <cellStyle name="Примечание 3 23 4 5" xfId="28094"/>
    <cellStyle name="Примечание 3 23 5" xfId="1793"/>
    <cellStyle name="Примечание 3 23 5 2" xfId="7032"/>
    <cellStyle name="Примечание 3 23 5 2 2" xfId="17934"/>
    <cellStyle name="Примечание 3 23 5 2 3" xfId="33295"/>
    <cellStyle name="Примечание 3 23 5 3" xfId="22920"/>
    <cellStyle name="Примечание 3 23 5 3 2" xfId="38281"/>
    <cellStyle name="Примечание 3 23 5 4" xfId="12371"/>
    <cellStyle name="Примечание 3 23 5 5" xfId="27871"/>
    <cellStyle name="Примечание 3 23 6" xfId="3591"/>
    <cellStyle name="Примечание 3 23 6 2" xfId="8778"/>
    <cellStyle name="Примечание 3 23 6 2 2" xfId="19705"/>
    <cellStyle name="Примечание 3 23 6 2 3" xfId="35066"/>
    <cellStyle name="Примечание 3 23 6 3" xfId="24666"/>
    <cellStyle name="Примечание 3 23 6 3 2" xfId="40027"/>
    <cellStyle name="Примечание 3 23 6 4" xfId="14142"/>
    <cellStyle name="Примечание 3 23 6 5" xfId="29617"/>
    <cellStyle name="Примечание 3 23 7" xfId="4107"/>
    <cellStyle name="Примечание 3 23 7 2" xfId="9294"/>
    <cellStyle name="Примечание 3 23 7 2 2" xfId="20221"/>
    <cellStyle name="Примечание 3 23 7 2 3" xfId="35582"/>
    <cellStyle name="Примечание 3 23 7 3" xfId="25182"/>
    <cellStyle name="Примечание 3 23 7 3 2" xfId="40543"/>
    <cellStyle name="Примечание 3 23 7 4" xfId="14658"/>
    <cellStyle name="Примечание 3 23 7 5" xfId="30133"/>
    <cellStyle name="Примечание 3 23 8" xfId="4645"/>
    <cellStyle name="Примечание 3 23 8 2" xfId="9832"/>
    <cellStyle name="Примечание 3 23 8 2 2" xfId="20759"/>
    <cellStyle name="Примечание 3 23 8 2 3" xfId="36120"/>
    <cellStyle name="Примечание 3 23 8 3" xfId="25720"/>
    <cellStyle name="Примечание 3 23 8 3 2" xfId="41081"/>
    <cellStyle name="Примечание 3 23 8 4" xfId="15196"/>
    <cellStyle name="Примечание 3 23 8 5" xfId="30671"/>
    <cellStyle name="Примечание 3 23 9" xfId="5915"/>
    <cellStyle name="Примечание 3 23 9 2" xfId="16956"/>
    <cellStyle name="Примечание 3 23 9 3" xfId="32423"/>
    <cellStyle name="Примечание 3 24" xfId="707"/>
    <cellStyle name="Примечание 3 24 10" xfId="11291"/>
    <cellStyle name="Примечание 3 24 11" xfId="26808"/>
    <cellStyle name="Примечание 3 24 2" xfId="1583"/>
    <cellStyle name="Примечание 3 24 2 2" xfId="3374"/>
    <cellStyle name="Примечание 3 24 2 2 2" xfId="8568"/>
    <cellStyle name="Примечание 3 24 2 2 2 2" xfId="19495"/>
    <cellStyle name="Примечание 3 24 2 2 2 3" xfId="34856"/>
    <cellStyle name="Примечание 3 24 2 2 3" xfId="24456"/>
    <cellStyle name="Примечание 3 24 2 2 3 2" xfId="39817"/>
    <cellStyle name="Примечание 3 24 2 2 4" xfId="13932"/>
    <cellStyle name="Примечание 3 24 2 2 5" xfId="29407"/>
    <cellStyle name="Примечание 3 24 2 3" xfId="5560"/>
    <cellStyle name="Примечание 3 24 2 3 2" xfId="10724"/>
    <cellStyle name="Примечание 3 24 2 3 2 2" xfId="21658"/>
    <cellStyle name="Примечание 3 24 2 3 2 3" xfId="37019"/>
    <cellStyle name="Примечание 3 24 2 3 3" xfId="26611"/>
    <cellStyle name="Примечание 3 24 2 3 3 2" xfId="41972"/>
    <cellStyle name="Примечание 3 24 2 3 4" xfId="16095"/>
    <cellStyle name="Примечание 3 24 2 3 5" xfId="31562"/>
    <cellStyle name="Примечание 3 24 2 4" xfId="6830"/>
    <cellStyle name="Примечание 3 24 2 4 2" xfId="17725"/>
    <cellStyle name="Примечание 3 24 2 4 3" xfId="33086"/>
    <cellStyle name="Примечание 3 24 2 5" xfId="22718"/>
    <cellStyle name="Примечание 3 24 2 5 2" xfId="38079"/>
    <cellStyle name="Примечание 3 24 2 6" xfId="12161"/>
    <cellStyle name="Примечание 3 24 2 7" xfId="27669"/>
    <cellStyle name="Примечание 3 24 3" xfId="2113"/>
    <cellStyle name="Примечание 3 24 3 2" xfId="7349"/>
    <cellStyle name="Примечание 3 24 3 2 2" xfId="18251"/>
    <cellStyle name="Примечание 3 24 3 2 3" xfId="33612"/>
    <cellStyle name="Примечание 3 24 3 3" xfId="23237"/>
    <cellStyle name="Примечание 3 24 3 3 2" xfId="38598"/>
    <cellStyle name="Примечание 3 24 3 4" xfId="12688"/>
    <cellStyle name="Примечание 3 24 3 5" xfId="28188"/>
    <cellStyle name="Примечание 3 24 4" xfId="2387"/>
    <cellStyle name="Примечание 3 24 4 2" xfId="7623"/>
    <cellStyle name="Примечание 3 24 4 2 2" xfId="18525"/>
    <cellStyle name="Примечание 3 24 4 2 3" xfId="33886"/>
    <cellStyle name="Примечание 3 24 4 3" xfId="23511"/>
    <cellStyle name="Примечание 3 24 4 3 2" xfId="38872"/>
    <cellStyle name="Примечание 3 24 4 4" xfId="12962"/>
    <cellStyle name="Примечание 3 24 4 5" xfId="28462"/>
    <cellStyle name="Примечание 3 24 5" xfId="2617"/>
    <cellStyle name="Примечание 3 24 5 2" xfId="7849"/>
    <cellStyle name="Примечание 3 24 5 2 2" xfId="18752"/>
    <cellStyle name="Примечание 3 24 5 2 3" xfId="34113"/>
    <cellStyle name="Примечание 3 24 5 3" xfId="23737"/>
    <cellStyle name="Примечание 3 24 5 3 2" xfId="39098"/>
    <cellStyle name="Примечание 3 24 5 4" xfId="13189"/>
    <cellStyle name="Примечание 3 24 5 5" xfId="28688"/>
    <cellStyle name="Примечание 3 24 6" xfId="4161"/>
    <cellStyle name="Примечание 3 24 6 2" xfId="9348"/>
    <cellStyle name="Примечание 3 24 6 2 2" xfId="20275"/>
    <cellStyle name="Примечание 3 24 6 2 3" xfId="35636"/>
    <cellStyle name="Примечание 3 24 6 3" xfId="25236"/>
    <cellStyle name="Примечание 3 24 6 3 2" xfId="40597"/>
    <cellStyle name="Примечание 3 24 6 4" xfId="14712"/>
    <cellStyle name="Примечание 3 24 6 5" xfId="30187"/>
    <cellStyle name="Примечание 3 24 7" xfId="4927"/>
    <cellStyle name="Примечание 3 24 7 2" xfId="10114"/>
    <cellStyle name="Примечание 3 24 7 2 2" xfId="21041"/>
    <cellStyle name="Примечание 3 24 7 2 3" xfId="36402"/>
    <cellStyle name="Примечание 3 24 7 3" xfId="26002"/>
    <cellStyle name="Примечание 3 24 7 3 2" xfId="41363"/>
    <cellStyle name="Примечание 3 24 7 4" xfId="15478"/>
    <cellStyle name="Примечание 3 24 7 5" xfId="30953"/>
    <cellStyle name="Примечание 3 24 8" xfId="5969"/>
    <cellStyle name="Примечание 3 24 8 2" xfId="16898"/>
    <cellStyle name="Примечание 3 24 8 3" xfId="32365"/>
    <cellStyle name="Примечание 3 24 9" xfId="21857"/>
    <cellStyle name="Примечание 3 24 9 2" xfId="37218"/>
    <cellStyle name="Примечание 3 25" xfId="1186"/>
    <cellStyle name="Примечание 3 25 2" xfId="3375"/>
    <cellStyle name="Примечание 3 25 2 2" xfId="8569"/>
    <cellStyle name="Примечание 3 25 2 2 2" xfId="19496"/>
    <cellStyle name="Примечание 3 25 2 2 3" xfId="34857"/>
    <cellStyle name="Примечание 3 25 2 3" xfId="24457"/>
    <cellStyle name="Примечание 3 25 2 3 2" xfId="39818"/>
    <cellStyle name="Примечание 3 25 2 4" xfId="13933"/>
    <cellStyle name="Примечание 3 25 2 5" xfId="29408"/>
    <cellStyle name="Примечание 3 25 3" xfId="5561"/>
    <cellStyle name="Примечание 3 25 3 2" xfId="10725"/>
    <cellStyle name="Примечание 3 25 3 2 2" xfId="21659"/>
    <cellStyle name="Примечание 3 25 3 2 3" xfId="37020"/>
    <cellStyle name="Примечание 3 25 3 3" xfId="26612"/>
    <cellStyle name="Примечание 3 25 3 3 2" xfId="41973"/>
    <cellStyle name="Примечание 3 25 3 4" xfId="16096"/>
    <cellStyle name="Примечание 3 25 3 5" xfId="31563"/>
    <cellStyle name="Примечание 3 25 4" xfId="6440"/>
    <cellStyle name="Примечание 3 25 4 2" xfId="16422"/>
    <cellStyle name="Примечание 3 25 4 3" xfId="31889"/>
    <cellStyle name="Примечание 3 25 5" xfId="22328"/>
    <cellStyle name="Примечание 3 25 5 2" xfId="37689"/>
    <cellStyle name="Примечание 3 25 6" xfId="11767"/>
    <cellStyle name="Примечание 3 25 7" xfId="27279"/>
    <cellStyle name="Примечание 3 26" xfId="1983"/>
    <cellStyle name="Примечание 3 26 2" xfId="5562"/>
    <cellStyle name="Примечание 3 26 2 2" xfId="10726"/>
    <cellStyle name="Примечание 3 26 2 2 2" xfId="21660"/>
    <cellStyle name="Примечание 3 26 2 2 3" xfId="37021"/>
    <cellStyle name="Примечание 3 26 2 3" xfId="26613"/>
    <cellStyle name="Примечание 3 26 2 3 2" xfId="41974"/>
    <cellStyle name="Примечание 3 26 2 4" xfId="16097"/>
    <cellStyle name="Примечание 3 26 2 5" xfId="31564"/>
    <cellStyle name="Примечание 3 26 3" xfId="7219"/>
    <cellStyle name="Примечание 3 26 3 2" xfId="18121"/>
    <cellStyle name="Примечание 3 26 3 3" xfId="33482"/>
    <cellStyle name="Примечание 3 26 4" xfId="23107"/>
    <cellStyle name="Примечание 3 26 4 2" xfId="38468"/>
    <cellStyle name="Примечание 3 26 5" xfId="12558"/>
    <cellStyle name="Примечание 3 26 6" xfId="28058"/>
    <cellStyle name="Примечание 3 27" xfId="3247"/>
    <cellStyle name="Примечание 3 27 2" xfId="8441"/>
    <cellStyle name="Примечание 3 27 2 2" xfId="19368"/>
    <cellStyle name="Примечание 3 27 2 3" xfId="34729"/>
    <cellStyle name="Примечание 3 27 3" xfId="24329"/>
    <cellStyle name="Примечание 3 27 3 2" xfId="39690"/>
    <cellStyle name="Примечание 3 27 4" xfId="13805"/>
    <cellStyle name="Примечание 3 27 5" xfId="29280"/>
    <cellStyle name="Примечание 3 27 6" xfId="44038"/>
    <cellStyle name="Примечание 3 28" xfId="1869"/>
    <cellStyle name="Примечание 3 28 2" xfId="7108"/>
    <cellStyle name="Примечание 3 28 2 2" xfId="18010"/>
    <cellStyle name="Примечание 3 28 2 3" xfId="33371"/>
    <cellStyle name="Примечание 3 28 3" xfId="22996"/>
    <cellStyle name="Примечание 3 28 3 2" xfId="38357"/>
    <cellStyle name="Примечание 3 28 4" xfId="12447"/>
    <cellStyle name="Примечание 3 28 5" xfId="27947"/>
    <cellStyle name="Примечание 3 29" xfId="2928"/>
    <cellStyle name="Примечание 3 29 2" xfId="8129"/>
    <cellStyle name="Примечание 3 29 2 2" xfId="19049"/>
    <cellStyle name="Примечание 3 29 2 3" xfId="34410"/>
    <cellStyle name="Примечание 3 29 3" xfId="24017"/>
    <cellStyle name="Примечание 3 29 3 2" xfId="39378"/>
    <cellStyle name="Примечание 3 29 4" xfId="13486"/>
    <cellStyle name="Примечание 3 29 5" xfId="28968"/>
    <cellStyle name="Примечание 3 3" xfId="609"/>
    <cellStyle name="Примечание 3 3 10" xfId="21804"/>
    <cellStyle name="Примечание 3 3 10 2" xfId="37165"/>
    <cellStyle name="Примечание 3 3 11" xfId="11234"/>
    <cellStyle name="Примечание 3 3 12" xfId="26755"/>
    <cellStyle name="Примечание 3 3 2" xfId="670"/>
    <cellStyle name="Примечание 3 3 2 10" xfId="11254"/>
    <cellStyle name="Примечание 3 3 2 11" xfId="26771"/>
    <cellStyle name="Примечание 3 3 2 2" xfId="1075"/>
    <cellStyle name="Примечание 3 3 2 2 2" xfId="3377"/>
    <cellStyle name="Примечание 3 3 2 2 2 2" xfId="8571"/>
    <cellStyle name="Примечание 3 3 2 2 2 2 2" xfId="19498"/>
    <cellStyle name="Примечание 3 3 2 2 2 2 3" xfId="34859"/>
    <cellStyle name="Примечание 3 3 2 2 2 3" xfId="24459"/>
    <cellStyle name="Примечание 3 3 2 2 2 3 2" xfId="39820"/>
    <cellStyle name="Примечание 3 3 2 2 2 4" xfId="13935"/>
    <cellStyle name="Примечание 3 3 2 2 2 5" xfId="29410"/>
    <cellStyle name="Примечание 3 3 2 2 3" xfId="5563"/>
    <cellStyle name="Примечание 3 3 2 2 3 2" xfId="10727"/>
    <cellStyle name="Примечание 3 3 2 2 3 2 2" xfId="21661"/>
    <cellStyle name="Примечание 3 3 2 2 3 2 3" xfId="37022"/>
    <cellStyle name="Примечание 3 3 2 2 3 3" xfId="26614"/>
    <cellStyle name="Примечание 3 3 2 2 3 3 2" xfId="41975"/>
    <cellStyle name="Примечание 3 3 2 2 3 4" xfId="16098"/>
    <cellStyle name="Примечание 3 3 2 2 3 5" xfId="31565"/>
    <cellStyle name="Примечание 3 3 2 2 4" xfId="6332"/>
    <cellStyle name="Примечание 3 3 2 2 4 2" xfId="16532"/>
    <cellStyle name="Примечание 3 3 2 2 4 3" xfId="31999"/>
    <cellStyle name="Примечание 3 3 2 2 5" xfId="22220"/>
    <cellStyle name="Примечание 3 3 2 2 5 2" xfId="37581"/>
    <cellStyle name="Примечание 3 3 2 2 6" xfId="11657"/>
    <cellStyle name="Примечание 3 3 2 2 7" xfId="27171"/>
    <cellStyle name="Примечание 3 3 2 3" xfId="2076"/>
    <cellStyle name="Примечание 3 3 2 3 2" xfId="7312"/>
    <cellStyle name="Примечание 3 3 2 3 2 2" xfId="18214"/>
    <cellStyle name="Примечание 3 3 2 3 2 3" xfId="33575"/>
    <cellStyle name="Примечание 3 3 2 3 3" xfId="23200"/>
    <cellStyle name="Примечание 3 3 2 3 3 2" xfId="38561"/>
    <cellStyle name="Примечание 3 3 2 3 4" xfId="12651"/>
    <cellStyle name="Примечание 3 3 2 3 5" xfId="28151"/>
    <cellStyle name="Примечание 3 3 2 4" xfId="2736"/>
    <cellStyle name="Примечание 3 3 2 4 2" xfId="7965"/>
    <cellStyle name="Примечание 3 3 2 4 2 2" xfId="18869"/>
    <cellStyle name="Примечание 3 3 2 4 2 3" xfId="34230"/>
    <cellStyle name="Примечание 3 3 2 4 3" xfId="23853"/>
    <cellStyle name="Примечание 3 3 2 4 3 2" xfId="39214"/>
    <cellStyle name="Примечание 3 3 2 4 4" xfId="13306"/>
    <cellStyle name="Примечание 3 3 2 4 5" xfId="28804"/>
    <cellStyle name="Примечание 3 3 2 5" xfId="2530"/>
    <cellStyle name="Примечание 3 3 2 5 2" xfId="7763"/>
    <cellStyle name="Примечание 3 3 2 5 2 2" xfId="18665"/>
    <cellStyle name="Примечание 3 3 2 5 2 3" xfId="34026"/>
    <cellStyle name="Примечание 3 3 2 5 3" xfId="23651"/>
    <cellStyle name="Примечание 3 3 2 5 3 2" xfId="39012"/>
    <cellStyle name="Примечание 3 3 2 5 4" xfId="13102"/>
    <cellStyle name="Примечание 3 3 2 5 5" xfId="28602"/>
    <cellStyle name="Примечание 3 3 2 6" xfId="4124"/>
    <cellStyle name="Примечание 3 3 2 6 2" xfId="9311"/>
    <cellStyle name="Примечание 3 3 2 6 2 2" xfId="20238"/>
    <cellStyle name="Примечание 3 3 2 6 2 3" xfId="35599"/>
    <cellStyle name="Примечание 3 3 2 6 3" xfId="25199"/>
    <cellStyle name="Примечание 3 3 2 6 3 2" xfId="40560"/>
    <cellStyle name="Примечание 3 3 2 6 4" xfId="14675"/>
    <cellStyle name="Примечание 3 3 2 6 5" xfId="30150"/>
    <cellStyle name="Примечание 3 3 2 7" xfId="4908"/>
    <cellStyle name="Примечание 3 3 2 7 2" xfId="10095"/>
    <cellStyle name="Примечание 3 3 2 7 2 2" xfId="21022"/>
    <cellStyle name="Примечание 3 3 2 7 2 3" xfId="36383"/>
    <cellStyle name="Примечание 3 3 2 7 3" xfId="25983"/>
    <cellStyle name="Примечание 3 3 2 7 3 2" xfId="41344"/>
    <cellStyle name="Примечание 3 3 2 7 4" xfId="15459"/>
    <cellStyle name="Примечание 3 3 2 7 5" xfId="30934"/>
    <cellStyle name="Примечание 3 3 2 8" xfId="5932"/>
    <cellStyle name="Примечание 3 3 2 8 2" xfId="16935"/>
    <cellStyle name="Примечание 3 3 2 8 3" xfId="32402"/>
    <cellStyle name="Примечание 3 3 2 9" xfId="21820"/>
    <cellStyle name="Примечание 3 3 2 9 2" xfId="37181"/>
    <cellStyle name="Примечание 3 3 3" xfId="1747"/>
    <cellStyle name="Примечание 3 3 3 2" xfId="3378"/>
    <cellStyle name="Примечание 3 3 3 2 2" xfId="8572"/>
    <cellStyle name="Примечание 3 3 3 2 2 2" xfId="19499"/>
    <cellStyle name="Примечание 3 3 3 2 2 3" xfId="34860"/>
    <cellStyle name="Примечание 3 3 3 2 3" xfId="24460"/>
    <cellStyle name="Примечание 3 3 3 2 3 2" xfId="39821"/>
    <cellStyle name="Примечание 3 3 3 2 4" xfId="13936"/>
    <cellStyle name="Примечание 3 3 3 2 5" xfId="29411"/>
    <cellStyle name="Примечание 3 3 3 3" xfId="5564"/>
    <cellStyle name="Примечание 3 3 3 3 2" xfId="10728"/>
    <cellStyle name="Примечание 3 3 3 3 2 2" xfId="21662"/>
    <cellStyle name="Примечание 3 3 3 3 2 3" xfId="37023"/>
    <cellStyle name="Примечание 3 3 3 3 3" xfId="26615"/>
    <cellStyle name="Примечание 3 3 3 3 3 2" xfId="41976"/>
    <cellStyle name="Примечание 3 3 3 3 4" xfId="16099"/>
    <cellStyle name="Примечание 3 3 3 3 5" xfId="31566"/>
    <cellStyle name="Примечание 3 3 3 4" xfId="6986"/>
    <cellStyle name="Примечание 3 3 3 4 2" xfId="17888"/>
    <cellStyle name="Примечание 3 3 3 4 3" xfId="33249"/>
    <cellStyle name="Примечание 3 3 3 5" xfId="22874"/>
    <cellStyle name="Примечание 3 3 3 5 2" xfId="38235"/>
    <cellStyle name="Примечание 3 3 3 6" xfId="12325"/>
    <cellStyle name="Примечание 3 3 3 7" xfId="27825"/>
    <cellStyle name="Примечание 3 3 4" xfId="2020"/>
    <cellStyle name="Примечание 3 3 4 2" xfId="7256"/>
    <cellStyle name="Примечание 3 3 4 2 2" xfId="18158"/>
    <cellStyle name="Примечание 3 3 4 2 3" xfId="33519"/>
    <cellStyle name="Примечание 3 3 4 3" xfId="23144"/>
    <cellStyle name="Примечание 3 3 4 3 2" xfId="38505"/>
    <cellStyle name="Примечание 3 3 4 4" xfId="12595"/>
    <cellStyle name="Примечание 3 3 4 5" xfId="28095"/>
    <cellStyle name="Примечание 3 3 5" xfId="2451"/>
    <cellStyle name="Примечание 3 3 5 2" xfId="7687"/>
    <cellStyle name="Примечание 3 3 5 2 2" xfId="18589"/>
    <cellStyle name="Примечание 3 3 5 2 3" xfId="33950"/>
    <cellStyle name="Примечание 3 3 5 3" xfId="23575"/>
    <cellStyle name="Примечание 3 3 5 3 2" xfId="38936"/>
    <cellStyle name="Примечание 3 3 5 4" xfId="13026"/>
    <cellStyle name="Примечание 3 3 5 5" xfId="28526"/>
    <cellStyle name="Примечание 3 3 6" xfId="3442"/>
    <cellStyle name="Примечание 3 3 6 2" xfId="8631"/>
    <cellStyle name="Примечание 3 3 6 2 2" xfId="19558"/>
    <cellStyle name="Примечание 3 3 6 2 3" xfId="34919"/>
    <cellStyle name="Примечание 3 3 6 3" xfId="24519"/>
    <cellStyle name="Примечание 3 3 6 3 2" xfId="39880"/>
    <cellStyle name="Примечание 3 3 6 4" xfId="13995"/>
    <cellStyle name="Примечание 3 3 6 5" xfId="29470"/>
    <cellStyle name="Примечание 3 3 7" xfId="4108"/>
    <cellStyle name="Примечание 3 3 7 2" xfId="9295"/>
    <cellStyle name="Примечание 3 3 7 2 2" xfId="20222"/>
    <cellStyle name="Примечание 3 3 7 2 3" xfId="35583"/>
    <cellStyle name="Примечание 3 3 7 3" xfId="25183"/>
    <cellStyle name="Примечание 3 3 7 3 2" xfId="40544"/>
    <cellStyle name="Примечание 3 3 7 4" xfId="14659"/>
    <cellStyle name="Примечание 3 3 7 5" xfId="30134"/>
    <cellStyle name="Примечание 3 3 8" xfId="4899"/>
    <cellStyle name="Примечание 3 3 8 2" xfId="10086"/>
    <cellStyle name="Примечание 3 3 8 2 2" xfId="21013"/>
    <cellStyle name="Примечание 3 3 8 2 3" xfId="36374"/>
    <cellStyle name="Примечание 3 3 8 3" xfId="25974"/>
    <cellStyle name="Примечание 3 3 8 3 2" xfId="41335"/>
    <cellStyle name="Примечание 3 3 8 4" xfId="15450"/>
    <cellStyle name="Примечание 3 3 8 5" xfId="30925"/>
    <cellStyle name="Примечание 3 3 9" xfId="5916"/>
    <cellStyle name="Примечание 3 3 9 2" xfId="16955"/>
    <cellStyle name="Примечание 3 3 9 3" xfId="32422"/>
    <cellStyle name="Примечание 3 30" xfId="4071"/>
    <cellStyle name="Примечание 3 30 2" xfId="9258"/>
    <cellStyle name="Примечание 3 30 2 2" xfId="20185"/>
    <cellStyle name="Примечание 3 30 2 3" xfId="35546"/>
    <cellStyle name="Примечание 3 30 3" xfId="25146"/>
    <cellStyle name="Примечание 3 30 3 2" xfId="40507"/>
    <cellStyle name="Примечание 3 30 4" xfId="14622"/>
    <cellStyle name="Примечание 3 30 5" xfId="30097"/>
    <cellStyle name="Примечание 3 31" xfId="4884"/>
    <cellStyle name="Примечание 3 31 2" xfId="10071"/>
    <cellStyle name="Примечание 3 31 2 2" xfId="20998"/>
    <cellStyle name="Примечание 3 31 2 3" xfId="36359"/>
    <cellStyle name="Примечание 3 31 3" xfId="25959"/>
    <cellStyle name="Примечание 3 31 3 2" xfId="41320"/>
    <cellStyle name="Примечание 3 31 4" xfId="15435"/>
    <cellStyle name="Примечание 3 31 5" xfId="30910"/>
    <cellStyle name="Примечание 3 32" xfId="5487"/>
    <cellStyle name="Примечание 3 32 2" xfId="10651"/>
    <cellStyle name="Примечание 3 32 2 2" xfId="21585"/>
    <cellStyle name="Примечание 3 32 2 3" xfId="36946"/>
    <cellStyle name="Примечание 3 32 3" xfId="26538"/>
    <cellStyle name="Примечание 3 32 3 2" xfId="41899"/>
    <cellStyle name="Примечание 3 32 4" xfId="16022"/>
    <cellStyle name="Примечание 3 32 5" xfId="31489"/>
    <cellStyle name="Примечание 3 33" xfId="5879"/>
    <cellStyle name="Примечание 3 33 2" xfId="16991"/>
    <cellStyle name="Примечание 3 33 3" xfId="32458"/>
    <cellStyle name="Примечание 3 34" xfId="21767"/>
    <cellStyle name="Примечание 3 34 2" xfId="37128"/>
    <cellStyle name="Примечание 3 35" xfId="11197"/>
    <cellStyle name="Примечание 3 36" xfId="26718"/>
    <cellStyle name="Примечание 3 4" xfId="610"/>
    <cellStyle name="Примечание 3 4 10" xfId="21805"/>
    <cellStyle name="Примечание 3 4 10 2" xfId="37166"/>
    <cellStyle name="Примечание 3 4 11" xfId="11235"/>
    <cellStyle name="Примечание 3 4 12" xfId="26756"/>
    <cellStyle name="Примечание 3 4 2" xfId="669"/>
    <cellStyle name="Примечание 3 4 2 10" xfId="11253"/>
    <cellStyle name="Примечание 3 4 2 11" xfId="26770"/>
    <cellStyle name="Примечание 3 4 2 2" xfId="1036"/>
    <cellStyle name="Примечание 3 4 2 2 2" xfId="3380"/>
    <cellStyle name="Примечание 3 4 2 2 2 2" xfId="8574"/>
    <cellStyle name="Примечание 3 4 2 2 2 2 2" xfId="19501"/>
    <cellStyle name="Примечание 3 4 2 2 2 2 3" xfId="34862"/>
    <cellStyle name="Примечание 3 4 2 2 2 3" xfId="24462"/>
    <cellStyle name="Примечание 3 4 2 2 2 3 2" xfId="39823"/>
    <cellStyle name="Примечание 3 4 2 2 2 4" xfId="13938"/>
    <cellStyle name="Примечание 3 4 2 2 2 5" xfId="29413"/>
    <cellStyle name="Примечание 3 4 2 2 3" xfId="5565"/>
    <cellStyle name="Примечание 3 4 2 2 3 2" xfId="10729"/>
    <cellStyle name="Примечание 3 4 2 2 3 2 2" xfId="21663"/>
    <cellStyle name="Примечание 3 4 2 2 3 2 3" xfId="37024"/>
    <cellStyle name="Примечание 3 4 2 2 3 3" xfId="26616"/>
    <cellStyle name="Примечание 3 4 2 2 3 3 2" xfId="41977"/>
    <cellStyle name="Примечание 3 4 2 2 3 4" xfId="16100"/>
    <cellStyle name="Примечание 3 4 2 2 3 5" xfId="31567"/>
    <cellStyle name="Примечание 3 4 2 2 4" xfId="6294"/>
    <cellStyle name="Примечание 3 4 2 2 4 2" xfId="16570"/>
    <cellStyle name="Примечание 3 4 2 2 4 3" xfId="32037"/>
    <cellStyle name="Примечание 3 4 2 2 5" xfId="22182"/>
    <cellStyle name="Примечание 3 4 2 2 5 2" xfId="37543"/>
    <cellStyle name="Примечание 3 4 2 2 6" xfId="11619"/>
    <cellStyle name="Примечание 3 4 2 2 7" xfId="27133"/>
    <cellStyle name="Примечание 3 4 2 3" xfId="2075"/>
    <cellStyle name="Примечание 3 4 2 3 2" xfId="7311"/>
    <cellStyle name="Примечание 3 4 2 3 2 2" xfId="18213"/>
    <cellStyle name="Примечание 3 4 2 3 2 3" xfId="33574"/>
    <cellStyle name="Примечание 3 4 2 3 3" xfId="23199"/>
    <cellStyle name="Примечание 3 4 2 3 3 2" xfId="38560"/>
    <cellStyle name="Примечание 3 4 2 3 4" xfId="12650"/>
    <cellStyle name="Примечание 3 4 2 3 5" xfId="28150"/>
    <cellStyle name="Примечание 3 4 2 4" xfId="1020"/>
    <cellStyle name="Примечание 3 4 2 4 2" xfId="6278"/>
    <cellStyle name="Примечание 3 4 2 4 2 2" xfId="16586"/>
    <cellStyle name="Примечание 3 4 2 4 2 3" xfId="32053"/>
    <cellStyle name="Примечание 3 4 2 4 3" xfId="22166"/>
    <cellStyle name="Примечание 3 4 2 4 3 2" xfId="37527"/>
    <cellStyle name="Примечание 3 4 2 4 4" xfId="11603"/>
    <cellStyle name="Примечание 3 4 2 4 5" xfId="27117"/>
    <cellStyle name="Примечание 3 4 2 5" xfId="3828"/>
    <cellStyle name="Примечание 3 4 2 5 2" xfId="9015"/>
    <cellStyle name="Примечание 3 4 2 5 2 2" xfId="19942"/>
    <cellStyle name="Примечание 3 4 2 5 2 3" xfId="35303"/>
    <cellStyle name="Примечание 3 4 2 5 3" xfId="24903"/>
    <cellStyle name="Примечание 3 4 2 5 3 2" xfId="40264"/>
    <cellStyle name="Примечание 3 4 2 5 4" xfId="14379"/>
    <cellStyle name="Примечание 3 4 2 5 5" xfId="29854"/>
    <cellStyle name="Примечание 3 4 2 6" xfId="4123"/>
    <cellStyle name="Примечание 3 4 2 6 2" xfId="9310"/>
    <cellStyle name="Примечание 3 4 2 6 2 2" xfId="20237"/>
    <cellStyle name="Примечание 3 4 2 6 2 3" xfId="35598"/>
    <cellStyle name="Примечание 3 4 2 6 3" xfId="25198"/>
    <cellStyle name="Примечание 3 4 2 6 3 2" xfId="40559"/>
    <cellStyle name="Примечание 3 4 2 6 4" xfId="14674"/>
    <cellStyle name="Примечание 3 4 2 6 5" xfId="30149"/>
    <cellStyle name="Примечание 3 4 2 7" xfId="4639"/>
    <cellStyle name="Примечание 3 4 2 7 2" xfId="9826"/>
    <cellStyle name="Примечание 3 4 2 7 2 2" xfId="20753"/>
    <cellStyle name="Примечание 3 4 2 7 2 3" xfId="36114"/>
    <cellStyle name="Примечание 3 4 2 7 3" xfId="25714"/>
    <cellStyle name="Примечание 3 4 2 7 3 2" xfId="41075"/>
    <cellStyle name="Примечание 3 4 2 7 4" xfId="15190"/>
    <cellStyle name="Примечание 3 4 2 7 5" xfId="30665"/>
    <cellStyle name="Примечание 3 4 2 8" xfId="5931"/>
    <cellStyle name="Примечание 3 4 2 8 2" xfId="16936"/>
    <cellStyle name="Примечание 3 4 2 8 3" xfId="32403"/>
    <cellStyle name="Примечание 3 4 2 9" xfId="21819"/>
    <cellStyle name="Примечание 3 4 2 9 2" xfId="37180"/>
    <cellStyle name="Примечание 3 4 3" xfId="1014"/>
    <cellStyle name="Примечание 3 4 3 2" xfId="3381"/>
    <cellStyle name="Примечание 3 4 3 2 2" xfId="8575"/>
    <cellStyle name="Примечание 3 4 3 2 2 2" xfId="19502"/>
    <cellStyle name="Примечание 3 4 3 2 2 3" xfId="34863"/>
    <cellStyle name="Примечание 3 4 3 2 3" xfId="24463"/>
    <cellStyle name="Примечание 3 4 3 2 3 2" xfId="39824"/>
    <cellStyle name="Примечание 3 4 3 2 4" xfId="13939"/>
    <cellStyle name="Примечание 3 4 3 2 5" xfId="29414"/>
    <cellStyle name="Примечание 3 4 3 3" xfId="5566"/>
    <cellStyle name="Примечание 3 4 3 3 2" xfId="10730"/>
    <cellStyle name="Примечание 3 4 3 3 2 2" xfId="21664"/>
    <cellStyle name="Примечание 3 4 3 3 2 3" xfId="37025"/>
    <cellStyle name="Примечание 3 4 3 3 3" xfId="26617"/>
    <cellStyle name="Примечание 3 4 3 3 3 2" xfId="41978"/>
    <cellStyle name="Примечание 3 4 3 3 4" xfId="16101"/>
    <cellStyle name="Примечание 3 4 3 3 5" xfId="31568"/>
    <cellStyle name="Примечание 3 4 3 4" xfId="6272"/>
    <cellStyle name="Примечание 3 4 3 4 2" xfId="16592"/>
    <cellStyle name="Примечание 3 4 3 4 3" xfId="32059"/>
    <cellStyle name="Примечание 3 4 3 5" xfId="22160"/>
    <cellStyle name="Примечание 3 4 3 5 2" xfId="37521"/>
    <cellStyle name="Примечание 3 4 3 6" xfId="11597"/>
    <cellStyle name="Примечание 3 4 3 7" xfId="27111"/>
    <cellStyle name="Примечание 3 4 4" xfId="2021"/>
    <cellStyle name="Примечание 3 4 4 2" xfId="7257"/>
    <cellStyle name="Примечание 3 4 4 2 2" xfId="18159"/>
    <cellStyle name="Примечание 3 4 4 2 3" xfId="33520"/>
    <cellStyle name="Примечание 3 4 4 3" xfId="23145"/>
    <cellStyle name="Примечание 3 4 4 3 2" xfId="38506"/>
    <cellStyle name="Примечание 3 4 4 4" xfId="12596"/>
    <cellStyle name="Примечание 3 4 4 5" xfId="28096"/>
    <cellStyle name="Примечание 3 4 5" xfId="1792"/>
    <cellStyle name="Примечание 3 4 5 2" xfId="7031"/>
    <cellStyle name="Примечание 3 4 5 2 2" xfId="17933"/>
    <cellStyle name="Примечание 3 4 5 2 3" xfId="33294"/>
    <cellStyle name="Примечание 3 4 5 3" xfId="22919"/>
    <cellStyle name="Примечание 3 4 5 3 2" xfId="38280"/>
    <cellStyle name="Примечание 3 4 5 4" xfId="12370"/>
    <cellStyle name="Примечание 3 4 5 5" xfId="27870"/>
    <cellStyle name="Примечание 3 4 6" xfId="3592"/>
    <cellStyle name="Примечание 3 4 6 2" xfId="8779"/>
    <cellStyle name="Примечание 3 4 6 2 2" xfId="19706"/>
    <cellStyle name="Примечание 3 4 6 2 3" xfId="35067"/>
    <cellStyle name="Примечание 3 4 6 3" xfId="24667"/>
    <cellStyle name="Примечание 3 4 6 3 2" xfId="40028"/>
    <cellStyle name="Примечание 3 4 6 4" xfId="14143"/>
    <cellStyle name="Примечание 3 4 6 5" xfId="29618"/>
    <cellStyle name="Примечание 3 4 7" xfId="4109"/>
    <cellStyle name="Примечание 3 4 7 2" xfId="9296"/>
    <cellStyle name="Примечание 3 4 7 2 2" xfId="20223"/>
    <cellStyle name="Примечание 3 4 7 2 3" xfId="35584"/>
    <cellStyle name="Примечание 3 4 7 3" xfId="25184"/>
    <cellStyle name="Примечание 3 4 7 3 2" xfId="40545"/>
    <cellStyle name="Примечание 3 4 7 4" xfId="14660"/>
    <cellStyle name="Примечание 3 4 7 5" xfId="30135"/>
    <cellStyle name="Примечание 3 4 8" xfId="4644"/>
    <cellStyle name="Примечание 3 4 8 2" xfId="9831"/>
    <cellStyle name="Примечание 3 4 8 2 2" xfId="20758"/>
    <cellStyle name="Примечание 3 4 8 2 3" xfId="36119"/>
    <cellStyle name="Примечание 3 4 8 3" xfId="25719"/>
    <cellStyle name="Примечание 3 4 8 3 2" xfId="41080"/>
    <cellStyle name="Примечание 3 4 8 4" xfId="15195"/>
    <cellStyle name="Примечание 3 4 8 5" xfId="30670"/>
    <cellStyle name="Примечание 3 4 9" xfId="5917"/>
    <cellStyle name="Примечание 3 4 9 2" xfId="16954"/>
    <cellStyle name="Примечание 3 4 9 3" xfId="32421"/>
    <cellStyle name="Примечание 3 5" xfId="611"/>
    <cellStyle name="Примечание 3 5 10" xfId="21806"/>
    <cellStyle name="Примечание 3 5 10 2" xfId="37167"/>
    <cellStyle name="Примечание 3 5 11" xfId="11236"/>
    <cellStyle name="Примечание 3 5 12" xfId="26757"/>
    <cellStyle name="Примечание 3 5 2" xfId="668"/>
    <cellStyle name="Примечание 3 5 2 10" xfId="11252"/>
    <cellStyle name="Примечание 3 5 2 11" xfId="26769"/>
    <cellStyle name="Примечание 3 5 2 2" xfId="1714"/>
    <cellStyle name="Примечание 3 5 2 2 2" xfId="3384"/>
    <cellStyle name="Примечание 3 5 2 2 2 2" xfId="8578"/>
    <cellStyle name="Примечание 3 5 2 2 2 2 2" xfId="19505"/>
    <cellStyle name="Примечание 3 5 2 2 2 2 3" xfId="34866"/>
    <cellStyle name="Примечание 3 5 2 2 2 3" xfId="24466"/>
    <cellStyle name="Примечание 3 5 2 2 2 3 2" xfId="39827"/>
    <cellStyle name="Примечание 3 5 2 2 2 4" xfId="13942"/>
    <cellStyle name="Примечание 3 5 2 2 2 5" xfId="29417"/>
    <cellStyle name="Примечание 3 5 2 2 3" xfId="5567"/>
    <cellStyle name="Примечание 3 5 2 2 3 2" xfId="10731"/>
    <cellStyle name="Примечание 3 5 2 2 3 2 2" xfId="21665"/>
    <cellStyle name="Примечание 3 5 2 2 3 2 3" xfId="37026"/>
    <cellStyle name="Примечание 3 5 2 2 3 3" xfId="26618"/>
    <cellStyle name="Примечание 3 5 2 2 3 3 2" xfId="41979"/>
    <cellStyle name="Примечание 3 5 2 2 3 4" xfId="16102"/>
    <cellStyle name="Примечание 3 5 2 2 3 5" xfId="31569"/>
    <cellStyle name="Примечание 3 5 2 2 4" xfId="6956"/>
    <cellStyle name="Примечание 3 5 2 2 4 2" xfId="17856"/>
    <cellStyle name="Примечание 3 5 2 2 4 3" xfId="33217"/>
    <cellStyle name="Примечание 3 5 2 2 5" xfId="22844"/>
    <cellStyle name="Примечание 3 5 2 2 5 2" xfId="38205"/>
    <cellStyle name="Примечание 3 5 2 2 6" xfId="12292"/>
    <cellStyle name="Примечание 3 5 2 2 7" xfId="27795"/>
    <cellStyle name="Примечание 3 5 2 3" xfId="2074"/>
    <cellStyle name="Примечание 3 5 2 3 2" xfId="7310"/>
    <cellStyle name="Примечание 3 5 2 3 2 2" xfId="18212"/>
    <cellStyle name="Примечание 3 5 2 3 2 3" xfId="33573"/>
    <cellStyle name="Примечание 3 5 2 3 3" xfId="23198"/>
    <cellStyle name="Примечание 3 5 2 3 3 2" xfId="38559"/>
    <cellStyle name="Примечание 3 5 2 3 4" xfId="12649"/>
    <cellStyle name="Примечание 3 5 2 3 5" xfId="28149"/>
    <cellStyle name="Примечание 3 5 2 4" xfId="2887"/>
    <cellStyle name="Примечание 3 5 2 4 2" xfId="8094"/>
    <cellStyle name="Примечание 3 5 2 4 2 2" xfId="19014"/>
    <cellStyle name="Примечание 3 5 2 4 2 3" xfId="34375"/>
    <cellStyle name="Примечание 3 5 2 4 3" xfId="23982"/>
    <cellStyle name="Примечание 3 5 2 4 3 2" xfId="39343"/>
    <cellStyle name="Примечание 3 5 2 4 4" xfId="13451"/>
    <cellStyle name="Примечание 3 5 2 4 5" xfId="28933"/>
    <cellStyle name="Примечание 3 5 2 5" xfId="2675"/>
    <cellStyle name="Примечание 3 5 2 5 2" xfId="7906"/>
    <cellStyle name="Примечание 3 5 2 5 2 2" xfId="18810"/>
    <cellStyle name="Примечание 3 5 2 5 2 3" xfId="34171"/>
    <cellStyle name="Примечание 3 5 2 5 3" xfId="23794"/>
    <cellStyle name="Примечание 3 5 2 5 3 2" xfId="39155"/>
    <cellStyle name="Примечание 3 5 2 5 4" xfId="13247"/>
    <cellStyle name="Примечание 3 5 2 5 5" xfId="28745"/>
    <cellStyle name="Примечание 3 5 2 6" xfId="4122"/>
    <cellStyle name="Примечание 3 5 2 6 2" xfId="9309"/>
    <cellStyle name="Примечание 3 5 2 6 2 2" xfId="20236"/>
    <cellStyle name="Примечание 3 5 2 6 2 3" xfId="35597"/>
    <cellStyle name="Примечание 3 5 2 6 3" xfId="25197"/>
    <cellStyle name="Примечание 3 5 2 6 3 2" xfId="40558"/>
    <cellStyle name="Примечание 3 5 2 6 4" xfId="14673"/>
    <cellStyle name="Примечание 3 5 2 6 5" xfId="30148"/>
    <cellStyle name="Примечание 3 5 2 7" xfId="4907"/>
    <cellStyle name="Примечание 3 5 2 7 2" xfId="10094"/>
    <cellStyle name="Примечание 3 5 2 7 2 2" xfId="21021"/>
    <cellStyle name="Примечание 3 5 2 7 2 3" xfId="36382"/>
    <cellStyle name="Примечание 3 5 2 7 3" xfId="25982"/>
    <cellStyle name="Примечание 3 5 2 7 3 2" xfId="41343"/>
    <cellStyle name="Примечание 3 5 2 7 4" xfId="15458"/>
    <cellStyle name="Примечание 3 5 2 7 5" xfId="30933"/>
    <cellStyle name="Примечание 3 5 2 8" xfId="5930"/>
    <cellStyle name="Примечание 3 5 2 8 2" xfId="16937"/>
    <cellStyle name="Примечание 3 5 2 8 3" xfId="32404"/>
    <cellStyle name="Примечание 3 5 2 9" xfId="21818"/>
    <cellStyle name="Примечание 3 5 2 9 2" xfId="37179"/>
    <cellStyle name="Примечание 3 5 3" xfId="1292"/>
    <cellStyle name="Примечание 3 5 3 2" xfId="3385"/>
    <cellStyle name="Примечание 3 5 3 2 2" xfId="8579"/>
    <cellStyle name="Примечание 3 5 3 2 2 2" xfId="19506"/>
    <cellStyle name="Примечание 3 5 3 2 2 3" xfId="34867"/>
    <cellStyle name="Примечание 3 5 3 2 3" xfId="24467"/>
    <cellStyle name="Примечание 3 5 3 2 3 2" xfId="39828"/>
    <cellStyle name="Примечание 3 5 3 2 4" xfId="13943"/>
    <cellStyle name="Примечание 3 5 3 2 5" xfId="29418"/>
    <cellStyle name="Примечание 3 5 3 3" xfId="5568"/>
    <cellStyle name="Примечание 3 5 3 3 2" xfId="10732"/>
    <cellStyle name="Примечание 3 5 3 3 2 2" xfId="21666"/>
    <cellStyle name="Примечание 3 5 3 3 2 3" xfId="37027"/>
    <cellStyle name="Примечание 3 5 3 3 3" xfId="26619"/>
    <cellStyle name="Примечание 3 5 3 3 3 2" xfId="41980"/>
    <cellStyle name="Примечание 3 5 3 3 4" xfId="16103"/>
    <cellStyle name="Примечание 3 5 3 3 5" xfId="31570"/>
    <cellStyle name="Примечание 3 5 3 4" xfId="6545"/>
    <cellStyle name="Примечание 3 5 3 4 2" xfId="16316"/>
    <cellStyle name="Примечание 3 5 3 4 3" xfId="31783"/>
    <cellStyle name="Примечание 3 5 3 5" xfId="22433"/>
    <cellStyle name="Примечание 3 5 3 5 2" xfId="37794"/>
    <cellStyle name="Примечание 3 5 3 6" xfId="11873"/>
    <cellStyle name="Примечание 3 5 3 7" xfId="27384"/>
    <cellStyle name="Примечание 3 5 4" xfId="2022"/>
    <cellStyle name="Примечание 3 5 4 2" xfId="7258"/>
    <cellStyle name="Примечание 3 5 4 2 2" xfId="18160"/>
    <cellStyle name="Примечание 3 5 4 2 3" xfId="33521"/>
    <cellStyle name="Примечание 3 5 4 3" xfId="23146"/>
    <cellStyle name="Примечание 3 5 4 3 2" xfId="38507"/>
    <cellStyle name="Примечание 3 5 4 4" xfId="12597"/>
    <cellStyle name="Примечание 3 5 4 5" xfId="28097"/>
    <cellStyle name="Примечание 3 5 5" xfId="1866"/>
    <cellStyle name="Примечание 3 5 5 2" xfId="7105"/>
    <cellStyle name="Примечание 3 5 5 2 2" xfId="18007"/>
    <cellStyle name="Примечание 3 5 5 2 3" xfId="33368"/>
    <cellStyle name="Примечание 3 5 5 3" xfId="22993"/>
    <cellStyle name="Примечание 3 5 5 3 2" xfId="38354"/>
    <cellStyle name="Примечание 3 5 5 4" xfId="12444"/>
    <cellStyle name="Примечание 3 5 5 5" xfId="27944"/>
    <cellStyle name="Примечание 3 5 6" xfId="2665"/>
    <cellStyle name="Примечание 3 5 6 2" xfId="7896"/>
    <cellStyle name="Примечание 3 5 6 2 2" xfId="18800"/>
    <cellStyle name="Примечание 3 5 6 2 3" xfId="34161"/>
    <cellStyle name="Примечание 3 5 6 3" xfId="23784"/>
    <cellStyle name="Примечание 3 5 6 3 2" xfId="39145"/>
    <cellStyle name="Примечание 3 5 6 4" xfId="13237"/>
    <cellStyle name="Примечание 3 5 6 5" xfId="28735"/>
    <cellStyle name="Примечание 3 5 7" xfId="4110"/>
    <cellStyle name="Примечание 3 5 7 2" xfId="9297"/>
    <cellStyle name="Примечание 3 5 7 2 2" xfId="20224"/>
    <cellStyle name="Примечание 3 5 7 2 3" xfId="35585"/>
    <cellStyle name="Примечание 3 5 7 3" xfId="25185"/>
    <cellStyle name="Примечание 3 5 7 3 2" xfId="40546"/>
    <cellStyle name="Примечание 3 5 7 4" xfId="14661"/>
    <cellStyle name="Примечание 3 5 7 5" xfId="30136"/>
    <cellStyle name="Примечание 3 5 8" xfId="4900"/>
    <cellStyle name="Примечание 3 5 8 2" xfId="10087"/>
    <cellStyle name="Примечание 3 5 8 2 2" xfId="21014"/>
    <cellStyle name="Примечание 3 5 8 2 3" xfId="36375"/>
    <cellStyle name="Примечание 3 5 8 3" xfId="25975"/>
    <cellStyle name="Примечание 3 5 8 3 2" xfId="41336"/>
    <cellStyle name="Примечание 3 5 8 4" xfId="15451"/>
    <cellStyle name="Примечание 3 5 8 5" xfId="30926"/>
    <cellStyle name="Примечание 3 5 9" xfId="5918"/>
    <cellStyle name="Примечание 3 5 9 2" xfId="16953"/>
    <cellStyle name="Примечание 3 5 9 3" xfId="32420"/>
    <cellStyle name="Примечание 3 6" xfId="612"/>
    <cellStyle name="Примечание 3 6 10" xfId="21807"/>
    <cellStyle name="Примечание 3 6 10 2" xfId="37168"/>
    <cellStyle name="Примечание 3 6 11" xfId="11237"/>
    <cellStyle name="Примечание 3 6 12" xfId="26758"/>
    <cellStyle name="Примечание 3 6 2" xfId="667"/>
    <cellStyle name="Примечание 3 6 2 10" xfId="11251"/>
    <cellStyle name="Примечание 3 6 2 11" xfId="26768"/>
    <cellStyle name="Примечание 3 6 2 2" xfId="1768"/>
    <cellStyle name="Примечание 3 6 2 2 2" xfId="3388"/>
    <cellStyle name="Примечание 3 6 2 2 2 2" xfId="8582"/>
    <cellStyle name="Примечание 3 6 2 2 2 2 2" xfId="19509"/>
    <cellStyle name="Примечание 3 6 2 2 2 2 3" xfId="34870"/>
    <cellStyle name="Примечание 3 6 2 2 2 3" xfId="24470"/>
    <cellStyle name="Примечание 3 6 2 2 2 3 2" xfId="39831"/>
    <cellStyle name="Примечание 3 6 2 2 2 4" xfId="13946"/>
    <cellStyle name="Примечание 3 6 2 2 2 5" xfId="29421"/>
    <cellStyle name="Примечание 3 6 2 2 3" xfId="5569"/>
    <cellStyle name="Примечание 3 6 2 2 3 2" xfId="10733"/>
    <cellStyle name="Примечание 3 6 2 2 3 2 2" xfId="21667"/>
    <cellStyle name="Примечание 3 6 2 2 3 2 3" xfId="37028"/>
    <cellStyle name="Примечание 3 6 2 2 3 3" xfId="26620"/>
    <cellStyle name="Примечание 3 6 2 2 3 3 2" xfId="41981"/>
    <cellStyle name="Примечание 3 6 2 2 3 4" xfId="16104"/>
    <cellStyle name="Примечание 3 6 2 2 3 5" xfId="31571"/>
    <cellStyle name="Примечание 3 6 2 2 4" xfId="7007"/>
    <cellStyle name="Примечание 3 6 2 2 4 2" xfId="17909"/>
    <cellStyle name="Примечание 3 6 2 2 4 3" xfId="33270"/>
    <cellStyle name="Примечание 3 6 2 2 5" xfId="22895"/>
    <cellStyle name="Примечание 3 6 2 2 5 2" xfId="38256"/>
    <cellStyle name="Примечание 3 6 2 2 6" xfId="12346"/>
    <cellStyle name="Примечание 3 6 2 2 7" xfId="27846"/>
    <cellStyle name="Примечание 3 6 2 3" xfId="2073"/>
    <cellStyle name="Примечание 3 6 2 3 2" xfId="7309"/>
    <cellStyle name="Примечание 3 6 2 3 2 2" xfId="18211"/>
    <cellStyle name="Примечание 3 6 2 3 2 3" xfId="33572"/>
    <cellStyle name="Примечание 3 6 2 3 3" xfId="23197"/>
    <cellStyle name="Примечание 3 6 2 3 3 2" xfId="38558"/>
    <cellStyle name="Примечание 3 6 2 3 4" xfId="12648"/>
    <cellStyle name="Примечание 3 6 2 3 5" xfId="28148"/>
    <cellStyle name="Примечание 3 6 2 4" xfId="2413"/>
    <cellStyle name="Примечание 3 6 2 4 2" xfId="7649"/>
    <cellStyle name="Примечание 3 6 2 4 2 2" xfId="18551"/>
    <cellStyle name="Примечание 3 6 2 4 2 3" xfId="33912"/>
    <cellStyle name="Примечание 3 6 2 4 3" xfId="23537"/>
    <cellStyle name="Примечание 3 6 2 4 3 2" xfId="38898"/>
    <cellStyle name="Примечание 3 6 2 4 4" xfId="12988"/>
    <cellStyle name="Примечание 3 6 2 4 5" xfId="28488"/>
    <cellStyle name="Примечание 3 6 2 5" xfId="3594"/>
    <cellStyle name="Примечание 3 6 2 5 2" xfId="8781"/>
    <cellStyle name="Примечание 3 6 2 5 2 2" xfId="19708"/>
    <cellStyle name="Примечание 3 6 2 5 2 3" xfId="35069"/>
    <cellStyle name="Примечание 3 6 2 5 3" xfId="24669"/>
    <cellStyle name="Примечание 3 6 2 5 3 2" xfId="40030"/>
    <cellStyle name="Примечание 3 6 2 5 4" xfId="14145"/>
    <cellStyle name="Примечание 3 6 2 5 5" xfId="29620"/>
    <cellStyle name="Примечание 3 6 2 6" xfId="4121"/>
    <cellStyle name="Примечание 3 6 2 6 2" xfId="9308"/>
    <cellStyle name="Примечание 3 6 2 6 2 2" xfId="20235"/>
    <cellStyle name="Примечание 3 6 2 6 2 3" xfId="35596"/>
    <cellStyle name="Примечание 3 6 2 6 3" xfId="25196"/>
    <cellStyle name="Примечание 3 6 2 6 3 2" xfId="40557"/>
    <cellStyle name="Примечание 3 6 2 6 4" xfId="14672"/>
    <cellStyle name="Примечание 3 6 2 6 5" xfId="30147"/>
    <cellStyle name="Примечание 3 6 2 7" xfId="4640"/>
    <cellStyle name="Примечание 3 6 2 7 2" xfId="9827"/>
    <cellStyle name="Примечание 3 6 2 7 2 2" xfId="20754"/>
    <cellStyle name="Примечание 3 6 2 7 2 3" xfId="36115"/>
    <cellStyle name="Примечание 3 6 2 7 3" xfId="25715"/>
    <cellStyle name="Примечание 3 6 2 7 3 2" xfId="41076"/>
    <cellStyle name="Примечание 3 6 2 7 4" xfId="15191"/>
    <cellStyle name="Примечание 3 6 2 7 5" xfId="30666"/>
    <cellStyle name="Примечание 3 6 2 8" xfId="5929"/>
    <cellStyle name="Примечание 3 6 2 8 2" xfId="16938"/>
    <cellStyle name="Примечание 3 6 2 8 3" xfId="32405"/>
    <cellStyle name="Примечание 3 6 2 9" xfId="21817"/>
    <cellStyle name="Примечание 3 6 2 9 2" xfId="37178"/>
    <cellStyle name="Примечание 3 6 3" xfId="1656"/>
    <cellStyle name="Примечание 3 6 3 2" xfId="3389"/>
    <cellStyle name="Примечание 3 6 3 2 2" xfId="8583"/>
    <cellStyle name="Примечание 3 6 3 2 2 2" xfId="19510"/>
    <cellStyle name="Примечание 3 6 3 2 2 3" xfId="34871"/>
    <cellStyle name="Примечание 3 6 3 2 3" xfId="24471"/>
    <cellStyle name="Примечание 3 6 3 2 3 2" xfId="39832"/>
    <cellStyle name="Примечание 3 6 3 2 4" xfId="13947"/>
    <cellStyle name="Примечание 3 6 3 2 5" xfId="29422"/>
    <cellStyle name="Примечание 3 6 3 3" xfId="5570"/>
    <cellStyle name="Примечание 3 6 3 3 2" xfId="10734"/>
    <cellStyle name="Примечание 3 6 3 3 2 2" xfId="21668"/>
    <cellStyle name="Примечание 3 6 3 3 2 3" xfId="37029"/>
    <cellStyle name="Примечание 3 6 3 3 3" xfId="26621"/>
    <cellStyle name="Примечание 3 6 3 3 3 2" xfId="41982"/>
    <cellStyle name="Примечание 3 6 3 3 4" xfId="16105"/>
    <cellStyle name="Примечание 3 6 3 3 5" xfId="31572"/>
    <cellStyle name="Примечание 3 6 3 4" xfId="6902"/>
    <cellStyle name="Примечание 3 6 3 4 2" xfId="17798"/>
    <cellStyle name="Примечание 3 6 3 4 3" xfId="33159"/>
    <cellStyle name="Примечание 3 6 3 5" xfId="22790"/>
    <cellStyle name="Примечание 3 6 3 5 2" xfId="38151"/>
    <cellStyle name="Примечание 3 6 3 6" xfId="12234"/>
    <cellStyle name="Примечание 3 6 3 7" xfId="27741"/>
    <cellStyle name="Примечание 3 6 4" xfId="2023"/>
    <cellStyle name="Примечание 3 6 4 2" xfId="7259"/>
    <cellStyle name="Примечание 3 6 4 2 2" xfId="18161"/>
    <cellStyle name="Примечание 3 6 4 2 3" xfId="33522"/>
    <cellStyle name="Примечание 3 6 4 3" xfId="23147"/>
    <cellStyle name="Примечание 3 6 4 3 2" xfId="38508"/>
    <cellStyle name="Примечание 3 6 4 4" xfId="12598"/>
    <cellStyle name="Примечание 3 6 4 5" xfId="28098"/>
    <cellStyle name="Примечание 3 6 5" xfId="2028"/>
    <cellStyle name="Примечание 3 6 5 2" xfId="7264"/>
    <cellStyle name="Примечание 3 6 5 2 2" xfId="18166"/>
    <cellStyle name="Примечание 3 6 5 2 3" xfId="33527"/>
    <cellStyle name="Примечание 3 6 5 3" xfId="23152"/>
    <cellStyle name="Примечание 3 6 5 3 2" xfId="38513"/>
    <cellStyle name="Примечание 3 6 5 4" xfId="12603"/>
    <cellStyle name="Примечание 3 6 5 5" xfId="28103"/>
    <cellStyle name="Примечание 3 6 6" xfId="3414"/>
    <cellStyle name="Примечание 3 6 6 2" xfId="8608"/>
    <cellStyle name="Примечание 3 6 6 2 2" xfId="19535"/>
    <cellStyle name="Примечание 3 6 6 2 3" xfId="34896"/>
    <cellStyle name="Примечание 3 6 6 3" xfId="24496"/>
    <cellStyle name="Примечание 3 6 6 3 2" xfId="39857"/>
    <cellStyle name="Примечание 3 6 6 4" xfId="13972"/>
    <cellStyle name="Примечание 3 6 6 5" xfId="29447"/>
    <cellStyle name="Примечание 3 6 7" xfId="4111"/>
    <cellStyle name="Примечание 3 6 7 2" xfId="9298"/>
    <cellStyle name="Примечание 3 6 7 2 2" xfId="20225"/>
    <cellStyle name="Примечание 3 6 7 2 3" xfId="35586"/>
    <cellStyle name="Примечание 3 6 7 3" xfId="25186"/>
    <cellStyle name="Примечание 3 6 7 3 2" xfId="40547"/>
    <cellStyle name="Примечание 3 6 7 4" xfId="14662"/>
    <cellStyle name="Примечание 3 6 7 5" xfId="30137"/>
    <cellStyle name="Примечание 3 6 8" xfId="4643"/>
    <cellStyle name="Примечание 3 6 8 2" xfId="9830"/>
    <cellStyle name="Примечание 3 6 8 2 2" xfId="20757"/>
    <cellStyle name="Примечание 3 6 8 2 3" xfId="36118"/>
    <cellStyle name="Примечание 3 6 8 3" xfId="25718"/>
    <cellStyle name="Примечание 3 6 8 3 2" xfId="41079"/>
    <cellStyle name="Примечание 3 6 8 4" xfId="15194"/>
    <cellStyle name="Примечание 3 6 8 5" xfId="30669"/>
    <cellStyle name="Примечание 3 6 9" xfId="5919"/>
    <cellStyle name="Примечание 3 6 9 2" xfId="16952"/>
    <cellStyle name="Примечание 3 6 9 3" xfId="32419"/>
    <cellStyle name="Примечание 3 7" xfId="613"/>
    <cellStyle name="Примечание 3 7 10" xfId="21808"/>
    <cellStyle name="Примечание 3 7 10 2" xfId="37169"/>
    <cellStyle name="Примечание 3 7 11" xfId="11238"/>
    <cellStyle name="Примечание 3 7 12" xfId="26759"/>
    <cellStyle name="Примечание 3 7 2" xfId="666"/>
    <cellStyle name="Примечание 3 7 2 10" xfId="11250"/>
    <cellStyle name="Примечание 3 7 2 11" xfId="26767"/>
    <cellStyle name="Примечание 3 7 2 2" xfId="1739"/>
    <cellStyle name="Примечание 3 7 2 2 2" xfId="3392"/>
    <cellStyle name="Примечание 3 7 2 2 2 2" xfId="8586"/>
    <cellStyle name="Примечание 3 7 2 2 2 2 2" xfId="19513"/>
    <cellStyle name="Примечание 3 7 2 2 2 2 3" xfId="34874"/>
    <cellStyle name="Примечание 3 7 2 2 2 3" xfId="24474"/>
    <cellStyle name="Примечание 3 7 2 2 2 3 2" xfId="39835"/>
    <cellStyle name="Примечание 3 7 2 2 2 4" xfId="13950"/>
    <cellStyle name="Примечание 3 7 2 2 2 5" xfId="29425"/>
    <cellStyle name="Примечание 3 7 2 2 3" xfId="5571"/>
    <cellStyle name="Примечание 3 7 2 2 3 2" xfId="10735"/>
    <cellStyle name="Примечание 3 7 2 2 3 2 2" xfId="21669"/>
    <cellStyle name="Примечание 3 7 2 2 3 2 3" xfId="37030"/>
    <cellStyle name="Примечание 3 7 2 2 3 3" xfId="26622"/>
    <cellStyle name="Примечание 3 7 2 2 3 3 2" xfId="41983"/>
    <cellStyle name="Примечание 3 7 2 2 3 4" xfId="16106"/>
    <cellStyle name="Примечание 3 7 2 2 3 5" xfId="31573"/>
    <cellStyle name="Примечание 3 7 2 2 4" xfId="6979"/>
    <cellStyle name="Примечание 3 7 2 2 4 2" xfId="17880"/>
    <cellStyle name="Примечание 3 7 2 2 4 3" xfId="33241"/>
    <cellStyle name="Примечание 3 7 2 2 5" xfId="22867"/>
    <cellStyle name="Примечание 3 7 2 2 5 2" xfId="38228"/>
    <cellStyle name="Примечание 3 7 2 2 6" xfId="12317"/>
    <cellStyle name="Примечание 3 7 2 2 7" xfId="27818"/>
    <cellStyle name="Примечание 3 7 2 3" xfId="2072"/>
    <cellStyle name="Примечание 3 7 2 3 2" xfId="7308"/>
    <cellStyle name="Примечание 3 7 2 3 2 2" xfId="18210"/>
    <cellStyle name="Примечание 3 7 2 3 2 3" xfId="33571"/>
    <cellStyle name="Примечание 3 7 2 3 3" xfId="23196"/>
    <cellStyle name="Примечание 3 7 2 3 3 2" xfId="38557"/>
    <cellStyle name="Примечание 3 7 2 3 4" xfId="12647"/>
    <cellStyle name="Примечание 3 7 2 3 5" xfId="28147"/>
    <cellStyle name="Примечание 3 7 2 4" xfId="1765"/>
    <cellStyle name="Примечание 3 7 2 4 2" xfId="7004"/>
    <cellStyle name="Примечание 3 7 2 4 2 2" xfId="17906"/>
    <cellStyle name="Примечание 3 7 2 4 2 3" xfId="33267"/>
    <cellStyle name="Примечание 3 7 2 4 3" xfId="22892"/>
    <cellStyle name="Примечание 3 7 2 4 3 2" xfId="38253"/>
    <cellStyle name="Примечание 3 7 2 4 4" xfId="12343"/>
    <cellStyle name="Примечание 3 7 2 4 5" xfId="27843"/>
    <cellStyle name="Примечание 3 7 2 5" xfId="3407"/>
    <cellStyle name="Примечание 3 7 2 5 2" xfId="8601"/>
    <cellStyle name="Примечание 3 7 2 5 2 2" xfId="19528"/>
    <cellStyle name="Примечание 3 7 2 5 2 3" xfId="34889"/>
    <cellStyle name="Примечание 3 7 2 5 3" xfId="24489"/>
    <cellStyle name="Примечание 3 7 2 5 3 2" xfId="39850"/>
    <cellStyle name="Примечание 3 7 2 5 4" xfId="13965"/>
    <cellStyle name="Примечание 3 7 2 5 5" xfId="29440"/>
    <cellStyle name="Примечание 3 7 2 6" xfId="4120"/>
    <cellStyle name="Примечание 3 7 2 6 2" xfId="9307"/>
    <cellStyle name="Примечание 3 7 2 6 2 2" xfId="20234"/>
    <cellStyle name="Примечание 3 7 2 6 2 3" xfId="35595"/>
    <cellStyle name="Примечание 3 7 2 6 3" xfId="25195"/>
    <cellStyle name="Примечание 3 7 2 6 3 2" xfId="40556"/>
    <cellStyle name="Примечание 3 7 2 6 4" xfId="14671"/>
    <cellStyle name="Примечание 3 7 2 6 5" xfId="30146"/>
    <cellStyle name="Примечание 3 7 2 7" xfId="4906"/>
    <cellStyle name="Примечание 3 7 2 7 2" xfId="10093"/>
    <cellStyle name="Примечание 3 7 2 7 2 2" xfId="21020"/>
    <cellStyle name="Примечание 3 7 2 7 2 3" xfId="36381"/>
    <cellStyle name="Примечание 3 7 2 7 3" xfId="25981"/>
    <cellStyle name="Примечание 3 7 2 7 3 2" xfId="41342"/>
    <cellStyle name="Примечание 3 7 2 7 4" xfId="15457"/>
    <cellStyle name="Примечание 3 7 2 7 5" xfId="30932"/>
    <cellStyle name="Примечание 3 7 2 8" xfId="5928"/>
    <cellStyle name="Примечание 3 7 2 8 2" xfId="16939"/>
    <cellStyle name="Примечание 3 7 2 8 3" xfId="32406"/>
    <cellStyle name="Примечание 3 7 2 9" xfId="21816"/>
    <cellStyle name="Примечание 3 7 2 9 2" xfId="37177"/>
    <cellStyle name="Примечание 3 7 3" xfId="85"/>
    <cellStyle name="Примечание 3 7 3 2" xfId="3393"/>
    <cellStyle name="Примечание 3 7 3 2 2" xfId="8587"/>
    <cellStyle name="Примечание 3 7 3 2 2 2" xfId="19514"/>
    <cellStyle name="Примечание 3 7 3 2 2 3" xfId="34875"/>
    <cellStyle name="Примечание 3 7 3 2 3" xfId="24475"/>
    <cellStyle name="Примечание 3 7 3 2 3 2" xfId="39836"/>
    <cellStyle name="Примечание 3 7 3 2 4" xfId="13951"/>
    <cellStyle name="Примечание 3 7 3 2 5" xfId="29426"/>
    <cellStyle name="Примечание 3 7 3 3" xfId="5572"/>
    <cellStyle name="Примечание 3 7 3 3 2" xfId="10736"/>
    <cellStyle name="Примечание 3 7 3 3 2 2" xfId="21670"/>
    <cellStyle name="Примечание 3 7 3 3 2 3" xfId="37031"/>
    <cellStyle name="Примечание 3 7 3 3 3" xfId="26623"/>
    <cellStyle name="Примечание 3 7 3 3 3 2" xfId="41984"/>
    <cellStyle name="Примечание 3 7 3 3 4" xfId="16107"/>
    <cellStyle name="Примечание 3 7 3 3 5" xfId="31574"/>
    <cellStyle name="Примечание 3 7 3 4" xfId="5611"/>
    <cellStyle name="Примечание 3 7 3 4 2" xfId="17386"/>
    <cellStyle name="Примечание 3 7 3 4 3" xfId="32853"/>
    <cellStyle name="Примечание 3 7 3 5" xfId="17066"/>
    <cellStyle name="Примечание 3 7 3 5 2" xfId="32533"/>
    <cellStyle name="Примечание 3 7 3 6" xfId="10799"/>
    <cellStyle name="Примечание 3 7 3 7" xfId="11120"/>
    <cellStyle name="Примечание 3 7 4" xfId="2024"/>
    <cellStyle name="Примечание 3 7 4 2" xfId="7260"/>
    <cellStyle name="Примечание 3 7 4 2 2" xfId="18162"/>
    <cellStyle name="Примечание 3 7 4 2 3" xfId="33523"/>
    <cellStyle name="Примечание 3 7 4 3" xfId="23148"/>
    <cellStyle name="Примечание 3 7 4 3 2" xfId="38509"/>
    <cellStyle name="Примечание 3 7 4 4" xfId="12599"/>
    <cellStyle name="Примечание 3 7 4 5" xfId="28099"/>
    <cellStyle name="Примечание 3 7 5" xfId="1790"/>
    <cellStyle name="Примечание 3 7 5 2" xfId="7029"/>
    <cellStyle name="Примечание 3 7 5 2 2" xfId="17931"/>
    <cellStyle name="Примечание 3 7 5 2 3" xfId="33292"/>
    <cellStyle name="Примечание 3 7 5 3" xfId="22917"/>
    <cellStyle name="Примечание 3 7 5 3 2" xfId="38278"/>
    <cellStyle name="Примечание 3 7 5 4" xfId="12368"/>
    <cellStyle name="Примечание 3 7 5 5" xfId="27868"/>
    <cellStyle name="Примечание 3 7 6" xfId="2541"/>
    <cellStyle name="Примечание 3 7 6 2" xfId="7774"/>
    <cellStyle name="Примечание 3 7 6 2 2" xfId="18676"/>
    <cellStyle name="Примечание 3 7 6 2 3" xfId="34037"/>
    <cellStyle name="Примечание 3 7 6 3" xfId="23662"/>
    <cellStyle name="Примечание 3 7 6 3 2" xfId="39023"/>
    <cellStyle name="Примечание 3 7 6 4" xfId="13113"/>
    <cellStyle name="Примечание 3 7 6 5" xfId="28613"/>
    <cellStyle name="Примечание 3 7 7" xfId="4112"/>
    <cellStyle name="Примечание 3 7 7 2" xfId="9299"/>
    <cellStyle name="Примечание 3 7 7 2 2" xfId="20226"/>
    <cellStyle name="Примечание 3 7 7 2 3" xfId="35587"/>
    <cellStyle name="Примечание 3 7 7 3" xfId="25187"/>
    <cellStyle name="Примечание 3 7 7 3 2" xfId="40548"/>
    <cellStyle name="Примечание 3 7 7 4" xfId="14663"/>
    <cellStyle name="Примечание 3 7 7 5" xfId="30138"/>
    <cellStyle name="Примечание 3 7 8" xfId="4901"/>
    <cellStyle name="Примечание 3 7 8 2" xfId="10088"/>
    <cellStyle name="Примечание 3 7 8 2 2" xfId="21015"/>
    <cellStyle name="Примечание 3 7 8 2 3" xfId="36376"/>
    <cellStyle name="Примечание 3 7 8 3" xfId="25976"/>
    <cellStyle name="Примечание 3 7 8 3 2" xfId="41337"/>
    <cellStyle name="Примечание 3 7 8 4" xfId="15452"/>
    <cellStyle name="Примечание 3 7 8 5" xfId="30927"/>
    <cellStyle name="Примечание 3 7 9" xfId="5920"/>
    <cellStyle name="Примечание 3 7 9 2" xfId="16951"/>
    <cellStyle name="Примечание 3 7 9 3" xfId="32418"/>
    <cellStyle name="Примечание 3 8" xfId="614"/>
    <cellStyle name="Примечание 3 8 10" xfId="21809"/>
    <cellStyle name="Примечание 3 8 10 2" xfId="37170"/>
    <cellStyle name="Примечание 3 8 11" xfId="11239"/>
    <cellStyle name="Примечание 3 8 12" xfId="26760"/>
    <cellStyle name="Примечание 3 8 2" xfId="665"/>
    <cellStyle name="Примечание 3 8 2 10" xfId="11249"/>
    <cellStyle name="Примечание 3 8 2 11" xfId="26766"/>
    <cellStyle name="Примечание 3 8 2 2" xfId="1397"/>
    <cellStyle name="Примечание 3 8 2 2 2" xfId="3396"/>
    <cellStyle name="Примечание 3 8 2 2 2 2" xfId="8590"/>
    <cellStyle name="Примечание 3 8 2 2 2 2 2" xfId="19517"/>
    <cellStyle name="Примечание 3 8 2 2 2 2 3" xfId="34878"/>
    <cellStyle name="Примечание 3 8 2 2 2 3" xfId="24478"/>
    <cellStyle name="Примечание 3 8 2 2 2 3 2" xfId="39839"/>
    <cellStyle name="Примечание 3 8 2 2 2 4" xfId="13954"/>
    <cellStyle name="Примечание 3 8 2 2 2 5" xfId="29429"/>
    <cellStyle name="Примечание 3 8 2 2 3" xfId="5573"/>
    <cellStyle name="Примечание 3 8 2 2 3 2" xfId="10737"/>
    <cellStyle name="Примечание 3 8 2 2 3 2 2" xfId="21671"/>
    <cellStyle name="Примечание 3 8 2 2 3 2 3" xfId="37032"/>
    <cellStyle name="Примечание 3 8 2 2 3 3" xfId="26624"/>
    <cellStyle name="Примечание 3 8 2 2 3 3 2" xfId="41985"/>
    <cellStyle name="Примечание 3 8 2 2 3 4" xfId="16108"/>
    <cellStyle name="Примечание 3 8 2 2 3 5" xfId="31575"/>
    <cellStyle name="Примечание 3 8 2 2 4" xfId="6646"/>
    <cellStyle name="Примечание 3 8 2 2 4 2" xfId="16213"/>
    <cellStyle name="Примечание 3 8 2 2 4 3" xfId="31680"/>
    <cellStyle name="Примечание 3 8 2 2 5" xfId="22534"/>
    <cellStyle name="Примечание 3 8 2 2 5 2" xfId="37895"/>
    <cellStyle name="Примечание 3 8 2 2 6" xfId="11976"/>
    <cellStyle name="Примечание 3 8 2 2 7" xfId="27485"/>
    <cellStyle name="Примечание 3 8 2 3" xfId="2071"/>
    <cellStyle name="Примечание 3 8 2 3 2" xfId="7307"/>
    <cellStyle name="Примечание 3 8 2 3 2 2" xfId="18209"/>
    <cellStyle name="Примечание 3 8 2 3 2 3" xfId="33570"/>
    <cellStyle name="Примечание 3 8 2 3 3" xfId="23195"/>
    <cellStyle name="Примечание 3 8 2 3 3 2" xfId="38556"/>
    <cellStyle name="Примечание 3 8 2 3 4" xfId="12646"/>
    <cellStyle name="Примечание 3 8 2 3 5" xfId="28146"/>
    <cellStyle name="Примечание 3 8 2 4" xfId="2414"/>
    <cellStyle name="Примечание 3 8 2 4 2" xfId="7650"/>
    <cellStyle name="Примечание 3 8 2 4 2 2" xfId="18552"/>
    <cellStyle name="Примечание 3 8 2 4 2 3" xfId="33913"/>
    <cellStyle name="Примечание 3 8 2 4 3" xfId="23538"/>
    <cellStyle name="Примечание 3 8 2 4 3 2" xfId="38899"/>
    <cellStyle name="Примечание 3 8 2 4 4" xfId="12989"/>
    <cellStyle name="Примечание 3 8 2 4 5" xfId="28489"/>
    <cellStyle name="Примечание 3 8 2 5" xfId="3829"/>
    <cellStyle name="Примечание 3 8 2 5 2" xfId="9016"/>
    <cellStyle name="Примечание 3 8 2 5 2 2" xfId="19943"/>
    <cellStyle name="Примечание 3 8 2 5 2 3" xfId="35304"/>
    <cellStyle name="Примечание 3 8 2 5 3" xfId="24904"/>
    <cellStyle name="Примечание 3 8 2 5 3 2" xfId="40265"/>
    <cellStyle name="Примечание 3 8 2 5 4" xfId="14380"/>
    <cellStyle name="Примечание 3 8 2 5 5" xfId="29855"/>
    <cellStyle name="Примечание 3 8 2 6" xfId="4119"/>
    <cellStyle name="Примечание 3 8 2 6 2" xfId="9306"/>
    <cellStyle name="Примечание 3 8 2 6 2 2" xfId="20233"/>
    <cellStyle name="Примечание 3 8 2 6 2 3" xfId="35594"/>
    <cellStyle name="Примечание 3 8 2 6 3" xfId="25194"/>
    <cellStyle name="Примечание 3 8 2 6 3 2" xfId="40555"/>
    <cellStyle name="Примечание 3 8 2 6 4" xfId="14670"/>
    <cellStyle name="Примечание 3 8 2 6 5" xfId="30145"/>
    <cellStyle name="Примечание 3 8 2 7" xfId="4641"/>
    <cellStyle name="Примечание 3 8 2 7 2" xfId="9828"/>
    <cellStyle name="Примечание 3 8 2 7 2 2" xfId="20755"/>
    <cellStyle name="Примечание 3 8 2 7 2 3" xfId="36116"/>
    <cellStyle name="Примечание 3 8 2 7 3" xfId="25716"/>
    <cellStyle name="Примечание 3 8 2 7 3 2" xfId="41077"/>
    <cellStyle name="Примечание 3 8 2 7 4" xfId="15192"/>
    <cellStyle name="Примечание 3 8 2 7 5" xfId="30667"/>
    <cellStyle name="Примечание 3 8 2 8" xfId="5927"/>
    <cellStyle name="Примечание 3 8 2 8 2" xfId="16940"/>
    <cellStyle name="Примечание 3 8 2 8 3" xfId="32407"/>
    <cellStyle name="Примечание 3 8 2 9" xfId="21815"/>
    <cellStyle name="Примечание 3 8 2 9 2" xfId="37176"/>
    <cellStyle name="Примечание 3 8 3" xfId="1302"/>
    <cellStyle name="Примечание 3 8 3 2" xfId="3397"/>
    <cellStyle name="Примечание 3 8 3 2 2" xfId="8591"/>
    <cellStyle name="Примечание 3 8 3 2 2 2" xfId="19518"/>
    <cellStyle name="Примечание 3 8 3 2 2 3" xfId="34879"/>
    <cellStyle name="Примечание 3 8 3 2 3" xfId="24479"/>
    <cellStyle name="Примечание 3 8 3 2 3 2" xfId="39840"/>
    <cellStyle name="Примечание 3 8 3 2 4" xfId="13955"/>
    <cellStyle name="Примечание 3 8 3 2 5" xfId="29430"/>
    <cellStyle name="Примечание 3 8 3 3" xfId="5574"/>
    <cellStyle name="Примечание 3 8 3 3 2" xfId="10738"/>
    <cellStyle name="Примечание 3 8 3 3 2 2" xfId="21672"/>
    <cellStyle name="Примечание 3 8 3 3 2 3" xfId="37033"/>
    <cellStyle name="Примечание 3 8 3 3 3" xfId="26625"/>
    <cellStyle name="Примечание 3 8 3 3 3 2" xfId="41986"/>
    <cellStyle name="Примечание 3 8 3 3 4" xfId="16109"/>
    <cellStyle name="Примечание 3 8 3 3 5" xfId="31576"/>
    <cellStyle name="Примечание 3 8 3 4" xfId="6555"/>
    <cellStyle name="Примечание 3 8 3 4 2" xfId="16306"/>
    <cellStyle name="Примечание 3 8 3 4 3" xfId="31773"/>
    <cellStyle name="Примечание 3 8 3 5" xfId="22443"/>
    <cellStyle name="Примечание 3 8 3 5 2" xfId="37804"/>
    <cellStyle name="Примечание 3 8 3 6" xfId="11883"/>
    <cellStyle name="Примечание 3 8 3 7" xfId="27394"/>
    <cellStyle name="Примечание 3 8 4" xfId="2025"/>
    <cellStyle name="Примечание 3 8 4 2" xfId="7261"/>
    <cellStyle name="Примечание 3 8 4 2 2" xfId="18163"/>
    <cellStyle name="Примечание 3 8 4 2 3" xfId="33524"/>
    <cellStyle name="Примечание 3 8 4 3" xfId="23149"/>
    <cellStyle name="Примечание 3 8 4 3 2" xfId="38510"/>
    <cellStyle name="Примечание 3 8 4 4" xfId="12600"/>
    <cellStyle name="Примечание 3 8 4 5" xfId="28100"/>
    <cellStyle name="Примечание 3 8 5" xfId="1076"/>
    <cellStyle name="Примечание 3 8 5 2" xfId="6333"/>
    <cellStyle name="Примечание 3 8 5 2 2" xfId="16531"/>
    <cellStyle name="Примечание 3 8 5 2 3" xfId="31998"/>
    <cellStyle name="Примечание 3 8 5 3" xfId="22221"/>
    <cellStyle name="Примечание 3 8 5 3 2" xfId="37582"/>
    <cellStyle name="Примечание 3 8 5 4" xfId="11658"/>
    <cellStyle name="Примечание 3 8 5 5" xfId="27172"/>
    <cellStyle name="Примечание 3 8 6" xfId="3496"/>
    <cellStyle name="Примечание 3 8 6 2" xfId="8683"/>
    <cellStyle name="Примечание 3 8 6 2 2" xfId="19610"/>
    <cellStyle name="Примечание 3 8 6 2 3" xfId="34971"/>
    <cellStyle name="Примечание 3 8 6 3" xfId="24571"/>
    <cellStyle name="Примечание 3 8 6 3 2" xfId="39932"/>
    <cellStyle name="Примечание 3 8 6 4" xfId="14047"/>
    <cellStyle name="Примечание 3 8 6 5" xfId="29522"/>
    <cellStyle name="Примечание 3 8 7" xfId="4113"/>
    <cellStyle name="Примечание 3 8 7 2" xfId="9300"/>
    <cellStyle name="Примечание 3 8 7 2 2" xfId="20227"/>
    <cellStyle name="Примечание 3 8 7 2 3" xfId="35588"/>
    <cellStyle name="Примечание 3 8 7 3" xfId="25188"/>
    <cellStyle name="Примечание 3 8 7 3 2" xfId="40549"/>
    <cellStyle name="Примечание 3 8 7 4" xfId="14664"/>
    <cellStyle name="Примечание 3 8 7 5" xfId="30139"/>
    <cellStyle name="Примечание 3 8 8" xfId="4642"/>
    <cellStyle name="Примечание 3 8 8 2" xfId="9829"/>
    <cellStyle name="Примечание 3 8 8 2 2" xfId="20756"/>
    <cellStyle name="Примечание 3 8 8 2 3" xfId="36117"/>
    <cellStyle name="Примечание 3 8 8 3" xfId="25717"/>
    <cellStyle name="Примечание 3 8 8 3 2" xfId="41078"/>
    <cellStyle name="Примечание 3 8 8 4" xfId="15193"/>
    <cellStyle name="Примечание 3 8 8 5" xfId="30668"/>
    <cellStyle name="Примечание 3 8 9" xfId="5921"/>
    <cellStyle name="Примечание 3 8 9 2" xfId="16950"/>
    <cellStyle name="Примечание 3 8 9 3" xfId="32417"/>
    <cellStyle name="Примечание 3 9" xfId="615"/>
    <cellStyle name="Примечание 3 9 10" xfId="21810"/>
    <cellStyle name="Примечание 3 9 10 2" xfId="37171"/>
    <cellStyle name="Примечание 3 9 11" xfId="11240"/>
    <cellStyle name="Примечание 3 9 12" xfId="26761"/>
    <cellStyle name="Примечание 3 9 2" xfId="664"/>
    <cellStyle name="Примечание 3 9 2 10" xfId="11248"/>
    <cellStyle name="Примечание 3 9 2 11" xfId="26765"/>
    <cellStyle name="Примечание 3 9 2 2" xfId="1542"/>
    <cellStyle name="Примечание 3 9 2 2 2" xfId="3400"/>
    <cellStyle name="Примечание 3 9 2 2 2 2" xfId="8594"/>
    <cellStyle name="Примечание 3 9 2 2 2 2 2" xfId="19521"/>
    <cellStyle name="Примечание 3 9 2 2 2 2 3" xfId="34882"/>
    <cellStyle name="Примечание 3 9 2 2 2 3" xfId="24482"/>
    <cellStyle name="Примечание 3 9 2 2 2 3 2" xfId="39843"/>
    <cellStyle name="Примечание 3 9 2 2 2 4" xfId="13958"/>
    <cellStyle name="Примечание 3 9 2 2 2 5" xfId="29433"/>
    <cellStyle name="Примечание 3 9 2 2 3" xfId="5575"/>
    <cellStyle name="Примечание 3 9 2 2 3 2" xfId="10739"/>
    <cellStyle name="Примечание 3 9 2 2 3 2 2" xfId="21673"/>
    <cellStyle name="Примечание 3 9 2 2 3 2 3" xfId="37034"/>
    <cellStyle name="Примечание 3 9 2 2 3 3" xfId="26626"/>
    <cellStyle name="Примечание 3 9 2 2 3 3 2" xfId="41987"/>
    <cellStyle name="Примечание 3 9 2 2 3 4" xfId="16110"/>
    <cellStyle name="Примечание 3 9 2 2 3 5" xfId="31577"/>
    <cellStyle name="Примечание 3 9 2 2 4" xfId="6789"/>
    <cellStyle name="Примечание 3 9 2 2 4 2" xfId="17684"/>
    <cellStyle name="Примечание 3 9 2 2 4 3" xfId="33045"/>
    <cellStyle name="Примечание 3 9 2 2 5" xfId="22677"/>
    <cellStyle name="Примечание 3 9 2 2 5 2" xfId="38038"/>
    <cellStyle name="Примечание 3 9 2 2 6" xfId="12120"/>
    <cellStyle name="Примечание 3 9 2 2 7" xfId="27628"/>
    <cellStyle name="Примечание 3 9 2 3" xfId="2070"/>
    <cellStyle name="Примечание 3 9 2 3 2" xfId="7306"/>
    <cellStyle name="Примечание 3 9 2 3 2 2" xfId="18208"/>
    <cellStyle name="Примечание 3 9 2 3 2 3" xfId="33569"/>
    <cellStyle name="Примечание 3 9 2 3 3" xfId="23194"/>
    <cellStyle name="Примечание 3 9 2 3 3 2" xfId="38555"/>
    <cellStyle name="Примечание 3 9 2 3 4" xfId="12645"/>
    <cellStyle name="Примечание 3 9 2 3 5" xfId="28145"/>
    <cellStyle name="Примечание 3 9 2 4" xfId="1276"/>
    <cellStyle name="Примечание 3 9 2 4 2" xfId="6529"/>
    <cellStyle name="Примечание 3 9 2 4 2 2" xfId="16332"/>
    <cellStyle name="Примечание 3 9 2 4 2 3" xfId="31799"/>
    <cellStyle name="Примечание 3 9 2 4 3" xfId="22417"/>
    <cellStyle name="Примечание 3 9 2 4 3 2" xfId="37778"/>
    <cellStyle name="Примечание 3 9 2 4 4" xfId="11857"/>
    <cellStyle name="Примечание 3 9 2 4 5" xfId="27368"/>
    <cellStyle name="Примечание 3 9 2 5" xfId="3422"/>
    <cellStyle name="Примечание 3 9 2 5 2" xfId="8613"/>
    <cellStyle name="Примечание 3 9 2 5 2 2" xfId="19540"/>
    <cellStyle name="Примечание 3 9 2 5 2 3" xfId="34901"/>
    <cellStyle name="Примечание 3 9 2 5 3" xfId="24501"/>
    <cellStyle name="Примечание 3 9 2 5 3 2" xfId="39862"/>
    <cellStyle name="Примечание 3 9 2 5 4" xfId="13977"/>
    <cellStyle name="Примечание 3 9 2 5 5" xfId="29452"/>
    <cellStyle name="Примечание 3 9 2 6" xfId="4118"/>
    <cellStyle name="Примечание 3 9 2 6 2" xfId="9305"/>
    <cellStyle name="Примечание 3 9 2 6 2 2" xfId="20232"/>
    <cellStyle name="Примечание 3 9 2 6 2 3" xfId="35593"/>
    <cellStyle name="Примечание 3 9 2 6 3" xfId="25193"/>
    <cellStyle name="Примечание 3 9 2 6 3 2" xfId="40554"/>
    <cellStyle name="Примечание 3 9 2 6 4" xfId="14669"/>
    <cellStyle name="Примечание 3 9 2 6 5" xfId="30144"/>
    <cellStyle name="Примечание 3 9 2 7" xfId="4972"/>
    <cellStyle name="Примечание 3 9 2 7 2" xfId="10159"/>
    <cellStyle name="Примечание 3 9 2 7 2 2" xfId="21086"/>
    <cellStyle name="Примечание 3 9 2 7 2 3" xfId="36447"/>
    <cellStyle name="Примечание 3 9 2 7 3" xfId="26047"/>
    <cellStyle name="Примечание 3 9 2 7 3 2" xfId="41408"/>
    <cellStyle name="Примечание 3 9 2 7 4" xfId="15523"/>
    <cellStyle name="Примечание 3 9 2 7 5" xfId="30998"/>
    <cellStyle name="Примечание 3 9 2 8" xfId="5926"/>
    <cellStyle name="Примечание 3 9 2 8 2" xfId="16941"/>
    <cellStyle name="Примечание 3 9 2 8 3" xfId="32408"/>
    <cellStyle name="Примечание 3 9 2 9" xfId="21814"/>
    <cellStyle name="Примечание 3 9 2 9 2" xfId="37175"/>
    <cellStyle name="Примечание 3 9 3" xfId="1202"/>
    <cellStyle name="Примечание 3 9 3 2" xfId="3401"/>
    <cellStyle name="Примечание 3 9 3 2 2" xfId="8595"/>
    <cellStyle name="Примечание 3 9 3 2 2 2" xfId="19522"/>
    <cellStyle name="Примечание 3 9 3 2 2 3" xfId="34883"/>
    <cellStyle name="Примечание 3 9 3 2 3" xfId="24483"/>
    <cellStyle name="Примечание 3 9 3 2 3 2" xfId="39844"/>
    <cellStyle name="Примечание 3 9 3 2 4" xfId="13959"/>
    <cellStyle name="Примечание 3 9 3 2 5" xfId="29434"/>
    <cellStyle name="Примечание 3 9 3 3" xfId="5576"/>
    <cellStyle name="Примечание 3 9 3 3 2" xfId="10740"/>
    <cellStyle name="Примечание 3 9 3 3 2 2" xfId="21674"/>
    <cellStyle name="Примечание 3 9 3 3 2 3" xfId="37035"/>
    <cellStyle name="Примечание 3 9 3 3 3" xfId="26627"/>
    <cellStyle name="Примечание 3 9 3 3 3 2" xfId="41988"/>
    <cellStyle name="Примечание 3 9 3 3 4" xfId="16111"/>
    <cellStyle name="Примечание 3 9 3 3 5" xfId="31578"/>
    <cellStyle name="Примечание 3 9 3 4" xfId="6456"/>
    <cellStyle name="Примечание 3 9 3 4 2" xfId="16406"/>
    <cellStyle name="Примечание 3 9 3 4 3" xfId="31873"/>
    <cellStyle name="Примечание 3 9 3 5" xfId="22344"/>
    <cellStyle name="Примечание 3 9 3 5 2" xfId="37705"/>
    <cellStyle name="Примечание 3 9 3 6" xfId="11783"/>
    <cellStyle name="Примечание 3 9 3 7" xfId="27295"/>
    <cellStyle name="Примечание 3 9 4" xfId="2026"/>
    <cellStyle name="Примечание 3 9 4 2" xfId="7262"/>
    <cellStyle name="Примечание 3 9 4 2 2" xfId="18164"/>
    <cellStyle name="Примечание 3 9 4 2 3" xfId="33525"/>
    <cellStyle name="Примечание 3 9 4 3" xfId="23150"/>
    <cellStyle name="Примечание 3 9 4 3 2" xfId="38511"/>
    <cellStyle name="Примечание 3 9 4 4" xfId="12601"/>
    <cellStyle name="Примечание 3 9 4 5" xfId="28101"/>
    <cellStyle name="Примечание 3 9 5" xfId="1788"/>
    <cellStyle name="Примечание 3 9 5 2" xfId="7027"/>
    <cellStyle name="Примечание 3 9 5 2 2" xfId="17929"/>
    <cellStyle name="Примечание 3 9 5 2 3" xfId="33290"/>
    <cellStyle name="Примечание 3 9 5 3" xfId="22915"/>
    <cellStyle name="Примечание 3 9 5 3 2" xfId="38276"/>
    <cellStyle name="Примечание 3 9 5 4" xfId="12366"/>
    <cellStyle name="Примечание 3 9 5 5" xfId="27866"/>
    <cellStyle name="Примечание 3 9 6" xfId="2667"/>
    <cellStyle name="Примечание 3 9 6 2" xfId="7898"/>
    <cellStyle name="Примечание 3 9 6 2 2" xfId="18802"/>
    <cellStyle name="Примечание 3 9 6 2 3" xfId="34163"/>
    <cellStyle name="Примечание 3 9 6 3" xfId="23786"/>
    <cellStyle name="Примечание 3 9 6 3 2" xfId="39147"/>
    <cellStyle name="Примечание 3 9 6 4" xfId="13239"/>
    <cellStyle name="Примечание 3 9 6 5" xfId="28737"/>
    <cellStyle name="Примечание 3 9 7" xfId="4114"/>
    <cellStyle name="Примечание 3 9 7 2" xfId="9301"/>
    <cellStyle name="Примечание 3 9 7 2 2" xfId="20228"/>
    <cellStyle name="Примечание 3 9 7 2 3" xfId="35589"/>
    <cellStyle name="Примечание 3 9 7 3" xfId="25189"/>
    <cellStyle name="Примечание 3 9 7 3 2" xfId="40550"/>
    <cellStyle name="Примечание 3 9 7 4" xfId="14665"/>
    <cellStyle name="Примечание 3 9 7 5" xfId="30140"/>
    <cellStyle name="Примечание 3 9 8" xfId="4902"/>
    <cellStyle name="Примечание 3 9 8 2" xfId="10089"/>
    <cellStyle name="Примечание 3 9 8 2 2" xfId="21016"/>
    <cellStyle name="Примечание 3 9 8 2 3" xfId="36377"/>
    <cellStyle name="Примечание 3 9 8 3" xfId="25977"/>
    <cellStyle name="Примечание 3 9 8 3 2" xfId="41338"/>
    <cellStyle name="Примечание 3 9 8 4" xfId="15453"/>
    <cellStyle name="Примечание 3 9 8 5" xfId="30928"/>
    <cellStyle name="Примечание 3 9 9" xfId="5922"/>
    <cellStyle name="Примечание 3 9 9 2" xfId="16949"/>
    <cellStyle name="Примечание 3 9 9 3" xfId="32416"/>
    <cellStyle name="Примечание 3_46EE.2011(v1.0)" xfId="43499"/>
    <cellStyle name="Примечание 4" xfId="43500"/>
    <cellStyle name="Примечание 4 2" xfId="43501"/>
    <cellStyle name="Примечание 4 2 2" xfId="43502"/>
    <cellStyle name="Примечание 4 2 2 2" xfId="46609"/>
    <cellStyle name="Примечание 4 2 2 3" xfId="46608"/>
    <cellStyle name="Примечание 4 2 2 4" xfId="45089"/>
    <cellStyle name="Примечание 4 2 3" xfId="45090"/>
    <cellStyle name="Примечание 4 2 3 2" xfId="46611"/>
    <cellStyle name="Примечание 4 2 3 3" xfId="46610"/>
    <cellStyle name="Примечание 4 2 4" xfId="46612"/>
    <cellStyle name="Примечание 4 2 5" xfId="46607"/>
    <cellStyle name="Примечание 4 3" xfId="43503"/>
    <cellStyle name="Примечание 4 3 2" xfId="46614"/>
    <cellStyle name="Примечание 4 3 3" xfId="46613"/>
    <cellStyle name="Примечание 4 3 4" xfId="45091"/>
    <cellStyle name="Примечание 4 4" xfId="43504"/>
    <cellStyle name="Примечание 4 4 2" xfId="46616"/>
    <cellStyle name="Примечание 4 4 3" xfId="46615"/>
    <cellStyle name="Примечание 4 4 4" xfId="45092"/>
    <cellStyle name="Примечание 4 5" xfId="43505"/>
    <cellStyle name="Примечание 4 5 2" xfId="46617"/>
    <cellStyle name="Примечание 4 6" xfId="43506"/>
    <cellStyle name="Примечание 4 6 2" xfId="46606"/>
    <cellStyle name="Примечание 4 7" xfId="43507"/>
    <cellStyle name="Примечание 4 8" xfId="43508"/>
    <cellStyle name="Примечание 4 9" xfId="43509"/>
    <cellStyle name="Примечание 4_46EE.2011(v1.0)" xfId="43510"/>
    <cellStyle name="Примечание 5" xfId="43511"/>
    <cellStyle name="Примечание 5 2" xfId="43512"/>
    <cellStyle name="Примечание 5 2 2" xfId="46620"/>
    <cellStyle name="Примечание 5 2 2 2" xfId="46621"/>
    <cellStyle name="Примечание 5 2 3" xfId="46622"/>
    <cellStyle name="Примечание 5 2 3 2" xfId="46623"/>
    <cellStyle name="Примечание 5 2 4" xfId="46624"/>
    <cellStyle name="Примечание 5 2 5" xfId="46619"/>
    <cellStyle name="Примечание 5 3" xfId="43513"/>
    <cellStyle name="Примечание 5 3 2" xfId="46626"/>
    <cellStyle name="Примечание 5 3 3" xfId="46625"/>
    <cellStyle name="Примечание 5 4" xfId="43514"/>
    <cellStyle name="Примечание 5 4 2" xfId="46628"/>
    <cellStyle name="Примечание 5 4 3" xfId="46627"/>
    <cellStyle name="Примечание 5 5" xfId="43515"/>
    <cellStyle name="Примечание 5 5 2" xfId="46629"/>
    <cellStyle name="Примечание 5 6" xfId="43516"/>
    <cellStyle name="Примечание 5 7" xfId="43517"/>
    <cellStyle name="Примечание 5 8" xfId="43518"/>
    <cellStyle name="Примечание 5 9" xfId="46618"/>
    <cellStyle name="Примечание 5_46EE.2011(v1.0)" xfId="43519"/>
    <cellStyle name="Примечание 6" xfId="43520"/>
    <cellStyle name="Примечание 6 2" xfId="43521"/>
    <cellStyle name="Примечание 6 2 2" xfId="46632"/>
    <cellStyle name="Примечание 6 2 2 2" xfId="46633"/>
    <cellStyle name="Примечание 6 2 3" xfId="46634"/>
    <cellStyle name="Примечание 6 2 3 2" xfId="46635"/>
    <cellStyle name="Примечание 6 2 4" xfId="46636"/>
    <cellStyle name="Примечание 6 2 5" xfId="46631"/>
    <cellStyle name="Примечание 6 3" xfId="46630"/>
    <cellStyle name="Примечание 6_46EE.2011(v1.0)" xfId="43522"/>
    <cellStyle name="Примечание 7" xfId="43523"/>
    <cellStyle name="Примечание 7 2" xfId="43524"/>
    <cellStyle name="Примечание 7 2 2" xfId="46639"/>
    <cellStyle name="Примечание 7 2 2 2" xfId="46640"/>
    <cellStyle name="Примечание 7 2 3" xfId="46641"/>
    <cellStyle name="Примечание 7 2 3 2" xfId="46642"/>
    <cellStyle name="Примечание 7 2 4" xfId="46643"/>
    <cellStyle name="Примечание 7 2 5" xfId="46638"/>
    <cellStyle name="Примечание 7 3" xfId="46644"/>
    <cellStyle name="Примечание 7 3 2" xfId="46645"/>
    <cellStyle name="Примечание 7 4" xfId="46646"/>
    <cellStyle name="Примечание 7 4 2" xfId="46647"/>
    <cellStyle name="Примечание 7 5" xfId="46648"/>
    <cellStyle name="Примечание 7 6" xfId="46637"/>
    <cellStyle name="Примечание 7_46EE.2011(v1.0)" xfId="43525"/>
    <cellStyle name="Примечание 8" xfId="43526"/>
    <cellStyle name="Примечание 8 2" xfId="43527"/>
    <cellStyle name="Примечание 8 2 2" xfId="46651"/>
    <cellStyle name="Примечание 8 2 3" xfId="46650"/>
    <cellStyle name="Примечание 8 3" xfId="46652"/>
    <cellStyle name="Примечание 8 3 2" xfId="46653"/>
    <cellStyle name="Примечание 8 4" xfId="46654"/>
    <cellStyle name="Примечание 8 5" xfId="46649"/>
    <cellStyle name="Примечание 8_46EE.2011(v1.0)" xfId="43528"/>
    <cellStyle name="Примечание 9" xfId="43529"/>
    <cellStyle name="Примечание 9 2" xfId="43530"/>
    <cellStyle name="Примечание 9_46EE.2011(v1.0)" xfId="43531"/>
    <cellStyle name="Процентный 10" xfId="30"/>
    <cellStyle name="Процентный 2" xfId="31"/>
    <cellStyle name="Процентный 2 2" xfId="42"/>
    <cellStyle name="Процентный 2 2 2" xfId="617"/>
    <cellStyle name="Процентный 2 2 2 2" xfId="618"/>
    <cellStyle name="Процентный 2 2 2 2 2" xfId="17552"/>
    <cellStyle name="Процентный 2 2 2 2 3" xfId="46656"/>
    <cellStyle name="Процентный 2 2 2 2 4" xfId="46655"/>
    <cellStyle name="Процентный 2 2 2 3" xfId="46657"/>
    <cellStyle name="Процентный 2 2 2 3 2" xfId="46658"/>
    <cellStyle name="Процентный 2 2 2 4" xfId="46659"/>
    <cellStyle name="Процентный 2 2 3" xfId="619"/>
    <cellStyle name="Процентный 2 2 3 2" xfId="46661"/>
    <cellStyle name="Процентный 2 2 3 3" xfId="46662"/>
    <cellStyle name="Процентный 2 2 3 4" xfId="46663"/>
    <cellStyle name="Процентный 2 2 3 5" xfId="46660"/>
    <cellStyle name="Процентный 2 2 4" xfId="616"/>
    <cellStyle name="Процентный 2 2 4 2" xfId="46664"/>
    <cellStyle name="Процентный 2 2 5" xfId="17551"/>
    <cellStyle name="Процентный 2 2 5 2" xfId="46666"/>
    <cellStyle name="Процентный 2 2 5 3" xfId="46665"/>
    <cellStyle name="Процентный 2 2 6" xfId="46667"/>
    <cellStyle name="Процентный 2 2 6 2" xfId="46668"/>
    <cellStyle name="Процентный 2 2 7" xfId="46669"/>
    <cellStyle name="Процентный 2 2 7 2" xfId="46670"/>
    <cellStyle name="Процентный 2 2 8" xfId="46671"/>
    <cellStyle name="Процентный 2 3" xfId="620"/>
    <cellStyle name="Процентный 2 3 2" xfId="43532"/>
    <cellStyle name="Процентный 2 3 3" xfId="43533"/>
    <cellStyle name="Процентный 2 3 4" xfId="43867"/>
    <cellStyle name="Процентный 2 4" xfId="621"/>
    <cellStyle name="Процентный 2 4 2" xfId="44039"/>
    <cellStyle name="Процентный 2 4 3" xfId="43868"/>
    <cellStyle name="Процентный 2 5" xfId="43534"/>
    <cellStyle name="Процентный 2 5 2" xfId="45093"/>
    <cellStyle name="Процентный 2 5 3" xfId="46672"/>
    <cellStyle name="Процентный 2 5 4" xfId="43866"/>
    <cellStyle name="Процентный 2 6" xfId="43535"/>
    <cellStyle name="Процентный 2 6 2" xfId="45094"/>
    <cellStyle name="Процентный 2 7" xfId="45095"/>
    <cellStyle name="Процентный 2 8" xfId="43773"/>
    <cellStyle name="Процентный 3" xfId="41"/>
    <cellStyle name="Процентный 3 2" xfId="622"/>
    <cellStyle name="Процентный 3 2 2" xfId="46674"/>
    <cellStyle name="Процентный 3 2 3" xfId="46675"/>
    <cellStyle name="Процентный 3 2 4" xfId="46673"/>
    <cellStyle name="Процентный 3 3" xfId="17553"/>
    <cellStyle name="Процентный 3 3 2" xfId="45096"/>
    <cellStyle name="Процентный 3 4" xfId="43536"/>
    <cellStyle name="Процентный 4" xfId="623"/>
    <cellStyle name="Процентный 4 10" xfId="46676"/>
    <cellStyle name="Процентный 4 2" xfId="624"/>
    <cellStyle name="Процентный 4 2 2" xfId="43537"/>
    <cellStyle name="Процентный 4 2 2 2" xfId="46677"/>
    <cellStyle name="Процентный 4 2 3" xfId="45097"/>
    <cellStyle name="Процентный 4 2 3 2" xfId="46679"/>
    <cellStyle name="Процентный 4 2 3 2 2" xfId="46680"/>
    <cellStyle name="Процентный 4 2 3 3" xfId="46681"/>
    <cellStyle name="Процентный 4 2 3 4" xfId="46678"/>
    <cellStyle name="Процентный 4 2 4" xfId="46682"/>
    <cellStyle name="Процентный 4 2 4 2" xfId="46683"/>
    <cellStyle name="Процентный 4 2 5" xfId="46684"/>
    <cellStyle name="Процентный 4 2 5 2" xfId="46685"/>
    <cellStyle name="Процентный 4 2 6" xfId="46686"/>
    <cellStyle name="Процентный 4 3" xfId="43538"/>
    <cellStyle name="Процентный 4 3 2" xfId="46687"/>
    <cellStyle name="Процентный 4 3 2 2" xfId="46688"/>
    <cellStyle name="Процентный 4 3 3" xfId="46689"/>
    <cellStyle name="Процентный 4 3 4" xfId="46690"/>
    <cellStyle name="Процентный 4 3 4 2" xfId="46691"/>
    <cellStyle name="Процентный 4 3 5" xfId="46692"/>
    <cellStyle name="Процентный 4 3 5 2" xfId="46693"/>
    <cellStyle name="Процентный 4 3 6" xfId="46694"/>
    <cellStyle name="Процентный 4 4" xfId="43539"/>
    <cellStyle name="Процентный 4 4 2" xfId="46696"/>
    <cellStyle name="Процентный 4 4 2 2" xfId="46697"/>
    <cellStyle name="Процентный 4 4 3" xfId="46698"/>
    <cellStyle name="Процентный 4 4 4" xfId="46695"/>
    <cellStyle name="Процентный 4 4 5" xfId="45098"/>
    <cellStyle name="Процентный 4 5" xfId="46699"/>
    <cellStyle name="Процентный 4 5 2" xfId="46700"/>
    <cellStyle name="Процентный 4 6" xfId="46701"/>
    <cellStyle name="Процентный 4 6 2" xfId="46702"/>
    <cellStyle name="Процентный 4 7" xfId="46703"/>
    <cellStyle name="Процентный 4 7 2" xfId="46704"/>
    <cellStyle name="Процентный 4 8" xfId="46705"/>
    <cellStyle name="Процентный 4 8 2" xfId="46706"/>
    <cellStyle name="Процентный 4 9" xfId="46707"/>
    <cellStyle name="Процентный 5" xfId="625"/>
    <cellStyle name="Процентный 5 2" xfId="626"/>
    <cellStyle name="Процентный 5 2 2" xfId="32"/>
    <cellStyle name="Процентный 5 2 2 10" xfId="45099"/>
    <cellStyle name="Процентный 5 2 2 11" xfId="45100"/>
    <cellStyle name="Процентный 5 2 2 12" xfId="45101"/>
    <cellStyle name="Процентный 5 2 2 13" xfId="45294"/>
    <cellStyle name="Процентный 5 2 2 2" xfId="33"/>
    <cellStyle name="Процентный 5 2 2 2 2" xfId="43775"/>
    <cellStyle name="Процентный 5 2 2 2 2 2" xfId="45102"/>
    <cellStyle name="Процентный 5 2 2 2 2 2 2" xfId="46710"/>
    <cellStyle name="Процентный 5 2 2 2 2 3" xfId="45103"/>
    <cellStyle name="Процентный 5 2 2 2 2 3 2" xfId="46711"/>
    <cellStyle name="Процентный 5 2 2 2 2 4" xfId="45296"/>
    <cellStyle name="Процентный 5 2 2 2 2 5" xfId="46709"/>
    <cellStyle name="Процентный 5 2 2 2 3" xfId="43870"/>
    <cellStyle name="Процентный 5 2 2 2 3 2" xfId="45104"/>
    <cellStyle name="Процентный 5 2 2 2 3 2 2" xfId="46712"/>
    <cellStyle name="Процентный 5 2 2 2 4" xfId="45105"/>
    <cellStyle name="Процентный 5 2 2 2 4 2" xfId="46713"/>
    <cellStyle name="Процентный 5 2 2 2 5" xfId="45106"/>
    <cellStyle name="Процентный 5 2 2 2 6" xfId="45107"/>
    <cellStyle name="Процентный 5 2 2 2 7" xfId="45295"/>
    <cellStyle name="Процентный 5 2 2 2 8" xfId="43774"/>
    <cellStyle name="Процентный 5 2 2 3" xfId="3417"/>
    <cellStyle name="Процентный 5 2 2 3 2" xfId="45108"/>
    <cellStyle name="Процентный 5 2 2 3 2 2" xfId="46715"/>
    <cellStyle name="Процентный 5 2 2 3 3" xfId="45109"/>
    <cellStyle name="Процентный 5 2 2 3 3 2" xfId="46716"/>
    <cellStyle name="Процентный 5 2 2 3 4" xfId="45110"/>
    <cellStyle name="Процентный 5 2 2 3 5" xfId="45297"/>
    <cellStyle name="Процентный 5 2 2 3 6" xfId="46714"/>
    <cellStyle name="Процентный 5 2 2 3 7" xfId="43776"/>
    <cellStyle name="Процентный 5 2 2 4" xfId="17564"/>
    <cellStyle name="Процентный 5 2 2 4 2" xfId="45111"/>
    <cellStyle name="Процентный 5 2 2 4 2 2" xfId="45112"/>
    <cellStyle name="Процентный 5 2 2 4 2 2 2" xfId="45113"/>
    <cellStyle name="Процентный 5 2 2 4 2 2 2 2" xfId="45114"/>
    <cellStyle name="Процентный 5 2 2 4 2 2 3" xfId="45115"/>
    <cellStyle name="Процентный 5 2 2 4 2 3" xfId="45116"/>
    <cellStyle name="Процентный 5 2 2 4 2 3 2" xfId="45117"/>
    <cellStyle name="Процентный 5 2 2 4 2 4" xfId="45118"/>
    <cellStyle name="Процентный 5 2 2 4 3" xfId="45119"/>
    <cellStyle name="Процентный 5 2 2 4 3 2" xfId="45120"/>
    <cellStyle name="Процентный 5 2 2 4 3 2 2" xfId="45121"/>
    <cellStyle name="Процентный 5 2 2 4 3 3" xfId="45122"/>
    <cellStyle name="Процентный 5 2 2 4 4" xfId="45123"/>
    <cellStyle name="Процентный 5 2 2 4 4 2" xfId="45124"/>
    <cellStyle name="Процентный 5 2 2 4 5" xfId="45125"/>
    <cellStyle name="Процентный 5 2 2 4 6" xfId="45126"/>
    <cellStyle name="Процентный 5 2 2 4 7" xfId="43869"/>
    <cellStyle name="Процентный 5 2 2 5" xfId="45127"/>
    <cellStyle name="Процентный 5 2 2 5 2" xfId="45128"/>
    <cellStyle name="Процентный 5 2 2 5 2 2" xfId="45129"/>
    <cellStyle name="Процентный 5 2 2 5 2 2 2" xfId="45130"/>
    <cellStyle name="Процентный 5 2 2 5 2 3" xfId="45131"/>
    <cellStyle name="Процентный 5 2 2 5 3" xfId="45132"/>
    <cellStyle name="Процентный 5 2 2 5 3 2" xfId="45133"/>
    <cellStyle name="Процентный 5 2 2 5 4" xfId="45134"/>
    <cellStyle name="Процентный 5 2 2 6" xfId="45135"/>
    <cellStyle name="Процентный 5 2 2 6 2" xfId="45136"/>
    <cellStyle name="Процентный 5 2 2 6 2 2" xfId="45137"/>
    <cellStyle name="Процентный 5 2 2 6 2 2 2" xfId="45138"/>
    <cellStyle name="Процентный 5 2 2 6 2 3" xfId="45139"/>
    <cellStyle name="Процентный 5 2 2 6 3" xfId="45140"/>
    <cellStyle name="Процентный 5 2 2 6 3 2" xfId="45141"/>
    <cellStyle name="Процентный 5 2 2 6 4" xfId="45142"/>
    <cellStyle name="Процентный 5 2 2 7" xfId="45143"/>
    <cellStyle name="Процентный 5 2 2 7 2" xfId="45144"/>
    <cellStyle name="Процентный 5 2 2 7 2 2" xfId="45145"/>
    <cellStyle name="Процентный 5 2 2 7 2 2 2" xfId="45146"/>
    <cellStyle name="Процентный 5 2 2 7 2 3" xfId="45147"/>
    <cellStyle name="Процентный 5 2 2 7 3" xfId="45148"/>
    <cellStyle name="Процентный 5 2 2 7 3 2" xfId="45149"/>
    <cellStyle name="Процентный 5 2 2 7 4" xfId="45150"/>
    <cellStyle name="Процентный 5 2 2 8" xfId="45151"/>
    <cellStyle name="Процентный 5 2 2 8 2" xfId="45152"/>
    <cellStyle name="Процентный 5 2 2 8 2 2" xfId="45153"/>
    <cellStyle name="Процентный 5 2 2 8 3" xfId="45154"/>
    <cellStyle name="Процентный 5 2 2 9" xfId="45155"/>
    <cellStyle name="Процентный 5 2 2 9 2" xfId="45156"/>
    <cellStyle name="Процентный 5 2 3" xfId="17554"/>
    <cellStyle name="Процентный 5 2 3 2" xfId="46708"/>
    <cellStyle name="Процентный 5 3" xfId="44040"/>
    <cellStyle name="Процентный 6" xfId="34"/>
    <cellStyle name="Процентный 6 2" xfId="43540"/>
    <cellStyle name="Процентный 6 2 2" xfId="43541"/>
    <cellStyle name="Процентный 6 2 2 2" xfId="46718"/>
    <cellStyle name="Процентный 6 2 3" xfId="43542"/>
    <cellStyle name="Процентный 6 2 3 2" xfId="46717"/>
    <cellStyle name="Процентный 6 2 4" xfId="45157"/>
    <cellStyle name="Процентный 6 3" xfId="43543"/>
    <cellStyle name="Процентный 6 3 2" xfId="45158"/>
    <cellStyle name="Процентный 6 4" xfId="43544"/>
    <cellStyle name="Процентный 6 5" xfId="43545"/>
    <cellStyle name="Процентный 7" xfId="627"/>
    <cellStyle name="Процентный 7 2" xfId="17555"/>
    <cellStyle name="Процентный 7 2 2" xfId="46720"/>
    <cellStyle name="Процентный 7 2 3" xfId="46719"/>
    <cellStyle name="Процентный 7 3" xfId="43546"/>
    <cellStyle name="Процентный 7 3 2" xfId="46721"/>
    <cellStyle name="Процентный 7 3 3" xfId="45159"/>
    <cellStyle name="Процентный 7 4" xfId="43865"/>
    <cellStyle name="Процентный 8" xfId="3420"/>
    <cellStyle name="Процентный 8 2" xfId="46722"/>
    <cellStyle name="Процентный 9" xfId="41992"/>
    <cellStyle name="Процентный 9 2" xfId="43772"/>
    <cellStyle name="Связанная ячейка 2" xfId="628"/>
    <cellStyle name="Связанная ячейка 2 2" xfId="629"/>
    <cellStyle name="Связанная ячейка 2 2 2" xfId="43547"/>
    <cellStyle name="Связанная ячейка 2 2 2 2" xfId="46724"/>
    <cellStyle name="Связанная ячейка 2 2 3" xfId="46723"/>
    <cellStyle name="Связанная ячейка 2 3" xfId="3423"/>
    <cellStyle name="Связанная ячейка 2 3 2" xfId="45160"/>
    <cellStyle name="Связанная ячейка 2 4" xfId="3421"/>
    <cellStyle name="Связанная ячейка 2_46EE.2011(v1.0)" xfId="43548"/>
    <cellStyle name="Связанная ячейка 3" xfId="43549"/>
    <cellStyle name="Связанная ячейка 3 2" xfId="43550"/>
    <cellStyle name="Связанная ячейка 3_46EE.2011(v1.0)" xfId="43551"/>
    <cellStyle name="Связанная ячейка 4" xfId="43552"/>
    <cellStyle name="Связанная ячейка 4 2" xfId="43553"/>
    <cellStyle name="Связанная ячейка 4_46EE.2011(v1.0)" xfId="43554"/>
    <cellStyle name="Связанная ячейка 5" xfId="43555"/>
    <cellStyle name="Связанная ячейка 5 2" xfId="43556"/>
    <cellStyle name="Связанная ячейка 5_46EE.2011(v1.0)" xfId="43557"/>
    <cellStyle name="Связанная ячейка 6" xfId="43558"/>
    <cellStyle name="Связанная ячейка 6 2" xfId="43559"/>
    <cellStyle name="Связанная ячейка 6 2 2" xfId="46726"/>
    <cellStyle name="Связанная ячейка 6 3" xfId="46725"/>
    <cellStyle name="Связанная ячейка 6_46EE.2011(v1.0)" xfId="43560"/>
    <cellStyle name="Связанная ячейка 7" xfId="43561"/>
    <cellStyle name="Связанная ячейка 7 2" xfId="43562"/>
    <cellStyle name="Связанная ячейка 7_46EE.2011(v1.0)" xfId="43563"/>
    <cellStyle name="Связанная ячейка 8" xfId="43564"/>
    <cellStyle name="Связанная ячейка 8 2" xfId="43565"/>
    <cellStyle name="Связанная ячейка 8_46EE.2011(v1.0)" xfId="43566"/>
    <cellStyle name="Связанная ячейка 9" xfId="43567"/>
    <cellStyle name="Связанная ячейка 9 2" xfId="43568"/>
    <cellStyle name="Связанная ячейка 9_46EE.2011(v1.0)" xfId="43569"/>
    <cellStyle name="Стиль 1" xfId="35"/>
    <cellStyle name="Стиль 1 2" xfId="630"/>
    <cellStyle name="Стиль 1 2 2" xfId="631"/>
    <cellStyle name="Стиль 1 2 2 2" xfId="632"/>
    <cellStyle name="Стиль 1 2 2 3" xfId="45161"/>
    <cellStyle name="Стиль 1 2 3" xfId="43570"/>
    <cellStyle name="Стиль 1 2 3 2" xfId="45162"/>
    <cellStyle name="Стиль 1 2 3 3" xfId="43871"/>
    <cellStyle name="Стиль 1 2 4" xfId="45163"/>
    <cellStyle name="Стиль 1 2 5" xfId="45164"/>
    <cellStyle name="Стиль 1 3" xfId="633"/>
    <cellStyle name="Стиль 1 3 2" xfId="634"/>
    <cellStyle name="Стиль 1 3 2 2" xfId="45165"/>
    <cellStyle name="Стиль 1 3 3" xfId="45166"/>
    <cellStyle name="Стиль 1 4" xfId="635"/>
    <cellStyle name="Стиль 1 5" xfId="43571"/>
    <cellStyle name="Стиль 1 5 2" xfId="45167"/>
    <cellStyle name="Стиль 1_1.2 ХЭС" xfId="636"/>
    <cellStyle name="ТЕКСТ" xfId="43572"/>
    <cellStyle name="ТЕКСТ 2" xfId="43573"/>
    <cellStyle name="ТЕКСТ 3" xfId="43574"/>
    <cellStyle name="ТЕКСТ 4" xfId="43575"/>
    <cellStyle name="ТЕКСТ 5" xfId="43576"/>
    <cellStyle name="ТЕКСТ 6" xfId="43577"/>
    <cellStyle name="ТЕКСТ 7" xfId="43578"/>
    <cellStyle name="ТЕКСТ 8" xfId="43579"/>
    <cellStyle name="Текст предупреждения 2" xfId="637"/>
    <cellStyle name="Текст предупреждения 2 2" xfId="638"/>
    <cellStyle name="Текст предупреждения 2 2 2" xfId="43580"/>
    <cellStyle name="Текст предупреждения 2 2 2 2" xfId="46728"/>
    <cellStyle name="Текст предупреждения 2 2 3" xfId="46727"/>
    <cellStyle name="Текст предупреждения 2 3" xfId="43581"/>
    <cellStyle name="Текст предупреждения 2 3 2" xfId="45168"/>
    <cellStyle name="Текст предупреждения 3" xfId="43582"/>
    <cellStyle name="Текст предупреждения 3 2" xfId="43583"/>
    <cellStyle name="Текст предупреждения 4" xfId="43584"/>
    <cellStyle name="Текст предупреждения 4 2" xfId="43585"/>
    <cellStyle name="Текст предупреждения 5" xfId="43586"/>
    <cellStyle name="Текст предупреждения 5 2" xfId="43587"/>
    <cellStyle name="Текст предупреждения 6" xfId="43588"/>
    <cellStyle name="Текст предупреждения 6 2" xfId="43589"/>
    <cellStyle name="Текст предупреждения 6 2 2" xfId="46730"/>
    <cellStyle name="Текст предупреждения 6 3" xfId="46729"/>
    <cellStyle name="Текст предупреждения 7" xfId="43590"/>
    <cellStyle name="Текст предупреждения 7 2" xfId="43591"/>
    <cellStyle name="Текст предупреждения 8" xfId="43592"/>
    <cellStyle name="Текст предупреждения 8 2" xfId="43593"/>
    <cellStyle name="Текст предупреждения 9" xfId="43594"/>
    <cellStyle name="Текст предупреждения 9 2" xfId="43595"/>
    <cellStyle name="Текстовый" xfId="43596"/>
    <cellStyle name="Текстовый 2" xfId="43597"/>
    <cellStyle name="Текстовый 3" xfId="43598"/>
    <cellStyle name="Текстовый 4" xfId="43599"/>
    <cellStyle name="Текстовый 5" xfId="43600"/>
    <cellStyle name="Текстовый 6" xfId="43601"/>
    <cellStyle name="Текстовый 7" xfId="43602"/>
    <cellStyle name="Текстовый 8" xfId="43603"/>
    <cellStyle name="Текстовый_1" xfId="43604"/>
    <cellStyle name="Тысячи [0]_22гк" xfId="43605"/>
    <cellStyle name="Тысячи_22гк" xfId="43606"/>
    <cellStyle name="ФИКСИРОВАННЫЙ" xfId="43607"/>
    <cellStyle name="ФИКСИРОВАННЫЙ 2" xfId="43608"/>
    <cellStyle name="ФИКСИРОВАННЫЙ 3" xfId="43609"/>
    <cellStyle name="ФИКСИРОВАННЫЙ 4" xfId="43610"/>
    <cellStyle name="ФИКСИРОВАННЫЙ 5" xfId="43611"/>
    <cellStyle name="ФИКСИРОВАННЫЙ 6" xfId="43612"/>
    <cellStyle name="ФИКСИРОВАННЫЙ 7" xfId="43613"/>
    <cellStyle name="ФИКСИРОВАННЫЙ 8" xfId="43614"/>
    <cellStyle name="ФИКСИРОВАННЫЙ_1" xfId="43615"/>
    <cellStyle name="Финансовый" xfId="46925" builtinId="3"/>
    <cellStyle name="Финансовый [0] 2" xfId="43873"/>
    <cellStyle name="Финансовый [0] 2 2" xfId="43917"/>
    <cellStyle name="Финансовый [0] 2 2 2" xfId="45169"/>
    <cellStyle name="Финансовый [0] 2 3" xfId="45170"/>
    <cellStyle name="Финансовый [0] 2 4" xfId="45426"/>
    <cellStyle name="Финансовый 10" xfId="640"/>
    <cellStyle name="Финансовый 10 2" xfId="17556"/>
    <cellStyle name="Финансовый 10 2 2" xfId="45171"/>
    <cellStyle name="Финансовый 10 2 3" xfId="43918"/>
    <cellStyle name="Финансовый 10 3" xfId="44041"/>
    <cellStyle name="Финансовый 10 3 2" xfId="45383"/>
    <cellStyle name="Финансовый 10 4" xfId="46732"/>
    <cellStyle name="Финансовый 10 5" xfId="43874"/>
    <cellStyle name="Финансовый 11" xfId="3435"/>
    <cellStyle name="Финансовый 11 2" xfId="44017"/>
    <cellStyle name="Финансовый 11 3" xfId="45172"/>
    <cellStyle name="Финансовый 11 4" xfId="45326"/>
    <cellStyle name="Финансовый 11 5" xfId="46733"/>
    <cellStyle name="Финансовый 11 6" xfId="43894"/>
    <cellStyle name="Финансовый 12" xfId="41991"/>
    <cellStyle name="Финансовый 12 2" xfId="45173"/>
    <cellStyle name="Финансовый 12 3" xfId="45174"/>
    <cellStyle name="Финансовый 12 4" xfId="45327"/>
    <cellStyle name="Финансовый 12 5" xfId="46734"/>
    <cellStyle name="Финансовый 13" xfId="36"/>
    <cellStyle name="Финансовый 13 2" xfId="45175"/>
    <cellStyle name="Финансовый 13 3" xfId="45176"/>
    <cellStyle name="Финансовый 13 4" xfId="45329"/>
    <cellStyle name="Финансовый 13 5" xfId="46735"/>
    <cellStyle name="Финансовый 13 6" xfId="43896"/>
    <cellStyle name="Финансовый 14" xfId="43895"/>
    <cellStyle name="Финансовый 14 2" xfId="45177"/>
    <cellStyle name="Финансовый 14 3" xfId="45178"/>
    <cellStyle name="Финансовый 14 4" xfId="45328"/>
    <cellStyle name="Финансовый 14 5" xfId="46736"/>
    <cellStyle name="Финансовый 15" xfId="43916"/>
    <cellStyle name="Финансовый 15 2" xfId="45179"/>
    <cellStyle name="Финансовый 15 3" xfId="46737"/>
    <cellStyle name="Финансовый 16" xfId="43945"/>
    <cellStyle name="Финансовый 16 2" xfId="45180"/>
    <cellStyle name="Финансовый 16 3" xfId="45181"/>
    <cellStyle name="Финансовый 16 4" xfId="45347"/>
    <cellStyle name="Финансовый 16 5" xfId="46738"/>
    <cellStyle name="Финансовый 17" xfId="43949"/>
    <cellStyle name="Финансовый 17 2" xfId="45182"/>
    <cellStyle name="Финансовый 17 3" xfId="45183"/>
    <cellStyle name="Финансовый 17 4" xfId="45349"/>
    <cellStyle name="Финансовый 17 5" xfId="46739"/>
    <cellStyle name="Финансовый 18" xfId="43944"/>
    <cellStyle name="Финансовый 18 2" xfId="45184"/>
    <cellStyle name="Финансовый 18 3" xfId="45185"/>
    <cellStyle name="Финансовый 18 4" xfId="45346"/>
    <cellStyle name="Финансовый 18 5" xfId="46740"/>
    <cellStyle name="Финансовый 19" xfId="43948"/>
    <cellStyle name="Финансовый 19 2" xfId="45186"/>
    <cellStyle name="Финансовый 19 3" xfId="45187"/>
    <cellStyle name="Финансовый 19 4" xfId="45348"/>
    <cellStyle name="Финансовый 19 5" xfId="46741"/>
    <cellStyle name="Финансовый 2" xfId="44"/>
    <cellStyle name="Финансовый 2 10" xfId="43616"/>
    <cellStyle name="Финансовый 2 10 2" xfId="43617"/>
    <cellStyle name="Финансовый 2 11" xfId="43618"/>
    <cellStyle name="Финансовый 2 12" xfId="43619"/>
    <cellStyle name="Финансовый 2 13" xfId="43620"/>
    <cellStyle name="Финансовый 2 14" xfId="43778"/>
    <cellStyle name="Финансовый 2 2" xfId="37"/>
    <cellStyle name="Финансовый 2 2 2" xfId="38"/>
    <cellStyle name="Финансовый 2 2 2 2" xfId="43621"/>
    <cellStyle name="Финансовый 2 2 2 2 2" xfId="43622"/>
    <cellStyle name="Финансовый 2 2 2 2 2 2" xfId="45188"/>
    <cellStyle name="Финансовый 2 2 2 2 2 3" xfId="43922"/>
    <cellStyle name="Финансовый 2 2 2 2 3" xfId="45189"/>
    <cellStyle name="Финансовый 2 2 2 2 4" xfId="46742"/>
    <cellStyle name="Финансовый 2 2 2 3" xfId="43921"/>
    <cellStyle name="Финансовый 2 2 2 3 2" xfId="45190"/>
    <cellStyle name="Финансовый 2 2 2 4" xfId="45191"/>
    <cellStyle name="Финансовый 2 2 2 4 2" xfId="46743"/>
    <cellStyle name="Финансовый 2 2 2 5" xfId="45192"/>
    <cellStyle name="Финансовый 2 2 2 5 2" xfId="46744"/>
    <cellStyle name="Финансовый 2 2 3" xfId="642"/>
    <cellStyle name="Финансовый 2 2 3 2" xfId="43923"/>
    <cellStyle name="Финансовый 2 2 3 2 2" xfId="45193"/>
    <cellStyle name="Финансовый 2 2 3 2 3" xfId="46746"/>
    <cellStyle name="Финансовый 2 2 3 3" xfId="44042"/>
    <cellStyle name="Финансовый 2 2 3 3 2" xfId="46747"/>
    <cellStyle name="Финансовый 2 2 3 4" xfId="46748"/>
    <cellStyle name="Финансовый 2 2 3 5" xfId="46749"/>
    <cellStyle name="Финансовый 2 2 3 6" xfId="46745"/>
    <cellStyle name="Финансовый 2 2 3 7" xfId="43876"/>
    <cellStyle name="Финансовый 2 2 4" xfId="43623"/>
    <cellStyle name="Финансовый 2 2 4 2" xfId="45194"/>
    <cellStyle name="Финансовый 2 2 4 3" xfId="46750"/>
    <cellStyle name="Финансовый 2 2 4 4" xfId="43920"/>
    <cellStyle name="Финансовый 2 2 5" xfId="45195"/>
    <cellStyle name="Финансовый 2 2 5 2" xfId="46751"/>
    <cellStyle name="Финансовый 2 2 6" xfId="45196"/>
    <cellStyle name="Финансовый 2 2 6 2" xfId="46753"/>
    <cellStyle name="Финансовый 2 2 6 3" xfId="46752"/>
    <cellStyle name="Финансовый 2 2 7" xfId="46754"/>
    <cellStyle name="Финансовый 2 2 7 2" xfId="46755"/>
    <cellStyle name="Финансовый 2 2 8" xfId="46756"/>
    <cellStyle name="Финансовый 2 2 8 2" xfId="46757"/>
    <cellStyle name="Финансовый 2 2 9" xfId="46758"/>
    <cellStyle name="Финансовый 2 3" xfId="643"/>
    <cellStyle name="Финансовый 2 3 2" xfId="644"/>
    <cellStyle name="Финансовый 2 3 2 2" xfId="17558"/>
    <cellStyle name="Финансовый 2 3 3" xfId="43624"/>
    <cellStyle name="Финансовый 2 3 4" xfId="43625"/>
    <cellStyle name="Финансовый 2 3 5" xfId="43877"/>
    <cellStyle name="Финансовый 2 4" xfId="17557"/>
    <cellStyle name="Финансовый 2 4 2" xfId="43924"/>
    <cellStyle name="Финансовый 2 4 2 2" xfId="45197"/>
    <cellStyle name="Финансовый 2 4 3" xfId="45198"/>
    <cellStyle name="Финансовый 2 4 4" xfId="46759"/>
    <cellStyle name="Финансовый 2 5" xfId="43626"/>
    <cellStyle name="Финансовый 2 5 2" xfId="45199"/>
    <cellStyle name="Финансовый 2 5 2 2" xfId="46760"/>
    <cellStyle name="Финансовый 2 5 3" xfId="43919"/>
    <cellStyle name="Финансовый 2 6" xfId="43627"/>
    <cellStyle name="Финансовый 2 6 2" xfId="45200"/>
    <cellStyle name="Финансовый 2 6 2 2" xfId="46762"/>
    <cellStyle name="Финансовый 2 6 3" xfId="46761"/>
    <cellStyle name="Финансовый 2 6 4" xfId="43946"/>
    <cellStyle name="Финансовый 2 7" xfId="43628"/>
    <cellStyle name="Финансовый 2 7 2" xfId="43629"/>
    <cellStyle name="Финансовый 2 7 2 2" xfId="43630"/>
    <cellStyle name="Финансовый 2 7 2 3" xfId="43631"/>
    <cellStyle name="Финансовый 2 7 2 4" xfId="45201"/>
    <cellStyle name="Финансовый 2 7 3" xfId="43632"/>
    <cellStyle name="Финансовый 2 7 4" xfId="43633"/>
    <cellStyle name="Финансовый 2 7 5" xfId="43875"/>
    <cellStyle name="Финансовый 2 8" xfId="43634"/>
    <cellStyle name="Финансовый 2 8 2" xfId="43635"/>
    <cellStyle name="Финансовый 2 8 3" xfId="43636"/>
    <cellStyle name="Финансовый 2 8 4" xfId="45202"/>
    <cellStyle name="Финансовый 2 9" xfId="43637"/>
    <cellStyle name="Финансовый 2 9 2" xfId="43638"/>
    <cellStyle name="Финансовый 2 9 3" xfId="43639"/>
    <cellStyle name="Финансовый 2 9 4" xfId="45203"/>
    <cellStyle name="Финансовый 2_46EE.2011(v1.0)" xfId="43640"/>
    <cellStyle name="Финансовый 20" xfId="43872"/>
    <cellStyle name="Финансовый 20 2" xfId="45204"/>
    <cellStyle name="Финансовый 20 3" xfId="46763"/>
    <cellStyle name="Финансовый 21" xfId="44010"/>
    <cellStyle name="Финансовый 21 2" xfId="45205"/>
    <cellStyle name="Финансовый 21 3" xfId="46764"/>
    <cellStyle name="Финансовый 22" xfId="44050"/>
    <cellStyle name="Финансовый 22 2" xfId="45385"/>
    <cellStyle name="Финансовый 22 2 2" xfId="46766"/>
    <cellStyle name="Финансовый 22 3" xfId="46765"/>
    <cellStyle name="Финансовый 23" xfId="45206"/>
    <cellStyle name="Финансовый 23 2" xfId="46768"/>
    <cellStyle name="Финансовый 23 3" xfId="46767"/>
    <cellStyle name="Финансовый 24" xfId="45207"/>
    <cellStyle name="Финансовый 24 2" xfId="46770"/>
    <cellStyle name="Финансовый 24 3" xfId="46769"/>
    <cellStyle name="Финансовый 25" xfId="45208"/>
    <cellStyle name="Финансовый 25 2" xfId="46772"/>
    <cellStyle name="Финансовый 25 3" xfId="46771"/>
    <cellStyle name="Финансовый 26" xfId="43641"/>
    <cellStyle name="Финансовый 26 2" xfId="46774"/>
    <cellStyle name="Финансовый 26 3" xfId="46773"/>
    <cellStyle name="Финансовый 27" xfId="46775"/>
    <cellStyle name="Финансовый 27 2" xfId="46776"/>
    <cellStyle name="Финансовый 28" xfId="46777"/>
    <cellStyle name="Финансовый 29" xfId="46778"/>
    <cellStyle name="Финансовый 3" xfId="43"/>
    <cellStyle name="Финансовый 3 2" xfId="645"/>
    <cellStyle name="Финансовый 3 2 2" xfId="43642"/>
    <cellStyle name="Финансовый 3 2 2 2" xfId="43643"/>
    <cellStyle name="Финансовый 3 2 2 2 2" xfId="43644"/>
    <cellStyle name="Финансовый 3 2 2 2 2 2" xfId="45209"/>
    <cellStyle name="Финансовый 3 2 2 2 3" xfId="43645"/>
    <cellStyle name="Финансовый 3 2 2 2 3 2" xfId="43646"/>
    <cellStyle name="Финансовый 3 2 2 2 3 2 2" xfId="43647"/>
    <cellStyle name="Финансовый 3 2 2 2 3 2 3" xfId="43648"/>
    <cellStyle name="Финансовый 3 2 2 2 3 3" xfId="43649"/>
    <cellStyle name="Финансовый 3 2 2 2 3 4" xfId="43650"/>
    <cellStyle name="Финансовый 3 2 2 2 4" xfId="43927"/>
    <cellStyle name="Финансовый 3 2 2 3" xfId="43651"/>
    <cellStyle name="Финансовый 3 2 2 3 2" xfId="46779"/>
    <cellStyle name="Финансовый 3 2 2 3 3" xfId="45210"/>
    <cellStyle name="Финансовый 3 2 2 4" xfId="43652"/>
    <cellStyle name="Финансовый 3 2 2 4 2" xfId="43653"/>
    <cellStyle name="Финансовый 3 2 2 4 2 2" xfId="43654"/>
    <cellStyle name="Финансовый 3 2 2 4 2 3" xfId="43655"/>
    <cellStyle name="Финансовый 3 2 2 4 3" xfId="43656"/>
    <cellStyle name="Финансовый 3 2 2 4 4" xfId="43657"/>
    <cellStyle name="Финансовый 3 2 2 5" xfId="43879"/>
    <cellStyle name="Финансовый 3 2 3" xfId="43658"/>
    <cellStyle name="Финансовый 3 2 3 2" xfId="43659"/>
    <cellStyle name="Финансовый 3 2 3 2 2" xfId="46780"/>
    <cellStyle name="Финансовый 3 2 3 2 3" xfId="45211"/>
    <cellStyle name="Финансовый 3 2 3 3" xfId="43660"/>
    <cellStyle name="Финансовый 3 2 3 3 2" xfId="43661"/>
    <cellStyle name="Финансовый 3 2 3 3 2 2" xfId="43662"/>
    <cellStyle name="Финансовый 3 2 3 3 2 3" xfId="43663"/>
    <cellStyle name="Финансовый 3 2 3 3 3" xfId="43664"/>
    <cellStyle name="Финансовый 3 2 3 3 4" xfId="43665"/>
    <cellStyle name="Финансовый 3 2 3 4" xfId="43926"/>
    <cellStyle name="Финансовый 3 2 4" xfId="43666"/>
    <cellStyle name="Финансовый 3 2 5" xfId="43667"/>
    <cellStyle name="Финансовый 3 2 6" xfId="43878"/>
    <cellStyle name="Финансовый 3 3" xfId="646"/>
    <cellStyle name="Финансовый 3 3 2" xfId="43668"/>
    <cellStyle name="Финансовый 3 3 2 2" xfId="43669"/>
    <cellStyle name="Финансовый 3 3 2 2 2" xfId="45212"/>
    <cellStyle name="Финансовый 3 3 2 2 3" xfId="46783"/>
    <cellStyle name="Финансовый 3 3 2 2 4" xfId="43929"/>
    <cellStyle name="Финансовый 3 3 2 3" xfId="43670"/>
    <cellStyle name="Финансовый 3 3 2 3 2" xfId="43671"/>
    <cellStyle name="Финансовый 3 3 2 3 2 2" xfId="43672"/>
    <cellStyle name="Финансовый 3 3 2 3 2 3" xfId="43673"/>
    <cellStyle name="Финансовый 3 3 2 3 3" xfId="43674"/>
    <cellStyle name="Финансовый 3 3 2 3 4" xfId="43675"/>
    <cellStyle name="Финансовый 3 3 2 3 5" xfId="45213"/>
    <cellStyle name="Финансовый 3 3 2 4" xfId="46782"/>
    <cellStyle name="Финансовый 3 3 2 5" xfId="43881"/>
    <cellStyle name="Финансовый 3 3 3" xfId="43676"/>
    <cellStyle name="Финансовый 3 3 3 2" xfId="45214"/>
    <cellStyle name="Финансовый 3 3 3 3" xfId="46784"/>
    <cellStyle name="Финансовый 3 3 3 4" xfId="43928"/>
    <cellStyle name="Финансовый 3 3 4" xfId="43677"/>
    <cellStyle name="Финансовый 3 3 4 2" xfId="43678"/>
    <cellStyle name="Финансовый 3 3 4 2 2" xfId="43679"/>
    <cellStyle name="Финансовый 3 3 4 2 3" xfId="43680"/>
    <cellStyle name="Финансовый 3 3 4 3" xfId="43681"/>
    <cellStyle name="Финансовый 3 3 4 4" xfId="43682"/>
    <cellStyle name="Финансовый 3 3 4 5" xfId="44043"/>
    <cellStyle name="Финансовый 3 3 5" xfId="46781"/>
    <cellStyle name="Финансовый 3 3 6" xfId="43880"/>
    <cellStyle name="Финансовый 3 4" xfId="17559"/>
    <cellStyle name="Финансовый 3 4 2" xfId="43683"/>
    <cellStyle name="Финансовый 3 4 2 2" xfId="45215"/>
    <cellStyle name="Финансовый 3 4 2 3" xfId="43930"/>
    <cellStyle name="Финансовый 3 4 3" xfId="43684"/>
    <cellStyle name="Финансовый 3 4 3 2" xfId="43685"/>
    <cellStyle name="Финансовый 3 4 3 2 2" xfId="43686"/>
    <cellStyle name="Финансовый 3 4 3 2 3" xfId="43687"/>
    <cellStyle name="Финансовый 3 4 3 3" xfId="43688"/>
    <cellStyle name="Финансовый 3 4 3 4" xfId="43689"/>
    <cellStyle name="Финансовый 3 4 3 5" xfId="45216"/>
    <cellStyle name="Финансовый 3 5" xfId="43690"/>
    <cellStyle name="Финансовый 3 5 2" xfId="45217"/>
    <cellStyle name="Финансовый 3 5 2 2" xfId="46786"/>
    <cellStyle name="Финансовый 3 5 3" xfId="46785"/>
    <cellStyle name="Финансовый 3 5 4" xfId="43925"/>
    <cellStyle name="Финансовый 3 6" xfId="43691"/>
    <cellStyle name="Финансовый 3 6 2" xfId="43692"/>
    <cellStyle name="Финансовый 3 6 2 2" xfId="46788"/>
    <cellStyle name="Финансовый 3 6 2 3" xfId="45218"/>
    <cellStyle name="Финансовый 3 6 3" xfId="43693"/>
    <cellStyle name="Финансовый 3 6 3 2" xfId="46787"/>
    <cellStyle name="Финансовый 3 6 4" xfId="43947"/>
    <cellStyle name="Финансовый 3 7" xfId="43694"/>
    <cellStyle name="Финансовый 3 7 2" xfId="46790"/>
    <cellStyle name="Финансовый 3 7 3" xfId="46789"/>
    <cellStyle name="Финансовый 3 7 4" xfId="45219"/>
    <cellStyle name="Финансовый 3 8" xfId="43695"/>
    <cellStyle name="Финансовый 3 8 2" xfId="46791"/>
    <cellStyle name="Финансовый 3 8 3" xfId="45220"/>
    <cellStyle name="Финансовый 3 9" xfId="43696"/>
    <cellStyle name="Финансовый 3_Книга1" xfId="43697"/>
    <cellStyle name="Финансовый 30" xfId="46792"/>
    <cellStyle name="Финансовый 31" xfId="46793"/>
    <cellStyle name="Финансовый 32" xfId="46794"/>
    <cellStyle name="Финансовый 32 2" xfId="46795"/>
    <cellStyle name="Финансовый 33" xfId="46796"/>
    <cellStyle name="Финансовый 33 2" xfId="46797"/>
    <cellStyle name="Финансовый 34" xfId="46798"/>
    <cellStyle name="Финансовый 34 2" xfId="46799"/>
    <cellStyle name="Финансовый 35" xfId="46800"/>
    <cellStyle name="Финансовый 35 2" xfId="46801"/>
    <cellStyle name="Финансовый 36" xfId="46802"/>
    <cellStyle name="Финансовый 37" xfId="46803"/>
    <cellStyle name="Финансовый 38" xfId="46804"/>
    <cellStyle name="Финансовый 39" xfId="46805"/>
    <cellStyle name="Финансовый 4" xfId="647"/>
    <cellStyle name="Финансовый 4 2" xfId="648"/>
    <cellStyle name="Финансовый 4 2 2" xfId="43932"/>
    <cellStyle name="Финансовый 4 2 2 2" xfId="45221"/>
    <cellStyle name="Финансовый 4 2 3" xfId="44044"/>
    <cellStyle name="Финансовый 4 2 4" xfId="43882"/>
    <cellStyle name="Финансовый 4 3" xfId="649"/>
    <cellStyle name="Финансовый 4 3 2" xfId="44045"/>
    <cellStyle name="Финансовый 4 3 3" xfId="43931"/>
    <cellStyle name="Финансовый 4 4" xfId="17560"/>
    <cellStyle name="Финансовый 4 4 2" xfId="43698"/>
    <cellStyle name="Финансовый 4 4 2 2" xfId="43699"/>
    <cellStyle name="Финансовый 4 4 3" xfId="43700"/>
    <cellStyle name="Финансовый 4 4 3 2" xfId="43701"/>
    <cellStyle name="Финансовый 4 4 3 3" xfId="43702"/>
    <cellStyle name="Финансовый 4 4 4" xfId="43703"/>
    <cellStyle name="Финансовый 4 4 4 2" xfId="43704"/>
    <cellStyle name="Финансовый 4 4 4 3" xfId="43705"/>
    <cellStyle name="Финансовый 4 4 5" xfId="43706"/>
    <cellStyle name="Финансовый 4 4 6" xfId="43707"/>
    <cellStyle name="Финансовый 4 5" xfId="43708"/>
    <cellStyle name="Финансовый 4 5 2" xfId="45222"/>
    <cellStyle name="Финансовый 4 6" xfId="43709"/>
    <cellStyle name="Финансовый 4 6 2" xfId="43710"/>
    <cellStyle name="Финансовый 4 6 3" xfId="43711"/>
    <cellStyle name="Финансовый 40" xfId="46806"/>
    <cellStyle name="Финансовый 41" xfId="46807"/>
    <cellStyle name="Финансовый 42" xfId="46808"/>
    <cellStyle name="Финансовый 43" xfId="46809"/>
    <cellStyle name="Финансовый 44" xfId="46810"/>
    <cellStyle name="Финансовый 45" xfId="46811"/>
    <cellStyle name="Финансовый 46" xfId="46812"/>
    <cellStyle name="Финансовый 47" xfId="43712"/>
    <cellStyle name="Финансовый 47 2" xfId="46813"/>
    <cellStyle name="Финансовый 48" xfId="46814"/>
    <cellStyle name="Финансовый 49" xfId="46815"/>
    <cellStyle name="Финансовый 5" xfId="650"/>
    <cellStyle name="Финансовый 5 2" xfId="651"/>
    <cellStyle name="Финансовый 5 2 2" xfId="43933"/>
    <cellStyle name="Финансовый 5 2 2 2" xfId="45223"/>
    <cellStyle name="Финансовый 5 2 3" xfId="44046"/>
    <cellStyle name="Финансовый 5 2 4" xfId="43883"/>
    <cellStyle name="Финансовый 5 3" xfId="17561"/>
    <cellStyle name="Финансовый 5 3 2" xfId="46817"/>
    <cellStyle name="Финансовый 5 3 2 2" xfId="46818"/>
    <cellStyle name="Финансовый 5 3 3" xfId="46819"/>
    <cellStyle name="Финансовый 5 3 4" xfId="46816"/>
    <cellStyle name="Финансовый 5 4" xfId="45224"/>
    <cellStyle name="Финансовый 5 4 2" xfId="46821"/>
    <cellStyle name="Финансовый 5 4 2 2" xfId="46822"/>
    <cellStyle name="Финансовый 5 4 3" xfId="46823"/>
    <cellStyle name="Финансовый 5 4 4" xfId="46820"/>
    <cellStyle name="Финансовый 5 5" xfId="45321"/>
    <cellStyle name="Финансовый 5 5 2" xfId="46824"/>
    <cellStyle name="Финансовый 50" xfId="46825"/>
    <cellStyle name="Финансовый 51" xfId="46826"/>
    <cellStyle name="Финансовый 52" xfId="46827"/>
    <cellStyle name="Финансовый 53" xfId="46828"/>
    <cellStyle name="Финансовый 54" xfId="46829"/>
    <cellStyle name="Финансовый 55" xfId="46830"/>
    <cellStyle name="Финансовый 56" xfId="46831"/>
    <cellStyle name="Финансовый 57" xfId="46832"/>
    <cellStyle name="Финансовый 58" xfId="46833"/>
    <cellStyle name="Финансовый 59" xfId="46834"/>
    <cellStyle name="Финансовый 6" xfId="652"/>
    <cellStyle name="Финансовый 6 2" xfId="43713"/>
    <cellStyle name="Финансовый 6 2 2" xfId="43714"/>
    <cellStyle name="Финансовый 6 2 2 2" xfId="45225"/>
    <cellStyle name="Финансовый 6 2 2 3" xfId="46836"/>
    <cellStyle name="Финансовый 6 2 3" xfId="43715"/>
    <cellStyle name="Финансовый 6 2 3 2" xfId="46837"/>
    <cellStyle name="Финансовый 6 2 3 3" xfId="46838"/>
    <cellStyle name="Финансовый 6 2 4" xfId="45226"/>
    <cellStyle name="Финансовый 6 2 4 2" xfId="46840"/>
    <cellStyle name="Финансовый 6 2 4 3" xfId="46839"/>
    <cellStyle name="Финансовый 6 2 5" xfId="46841"/>
    <cellStyle name="Финансовый 6 2 5 2" xfId="46842"/>
    <cellStyle name="Финансовый 6 2 6" xfId="46843"/>
    <cellStyle name="Финансовый 6 2 6 2" xfId="46844"/>
    <cellStyle name="Финансовый 6 2 7" xfId="46845"/>
    <cellStyle name="Финансовый 6 3" xfId="43716"/>
    <cellStyle name="Финансовый 6 3 2" xfId="43717"/>
    <cellStyle name="Финансовый 6 3 3" xfId="43718"/>
    <cellStyle name="Финансовый 6 3 3 2" xfId="46846"/>
    <cellStyle name="Финансовый 6 4" xfId="43719"/>
    <cellStyle name="Финансовый 6 4 2" xfId="46847"/>
    <cellStyle name="Финансовый 6 4 2 2" xfId="46848"/>
    <cellStyle name="Финансовый 6 4 3" xfId="46849"/>
    <cellStyle name="Финансовый 6 4 4" xfId="46850"/>
    <cellStyle name="Финансовый 6 5" xfId="43720"/>
    <cellStyle name="Финансовый 6 5 2" xfId="46851"/>
    <cellStyle name="Финансовый 6 5 3" xfId="45227"/>
    <cellStyle name="Финансовый 6 6" xfId="43721"/>
    <cellStyle name="Финансовый 6 6 2" xfId="46852"/>
    <cellStyle name="Финансовый 6 7" xfId="46835"/>
    <cellStyle name="Финансовый 60" xfId="46853"/>
    <cellStyle name="Финансовый 61" xfId="46854"/>
    <cellStyle name="Финансовый 62" xfId="46855"/>
    <cellStyle name="Финансовый 63" xfId="46856"/>
    <cellStyle name="Финансовый 64" xfId="46857"/>
    <cellStyle name="Финансовый 65" xfId="46858"/>
    <cellStyle name="Финансовый 66" xfId="46859"/>
    <cellStyle name="Финансовый 67" xfId="46860"/>
    <cellStyle name="Финансовый 68" xfId="46861"/>
    <cellStyle name="Финансовый 69" xfId="46862"/>
    <cellStyle name="Финансовый 7" xfId="653"/>
    <cellStyle name="Финансовый 7 2" xfId="43722"/>
    <cellStyle name="Финансовый 7 2 2" xfId="43934"/>
    <cellStyle name="Финансовый 7 2 2 2" xfId="45228"/>
    <cellStyle name="Финансовый 7 2 2 2 2" xfId="46865"/>
    <cellStyle name="Финансовый 7 2 2 3" xfId="46864"/>
    <cellStyle name="Финансовый 7 2 3" xfId="45229"/>
    <cellStyle name="Финансовый 7 2 3 2" xfId="46867"/>
    <cellStyle name="Финансовый 7 2 3 3" xfId="46866"/>
    <cellStyle name="Финансовый 7 2 4" xfId="46868"/>
    <cellStyle name="Финансовый 7 2 5" xfId="43885"/>
    <cellStyle name="Финансовый 7 3" xfId="43723"/>
    <cellStyle name="Финансовый 7 3 2" xfId="43724"/>
    <cellStyle name="Финансовый 7 3 2 2" xfId="43725"/>
    <cellStyle name="Финансовый 7 3 2 3" xfId="43726"/>
    <cellStyle name="Финансовый 7 3 2 4" xfId="46869"/>
    <cellStyle name="Финансовый 7 3 3" xfId="43727"/>
    <cellStyle name="Финансовый 7 3 3 2" xfId="43728"/>
    <cellStyle name="Финансовый 7 3 3 3" xfId="43729"/>
    <cellStyle name="Финансовый 7 3 3 4" xfId="46870"/>
    <cellStyle name="Финансовый 7 3 4" xfId="43730"/>
    <cellStyle name="Финансовый 7 3 5" xfId="43731"/>
    <cellStyle name="Финансовый 7 3 6" xfId="44047"/>
    <cellStyle name="Финансовый 7 4" xfId="43732"/>
    <cellStyle name="Финансовый 7 4 2" xfId="46871"/>
    <cellStyle name="Финансовый 7 4 3" xfId="45230"/>
    <cellStyle name="Финансовый 7 5" xfId="45322"/>
    <cellStyle name="Финансовый 7 5 2" xfId="46872"/>
    <cellStyle name="Финансовый 7 6" xfId="46873"/>
    <cellStyle name="Финансовый 7 6 2" xfId="46874"/>
    <cellStyle name="Финансовый 7 7" xfId="46863"/>
    <cellStyle name="Финансовый 7 8" xfId="43884"/>
    <cellStyle name="Финансовый 70" xfId="46875"/>
    <cellStyle name="Финансовый 71" xfId="46876"/>
    <cellStyle name="Финансовый 72" xfId="46877"/>
    <cellStyle name="Финансовый 73" xfId="46878"/>
    <cellStyle name="Финансовый 74" xfId="46879"/>
    <cellStyle name="Финансовый 75" xfId="46880"/>
    <cellStyle name="Финансовый 76" xfId="46881"/>
    <cellStyle name="Финансовый 77" xfId="46882"/>
    <cellStyle name="Финансовый 78" xfId="46883"/>
    <cellStyle name="Финансовый 79" xfId="46884"/>
    <cellStyle name="Финансовый 8" xfId="654"/>
    <cellStyle name="Финансовый 8 2" xfId="17562"/>
    <cellStyle name="Финансовый 8 2 2" xfId="45231"/>
    <cellStyle name="Финансовый 8 2 3" xfId="45232"/>
    <cellStyle name="Финансовый 8 2 4" xfId="45233"/>
    <cellStyle name="Финансовый 8 2 5" xfId="45234"/>
    <cellStyle name="Финансовый 8 2 6" xfId="45342"/>
    <cellStyle name="Финансовый 8 2 7" xfId="46886"/>
    <cellStyle name="Финансовый 8 2 8" xfId="43935"/>
    <cellStyle name="Финансовый 8 3" xfId="43733"/>
    <cellStyle name="Финансовый 8 3 2" xfId="45384"/>
    <cellStyle name="Финансовый 8 3 3" xfId="44048"/>
    <cellStyle name="Финансовый 8 4" xfId="43734"/>
    <cellStyle name="Финансовый 8 4 2" xfId="45235"/>
    <cellStyle name="Финансовый 8 5" xfId="45236"/>
    <cellStyle name="Финансовый 8 6" xfId="45323"/>
    <cellStyle name="Финансовый 8 7" xfId="46885"/>
    <cellStyle name="Финансовый 8 8" xfId="43886"/>
    <cellStyle name="Финансовый 80" xfId="46887"/>
    <cellStyle name="Финансовый 81" xfId="46888"/>
    <cellStyle name="Финансовый 82" xfId="46889"/>
    <cellStyle name="Финансовый 83" xfId="46890"/>
    <cellStyle name="Финансовый 83 2" xfId="46891"/>
    <cellStyle name="Финансовый 83 2 2" xfId="46892"/>
    <cellStyle name="Финансовый 83 3" xfId="46893"/>
    <cellStyle name="Финансовый 83 3 2" xfId="46894"/>
    <cellStyle name="Финансовый 83 4" xfId="46895"/>
    <cellStyle name="Финансовый 84" xfId="46896"/>
    <cellStyle name="Финансовый 84 2" xfId="46897"/>
    <cellStyle name="Финансовый 84 2 2" xfId="46898"/>
    <cellStyle name="Финансовый 84 3" xfId="46899"/>
    <cellStyle name="Финансовый 85" xfId="46900"/>
    <cellStyle name="Финансовый 85 2" xfId="46901"/>
    <cellStyle name="Финансовый 86" xfId="46902"/>
    <cellStyle name="Финансовый 86 2" xfId="46903"/>
    <cellStyle name="Финансовый 87" xfId="46904"/>
    <cellStyle name="Финансовый 87 2" xfId="46905"/>
    <cellStyle name="Финансовый 88" xfId="46906"/>
    <cellStyle name="Финансовый 88 2" xfId="46907"/>
    <cellStyle name="Финансовый 89" xfId="46908"/>
    <cellStyle name="Финансовый 89 2" xfId="46909"/>
    <cellStyle name="Финансовый 9" xfId="655"/>
    <cellStyle name="Финансовый 9 2" xfId="43936"/>
    <cellStyle name="Финансовый 9 2 2" xfId="45237"/>
    <cellStyle name="Финансовый 9 2 2 2" xfId="45238"/>
    <cellStyle name="Финансовый 9 2 2 3" xfId="46912"/>
    <cellStyle name="Финансовый 9 2 3" xfId="45239"/>
    <cellStyle name="Финансовый 9 2 4" xfId="45240"/>
    <cellStyle name="Финансовый 9 2 5" xfId="45241"/>
    <cellStyle name="Финансовый 9 2 6" xfId="45343"/>
    <cellStyle name="Финансовый 9 2 7" xfId="46911"/>
    <cellStyle name="Финансовый 9 3" xfId="44049"/>
    <cellStyle name="Финансовый 9 3 2" xfId="45242"/>
    <cellStyle name="Финансовый 9 4" xfId="45243"/>
    <cellStyle name="Финансовый 9 5" xfId="45244"/>
    <cellStyle name="Финансовый 9 6" xfId="45245"/>
    <cellStyle name="Финансовый 9 7" xfId="45324"/>
    <cellStyle name="Финансовый 9 8" xfId="46910"/>
    <cellStyle name="Финансовый 9 9" xfId="43887"/>
    <cellStyle name="Финансовый 90" xfId="46731"/>
    <cellStyle name="Финансовый 91" xfId="46924"/>
    <cellStyle name="Финансовый 92" xfId="43777"/>
    <cellStyle name="Формула" xfId="656"/>
    <cellStyle name="Формула 2" xfId="43735"/>
    <cellStyle name="Формула 2 2" xfId="46914"/>
    <cellStyle name="Формула 2 3" xfId="46913"/>
    <cellStyle name="Формула 3" xfId="45246"/>
    <cellStyle name="Формула_2013 год для ФСТ с ПМ" xfId="43736"/>
    <cellStyle name="ФормулаВБ" xfId="43737"/>
    <cellStyle name="ФормулаНаКонтроль" xfId="43738"/>
    <cellStyle name="Хороший 2" xfId="657"/>
    <cellStyle name="Хороший 2 2" xfId="658"/>
    <cellStyle name="Хороший 2 2 2" xfId="43739"/>
    <cellStyle name="Хороший 2 2 2 2" xfId="46916"/>
    <cellStyle name="Хороший 2 2 3" xfId="46915"/>
    <cellStyle name="Хороший 2 3" xfId="3450"/>
    <cellStyle name="Хороший 2 3 2" xfId="45247"/>
    <cellStyle name="Хороший 2 4" xfId="3448"/>
    <cellStyle name="Хороший 3" xfId="43740"/>
    <cellStyle name="Хороший 3 2" xfId="43741"/>
    <cellStyle name="Хороший 4" xfId="43742"/>
    <cellStyle name="Хороший 4 2" xfId="43743"/>
    <cellStyle name="Хороший 5" xfId="43744"/>
    <cellStyle name="Хороший 5 2" xfId="43745"/>
    <cellStyle name="Хороший 6" xfId="43746"/>
    <cellStyle name="Хороший 6 2" xfId="43747"/>
    <cellStyle name="Хороший 6 2 2" xfId="46918"/>
    <cellStyle name="Хороший 6 3" xfId="46917"/>
    <cellStyle name="Хороший 7" xfId="43748"/>
    <cellStyle name="Хороший 7 2" xfId="43749"/>
    <cellStyle name="Хороший 8" xfId="43750"/>
    <cellStyle name="Хороший 8 2" xfId="43751"/>
    <cellStyle name="Хороший 9" xfId="43752"/>
    <cellStyle name="Хороший 9 2" xfId="43753"/>
    <cellStyle name="Цифры по центру с десятыми" xfId="43754"/>
    <cellStyle name="Џђћ–…ќ’ќ›‰" xfId="39"/>
    <cellStyle name="Џђћ–…ќ’ќ›‰ 2" xfId="660"/>
    <cellStyle name="Џђћ–…ќ’ќ›‰ 2 2" xfId="43888"/>
    <cellStyle name="Џђћ–…ќ’ќ›‰ 2 2 2" xfId="43939"/>
    <cellStyle name="Џђћ–…ќ’ќ›‰ 2 2 2 2" xfId="45248"/>
    <cellStyle name="Џђћ–…ќ’ќ›‰ 2 2 3" xfId="45249"/>
    <cellStyle name="Џђћ–…ќ’ќ›‰ 2 2 4" xfId="46919"/>
    <cellStyle name="Џђћ–…ќ’ќ›‰ 2 3" xfId="43938"/>
    <cellStyle name="Џђћ–…ќ’ќ›‰ 2 3 2" xfId="45250"/>
    <cellStyle name="Џђћ–…ќ’ќ›‰ 2 3 3" xfId="46920"/>
    <cellStyle name="Џђћ–…ќ’ќ›‰ 2 4" xfId="45251"/>
    <cellStyle name="Џђћ–…ќ’ќ›‰ 2 5" xfId="45252"/>
    <cellStyle name="Џђћ–…ќ’ќ›‰ 3" xfId="661"/>
    <cellStyle name="Џђћ–…ќ’ќ›‰ 3 2" xfId="43889"/>
    <cellStyle name="Џђћ–…ќ’ќ›‰ 3 2 2" xfId="43940"/>
    <cellStyle name="Џђћ–…ќ’ќ›‰ 3 2 2 2" xfId="45253"/>
    <cellStyle name="Џђћ–…ќ’ќ›‰ 3 2 3" xfId="45254"/>
    <cellStyle name="Џђћ–…ќ’ќ›‰ 3 2 4" xfId="46921"/>
    <cellStyle name="Џђћ–…ќ’ќ›‰ 3 3" xfId="45255"/>
    <cellStyle name="Џђћ–…ќ’ќ›‰ 3 4" xfId="45256"/>
    <cellStyle name="Џђћ–…ќ’ќ›‰ 4" xfId="43890"/>
    <cellStyle name="Џђћ–…ќ’ќ›‰ 4 2" xfId="45257"/>
    <cellStyle name="Џђћ–…ќ’ќ›‰ 4 3" xfId="46922"/>
    <cellStyle name="Џђћ–…ќ’ќ›‰ 5" xfId="43891"/>
    <cellStyle name="Џђћ–…ќ’ќ›‰ 5 2" xfId="43941"/>
    <cellStyle name="Џђћ–…ќ’ќ›‰ 5 2 2" xfId="45258"/>
    <cellStyle name="Џђћ–…ќ’ќ›‰ 5 3" xfId="45259"/>
    <cellStyle name="Џђћ–…ќ’ќ›‰ 5 4" xfId="46923"/>
    <cellStyle name="Џђћ–…ќ’ќ›‰ 6" xfId="43937"/>
    <cellStyle name="Џђћ–…ќ’ќ›‰ 6 2" xfId="45260"/>
    <cellStyle name="Џђћ–…ќ’ќ›‰ 7" xfId="45261"/>
    <cellStyle name="Џђћ–…ќ’ќ›‰ 8" xfId="45262"/>
    <cellStyle name="Шапка таблицы" xfId="43755"/>
    <cellStyle name="㼿" xfId="43756"/>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24</xdr:row>
      <xdr:rowOff>28575</xdr:rowOff>
    </xdr:from>
    <xdr:to>
      <xdr:col>1</xdr:col>
      <xdr:colOff>238125</xdr:colOff>
      <xdr:row>24</xdr:row>
      <xdr:rowOff>180975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86106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24</xdr:row>
      <xdr:rowOff>28575</xdr:rowOff>
    </xdr:from>
    <xdr:to>
      <xdr:col>1</xdr:col>
      <xdr:colOff>238125</xdr:colOff>
      <xdr:row>24</xdr:row>
      <xdr:rowOff>180975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89916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133</xdr:row>
      <xdr:rowOff>0</xdr:rowOff>
    </xdr:from>
    <xdr:to>
      <xdr:col>0</xdr:col>
      <xdr:colOff>238125</xdr:colOff>
      <xdr:row>133</xdr:row>
      <xdr:rowOff>161925</xdr:rowOff>
    </xdr:to>
    <xdr:pic>
      <xdr:nvPicPr>
        <xdr:cNvPr id="3" name="Рисунок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47878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209</xdr:row>
      <xdr:rowOff>0</xdr:rowOff>
    </xdr:from>
    <xdr:to>
      <xdr:col>0</xdr:col>
      <xdr:colOff>190500</xdr:colOff>
      <xdr:row>209</xdr:row>
      <xdr:rowOff>161925</xdr:rowOff>
    </xdr:to>
    <xdr:pic>
      <xdr:nvPicPr>
        <xdr:cNvPr id="5" name="Рисунок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501231"/>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92</xdr:row>
      <xdr:rowOff>47625</xdr:rowOff>
    </xdr:from>
    <xdr:to>
      <xdr:col>0</xdr:col>
      <xdr:colOff>257175</xdr:colOff>
      <xdr:row>93</xdr:row>
      <xdr:rowOff>9525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283017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36</xdr:row>
      <xdr:rowOff>28575</xdr:rowOff>
    </xdr:from>
    <xdr:to>
      <xdr:col>1</xdr:col>
      <xdr:colOff>238125</xdr:colOff>
      <xdr:row>36</xdr:row>
      <xdr:rowOff>180975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72771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36</xdr:row>
      <xdr:rowOff>28575</xdr:rowOff>
    </xdr:from>
    <xdr:to>
      <xdr:col>1</xdr:col>
      <xdr:colOff>238125</xdr:colOff>
      <xdr:row>36</xdr:row>
      <xdr:rowOff>180975</xdr:rowOff>
    </xdr:to>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28206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37</xdr:row>
      <xdr:rowOff>0</xdr:rowOff>
    </xdr:from>
    <xdr:to>
      <xdr:col>1</xdr:col>
      <xdr:colOff>190500</xdr:colOff>
      <xdr:row>37</xdr:row>
      <xdr:rowOff>152400</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688657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37</xdr:row>
      <xdr:rowOff>0</xdr:rowOff>
    </xdr:from>
    <xdr:to>
      <xdr:col>1</xdr:col>
      <xdr:colOff>190500</xdr:colOff>
      <xdr:row>37</xdr:row>
      <xdr:rowOff>152400</xdr:rowOff>
    </xdr:to>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26492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38</xdr:row>
      <xdr:rowOff>0</xdr:rowOff>
    </xdr:from>
    <xdr:to>
      <xdr:col>1</xdr:col>
      <xdr:colOff>190500</xdr:colOff>
      <xdr:row>38</xdr:row>
      <xdr:rowOff>152400</xdr:rowOff>
    </xdr:to>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78295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38</xdr:row>
      <xdr:rowOff>0</xdr:rowOff>
    </xdr:from>
    <xdr:to>
      <xdr:col>1</xdr:col>
      <xdr:colOff>190500</xdr:colOff>
      <xdr:row>38</xdr:row>
      <xdr:rowOff>152400</xdr:rowOff>
    </xdr:to>
    <xdr:pic>
      <xdr:nvPicPr>
        <xdr:cNvPr id="4" name="Рисунок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1540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24</xdr:row>
      <xdr:rowOff>28575</xdr:rowOff>
    </xdr:from>
    <xdr:to>
      <xdr:col>1</xdr:col>
      <xdr:colOff>238125</xdr:colOff>
      <xdr:row>24</xdr:row>
      <xdr:rowOff>180975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89916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286</xdr:row>
      <xdr:rowOff>0</xdr:rowOff>
    </xdr:from>
    <xdr:to>
      <xdr:col>0</xdr:col>
      <xdr:colOff>238125</xdr:colOff>
      <xdr:row>286</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44995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282</xdr:row>
      <xdr:rowOff>0</xdr:rowOff>
    </xdr:from>
    <xdr:to>
      <xdr:col>0</xdr:col>
      <xdr:colOff>238125</xdr:colOff>
      <xdr:row>282</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290762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289</xdr:row>
      <xdr:rowOff>0</xdr:rowOff>
    </xdr:from>
    <xdr:to>
      <xdr:col>0</xdr:col>
      <xdr:colOff>238125</xdr:colOff>
      <xdr:row>289</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08133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285</xdr:row>
      <xdr:rowOff>0</xdr:rowOff>
    </xdr:from>
    <xdr:to>
      <xdr:col>0</xdr:col>
      <xdr:colOff>238125</xdr:colOff>
      <xdr:row>285</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63093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285</xdr:row>
      <xdr:rowOff>0</xdr:rowOff>
    </xdr:from>
    <xdr:to>
      <xdr:col>0</xdr:col>
      <xdr:colOff>238125</xdr:colOff>
      <xdr:row>285</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63093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286</xdr:row>
      <xdr:rowOff>0</xdr:rowOff>
    </xdr:from>
    <xdr:to>
      <xdr:col>0</xdr:col>
      <xdr:colOff>238125</xdr:colOff>
      <xdr:row>286</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63093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175</xdr:row>
      <xdr:rowOff>0</xdr:rowOff>
    </xdr:from>
    <xdr:to>
      <xdr:col>0</xdr:col>
      <xdr:colOff>238125</xdr:colOff>
      <xdr:row>175</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63093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174</xdr:row>
      <xdr:rowOff>0</xdr:rowOff>
    </xdr:from>
    <xdr:to>
      <xdr:col>0</xdr:col>
      <xdr:colOff>238125</xdr:colOff>
      <xdr:row>174</xdr:row>
      <xdr:rowOff>161925</xdr:rowOff>
    </xdr:to>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63093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47625</xdr:colOff>
      <xdr:row>178</xdr:row>
      <xdr:rowOff>0</xdr:rowOff>
    </xdr:from>
    <xdr:to>
      <xdr:col>0</xdr:col>
      <xdr:colOff>238125</xdr:colOff>
      <xdr:row>178</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63093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170</xdr:row>
      <xdr:rowOff>0</xdr:rowOff>
    </xdr:from>
    <xdr:to>
      <xdr:col>0</xdr:col>
      <xdr:colOff>238125</xdr:colOff>
      <xdr:row>170</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63093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170</xdr:row>
      <xdr:rowOff>0</xdr:rowOff>
    </xdr:from>
    <xdr:to>
      <xdr:col>0</xdr:col>
      <xdr:colOff>238125</xdr:colOff>
      <xdr:row>170</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63093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47625</xdr:colOff>
      <xdr:row>161</xdr:row>
      <xdr:rowOff>0</xdr:rowOff>
    </xdr:from>
    <xdr:to>
      <xdr:col>0</xdr:col>
      <xdr:colOff>238125</xdr:colOff>
      <xdr:row>161</xdr:row>
      <xdr:rowOff>161925</xdr:rowOff>
    </xdr:to>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63093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47625</xdr:colOff>
      <xdr:row>133</xdr:row>
      <xdr:rowOff>0</xdr:rowOff>
    </xdr:from>
    <xdr:to>
      <xdr:col>0</xdr:col>
      <xdr:colOff>238125</xdr:colOff>
      <xdr:row>133</xdr:row>
      <xdr:rowOff>161925</xdr:rowOff>
    </xdr:to>
    <xdr:pic>
      <xdr:nvPicPr>
        <xdr:cNvPr id="2" name="Рисунок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29291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85725</xdr:colOff>
      <xdr:row>323</xdr:row>
      <xdr:rowOff>9525</xdr:rowOff>
    </xdr:from>
    <xdr:to>
      <xdr:col>0</xdr:col>
      <xdr:colOff>276225</xdr:colOff>
      <xdr:row>324</xdr:row>
      <xdr:rowOff>9525</xdr:rowOff>
    </xdr:to>
    <xdr:pic>
      <xdr:nvPicPr>
        <xdr:cNvPr id="2" name="Рисунок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007542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rtachev\Analitzapiska\Documents%20and%20Settings\Nahimovskay\Local%20Settings\Temporary%20Internet%20Files\OLK35\&#1050;&#1086;&#1087;&#1080;&#1103;%20V2.200721&#1072;&#1087;&#1088;&#1077;&#1083;&#1103;&#1091;&#1090;&#1086;&#1095;&#10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2;&#1067;&#1055;&#1040;&#1044;&#1040;&#1070;&#1065;&#1048;&#1045;%20&#1087;&#1086;%20&#1052;&#1077;&#1090;&#1086;&#1076;&#1080;&#1082;&#1077;%20&#1087;&#1088;&#1080;&#1083;.1,%202,%203-2019%20(&#1090;&#1072;&#1088;&#1080;&#1092;%202019%20&#1089;%20&#1053;&#1044;&#105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99"/>
      <sheetName val="2002(v2)"/>
      <sheetName val="2004(2,3)"/>
      <sheetName val="2009(2,3) (2)"/>
      <sheetName val="Печ40"/>
      <sheetName val="2002-03(2,3)"/>
      <sheetName val="I"/>
      <sheetName val="2002_v2_"/>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Д по ТП"/>
      <sheetName val="прил.1 МУ"/>
      <sheetName val="прил. 2 МУ"/>
      <sheetName val="прил. 3 МУ"/>
      <sheetName val="посл.миля 2016"/>
      <sheetName val="последняя миля 2015"/>
      <sheetName val="послед.миля 2014"/>
      <sheetName val="ВД 2013"/>
      <sheetName val="ВД 2015"/>
      <sheetName val="ВД 2014 к ТП"/>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oc@prim.drsk.r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8"/>
  <sheetViews>
    <sheetView tabSelected="1" topLeftCell="A4" workbookViewId="0">
      <selection activeCell="H27" sqref="H27"/>
    </sheetView>
  </sheetViews>
  <sheetFormatPr defaultRowHeight="12.75"/>
  <cols>
    <col min="1" max="2" width="9.140625" style="215"/>
    <col min="3" max="3" width="19.28515625" style="215" customWidth="1"/>
    <col min="4" max="7" width="9.140625" style="215"/>
    <col min="8" max="8" width="34.140625" style="215" customWidth="1"/>
    <col min="9" max="258" width="9.140625" style="215"/>
    <col min="259" max="259" width="19.28515625" style="215" customWidth="1"/>
    <col min="260" max="263" width="9.140625" style="215"/>
    <col min="264" max="264" width="17.85546875" style="215" customWidth="1"/>
    <col min="265" max="514" width="9.140625" style="215"/>
    <col min="515" max="515" width="19.28515625" style="215" customWidth="1"/>
    <col min="516" max="519" width="9.140625" style="215"/>
    <col min="520" max="520" width="17.85546875" style="215" customWidth="1"/>
    <col min="521" max="770" width="9.140625" style="215"/>
    <col min="771" max="771" width="19.28515625" style="215" customWidth="1"/>
    <col min="772" max="775" width="9.140625" style="215"/>
    <col min="776" max="776" width="17.85546875" style="215" customWidth="1"/>
    <col min="777" max="1026" width="9.140625" style="215"/>
    <col min="1027" max="1027" width="19.28515625" style="215" customWidth="1"/>
    <col min="1028" max="1031" width="9.140625" style="215"/>
    <col min="1032" max="1032" width="17.85546875" style="215" customWidth="1"/>
    <col min="1033" max="1282" width="9.140625" style="215"/>
    <col min="1283" max="1283" width="19.28515625" style="215" customWidth="1"/>
    <col min="1284" max="1287" width="9.140625" style="215"/>
    <col min="1288" max="1288" width="17.85546875" style="215" customWidth="1"/>
    <col min="1289" max="1538" width="9.140625" style="215"/>
    <col min="1539" max="1539" width="19.28515625" style="215" customWidth="1"/>
    <col min="1540" max="1543" width="9.140625" style="215"/>
    <col min="1544" max="1544" width="17.85546875" style="215" customWidth="1"/>
    <col min="1545" max="1794" width="9.140625" style="215"/>
    <col min="1795" max="1795" width="19.28515625" style="215" customWidth="1"/>
    <col min="1796" max="1799" width="9.140625" style="215"/>
    <col min="1800" max="1800" width="17.85546875" style="215" customWidth="1"/>
    <col min="1801" max="2050" width="9.140625" style="215"/>
    <col min="2051" max="2051" width="19.28515625" style="215" customWidth="1"/>
    <col min="2052" max="2055" width="9.140625" style="215"/>
    <col min="2056" max="2056" width="17.85546875" style="215" customWidth="1"/>
    <col min="2057" max="2306" width="9.140625" style="215"/>
    <col min="2307" max="2307" width="19.28515625" style="215" customWidth="1"/>
    <col min="2308" max="2311" width="9.140625" style="215"/>
    <col min="2312" max="2312" width="17.85546875" style="215" customWidth="1"/>
    <col min="2313" max="2562" width="9.140625" style="215"/>
    <col min="2563" max="2563" width="19.28515625" style="215" customWidth="1"/>
    <col min="2564" max="2567" width="9.140625" style="215"/>
    <col min="2568" max="2568" width="17.85546875" style="215" customWidth="1"/>
    <col min="2569" max="2818" width="9.140625" style="215"/>
    <col min="2819" max="2819" width="19.28515625" style="215" customWidth="1"/>
    <col min="2820" max="2823" width="9.140625" style="215"/>
    <col min="2824" max="2824" width="17.85546875" style="215" customWidth="1"/>
    <col min="2825" max="3074" width="9.140625" style="215"/>
    <col min="3075" max="3075" width="19.28515625" style="215" customWidth="1"/>
    <col min="3076" max="3079" width="9.140625" style="215"/>
    <col min="3080" max="3080" width="17.85546875" style="215" customWidth="1"/>
    <col min="3081" max="3330" width="9.140625" style="215"/>
    <col min="3331" max="3331" width="19.28515625" style="215" customWidth="1"/>
    <col min="3332" max="3335" width="9.140625" style="215"/>
    <col min="3336" max="3336" width="17.85546875" style="215" customWidth="1"/>
    <col min="3337" max="3586" width="9.140625" style="215"/>
    <col min="3587" max="3587" width="19.28515625" style="215" customWidth="1"/>
    <col min="3588" max="3591" width="9.140625" style="215"/>
    <col min="3592" max="3592" width="17.85546875" style="215" customWidth="1"/>
    <col min="3593" max="3842" width="9.140625" style="215"/>
    <col min="3843" max="3843" width="19.28515625" style="215" customWidth="1"/>
    <col min="3844" max="3847" width="9.140625" style="215"/>
    <col min="3848" max="3848" width="17.85546875" style="215" customWidth="1"/>
    <col min="3849" max="4098" width="9.140625" style="215"/>
    <col min="4099" max="4099" width="19.28515625" style="215" customWidth="1"/>
    <col min="4100" max="4103" width="9.140625" style="215"/>
    <col min="4104" max="4104" width="17.85546875" style="215" customWidth="1"/>
    <col min="4105" max="4354" width="9.140625" style="215"/>
    <col min="4355" max="4355" width="19.28515625" style="215" customWidth="1"/>
    <col min="4356" max="4359" width="9.140625" style="215"/>
    <col min="4360" max="4360" width="17.85546875" style="215" customWidth="1"/>
    <col min="4361" max="4610" width="9.140625" style="215"/>
    <col min="4611" max="4611" width="19.28515625" style="215" customWidth="1"/>
    <col min="4612" max="4615" width="9.140625" style="215"/>
    <col min="4616" max="4616" width="17.85546875" style="215" customWidth="1"/>
    <col min="4617" max="4866" width="9.140625" style="215"/>
    <col min="4867" max="4867" width="19.28515625" style="215" customWidth="1"/>
    <col min="4868" max="4871" width="9.140625" style="215"/>
    <col min="4872" max="4872" width="17.85546875" style="215" customWidth="1"/>
    <col min="4873" max="5122" width="9.140625" style="215"/>
    <col min="5123" max="5123" width="19.28515625" style="215" customWidth="1"/>
    <col min="5124" max="5127" width="9.140625" style="215"/>
    <col min="5128" max="5128" width="17.85546875" style="215" customWidth="1"/>
    <col min="5129" max="5378" width="9.140625" style="215"/>
    <col min="5379" max="5379" width="19.28515625" style="215" customWidth="1"/>
    <col min="5380" max="5383" width="9.140625" style="215"/>
    <col min="5384" max="5384" width="17.85546875" style="215" customWidth="1"/>
    <col min="5385" max="5634" width="9.140625" style="215"/>
    <col min="5635" max="5635" width="19.28515625" style="215" customWidth="1"/>
    <col min="5636" max="5639" width="9.140625" style="215"/>
    <col min="5640" max="5640" width="17.85546875" style="215" customWidth="1"/>
    <col min="5641" max="5890" width="9.140625" style="215"/>
    <col min="5891" max="5891" width="19.28515625" style="215" customWidth="1"/>
    <col min="5892" max="5895" width="9.140625" style="215"/>
    <col min="5896" max="5896" width="17.85546875" style="215" customWidth="1"/>
    <col min="5897" max="6146" width="9.140625" style="215"/>
    <col min="6147" max="6147" width="19.28515625" style="215" customWidth="1"/>
    <col min="6148" max="6151" width="9.140625" style="215"/>
    <col min="6152" max="6152" width="17.85546875" style="215" customWidth="1"/>
    <col min="6153" max="6402" width="9.140625" style="215"/>
    <col min="6403" max="6403" width="19.28515625" style="215" customWidth="1"/>
    <col min="6404" max="6407" width="9.140625" style="215"/>
    <col min="6408" max="6408" width="17.85546875" style="215" customWidth="1"/>
    <col min="6409" max="6658" width="9.140625" style="215"/>
    <col min="6659" max="6659" width="19.28515625" style="215" customWidth="1"/>
    <col min="6660" max="6663" width="9.140625" style="215"/>
    <col min="6664" max="6664" width="17.85546875" style="215" customWidth="1"/>
    <col min="6665" max="6914" width="9.140625" style="215"/>
    <col min="6915" max="6915" width="19.28515625" style="215" customWidth="1"/>
    <col min="6916" max="6919" width="9.140625" style="215"/>
    <col min="6920" max="6920" width="17.85546875" style="215" customWidth="1"/>
    <col min="6921" max="7170" width="9.140625" style="215"/>
    <col min="7171" max="7171" width="19.28515625" style="215" customWidth="1"/>
    <col min="7172" max="7175" width="9.140625" style="215"/>
    <col min="7176" max="7176" width="17.85546875" style="215" customWidth="1"/>
    <col min="7177" max="7426" width="9.140625" style="215"/>
    <col min="7427" max="7427" width="19.28515625" style="215" customWidth="1"/>
    <col min="7428" max="7431" width="9.140625" style="215"/>
    <col min="7432" max="7432" width="17.85546875" style="215" customWidth="1"/>
    <col min="7433" max="7682" width="9.140625" style="215"/>
    <col min="7683" max="7683" width="19.28515625" style="215" customWidth="1"/>
    <col min="7684" max="7687" width="9.140625" style="215"/>
    <col min="7688" max="7688" width="17.85546875" style="215" customWidth="1"/>
    <col min="7689" max="7938" width="9.140625" style="215"/>
    <col min="7939" max="7939" width="19.28515625" style="215" customWidth="1"/>
    <col min="7940" max="7943" width="9.140625" style="215"/>
    <col min="7944" max="7944" width="17.85546875" style="215" customWidth="1"/>
    <col min="7945" max="8194" width="9.140625" style="215"/>
    <col min="8195" max="8195" width="19.28515625" style="215" customWidth="1"/>
    <col min="8196" max="8199" width="9.140625" style="215"/>
    <col min="8200" max="8200" width="17.85546875" style="215" customWidth="1"/>
    <col min="8201" max="8450" width="9.140625" style="215"/>
    <col min="8451" max="8451" width="19.28515625" style="215" customWidth="1"/>
    <col min="8452" max="8455" width="9.140625" style="215"/>
    <col min="8456" max="8456" width="17.85546875" style="215" customWidth="1"/>
    <col min="8457" max="8706" width="9.140625" style="215"/>
    <col min="8707" max="8707" width="19.28515625" style="215" customWidth="1"/>
    <col min="8708" max="8711" width="9.140625" style="215"/>
    <col min="8712" max="8712" width="17.85546875" style="215" customWidth="1"/>
    <col min="8713" max="8962" width="9.140625" style="215"/>
    <col min="8963" max="8963" width="19.28515625" style="215" customWidth="1"/>
    <col min="8964" max="8967" width="9.140625" style="215"/>
    <col min="8968" max="8968" width="17.85546875" style="215" customWidth="1"/>
    <col min="8969" max="9218" width="9.140625" style="215"/>
    <col min="9219" max="9219" width="19.28515625" style="215" customWidth="1"/>
    <col min="9220" max="9223" width="9.140625" style="215"/>
    <col min="9224" max="9224" width="17.85546875" style="215" customWidth="1"/>
    <col min="9225" max="9474" width="9.140625" style="215"/>
    <col min="9475" max="9475" width="19.28515625" style="215" customWidth="1"/>
    <col min="9476" max="9479" width="9.140625" style="215"/>
    <col min="9480" max="9480" width="17.85546875" style="215" customWidth="1"/>
    <col min="9481" max="9730" width="9.140625" style="215"/>
    <col min="9731" max="9731" width="19.28515625" style="215" customWidth="1"/>
    <col min="9732" max="9735" width="9.140625" style="215"/>
    <col min="9736" max="9736" width="17.85546875" style="215" customWidth="1"/>
    <col min="9737" max="9986" width="9.140625" style="215"/>
    <col min="9987" max="9987" width="19.28515625" style="215" customWidth="1"/>
    <col min="9988" max="9991" width="9.140625" style="215"/>
    <col min="9992" max="9992" width="17.85546875" style="215" customWidth="1"/>
    <col min="9993" max="10242" width="9.140625" style="215"/>
    <col min="10243" max="10243" width="19.28515625" style="215" customWidth="1"/>
    <col min="10244" max="10247" width="9.140625" style="215"/>
    <col min="10248" max="10248" width="17.85546875" style="215" customWidth="1"/>
    <col min="10249" max="10498" width="9.140625" style="215"/>
    <col min="10499" max="10499" width="19.28515625" style="215" customWidth="1"/>
    <col min="10500" max="10503" width="9.140625" style="215"/>
    <col min="10504" max="10504" width="17.85546875" style="215" customWidth="1"/>
    <col min="10505" max="10754" width="9.140625" style="215"/>
    <col min="10755" max="10755" width="19.28515625" style="215" customWidth="1"/>
    <col min="10756" max="10759" width="9.140625" style="215"/>
    <col min="10760" max="10760" width="17.85546875" style="215" customWidth="1"/>
    <col min="10761" max="11010" width="9.140625" style="215"/>
    <col min="11011" max="11011" width="19.28515625" style="215" customWidth="1"/>
    <col min="11012" max="11015" width="9.140625" style="215"/>
    <col min="11016" max="11016" width="17.85546875" style="215" customWidth="1"/>
    <col min="11017" max="11266" width="9.140625" style="215"/>
    <col min="11267" max="11267" width="19.28515625" style="215" customWidth="1"/>
    <col min="11268" max="11271" width="9.140625" style="215"/>
    <col min="11272" max="11272" width="17.85546875" style="215" customWidth="1"/>
    <col min="11273" max="11522" width="9.140625" style="215"/>
    <col min="11523" max="11523" width="19.28515625" style="215" customWidth="1"/>
    <col min="11524" max="11527" width="9.140625" style="215"/>
    <col min="11528" max="11528" width="17.85546875" style="215" customWidth="1"/>
    <col min="11529" max="11778" width="9.140625" style="215"/>
    <col min="11779" max="11779" width="19.28515625" style="215" customWidth="1"/>
    <col min="11780" max="11783" width="9.140625" style="215"/>
    <col min="11784" max="11784" width="17.85546875" style="215" customWidth="1"/>
    <col min="11785" max="12034" width="9.140625" style="215"/>
    <col min="12035" max="12035" width="19.28515625" style="215" customWidth="1"/>
    <col min="12036" max="12039" width="9.140625" style="215"/>
    <col min="12040" max="12040" width="17.85546875" style="215" customWidth="1"/>
    <col min="12041" max="12290" width="9.140625" style="215"/>
    <col min="12291" max="12291" width="19.28515625" style="215" customWidth="1"/>
    <col min="12292" max="12295" width="9.140625" style="215"/>
    <col min="12296" max="12296" width="17.85546875" style="215" customWidth="1"/>
    <col min="12297" max="12546" width="9.140625" style="215"/>
    <col min="12547" max="12547" width="19.28515625" style="215" customWidth="1"/>
    <col min="12548" max="12551" width="9.140625" style="215"/>
    <col min="12552" max="12552" width="17.85546875" style="215" customWidth="1"/>
    <col min="12553" max="12802" width="9.140625" style="215"/>
    <col min="12803" max="12803" width="19.28515625" style="215" customWidth="1"/>
    <col min="12804" max="12807" width="9.140625" style="215"/>
    <col min="12808" max="12808" width="17.85546875" style="215" customWidth="1"/>
    <col min="12809" max="13058" width="9.140625" style="215"/>
    <col min="13059" max="13059" width="19.28515625" style="215" customWidth="1"/>
    <col min="13060" max="13063" width="9.140625" style="215"/>
    <col min="13064" max="13064" width="17.85546875" style="215" customWidth="1"/>
    <col min="13065" max="13314" width="9.140625" style="215"/>
    <col min="13315" max="13315" width="19.28515625" style="215" customWidth="1"/>
    <col min="13316" max="13319" width="9.140625" style="215"/>
    <col min="13320" max="13320" width="17.85546875" style="215" customWidth="1"/>
    <col min="13321" max="13570" width="9.140625" style="215"/>
    <col min="13571" max="13571" width="19.28515625" style="215" customWidth="1"/>
    <col min="13572" max="13575" width="9.140625" style="215"/>
    <col min="13576" max="13576" width="17.85546875" style="215" customWidth="1"/>
    <col min="13577" max="13826" width="9.140625" style="215"/>
    <col min="13827" max="13827" width="19.28515625" style="215" customWidth="1"/>
    <col min="13828" max="13831" width="9.140625" style="215"/>
    <col min="13832" max="13832" width="17.85546875" style="215" customWidth="1"/>
    <col min="13833" max="14082" width="9.140625" style="215"/>
    <col min="14083" max="14083" width="19.28515625" style="215" customWidth="1"/>
    <col min="14084" max="14087" width="9.140625" style="215"/>
    <col min="14088" max="14088" width="17.85546875" style="215" customWidth="1"/>
    <col min="14089" max="14338" width="9.140625" style="215"/>
    <col min="14339" max="14339" width="19.28515625" style="215" customWidth="1"/>
    <col min="14340" max="14343" width="9.140625" style="215"/>
    <col min="14344" max="14344" width="17.85546875" style="215" customWidth="1"/>
    <col min="14345" max="14594" width="9.140625" style="215"/>
    <col min="14595" max="14595" width="19.28515625" style="215" customWidth="1"/>
    <col min="14596" max="14599" width="9.140625" style="215"/>
    <col min="14600" max="14600" width="17.85546875" style="215" customWidth="1"/>
    <col min="14601" max="14850" width="9.140625" style="215"/>
    <col min="14851" max="14851" width="19.28515625" style="215" customWidth="1"/>
    <col min="14852" max="14855" width="9.140625" style="215"/>
    <col min="14856" max="14856" width="17.85546875" style="215" customWidth="1"/>
    <col min="14857" max="15106" width="9.140625" style="215"/>
    <col min="15107" max="15107" width="19.28515625" style="215" customWidth="1"/>
    <col min="15108" max="15111" width="9.140625" style="215"/>
    <col min="15112" max="15112" width="17.85546875" style="215" customWidth="1"/>
    <col min="15113" max="15362" width="9.140625" style="215"/>
    <col min="15363" max="15363" width="19.28515625" style="215" customWidth="1"/>
    <col min="15364" max="15367" width="9.140625" style="215"/>
    <col min="15368" max="15368" width="17.85546875" style="215" customWidth="1"/>
    <col min="15369" max="15618" width="9.140625" style="215"/>
    <col min="15619" max="15619" width="19.28515625" style="215" customWidth="1"/>
    <col min="15620" max="15623" width="9.140625" style="215"/>
    <col min="15624" max="15624" width="17.85546875" style="215" customWidth="1"/>
    <col min="15625" max="15874" width="9.140625" style="215"/>
    <col min="15875" max="15875" width="19.28515625" style="215" customWidth="1"/>
    <col min="15876" max="15879" width="9.140625" style="215"/>
    <col min="15880" max="15880" width="17.85546875" style="215" customWidth="1"/>
    <col min="15881" max="16130" width="9.140625" style="215"/>
    <col min="16131" max="16131" width="19.28515625" style="215" customWidth="1"/>
    <col min="16132" max="16135" width="9.140625" style="215"/>
    <col min="16136" max="16136" width="17.85546875" style="215" customWidth="1"/>
    <col min="16137" max="16384" width="9.140625" style="215"/>
  </cols>
  <sheetData>
    <row r="1" spans="1:8" ht="15">
      <c r="G1" s="936"/>
      <c r="H1" s="936"/>
    </row>
    <row r="2" spans="1:8" ht="93" customHeight="1">
      <c r="F2" s="285"/>
      <c r="G2" s="285"/>
      <c r="H2" s="479" t="s">
        <v>590</v>
      </c>
    </row>
    <row r="3" spans="1:8" ht="33" customHeight="1">
      <c r="A3" s="216"/>
      <c r="B3" s="216"/>
      <c r="C3" s="216"/>
      <c r="D3" s="216"/>
      <c r="E3" s="216"/>
      <c r="F3" s="216"/>
      <c r="G3" s="216"/>
      <c r="H3" s="216"/>
    </row>
    <row r="4" spans="1:8" ht="16.5">
      <c r="A4" s="937" t="s">
        <v>282</v>
      </c>
      <c r="B4" s="937"/>
      <c r="C4" s="937"/>
      <c r="D4" s="937"/>
      <c r="E4" s="937"/>
      <c r="F4" s="937"/>
      <c r="G4" s="937"/>
      <c r="H4" s="937"/>
    </row>
    <row r="5" spans="1:8" ht="16.5">
      <c r="A5" s="937" t="s">
        <v>283</v>
      </c>
      <c r="B5" s="937"/>
      <c r="C5" s="937"/>
      <c r="D5" s="937"/>
      <c r="E5" s="937"/>
      <c r="F5" s="937"/>
      <c r="G5" s="937"/>
      <c r="H5" s="937"/>
    </row>
    <row r="6" spans="1:8" ht="16.5">
      <c r="A6" s="938" t="s">
        <v>284</v>
      </c>
      <c r="B6" s="937"/>
      <c r="C6" s="937"/>
      <c r="D6" s="937"/>
      <c r="E6" s="937"/>
      <c r="F6" s="937"/>
      <c r="G6" s="937"/>
      <c r="H6" s="937"/>
    </row>
    <row r="7" spans="1:8" ht="16.5">
      <c r="A7" s="937" t="s">
        <v>285</v>
      </c>
      <c r="B7" s="937"/>
      <c r="C7" s="937"/>
      <c r="D7" s="937"/>
      <c r="E7" s="937"/>
      <c r="F7" s="937"/>
      <c r="G7" s="216"/>
      <c r="H7" s="216"/>
    </row>
    <row r="8" spans="1:8" ht="16.5">
      <c r="A8" s="216"/>
      <c r="B8" s="216"/>
      <c r="C8" s="216"/>
      <c r="D8" s="216"/>
      <c r="E8" s="216"/>
      <c r="F8" s="216"/>
      <c r="G8" s="216"/>
      <c r="H8" s="216"/>
    </row>
    <row r="9" spans="1:8" ht="57" customHeight="1">
      <c r="A9" s="217" t="s">
        <v>286</v>
      </c>
      <c r="B9" s="216"/>
      <c r="C9" s="216"/>
      <c r="D9" s="934" t="s">
        <v>287</v>
      </c>
      <c r="E9" s="934"/>
      <c r="F9" s="934"/>
      <c r="G9" s="934"/>
      <c r="H9" s="934"/>
    </row>
    <row r="10" spans="1:8" ht="27" customHeight="1">
      <c r="A10" s="217" t="s">
        <v>288</v>
      </c>
      <c r="B10" s="216"/>
      <c r="C10" s="216"/>
      <c r="D10" s="218" t="s">
        <v>289</v>
      </c>
      <c r="E10" s="218"/>
      <c r="F10" s="218"/>
      <c r="G10" s="218"/>
      <c r="H10" s="218"/>
    </row>
    <row r="11" spans="1:8" ht="40.9" customHeight="1">
      <c r="A11" s="935" t="s">
        <v>290</v>
      </c>
      <c r="B11" s="935"/>
      <c r="C11" s="935"/>
      <c r="D11" s="934" t="s">
        <v>291</v>
      </c>
      <c r="E11" s="934"/>
      <c r="F11" s="934"/>
      <c r="G11" s="934"/>
      <c r="H11" s="934"/>
    </row>
    <row r="12" spans="1:8" ht="41.45" customHeight="1">
      <c r="A12" s="217" t="s">
        <v>292</v>
      </c>
      <c r="B12" s="216"/>
      <c r="C12" s="216"/>
      <c r="D12" s="934" t="s">
        <v>293</v>
      </c>
      <c r="E12" s="934"/>
      <c r="F12" s="934"/>
      <c r="G12" s="934"/>
      <c r="H12" s="934"/>
    </row>
    <row r="13" spans="1:8" ht="22.15" customHeight="1">
      <c r="A13" s="216" t="s">
        <v>294</v>
      </c>
      <c r="B13" s="219"/>
      <c r="C13" s="220"/>
      <c r="D13" s="221" t="s">
        <v>295</v>
      </c>
      <c r="E13" s="222"/>
      <c r="F13" s="222"/>
      <c r="G13" s="222"/>
      <c r="H13" s="222"/>
    </row>
    <row r="14" spans="1:8" ht="21.6" customHeight="1">
      <c r="A14" s="216" t="s">
        <v>296</v>
      </c>
      <c r="B14" s="219"/>
      <c r="C14" s="220"/>
      <c r="D14" s="219" t="s">
        <v>297</v>
      </c>
      <c r="E14" s="218"/>
      <c r="F14" s="218"/>
      <c r="G14" s="218"/>
      <c r="H14" s="218"/>
    </row>
    <row r="15" spans="1:8" ht="25.9" customHeight="1">
      <c r="A15" s="216" t="s">
        <v>298</v>
      </c>
      <c r="B15" s="216"/>
      <c r="C15" s="216"/>
      <c r="D15" s="218" t="s">
        <v>299</v>
      </c>
      <c r="E15" s="218"/>
      <c r="F15" s="218"/>
      <c r="G15" s="218"/>
      <c r="H15" s="218"/>
    </row>
    <row r="16" spans="1:8" ht="25.15" customHeight="1">
      <c r="A16" s="216" t="s">
        <v>300</v>
      </c>
      <c r="B16" s="216"/>
      <c r="C16" s="216"/>
      <c r="D16" s="223" t="s">
        <v>301</v>
      </c>
      <c r="E16" s="218"/>
      <c r="F16" s="218"/>
      <c r="G16" s="218"/>
      <c r="H16" s="218"/>
    </row>
    <row r="17" spans="1:8" ht="27" customHeight="1">
      <c r="A17" s="216" t="s">
        <v>302</v>
      </c>
      <c r="B17" s="216"/>
      <c r="C17" s="216"/>
      <c r="D17" s="218" t="s">
        <v>303</v>
      </c>
      <c r="E17" s="218"/>
      <c r="F17" s="218"/>
      <c r="G17" s="218"/>
      <c r="H17" s="218"/>
    </row>
    <row r="18" spans="1:8" ht="22.9" customHeight="1">
      <c r="A18" s="216" t="s">
        <v>304</v>
      </c>
      <c r="B18" s="220"/>
      <c r="C18" s="220"/>
      <c r="D18" s="222" t="s">
        <v>305</v>
      </c>
      <c r="E18" s="222"/>
      <c r="F18" s="222"/>
      <c r="G18" s="222"/>
      <c r="H18" s="222"/>
    </row>
  </sheetData>
  <mergeCells count="9">
    <mergeCell ref="D9:H9"/>
    <mergeCell ref="A11:C11"/>
    <mergeCell ref="D11:H11"/>
    <mergeCell ref="D12:H12"/>
    <mergeCell ref="G1:H1"/>
    <mergeCell ref="A4:H4"/>
    <mergeCell ref="A5:H5"/>
    <mergeCell ref="A6:H6"/>
    <mergeCell ref="A7:F7"/>
  </mergeCells>
  <hyperlinks>
    <hyperlink ref="D16" r:id="rId1"/>
  </hyperlinks>
  <pageMargins left="0.70866141732283472" right="0.11811023622047245"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Q73"/>
  <sheetViews>
    <sheetView topLeftCell="A7" workbookViewId="0">
      <selection activeCell="I19" sqref="I19"/>
    </sheetView>
  </sheetViews>
  <sheetFormatPr defaultRowHeight="15" outlineLevelCol="1"/>
  <cols>
    <col min="1" max="2" width="9.140625" style="7"/>
    <col min="3" max="3" width="65" style="7" customWidth="1"/>
    <col min="4" max="5" width="21" style="7" hidden="1" customWidth="1" outlineLevel="1"/>
    <col min="6" max="6" width="20.140625" style="7" hidden="1" customWidth="1" outlineLevel="1"/>
    <col min="7" max="7" width="20.140625" style="7" customWidth="1" collapsed="1"/>
    <col min="8" max="8" width="20.140625" style="7" customWidth="1"/>
    <col min="9" max="14" width="27.7109375" style="7" customWidth="1"/>
    <col min="15" max="16384" width="9.140625" style="7"/>
  </cols>
  <sheetData>
    <row r="1" spans="2:17" ht="90">
      <c r="N1" s="285" t="s">
        <v>591</v>
      </c>
    </row>
    <row r="3" spans="2:17" ht="52.5" customHeight="1">
      <c r="B3" s="942" t="s">
        <v>270</v>
      </c>
      <c r="C3" s="942"/>
      <c r="D3" s="942"/>
      <c r="E3" s="942"/>
      <c r="F3" s="942"/>
      <c r="G3" s="942"/>
      <c r="H3" s="942"/>
      <c r="I3" s="942"/>
      <c r="J3" s="942"/>
      <c r="K3" s="942"/>
      <c r="L3" s="122"/>
      <c r="M3" s="122"/>
      <c r="N3" s="122"/>
    </row>
    <row r="4" spans="2:17">
      <c r="B4" s="942" t="s">
        <v>265</v>
      </c>
      <c r="C4" s="942"/>
      <c r="D4" s="942"/>
      <c r="E4" s="942"/>
      <c r="F4" s="942"/>
      <c r="G4" s="942"/>
      <c r="H4" s="942"/>
      <c r="I4" s="942"/>
      <c r="J4" s="942"/>
      <c r="K4" s="942"/>
      <c r="L4" s="122"/>
      <c r="M4" s="122"/>
      <c r="N4" s="122"/>
    </row>
    <row r="6" spans="2:17" ht="15.75" thickBot="1"/>
    <row r="7" spans="2:17" ht="75" customHeight="1" thickBot="1">
      <c r="B7" s="943" t="s">
        <v>8</v>
      </c>
      <c r="C7" s="945" t="s">
        <v>96</v>
      </c>
      <c r="D7" s="947" t="s">
        <v>97</v>
      </c>
      <c r="E7" s="948"/>
      <c r="F7" s="949"/>
      <c r="G7" s="945" t="s">
        <v>264</v>
      </c>
      <c r="H7" s="945" t="s">
        <v>10</v>
      </c>
      <c r="I7" s="939" t="s">
        <v>276</v>
      </c>
      <c r="J7" s="940"/>
      <c r="K7" s="940"/>
      <c r="L7" s="940"/>
      <c r="M7" s="940"/>
      <c r="N7" s="941"/>
      <c r="Q7" s="9"/>
    </row>
    <row r="8" spans="2:17" ht="75.75" thickBot="1">
      <c r="B8" s="944"/>
      <c r="C8" s="946"/>
      <c r="D8" s="194" t="s">
        <v>99</v>
      </c>
      <c r="E8" s="195" t="s">
        <v>100</v>
      </c>
      <c r="F8" s="196" t="s">
        <v>101</v>
      </c>
      <c r="G8" s="946"/>
      <c r="H8" s="946"/>
      <c r="I8" s="939" t="s">
        <v>262</v>
      </c>
      <c r="J8" s="940"/>
      <c r="K8" s="941"/>
      <c r="L8" s="939" t="s">
        <v>274</v>
      </c>
      <c r="M8" s="940"/>
      <c r="N8" s="941"/>
    </row>
    <row r="9" spans="2:17" ht="23.25" customHeight="1" thickBot="1">
      <c r="B9" s="123">
        <v>1</v>
      </c>
      <c r="C9" s="13">
        <v>2</v>
      </c>
      <c r="D9" s="197"/>
      <c r="E9" s="197"/>
      <c r="F9" s="198"/>
      <c r="G9" s="205"/>
      <c r="H9" s="205"/>
      <c r="I9" s="13" t="s">
        <v>266</v>
      </c>
      <c r="J9" s="124" t="s">
        <v>267</v>
      </c>
      <c r="K9" s="124" t="s">
        <v>268</v>
      </c>
      <c r="L9" s="13" t="s">
        <v>266</v>
      </c>
      <c r="M9" s="124" t="s">
        <v>267</v>
      </c>
      <c r="N9" s="124" t="s">
        <v>268</v>
      </c>
    </row>
    <row r="10" spans="2:17" ht="122.25" customHeight="1" thickBot="1">
      <c r="B10" s="123"/>
      <c r="C10" s="191" t="s">
        <v>261</v>
      </c>
      <c r="D10" s="199">
        <f>D12+D14</f>
        <v>94404190.923761591</v>
      </c>
      <c r="E10" s="199">
        <f>E12</f>
        <v>3212.3333333333335</v>
      </c>
      <c r="F10" s="199">
        <f>F12</f>
        <v>136886</v>
      </c>
      <c r="G10" s="40" t="s">
        <v>271</v>
      </c>
      <c r="H10" s="40" t="s">
        <v>269</v>
      </c>
      <c r="I10" s="40">
        <f>I12+I14</f>
        <v>2429.5606485486232</v>
      </c>
      <c r="J10" s="40">
        <f t="shared" ref="J10:N10" si="0">J12+J14</f>
        <v>637.76390009526676</v>
      </c>
      <c r="K10" s="40">
        <f t="shared" si="0"/>
        <v>66.650795496543353</v>
      </c>
      <c r="L10" s="40">
        <f t="shared" si="0"/>
        <v>2429.5606485486232</v>
      </c>
      <c r="M10" s="40">
        <f t="shared" si="0"/>
        <v>637.76390009526676</v>
      </c>
      <c r="N10" s="40">
        <f t="shared" si="0"/>
        <v>66.650795496543353</v>
      </c>
    </row>
    <row r="11" spans="2:17" ht="15.75" thickBot="1">
      <c r="B11" s="123"/>
      <c r="C11" s="13"/>
      <c r="D11" s="197"/>
      <c r="E11" s="200"/>
      <c r="F11" s="198"/>
      <c r="G11" s="124"/>
      <c r="H11" s="124"/>
      <c r="I11" s="13"/>
      <c r="J11" s="124"/>
      <c r="K11" s="124"/>
      <c r="L11" s="13"/>
      <c r="M11" s="124"/>
      <c r="N11" s="124"/>
    </row>
    <row r="12" spans="2:17" ht="54.75" customHeight="1" thickBot="1">
      <c r="B12" s="67" t="s">
        <v>14</v>
      </c>
      <c r="C12" s="68" t="s">
        <v>120</v>
      </c>
      <c r="D12" s="201">
        <f>('Приложение 2 МУ 2015'!F9*1.071*1.039*1.037+'Приложение 2 МУ 2016'!F9*1.039*1.037+'Приложение 2 МУ 2017'!F9*1.037)/3*1.04</f>
        <v>46573993.853118367</v>
      </c>
      <c r="E12" s="201">
        <f>('Приложение 2 МУ 2017'!G9+'Приложение 2 МУ 2016'!G9+'Приложение 2 МУ 2015'!G9)/3</f>
        <v>3212.3333333333335</v>
      </c>
      <c r="F12" s="201">
        <f>('Приложение 2 МУ 2017'!H9+'Приложение 2 МУ 2016'!H9+'Приложение 2 МУ 2015'!H9)/3</f>
        <v>136886</v>
      </c>
      <c r="G12" s="206" t="s">
        <v>272</v>
      </c>
      <c r="H12" s="206" t="s">
        <v>269</v>
      </c>
      <c r="I12" s="193">
        <f>(('Приложение 2 МУ 2017'!F10*1.037+'Приложение 2 МУ 2016'!F10*1.039*1.037+'Приложение 2 МУ 2015'!F10*1.071*1.039*1.037)/('Приложение 2 МУ 2017'!H10+'Приложение 2 МУ 2016'!H10+'Приложение 2 МУ 2015'!H10))*1.04</f>
        <v>1199.0429783227694</v>
      </c>
      <c r="J12" s="70">
        <f>(('Приложение 2 МУ 2017'!F11*1.037+'Приложение 2 МУ 2016'!F11*1.039*1.037+'Приложение 2 МУ 2015'!F11*1.071*1.039*1.037)/('Приложение 2 МУ 2017'!H11+'Приложение 2 МУ 2016'!H11+'Приложение 2 МУ 2015'!H11))*1.04</f>
        <v>313.77876971964366</v>
      </c>
      <c r="K12" s="70">
        <f>(('Приложение 2 МУ 2017'!F12*1.037+'Приложение 2 МУ 2017'!F13*1.037+'Приложение 2 МУ 2016'!F12*1.039*1.037+'Приложение 2 МУ 2016'!F13*1.039*1.037+'Приложение 2 МУ 2015'!F12*1.071*1.039*1.037+'Приложение 2 МУ 2015'!F13*1.071*1.037*1.039)/('Приложение 2 МУ 2017'!H12+'Приложение 2 МУ 2017'!H13+'Приложение 2 МУ 2016'!H12+'Приложение 2 МУ 2016'!H13+'Приложение 2 МУ 2015'!H12+'Приложение 2 МУ 2015'!H13))*1.04</f>
        <v>32.818114524075654</v>
      </c>
      <c r="L12" s="193">
        <f t="shared" ref="L12:L14" si="1">I12</f>
        <v>1199.0429783227694</v>
      </c>
      <c r="M12" s="70">
        <f t="shared" ref="M12:M14" si="2">J12</f>
        <v>313.77876971964366</v>
      </c>
      <c r="N12" s="70">
        <f t="shared" ref="N12:N14" si="3">K12</f>
        <v>32.818114524075654</v>
      </c>
    </row>
    <row r="13" spans="2:17" ht="15.75" thickBot="1">
      <c r="B13" s="89"/>
      <c r="C13" s="97"/>
      <c r="D13" s="202"/>
      <c r="E13" s="202"/>
      <c r="F13" s="202"/>
      <c r="G13" s="207"/>
      <c r="H13" s="207"/>
      <c r="I13" s="192"/>
      <c r="J13" s="190"/>
      <c r="K13" s="190"/>
      <c r="L13" s="192"/>
      <c r="M13" s="190"/>
      <c r="N13" s="190"/>
    </row>
    <row r="14" spans="2:17" ht="57" customHeight="1" thickBot="1">
      <c r="B14" s="67" t="s">
        <v>135</v>
      </c>
      <c r="C14" s="68" t="s">
        <v>121</v>
      </c>
      <c r="D14" s="201">
        <f>('Приложение 2 МУ 2015'!F14*1.071*1.039*1.037+'Приложение 2 МУ 2016'!F14*1.039*1.037+'Приложение 2 МУ 2017'!F14*1.037)/3*1.04</f>
        <v>47830197.070643224</v>
      </c>
      <c r="E14" s="201">
        <f>('Приложение 2 МУ 2017'!G14+'Приложение 2 МУ 2016'!G14+'Приложение 2 МУ 2015'!G14)/3</f>
        <v>3212.3333333333335</v>
      </c>
      <c r="F14" s="201">
        <f>('Приложение 2 МУ 2017'!H14+'Приложение 2 МУ 2016'!H14+'Приложение 2 МУ 2015'!H14)/3</f>
        <v>136886</v>
      </c>
      <c r="G14" s="206" t="s">
        <v>273</v>
      </c>
      <c r="H14" s="206" t="s">
        <v>269</v>
      </c>
      <c r="I14" s="193">
        <f>(('Приложение 2 МУ 2017'!F15*1.037+'Приложение 2 МУ 2016'!F15*1.037*1.039+'Приложение 2 МУ 2015'!F15*1.071*1.037*1.039)/('Приложение 2 МУ 2017'!H15+'Приложение 2 МУ 2016'!H15+'Приложение 2 МУ 2015'!H15))*1.04</f>
        <v>1230.5176702258541</v>
      </c>
      <c r="J14" s="70">
        <f>(('Приложение 2 МУ 2017'!F16*1.037+'Приложение 2 МУ 2016'!F16*1.037*1.039+'Приложение 2 МУ 2015'!F16*1.071*1.037*1.039)/('Приложение 2 МУ 2017'!H16+'Приложение 2 МУ 2016'!H16+'Приложение 2 МУ 2015'!H16))*1.04</f>
        <v>323.98513037562304</v>
      </c>
      <c r="K14" s="70">
        <f>(('Приложение 2 МУ 2017'!F17*1.037+'Приложение 2 МУ 2017'!F18*1.037+'Приложение 2 МУ 2016'!F17*1.039*1.037+'Приложение 2 МУ 2016'!F18*1.039*1.037+'Приложение 2 МУ 2015'!F17*1.071*1.039*1.037+'Приложение 2 МУ 2015'!F18*1.071*1.039*1.037)/('Приложение 2 МУ 2017'!H17+'Приложение 2 МУ 2017'!H18+'Приложение 2 МУ 2016'!H17+'Приложение 2 МУ 2016'!H18+'Приложение 2 МУ 2015'!H17+'Приложение 2 МУ 2015'!H18))*1.04</f>
        <v>33.832680972467699</v>
      </c>
      <c r="L14" s="193">
        <f t="shared" si="1"/>
        <v>1230.5176702258541</v>
      </c>
      <c r="M14" s="70">
        <f t="shared" si="2"/>
        <v>323.98513037562304</v>
      </c>
      <c r="N14" s="70">
        <f t="shared" si="3"/>
        <v>33.832680972467699</v>
      </c>
    </row>
    <row r="16" spans="2:17">
      <c r="B16" s="208" t="s">
        <v>277</v>
      </c>
      <c r="C16" s="7" t="s">
        <v>275</v>
      </c>
    </row>
    <row r="19" spans="2:14" ht="15.75">
      <c r="B19" s="33" t="s">
        <v>87</v>
      </c>
      <c r="C19" s="34"/>
      <c r="D19" s="203"/>
      <c r="E19" s="203"/>
      <c r="N19" s="34" t="s">
        <v>252</v>
      </c>
    </row>
    <row r="20" spans="2:14" ht="15.75">
      <c r="B20" s="34" t="s">
        <v>88</v>
      </c>
      <c r="C20" s="34"/>
      <c r="D20" s="203"/>
      <c r="E20" s="203"/>
    </row>
    <row r="21" spans="2:14" ht="15.75">
      <c r="B21" s="34"/>
      <c r="C21" s="34"/>
      <c r="D21" s="203"/>
      <c r="E21" s="203"/>
    </row>
    <row r="22" spans="2:14" ht="15.75">
      <c r="B22" s="34"/>
      <c r="C22" s="34"/>
      <c r="D22" s="203"/>
      <c r="E22" s="203"/>
    </row>
    <row r="23" spans="2:14">
      <c r="B23"/>
      <c r="C23"/>
      <c r="D23" s="204"/>
      <c r="E23" s="204"/>
    </row>
    <row r="24" spans="2:14">
      <c r="B24" t="s">
        <v>89</v>
      </c>
      <c r="C24"/>
      <c r="D24" s="204"/>
      <c r="E24" s="204"/>
    </row>
    <row r="25" spans="2:14">
      <c r="B25" s="5" t="s">
        <v>90</v>
      </c>
      <c r="C25"/>
      <c r="D25" s="204"/>
      <c r="E25" s="204"/>
    </row>
    <row r="26" spans="2:14">
      <c r="B26" s="5" t="s">
        <v>91</v>
      </c>
      <c r="C26"/>
      <c r="D26" s="204"/>
      <c r="E26" s="204"/>
    </row>
    <row r="27" spans="2:14">
      <c r="B27"/>
      <c r="C27"/>
      <c r="D27" s="204"/>
      <c r="E27" s="204"/>
    </row>
    <row r="70" spans="5:5">
      <c r="E70" s="139">
        <v>1634</v>
      </c>
    </row>
    <row r="71" spans="5:5">
      <c r="E71" s="7">
        <v>1634.7047713702759</v>
      </c>
    </row>
    <row r="73" spans="5:5">
      <c r="E73" s="7">
        <v>0</v>
      </c>
    </row>
  </sheetData>
  <mergeCells count="10">
    <mergeCell ref="L8:N8"/>
    <mergeCell ref="I7:N7"/>
    <mergeCell ref="B3:K3"/>
    <mergeCell ref="B4:K4"/>
    <mergeCell ref="B7:B8"/>
    <mergeCell ref="C7:C8"/>
    <mergeCell ref="D7:F7"/>
    <mergeCell ref="G7:G8"/>
    <mergeCell ref="H7:H8"/>
    <mergeCell ref="I8:K8"/>
  </mergeCells>
  <pageMargins left="0.7" right="0.7" top="0.75" bottom="0.75" header="0.3" footer="0.3"/>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R73"/>
  <sheetViews>
    <sheetView topLeftCell="A13" workbookViewId="0">
      <selection activeCell="G18" sqref="G18"/>
    </sheetView>
  </sheetViews>
  <sheetFormatPr defaultRowHeight="15" outlineLevelCol="1"/>
  <cols>
    <col min="1" max="2" width="9.140625" style="7"/>
    <col min="3" max="3" width="65" style="7" customWidth="1"/>
    <col min="4" max="5" width="21" style="7" customWidth="1"/>
    <col min="6" max="8" width="20.140625" style="7" customWidth="1"/>
    <col min="9" max="9" width="33.7109375" style="7" customWidth="1"/>
    <col min="10" max="15" width="27.7109375" style="7" hidden="1" customWidth="1" outlineLevel="1"/>
    <col min="16" max="16" width="9.140625" style="7" collapsed="1"/>
    <col min="17" max="16384" width="9.140625" style="7"/>
  </cols>
  <sheetData>
    <row r="1" spans="2:18">
      <c r="O1" s="7" t="s">
        <v>251</v>
      </c>
    </row>
    <row r="2" spans="2:18" hidden="1"/>
    <row r="3" spans="2:18" ht="52.5" customHeight="1">
      <c r="B3" s="942" t="s">
        <v>270</v>
      </c>
      <c r="C3" s="942"/>
      <c r="D3" s="942"/>
      <c r="E3" s="942"/>
      <c r="F3" s="942"/>
      <c r="G3" s="942"/>
      <c r="H3" s="942"/>
      <c r="I3" s="942"/>
      <c r="J3" s="942"/>
      <c r="K3" s="942"/>
      <c r="L3" s="942"/>
      <c r="M3" s="213"/>
      <c r="N3" s="213"/>
      <c r="O3" s="213"/>
    </row>
    <row r="4" spans="2:18">
      <c r="B4" s="942" t="s">
        <v>265</v>
      </c>
      <c r="C4" s="942"/>
      <c r="D4" s="942"/>
      <c r="E4" s="942"/>
      <c r="F4" s="942"/>
      <c r="G4" s="942"/>
      <c r="H4" s="942"/>
      <c r="I4" s="942"/>
      <c r="J4" s="942"/>
      <c r="K4" s="942"/>
      <c r="L4" s="942"/>
      <c r="M4" s="213"/>
      <c r="N4" s="213"/>
      <c r="O4" s="213"/>
    </row>
    <row r="6" spans="2:18" ht="15.75" thickBot="1"/>
    <row r="7" spans="2:18" ht="75" customHeight="1" thickBot="1">
      <c r="B7" s="943" t="s">
        <v>8</v>
      </c>
      <c r="C7" s="945" t="s">
        <v>96</v>
      </c>
      <c r="D7" s="947" t="s">
        <v>97</v>
      </c>
      <c r="E7" s="948"/>
      <c r="F7" s="949"/>
      <c r="G7" s="945" t="s">
        <v>264</v>
      </c>
      <c r="H7" s="945" t="s">
        <v>10</v>
      </c>
      <c r="I7" s="13" t="s">
        <v>276</v>
      </c>
      <c r="J7" s="939" t="s">
        <v>276</v>
      </c>
      <c r="K7" s="940"/>
      <c r="L7" s="940"/>
      <c r="M7" s="940"/>
      <c r="N7" s="940"/>
      <c r="O7" s="941"/>
      <c r="R7" s="9"/>
    </row>
    <row r="8" spans="2:18" ht="75.75" thickBot="1">
      <c r="B8" s="944"/>
      <c r="C8" s="946"/>
      <c r="D8" s="194" t="s">
        <v>99</v>
      </c>
      <c r="E8" s="195" t="s">
        <v>100</v>
      </c>
      <c r="F8" s="196" t="s">
        <v>101</v>
      </c>
      <c r="G8" s="946"/>
      <c r="H8" s="946"/>
      <c r="I8" s="736" t="s">
        <v>1146</v>
      </c>
      <c r="J8" s="939" t="s">
        <v>262</v>
      </c>
      <c r="K8" s="940"/>
      <c r="L8" s="941"/>
      <c r="M8" s="939" t="s">
        <v>274</v>
      </c>
      <c r="N8" s="940"/>
      <c r="O8" s="941"/>
    </row>
    <row r="9" spans="2:18" ht="23.25" customHeight="1" thickBot="1">
      <c r="B9" s="734">
        <v>1</v>
      </c>
      <c r="C9" s="13">
        <v>2</v>
      </c>
      <c r="D9" s="197"/>
      <c r="E9" s="197"/>
      <c r="F9" s="198"/>
      <c r="G9" s="737"/>
      <c r="H9" s="737"/>
      <c r="I9" s="13"/>
      <c r="J9" s="13" t="s">
        <v>266</v>
      </c>
      <c r="K9" s="214" t="s">
        <v>267</v>
      </c>
      <c r="L9" s="214" t="s">
        <v>268</v>
      </c>
      <c r="M9" s="13" t="s">
        <v>266</v>
      </c>
      <c r="N9" s="214" t="s">
        <v>267</v>
      </c>
      <c r="O9" s="214" t="s">
        <v>268</v>
      </c>
    </row>
    <row r="10" spans="2:18" ht="122.25" customHeight="1" thickBot="1">
      <c r="B10" s="734"/>
      <c r="C10" s="191" t="s">
        <v>261</v>
      </c>
      <c r="D10" s="40">
        <f>D12+D14</f>
        <v>94404190.923761591</v>
      </c>
      <c r="E10" s="40">
        <f>E12</f>
        <v>3212.3333333333335</v>
      </c>
      <c r="F10" s="40">
        <f>F12</f>
        <v>136886</v>
      </c>
      <c r="G10" s="40" t="s">
        <v>138</v>
      </c>
      <c r="H10" s="40" t="s">
        <v>280</v>
      </c>
      <c r="I10" s="1442">
        <v>29388.04324699437</v>
      </c>
      <c r="J10" s="40">
        <f>J12+J14</f>
        <v>29388.04324699437</v>
      </c>
      <c r="K10" s="40">
        <f t="shared" ref="K10:O10" si="0">K12+K14</f>
        <v>29388.04324699437</v>
      </c>
      <c r="L10" s="40">
        <f t="shared" si="0"/>
        <v>29388.04324699437</v>
      </c>
      <c r="M10" s="40">
        <f t="shared" si="0"/>
        <v>29388.04324699437</v>
      </c>
      <c r="N10" s="40">
        <f t="shared" si="0"/>
        <v>29388.04324699437</v>
      </c>
      <c r="O10" s="40">
        <f t="shared" si="0"/>
        <v>29388.04324699437</v>
      </c>
    </row>
    <row r="11" spans="2:18" ht="15.75" thickBot="1">
      <c r="B11" s="734"/>
      <c r="C11" s="13"/>
      <c r="D11" s="197"/>
      <c r="E11" s="200"/>
      <c r="F11" s="198"/>
      <c r="G11" s="735"/>
      <c r="H11" s="735"/>
      <c r="I11" s="13"/>
      <c r="J11" s="13"/>
      <c r="K11" s="214"/>
      <c r="L11" s="214"/>
      <c r="M11" s="13"/>
      <c r="N11" s="214"/>
      <c r="O11" s="214"/>
    </row>
    <row r="12" spans="2:18" ht="54.75" customHeight="1" thickBot="1">
      <c r="B12" s="67" t="s">
        <v>14</v>
      </c>
      <c r="C12" s="68" t="s">
        <v>120</v>
      </c>
      <c r="D12" s="201">
        <f>('Приложение 2 МУ 2015'!F9*1.071*1.039*1.037+'Приложение 2 МУ 2016'!F9*1.039*1.037+'Приложение 2 МУ 2017'!F9*1.037)/3*1.04</f>
        <v>46573993.853118367</v>
      </c>
      <c r="E12" s="201">
        <f>('Приложение 2 МУ 2017'!G9+'Приложение 2 МУ 2016'!G9+'Приложение 2 МУ 2015'!G9)/3</f>
        <v>3212.3333333333335</v>
      </c>
      <c r="F12" s="201">
        <f>('Приложение 2 МУ 2017'!H9+'Приложение 2 МУ 2016'!H9+'Приложение 2 МУ 2015'!H9)/3</f>
        <v>136886</v>
      </c>
      <c r="G12" s="206" t="s">
        <v>278</v>
      </c>
      <c r="H12" s="206" t="s">
        <v>280</v>
      </c>
      <c r="I12" s="193">
        <v>14498.493468854944</v>
      </c>
      <c r="J12" s="193">
        <f>D12/E12</f>
        <v>14498.493468854944</v>
      </c>
      <c r="K12" s="70">
        <f>J12</f>
        <v>14498.493468854944</v>
      </c>
      <c r="L12" s="70">
        <f>J12</f>
        <v>14498.493468854944</v>
      </c>
      <c r="M12" s="193">
        <f t="shared" ref="M12:O14" si="1">J12</f>
        <v>14498.493468854944</v>
      </c>
      <c r="N12" s="70">
        <f t="shared" si="1"/>
        <v>14498.493468854944</v>
      </c>
      <c r="O12" s="70">
        <f t="shared" si="1"/>
        <v>14498.493468854944</v>
      </c>
    </row>
    <row r="13" spans="2:18" ht="15.75" thickBot="1">
      <c r="B13" s="89"/>
      <c r="C13" s="97"/>
      <c r="D13" s="202"/>
      <c r="E13" s="202"/>
      <c r="F13" s="202"/>
      <c r="G13" s="207"/>
      <c r="H13" s="207"/>
      <c r="I13" s="192"/>
      <c r="J13" s="192"/>
      <c r="K13" s="190"/>
      <c r="L13" s="190"/>
      <c r="M13" s="192"/>
      <c r="N13" s="190"/>
      <c r="O13" s="190"/>
    </row>
    <row r="14" spans="2:18" ht="57" customHeight="1" thickBot="1">
      <c r="B14" s="67" t="s">
        <v>135</v>
      </c>
      <c r="C14" s="68" t="s">
        <v>121</v>
      </c>
      <c r="D14" s="201">
        <f>('Приложение 2 МУ 2015'!F14*1.071*1.039*1.037+'Приложение 2 МУ 2016'!F14*1.039*1.037+'Приложение 2 МУ 2017'!F14*1.037)/3*1.04</f>
        <v>47830197.070643224</v>
      </c>
      <c r="E14" s="201">
        <f>('Приложение 2 МУ 2017'!G14+'Приложение 2 МУ 2016'!G14+'Приложение 2 МУ 2015'!G14)/3</f>
        <v>3212.3333333333335</v>
      </c>
      <c r="F14" s="201">
        <f>('Приложение 2 МУ 2017'!H14+'Приложение 2 МУ 2016'!H14+'Приложение 2 МУ 2015'!H14)/3</f>
        <v>136886</v>
      </c>
      <c r="G14" s="206" t="s">
        <v>279</v>
      </c>
      <c r="H14" s="206" t="s">
        <v>280</v>
      </c>
      <c r="I14" s="193">
        <v>14889.549778139428</v>
      </c>
      <c r="J14" s="193">
        <f>D14/E14</f>
        <v>14889.549778139428</v>
      </c>
      <c r="K14" s="70">
        <f>J14</f>
        <v>14889.549778139428</v>
      </c>
      <c r="L14" s="70">
        <f>J14</f>
        <v>14889.549778139428</v>
      </c>
      <c r="M14" s="193">
        <f t="shared" si="1"/>
        <v>14889.549778139428</v>
      </c>
      <c r="N14" s="70">
        <f t="shared" si="1"/>
        <v>14889.549778139428</v>
      </c>
      <c r="O14" s="70">
        <f t="shared" si="1"/>
        <v>14889.549778139428</v>
      </c>
    </row>
    <row r="16" spans="2:18">
      <c r="B16" s="208" t="s">
        <v>277</v>
      </c>
      <c r="C16" s="7" t="s">
        <v>275</v>
      </c>
    </row>
    <row r="19" spans="2:15" ht="15.75">
      <c r="B19" s="33" t="s">
        <v>87</v>
      </c>
      <c r="C19" s="34"/>
      <c r="D19" s="203"/>
      <c r="E19" s="203"/>
      <c r="O19" s="34" t="s">
        <v>252</v>
      </c>
    </row>
    <row r="20" spans="2:15" ht="15.75">
      <c r="B20" s="34" t="s">
        <v>88</v>
      </c>
      <c r="C20" s="34"/>
      <c r="D20" s="203"/>
      <c r="E20" s="203"/>
      <c r="I20" s="34" t="s">
        <v>252</v>
      </c>
    </row>
    <row r="21" spans="2:15" ht="15.75">
      <c r="B21" s="34"/>
      <c r="C21" s="34"/>
      <c r="D21" s="203"/>
      <c r="E21" s="203"/>
    </row>
    <row r="22" spans="2:15" ht="15.75">
      <c r="B22" s="34"/>
      <c r="C22" s="34"/>
      <c r="D22" s="203"/>
      <c r="E22" s="203"/>
    </row>
    <row r="23" spans="2:15">
      <c r="B23"/>
      <c r="C23"/>
      <c r="D23" s="204"/>
      <c r="E23" s="204"/>
    </row>
    <row r="24" spans="2:15">
      <c r="B24" t="s">
        <v>89</v>
      </c>
      <c r="C24"/>
      <c r="D24" s="204"/>
      <c r="E24" s="204"/>
    </row>
    <row r="25" spans="2:15">
      <c r="B25" s="5" t="s">
        <v>90</v>
      </c>
      <c r="C25"/>
      <c r="D25" s="204"/>
      <c r="E25" s="204"/>
    </row>
    <row r="26" spans="2:15">
      <c r="B26" s="5" t="s">
        <v>91</v>
      </c>
      <c r="C26"/>
      <c r="D26" s="204"/>
      <c r="E26" s="204"/>
    </row>
    <row r="27" spans="2:15">
      <c r="B27"/>
      <c r="C27"/>
      <c r="D27" s="204"/>
      <c r="E27" s="204"/>
    </row>
    <row r="70" spans="5:5">
      <c r="E70" s="139">
        <v>1634</v>
      </c>
    </row>
    <row r="71" spans="5:5">
      <c r="E71" s="7">
        <v>1634.7047713702759</v>
      </c>
    </row>
    <row r="73" spans="5:5">
      <c r="E73" s="7">
        <v>0</v>
      </c>
    </row>
  </sheetData>
  <mergeCells count="10">
    <mergeCell ref="B3:L3"/>
    <mergeCell ref="B4:L4"/>
    <mergeCell ref="B7:B8"/>
    <mergeCell ref="C7:C8"/>
    <mergeCell ref="D7:F7"/>
    <mergeCell ref="G7:G8"/>
    <mergeCell ref="H7:H8"/>
    <mergeCell ref="J7:O7"/>
    <mergeCell ref="J8:L8"/>
    <mergeCell ref="M8:O8"/>
  </mergeCells>
  <pageMargins left="0.7" right="0.7" top="0.75" bottom="0.75" header="0.3" footer="0.3"/>
  <pageSetup paperSize="9"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J170"/>
  <sheetViews>
    <sheetView zoomScale="85" zoomScaleNormal="85" workbookViewId="0">
      <pane xSplit="3" ySplit="5" topLeftCell="D19" activePane="bottomRight" state="frozen"/>
      <selection pane="topRight" activeCell="D1" sqref="D1"/>
      <selection pane="bottomLeft" activeCell="A7" sqref="A7"/>
      <selection pane="bottomRight" activeCell="I150" sqref="I150"/>
    </sheetView>
  </sheetViews>
  <sheetFormatPr defaultRowHeight="12.75"/>
  <cols>
    <col min="1" max="1" width="11" style="505" customWidth="1"/>
    <col min="2" max="2" width="60.5703125" style="504" customWidth="1"/>
    <col min="3" max="3" width="12.7109375" style="518" customWidth="1"/>
    <col min="4" max="4" width="25.5703125" style="504" customWidth="1"/>
    <col min="5" max="5" width="19.5703125" style="504" customWidth="1" collapsed="1"/>
    <col min="6" max="6" width="24.5703125" style="504" customWidth="1"/>
    <col min="7" max="7" width="21.7109375" style="504" customWidth="1" collapsed="1"/>
    <col min="8" max="8" width="18.140625" style="504" customWidth="1" collapsed="1"/>
    <col min="9" max="9" width="20.5703125" style="504" customWidth="1"/>
    <col min="10" max="16384" width="9.140625" style="504"/>
  </cols>
  <sheetData>
    <row r="1" spans="1:9" ht="44.25" customHeight="1">
      <c r="A1" s="952" t="s">
        <v>854</v>
      </c>
      <c r="B1" s="952"/>
      <c r="C1" s="952"/>
      <c r="D1" s="952"/>
      <c r="E1" s="952"/>
      <c r="F1" s="952"/>
      <c r="G1" s="952"/>
      <c r="H1" s="952"/>
      <c r="I1" s="952"/>
    </row>
    <row r="2" spans="1:9" ht="24.75" customHeight="1">
      <c r="B2" s="1436"/>
      <c r="C2" s="1436"/>
    </row>
    <row r="3" spans="1:9" ht="13.5" thickBot="1"/>
    <row r="4" spans="1:9" ht="57" customHeight="1" thickBot="1">
      <c r="A4" s="857"/>
      <c r="B4" s="858" t="s">
        <v>598</v>
      </c>
      <c r="C4" s="859" t="s">
        <v>600</v>
      </c>
      <c r="D4" s="953" t="s">
        <v>577</v>
      </c>
      <c r="E4" s="950"/>
      <c r="F4" s="951"/>
      <c r="G4" s="953" t="s">
        <v>848</v>
      </c>
      <c r="H4" s="950"/>
      <c r="I4" s="951"/>
    </row>
    <row r="5" spans="1:9" ht="113.25" customHeight="1" thickBot="1">
      <c r="A5" s="860"/>
      <c r="B5" s="861"/>
      <c r="C5" s="862"/>
      <c r="D5" s="863" t="s">
        <v>849</v>
      </c>
      <c r="E5" s="509" t="s">
        <v>601</v>
      </c>
      <c r="F5" s="509" t="s">
        <v>850</v>
      </c>
      <c r="G5" s="509" t="s">
        <v>849</v>
      </c>
      <c r="H5" s="509" t="s">
        <v>601</v>
      </c>
      <c r="I5" s="509" t="s">
        <v>851</v>
      </c>
    </row>
    <row r="6" spans="1:9" ht="15.75" thickBot="1">
      <c r="A6" s="864">
        <v>1</v>
      </c>
      <c r="B6" s="865"/>
      <c r="C6" s="866"/>
      <c r="D6" s="865"/>
      <c r="E6" s="867"/>
      <c r="F6" s="867"/>
      <c r="G6" s="867"/>
      <c r="H6" s="867"/>
      <c r="I6" s="867"/>
    </row>
    <row r="7" spans="1:9" ht="47.25" customHeight="1" thickBot="1">
      <c r="A7" s="699" t="s">
        <v>14</v>
      </c>
      <c r="B7" s="868" t="s">
        <v>852</v>
      </c>
      <c r="C7" s="869"/>
      <c r="D7" s="869"/>
      <c r="E7" s="869"/>
      <c r="F7" s="869"/>
      <c r="G7" s="869"/>
      <c r="H7" s="869"/>
      <c r="I7" s="870"/>
    </row>
    <row r="8" spans="1:9" s="518" customFormat="1" ht="15">
      <c r="A8" s="512" t="s">
        <v>381</v>
      </c>
      <c r="B8" s="513" t="s">
        <v>382</v>
      </c>
      <c r="C8" s="871" t="s">
        <v>380</v>
      </c>
      <c r="D8" s="872"/>
      <c r="E8" s="624"/>
      <c r="F8" s="651"/>
      <c r="G8" s="873"/>
      <c r="H8" s="624"/>
      <c r="I8" s="651"/>
    </row>
    <row r="9" spans="1:9" s="518" customFormat="1" ht="15">
      <c r="A9" s="519" t="s">
        <v>383</v>
      </c>
      <c r="B9" s="520" t="s">
        <v>384</v>
      </c>
      <c r="C9" s="874" t="s">
        <v>380</v>
      </c>
      <c r="D9" s="875"/>
      <c r="E9" s="625"/>
      <c r="F9" s="654"/>
      <c r="G9" s="876"/>
      <c r="H9" s="625"/>
      <c r="I9" s="654"/>
    </row>
    <row r="10" spans="1:9" s="518" customFormat="1" ht="15">
      <c r="A10" s="519" t="s">
        <v>385</v>
      </c>
      <c r="B10" s="520" t="s">
        <v>386</v>
      </c>
      <c r="C10" s="874" t="s">
        <v>380</v>
      </c>
      <c r="D10" s="875"/>
      <c r="E10" s="625"/>
      <c r="F10" s="654"/>
      <c r="G10" s="876"/>
      <c r="H10" s="625"/>
      <c r="I10" s="654"/>
    </row>
    <row r="11" spans="1:9" ht="15">
      <c r="A11" s="524" t="s">
        <v>579</v>
      </c>
      <c r="B11" s="525" t="s">
        <v>387</v>
      </c>
      <c r="C11" s="877"/>
      <c r="D11" s="878"/>
      <c r="E11" s="626"/>
      <c r="F11" s="656"/>
      <c r="G11" s="879"/>
      <c r="H11" s="626"/>
      <c r="I11" s="656"/>
    </row>
    <row r="12" spans="1:9" ht="15">
      <c r="A12" s="529" t="s">
        <v>388</v>
      </c>
      <c r="B12" s="530" t="s">
        <v>389</v>
      </c>
      <c r="C12" s="874">
        <v>35</v>
      </c>
      <c r="D12" s="880"/>
      <c r="E12" s="627"/>
      <c r="F12" s="658"/>
      <c r="G12" s="881">
        <v>167310285.98959997</v>
      </c>
      <c r="H12" s="627">
        <v>23943</v>
      </c>
      <c r="I12" s="658">
        <v>6987858.0791713642</v>
      </c>
    </row>
    <row r="13" spans="1:9" ht="15">
      <c r="A13" s="529" t="s">
        <v>390</v>
      </c>
      <c r="B13" s="530" t="s">
        <v>389</v>
      </c>
      <c r="C13" s="874">
        <v>110</v>
      </c>
      <c r="D13" s="880"/>
      <c r="E13" s="627"/>
      <c r="F13" s="658"/>
      <c r="G13" s="881">
        <v>32230558.141600002</v>
      </c>
      <c r="H13" s="627">
        <v>2710</v>
      </c>
      <c r="I13" s="658">
        <v>11893194.886199262</v>
      </c>
    </row>
    <row r="14" spans="1:9" ht="15.75" thickBot="1">
      <c r="A14" s="534" t="s">
        <v>391</v>
      </c>
      <c r="B14" s="535" t="s">
        <v>392</v>
      </c>
      <c r="C14" s="882">
        <v>110</v>
      </c>
      <c r="D14" s="883"/>
      <c r="E14" s="636"/>
      <c r="F14" s="660"/>
      <c r="G14" s="884">
        <v>55313535.2016</v>
      </c>
      <c r="H14" s="636">
        <v>2960</v>
      </c>
      <c r="I14" s="662">
        <v>18687005.135675672</v>
      </c>
    </row>
    <row r="15" spans="1:9" s="518" customFormat="1" ht="15">
      <c r="A15" s="512" t="s">
        <v>393</v>
      </c>
      <c r="B15" s="513" t="s">
        <v>394</v>
      </c>
      <c r="C15" s="871" t="s">
        <v>380</v>
      </c>
      <c r="D15" s="872"/>
      <c r="E15" s="872"/>
      <c r="F15" s="651"/>
      <c r="G15" s="873"/>
      <c r="H15" s="624"/>
      <c r="I15" s="666"/>
    </row>
    <row r="16" spans="1:9" s="518" customFormat="1" ht="15">
      <c r="A16" s="519" t="s">
        <v>395</v>
      </c>
      <c r="B16" s="520" t="s">
        <v>396</v>
      </c>
      <c r="C16" s="874" t="s">
        <v>380</v>
      </c>
      <c r="D16" s="875"/>
      <c r="E16" s="875"/>
      <c r="F16" s="654"/>
      <c r="G16" s="876"/>
      <c r="H16" s="625"/>
      <c r="I16" s="658"/>
    </row>
    <row r="17" spans="1:9" s="518" customFormat="1" ht="15">
      <c r="A17" s="519" t="s">
        <v>397</v>
      </c>
      <c r="B17" s="520" t="s">
        <v>386</v>
      </c>
      <c r="C17" s="874" t="s">
        <v>380</v>
      </c>
      <c r="D17" s="875"/>
      <c r="E17" s="875"/>
      <c r="F17" s="654"/>
      <c r="G17" s="876"/>
      <c r="H17" s="625"/>
      <c r="I17" s="658"/>
    </row>
    <row r="18" spans="1:9" ht="15">
      <c r="A18" s="529" t="s">
        <v>398</v>
      </c>
      <c r="B18" s="530" t="s">
        <v>399</v>
      </c>
      <c r="C18" s="874">
        <v>0.4</v>
      </c>
      <c r="D18" s="880">
        <v>8587915.8226408418</v>
      </c>
      <c r="E18" s="880">
        <v>3766</v>
      </c>
      <c r="F18" s="658">
        <v>2280381.2593310787</v>
      </c>
      <c r="G18" s="881">
        <v>64024706.127235025</v>
      </c>
      <c r="H18" s="627">
        <v>33405</v>
      </c>
      <c r="I18" s="658">
        <v>1916620.4498498735</v>
      </c>
    </row>
    <row r="19" spans="1:9" ht="15">
      <c r="A19" s="529" t="s">
        <v>400</v>
      </c>
      <c r="B19" s="530" t="s">
        <v>399</v>
      </c>
      <c r="C19" s="874" t="s">
        <v>401</v>
      </c>
      <c r="D19" s="880">
        <v>6768261.6079573454</v>
      </c>
      <c r="E19" s="880">
        <v>2599</v>
      </c>
      <c r="F19" s="658">
        <v>2604179.1488870126</v>
      </c>
      <c r="G19" s="881">
        <v>20178725.364659052</v>
      </c>
      <c r="H19" s="627">
        <v>8586.6666666666661</v>
      </c>
      <c r="I19" s="658">
        <v>2350006.8359463187</v>
      </c>
    </row>
    <row r="20" spans="1:9" ht="15">
      <c r="A20" s="529" t="s">
        <v>402</v>
      </c>
      <c r="B20" s="530" t="s">
        <v>387</v>
      </c>
      <c r="C20" s="874">
        <v>0.4</v>
      </c>
      <c r="D20" s="880">
        <v>10989002.050889969</v>
      </c>
      <c r="E20" s="880">
        <v>5976.666666666667</v>
      </c>
      <c r="F20" s="658">
        <v>1838650.6498979311</v>
      </c>
      <c r="G20" s="881">
        <v>50019511.269818954</v>
      </c>
      <c r="H20" s="627">
        <v>25981.333333333332</v>
      </c>
      <c r="I20" s="658">
        <v>1925209.5582656378</v>
      </c>
    </row>
    <row r="21" spans="1:9" ht="15">
      <c r="A21" s="524" t="s">
        <v>403</v>
      </c>
      <c r="B21" s="525" t="s">
        <v>387</v>
      </c>
      <c r="C21" s="877" t="s">
        <v>401</v>
      </c>
      <c r="D21" s="878">
        <v>3217815.7009283993</v>
      </c>
      <c r="E21" s="878">
        <v>1760.5</v>
      </c>
      <c r="F21" s="656">
        <v>1827785.118391593</v>
      </c>
      <c r="G21" s="879">
        <v>24108845.961982567</v>
      </c>
      <c r="H21" s="626">
        <v>26128</v>
      </c>
      <c r="I21" s="658">
        <v>922720.68133736087</v>
      </c>
    </row>
    <row r="22" spans="1:9" ht="15">
      <c r="A22" s="524" t="s">
        <v>404</v>
      </c>
      <c r="B22" s="525" t="s">
        <v>387</v>
      </c>
      <c r="C22" s="877">
        <v>35</v>
      </c>
      <c r="D22" s="878"/>
      <c r="E22" s="878"/>
      <c r="F22" s="656"/>
      <c r="G22" s="879"/>
      <c r="H22" s="626"/>
      <c r="I22" s="658"/>
    </row>
    <row r="23" spans="1:9" ht="15">
      <c r="A23" s="524" t="s">
        <v>405</v>
      </c>
      <c r="B23" s="525" t="s">
        <v>389</v>
      </c>
      <c r="C23" s="877">
        <v>0.4</v>
      </c>
      <c r="D23" s="878"/>
      <c r="E23" s="878"/>
      <c r="F23" s="656"/>
      <c r="G23" s="879">
        <v>4188517.9960426986</v>
      </c>
      <c r="H23" s="626">
        <v>2624.3333333333335</v>
      </c>
      <c r="I23" s="658">
        <v>1596031.2445228114</v>
      </c>
    </row>
    <row r="24" spans="1:9" ht="15">
      <c r="A24" s="524" t="s">
        <v>406</v>
      </c>
      <c r="B24" s="525" t="s">
        <v>389</v>
      </c>
      <c r="C24" s="877" t="s">
        <v>401</v>
      </c>
      <c r="D24" s="878">
        <v>3485754.3128615995</v>
      </c>
      <c r="E24" s="878">
        <v>1860</v>
      </c>
      <c r="F24" s="656">
        <v>1874061.4585277417</v>
      </c>
      <c r="G24" s="879">
        <v>12154276.156919535</v>
      </c>
      <c r="H24" s="626">
        <v>5372</v>
      </c>
      <c r="I24" s="658">
        <v>2262523.484162237</v>
      </c>
    </row>
    <row r="25" spans="1:9" ht="15.75" thickBot="1">
      <c r="A25" s="539" t="s">
        <v>407</v>
      </c>
      <c r="B25" s="540" t="s">
        <v>389</v>
      </c>
      <c r="C25" s="885">
        <v>35</v>
      </c>
      <c r="D25" s="886"/>
      <c r="E25" s="886"/>
      <c r="F25" s="662"/>
      <c r="G25" s="887"/>
      <c r="H25" s="628"/>
      <c r="I25" s="662"/>
    </row>
    <row r="26" spans="1:9" s="518" customFormat="1" ht="15">
      <c r="A26" s="558" t="s">
        <v>408</v>
      </c>
      <c r="B26" s="559" t="s">
        <v>384</v>
      </c>
      <c r="C26" s="888" t="s">
        <v>380</v>
      </c>
      <c r="D26" s="889"/>
      <c r="E26" s="637"/>
      <c r="F26" s="668"/>
      <c r="G26" s="890"/>
      <c r="H26" s="637"/>
      <c r="I26" s="891"/>
    </row>
    <row r="27" spans="1:9" s="518" customFormat="1" ht="15">
      <c r="A27" s="519" t="s">
        <v>409</v>
      </c>
      <c r="B27" s="520" t="s">
        <v>386</v>
      </c>
      <c r="C27" s="874" t="s">
        <v>380</v>
      </c>
      <c r="D27" s="875"/>
      <c r="E27" s="625"/>
      <c r="F27" s="654"/>
      <c r="G27" s="876"/>
      <c r="H27" s="625"/>
      <c r="I27" s="658"/>
    </row>
    <row r="28" spans="1:9" ht="15">
      <c r="A28" s="529" t="s">
        <v>410</v>
      </c>
      <c r="B28" s="530" t="s">
        <v>399</v>
      </c>
      <c r="C28" s="874">
        <v>0.4</v>
      </c>
      <c r="D28" s="880"/>
      <c r="E28" s="627"/>
      <c r="F28" s="658"/>
      <c r="G28" s="881">
        <v>6873153.0022531999</v>
      </c>
      <c r="H28" s="627">
        <v>2832</v>
      </c>
      <c r="I28" s="658">
        <v>2426960.8058803673</v>
      </c>
    </row>
    <row r="29" spans="1:9" ht="15">
      <c r="A29" s="529" t="s">
        <v>411</v>
      </c>
      <c r="B29" s="530" t="s">
        <v>399</v>
      </c>
      <c r="C29" s="874" t="s">
        <v>401</v>
      </c>
      <c r="D29" s="880">
        <v>1232646.9580776</v>
      </c>
      <c r="E29" s="627">
        <v>510</v>
      </c>
      <c r="F29" s="658">
        <v>2416954.8197600003</v>
      </c>
      <c r="G29" s="881">
        <v>31778281.545505662</v>
      </c>
      <c r="H29" s="627">
        <v>19024</v>
      </c>
      <c r="I29" s="658">
        <v>1670431.1157225431</v>
      </c>
    </row>
    <row r="30" spans="1:9" ht="15">
      <c r="A30" s="524" t="s">
        <v>412</v>
      </c>
      <c r="B30" s="525" t="s">
        <v>387</v>
      </c>
      <c r="C30" s="874">
        <v>35</v>
      </c>
      <c r="D30" s="880"/>
      <c r="E30" s="627"/>
      <c r="F30" s="658"/>
      <c r="G30" s="881">
        <v>6686830.7805465898</v>
      </c>
      <c r="H30" s="627">
        <v>4089</v>
      </c>
      <c r="I30" s="933">
        <v>1635321.7854112473</v>
      </c>
    </row>
    <row r="31" spans="1:9" ht="15">
      <c r="A31" s="524" t="s">
        <v>412</v>
      </c>
      <c r="B31" s="525" t="s">
        <v>387</v>
      </c>
      <c r="C31" s="874"/>
      <c r="D31" s="880">
        <v>6985106.3226515995</v>
      </c>
      <c r="E31" s="627">
        <v>5885</v>
      </c>
      <c r="F31" s="658">
        <v>1186933.9545712147</v>
      </c>
      <c r="G31" s="881"/>
      <c r="H31" s="627"/>
      <c r="I31" s="658"/>
    </row>
    <row r="32" spans="1:9" ht="15.75" thickBot="1">
      <c r="A32" s="524" t="s">
        <v>413</v>
      </c>
      <c r="B32" s="525" t="s">
        <v>389</v>
      </c>
      <c r="C32" s="877">
        <v>35</v>
      </c>
      <c r="D32" s="878"/>
      <c r="E32" s="626"/>
      <c r="F32" s="656"/>
      <c r="G32" s="879"/>
      <c r="H32" s="626"/>
      <c r="I32" s="656"/>
    </row>
    <row r="33" spans="1:9" s="518" customFormat="1" ht="55.5" customHeight="1" thickBot="1">
      <c r="A33" s="892" t="s">
        <v>135</v>
      </c>
      <c r="B33" s="893" t="s">
        <v>853</v>
      </c>
      <c r="C33" s="894"/>
      <c r="D33" s="894"/>
      <c r="E33" s="894"/>
      <c r="F33" s="894"/>
      <c r="G33" s="894"/>
      <c r="H33" s="894"/>
      <c r="I33" s="895"/>
    </row>
    <row r="34" spans="1:9" s="652" customFormat="1" ht="15">
      <c r="A34" s="896" t="s">
        <v>167</v>
      </c>
      <c r="B34" s="897" t="s">
        <v>415</v>
      </c>
      <c r="C34" s="898" t="s">
        <v>380</v>
      </c>
      <c r="D34" s="872"/>
      <c r="E34" s="624"/>
      <c r="F34" s="651"/>
      <c r="G34" s="873"/>
      <c r="H34" s="624"/>
      <c r="I34" s="666"/>
    </row>
    <row r="35" spans="1:9" s="645" customFormat="1" ht="15">
      <c r="A35" s="899" t="s">
        <v>168</v>
      </c>
      <c r="B35" s="900" t="s">
        <v>416</v>
      </c>
      <c r="C35" s="901" t="s">
        <v>380</v>
      </c>
      <c r="D35" s="875"/>
      <c r="E35" s="625"/>
      <c r="F35" s="654"/>
      <c r="G35" s="876"/>
      <c r="H35" s="625"/>
      <c r="I35" s="658"/>
    </row>
    <row r="36" spans="1:9" s="645" customFormat="1" ht="15">
      <c r="A36" s="899" t="s">
        <v>169</v>
      </c>
      <c r="B36" s="900" t="s">
        <v>417</v>
      </c>
      <c r="C36" s="901" t="s">
        <v>380</v>
      </c>
      <c r="D36" s="875"/>
      <c r="E36" s="625"/>
      <c r="F36" s="654"/>
      <c r="G36" s="876"/>
      <c r="H36" s="625"/>
      <c r="I36" s="658"/>
    </row>
    <row r="37" spans="1:9" s="645" customFormat="1" ht="15">
      <c r="A37" s="902" t="s">
        <v>418</v>
      </c>
      <c r="B37" s="903" t="s">
        <v>399</v>
      </c>
      <c r="C37" s="901"/>
      <c r="D37" s="880"/>
      <c r="E37" s="627"/>
      <c r="F37" s="658"/>
      <c r="G37" s="881"/>
      <c r="H37" s="627"/>
      <c r="I37" s="658"/>
    </row>
    <row r="38" spans="1:9" s="645" customFormat="1" ht="15" hidden="1" customHeight="1">
      <c r="A38" s="902" t="s">
        <v>419</v>
      </c>
      <c r="B38" s="903" t="s">
        <v>399</v>
      </c>
      <c r="C38" s="901"/>
      <c r="D38" s="880"/>
      <c r="E38" s="627"/>
      <c r="F38" s="658"/>
      <c r="G38" s="881"/>
      <c r="H38" s="627"/>
      <c r="I38" s="658"/>
    </row>
    <row r="39" spans="1:9" s="645" customFormat="1" ht="15" hidden="1" customHeight="1">
      <c r="A39" s="902" t="s">
        <v>420</v>
      </c>
      <c r="B39" s="903" t="s">
        <v>399</v>
      </c>
      <c r="C39" s="901"/>
      <c r="D39" s="880"/>
      <c r="E39" s="627"/>
      <c r="F39" s="658"/>
      <c r="G39" s="881"/>
      <c r="H39" s="627"/>
      <c r="I39" s="658"/>
    </row>
    <row r="40" spans="1:9" s="645" customFormat="1" ht="15" hidden="1" customHeight="1">
      <c r="A40" s="902" t="s">
        <v>421</v>
      </c>
      <c r="B40" s="903" t="s">
        <v>387</v>
      </c>
      <c r="C40" s="901"/>
      <c r="D40" s="880"/>
      <c r="E40" s="627"/>
      <c r="F40" s="658"/>
      <c r="G40" s="881"/>
      <c r="H40" s="627"/>
      <c r="I40" s="658"/>
    </row>
    <row r="41" spans="1:9" s="645" customFormat="1" ht="15" hidden="1" customHeight="1">
      <c r="A41" s="902" t="s">
        <v>422</v>
      </c>
      <c r="B41" s="903" t="s">
        <v>387</v>
      </c>
      <c r="C41" s="901"/>
      <c r="D41" s="880"/>
      <c r="E41" s="627"/>
      <c r="F41" s="658"/>
      <c r="G41" s="881"/>
      <c r="H41" s="627"/>
      <c r="I41" s="658"/>
    </row>
    <row r="42" spans="1:9" s="645" customFormat="1" ht="15" hidden="1" customHeight="1">
      <c r="A42" s="902" t="s">
        <v>423</v>
      </c>
      <c r="B42" s="903" t="s">
        <v>387</v>
      </c>
      <c r="C42" s="901"/>
      <c r="D42" s="880"/>
      <c r="E42" s="627"/>
      <c r="F42" s="658"/>
      <c r="G42" s="881"/>
      <c r="H42" s="627"/>
      <c r="I42" s="658"/>
    </row>
    <row r="43" spans="1:9" s="645" customFormat="1" ht="15" hidden="1" customHeight="1">
      <c r="A43" s="902" t="s">
        <v>424</v>
      </c>
      <c r="B43" s="903" t="s">
        <v>389</v>
      </c>
      <c r="C43" s="901"/>
      <c r="D43" s="880"/>
      <c r="E43" s="627"/>
      <c r="F43" s="658"/>
      <c r="G43" s="881"/>
      <c r="H43" s="627"/>
      <c r="I43" s="658"/>
    </row>
    <row r="44" spans="1:9" s="645" customFormat="1" ht="15" hidden="1" customHeight="1">
      <c r="A44" s="902" t="s">
        <v>425</v>
      </c>
      <c r="B44" s="903" t="s">
        <v>389</v>
      </c>
      <c r="C44" s="901"/>
      <c r="D44" s="880"/>
      <c r="E44" s="627"/>
      <c r="F44" s="658"/>
      <c r="G44" s="881"/>
      <c r="H44" s="627"/>
      <c r="I44" s="658"/>
    </row>
    <row r="45" spans="1:9" s="652" customFormat="1" ht="15">
      <c r="A45" s="902" t="s">
        <v>426</v>
      </c>
      <c r="B45" s="903" t="s">
        <v>389</v>
      </c>
      <c r="C45" s="901"/>
      <c r="D45" s="880"/>
      <c r="E45" s="627"/>
      <c r="F45" s="658"/>
      <c r="G45" s="881"/>
      <c r="H45" s="627"/>
      <c r="I45" s="658"/>
    </row>
    <row r="46" spans="1:9" s="645" customFormat="1" ht="15.75" thickBot="1">
      <c r="A46" s="904" t="s">
        <v>427</v>
      </c>
      <c r="B46" s="905" t="s">
        <v>392</v>
      </c>
      <c r="C46" s="906" t="s">
        <v>401</v>
      </c>
      <c r="D46" s="886">
        <v>6771976.6359127983</v>
      </c>
      <c r="E46" s="628">
        <v>1907.2</v>
      </c>
      <c r="F46" s="662">
        <v>3550742.7830918613</v>
      </c>
      <c r="G46" s="887"/>
      <c r="H46" s="628"/>
      <c r="I46" s="662"/>
    </row>
    <row r="47" spans="1:9" s="645" customFormat="1" ht="15">
      <c r="A47" s="896" t="s">
        <v>428</v>
      </c>
      <c r="B47" s="897" t="s">
        <v>429</v>
      </c>
      <c r="C47" s="898"/>
      <c r="D47" s="872"/>
      <c r="E47" s="624"/>
      <c r="F47" s="651"/>
      <c r="G47" s="873"/>
      <c r="H47" s="624"/>
      <c r="I47" s="666"/>
    </row>
    <row r="48" spans="1:9" s="645" customFormat="1" ht="15">
      <c r="A48" s="902" t="s">
        <v>430</v>
      </c>
      <c r="B48" s="903" t="s">
        <v>399</v>
      </c>
      <c r="C48" s="901"/>
      <c r="D48" s="880"/>
      <c r="E48" s="627"/>
      <c r="F48" s="658"/>
      <c r="G48" s="881"/>
      <c r="H48" s="627"/>
      <c r="I48" s="658"/>
    </row>
    <row r="49" spans="1:9" s="645" customFormat="1" ht="15" hidden="1" customHeight="1">
      <c r="A49" s="902" t="s">
        <v>431</v>
      </c>
      <c r="B49" s="903" t="s">
        <v>399</v>
      </c>
      <c r="C49" s="901"/>
      <c r="D49" s="880"/>
      <c r="E49" s="627"/>
      <c r="F49" s="658"/>
      <c r="G49" s="881"/>
      <c r="H49" s="627"/>
      <c r="I49" s="658"/>
    </row>
    <row r="50" spans="1:9" s="645" customFormat="1" ht="15" hidden="1" customHeight="1">
      <c r="A50" s="902" t="s">
        <v>432</v>
      </c>
      <c r="B50" s="903" t="s">
        <v>399</v>
      </c>
      <c r="C50" s="901"/>
      <c r="D50" s="880"/>
      <c r="E50" s="627"/>
      <c r="F50" s="658"/>
      <c r="G50" s="881"/>
      <c r="H50" s="627"/>
      <c r="I50" s="658"/>
    </row>
    <row r="51" spans="1:9" s="645" customFormat="1" ht="15" hidden="1" customHeight="1">
      <c r="A51" s="902" t="s">
        <v>433</v>
      </c>
      <c r="B51" s="903" t="s">
        <v>387</v>
      </c>
      <c r="C51" s="901"/>
      <c r="D51" s="880"/>
      <c r="E51" s="627"/>
      <c r="F51" s="658"/>
      <c r="G51" s="881"/>
      <c r="H51" s="627"/>
      <c r="I51" s="658"/>
    </row>
    <row r="52" spans="1:9" s="645" customFormat="1" ht="15" hidden="1" customHeight="1">
      <c r="A52" s="902" t="s">
        <v>434</v>
      </c>
      <c r="B52" s="903" t="s">
        <v>387</v>
      </c>
      <c r="C52" s="901"/>
      <c r="D52" s="880"/>
      <c r="E52" s="627"/>
      <c r="F52" s="658"/>
      <c r="G52" s="881"/>
      <c r="H52" s="627"/>
      <c r="I52" s="658"/>
    </row>
    <row r="53" spans="1:9" s="645" customFormat="1" ht="15" hidden="1" customHeight="1">
      <c r="A53" s="902" t="s">
        <v>435</v>
      </c>
      <c r="B53" s="903" t="s">
        <v>387</v>
      </c>
      <c r="C53" s="901"/>
      <c r="D53" s="880"/>
      <c r="E53" s="627"/>
      <c r="F53" s="658"/>
      <c r="G53" s="881"/>
      <c r="H53" s="627"/>
      <c r="I53" s="658"/>
    </row>
    <row r="54" spans="1:9" s="645" customFormat="1" ht="15" hidden="1" customHeight="1">
      <c r="A54" s="902" t="s">
        <v>436</v>
      </c>
      <c r="B54" s="903" t="s">
        <v>389</v>
      </c>
      <c r="C54" s="901"/>
      <c r="D54" s="880"/>
      <c r="E54" s="627"/>
      <c r="F54" s="658"/>
      <c r="G54" s="881"/>
      <c r="H54" s="627"/>
      <c r="I54" s="658"/>
    </row>
    <row r="55" spans="1:9" s="645" customFormat="1" ht="15" hidden="1" customHeight="1">
      <c r="A55" s="902" t="s">
        <v>437</v>
      </c>
      <c r="B55" s="903" t="s">
        <v>389</v>
      </c>
      <c r="C55" s="901"/>
      <c r="D55" s="880"/>
      <c r="E55" s="627"/>
      <c r="F55" s="658"/>
      <c r="G55" s="881"/>
      <c r="H55" s="627"/>
      <c r="I55" s="658"/>
    </row>
    <row r="56" spans="1:9" s="652" customFormat="1" ht="15" hidden="1" customHeight="1">
      <c r="A56" s="902" t="s">
        <v>438</v>
      </c>
      <c r="B56" s="903" t="s">
        <v>389</v>
      </c>
      <c r="C56" s="901"/>
      <c r="D56" s="880"/>
      <c r="E56" s="627"/>
      <c r="F56" s="658"/>
      <c r="G56" s="881"/>
      <c r="H56" s="627"/>
      <c r="I56" s="658"/>
    </row>
    <row r="57" spans="1:9" s="652" customFormat="1" ht="15.75" thickBot="1">
      <c r="A57" s="904" t="s">
        <v>439</v>
      </c>
      <c r="B57" s="905" t="s">
        <v>392</v>
      </c>
      <c r="C57" s="906"/>
      <c r="D57" s="886"/>
      <c r="E57" s="628"/>
      <c r="F57" s="662"/>
      <c r="G57" s="887"/>
      <c r="H57" s="628"/>
      <c r="I57" s="662"/>
    </row>
    <row r="58" spans="1:9" s="645" customFormat="1" ht="15">
      <c r="A58" s="896" t="s">
        <v>170</v>
      </c>
      <c r="B58" s="897" t="s">
        <v>440</v>
      </c>
      <c r="C58" s="898" t="s">
        <v>380</v>
      </c>
      <c r="D58" s="872"/>
      <c r="E58" s="624"/>
      <c r="F58" s="651"/>
      <c r="G58" s="873"/>
      <c r="H58" s="624"/>
      <c r="I58" s="666"/>
    </row>
    <row r="59" spans="1:9" s="645" customFormat="1" ht="15">
      <c r="A59" s="899" t="s">
        <v>171</v>
      </c>
      <c r="B59" s="900" t="s">
        <v>417</v>
      </c>
      <c r="C59" s="901" t="s">
        <v>380</v>
      </c>
      <c r="D59" s="875"/>
      <c r="E59" s="625"/>
      <c r="F59" s="654"/>
      <c r="G59" s="876"/>
      <c r="H59" s="625"/>
      <c r="I59" s="658"/>
    </row>
    <row r="60" spans="1:9" s="645" customFormat="1" ht="15">
      <c r="A60" s="902" t="s">
        <v>441</v>
      </c>
      <c r="B60" s="903" t="s">
        <v>399</v>
      </c>
      <c r="C60" s="901">
        <v>0.4</v>
      </c>
      <c r="D60" s="880">
        <v>717875.28628976154</v>
      </c>
      <c r="E60" s="627">
        <v>200</v>
      </c>
      <c r="F60" s="658">
        <v>3589376.4314488075</v>
      </c>
      <c r="G60" s="881"/>
      <c r="H60" s="627"/>
      <c r="I60" s="658"/>
    </row>
    <row r="61" spans="1:9" s="645" customFormat="1" ht="15">
      <c r="A61" s="902" t="s">
        <v>442</v>
      </c>
      <c r="B61" s="903" t="s">
        <v>399</v>
      </c>
      <c r="C61" s="901" t="s">
        <v>401</v>
      </c>
      <c r="D61" s="880"/>
      <c r="E61" s="627"/>
      <c r="F61" s="658"/>
      <c r="G61" s="881"/>
      <c r="H61" s="627"/>
      <c r="I61" s="658"/>
    </row>
    <row r="62" spans="1:9" s="645" customFormat="1" ht="15">
      <c r="A62" s="902" t="s">
        <v>443</v>
      </c>
      <c r="B62" s="903" t="s">
        <v>399</v>
      </c>
      <c r="C62" s="901">
        <v>35</v>
      </c>
      <c r="D62" s="880"/>
      <c r="E62" s="627"/>
      <c r="F62" s="658"/>
      <c r="G62" s="881"/>
      <c r="H62" s="627"/>
      <c r="I62" s="658"/>
    </row>
    <row r="63" spans="1:9" s="645" customFormat="1" ht="15">
      <c r="A63" s="902" t="s">
        <v>444</v>
      </c>
      <c r="B63" s="903" t="s">
        <v>399</v>
      </c>
      <c r="C63" s="901">
        <v>110</v>
      </c>
      <c r="D63" s="880"/>
      <c r="E63" s="627"/>
      <c r="F63" s="658"/>
      <c r="G63" s="881"/>
      <c r="H63" s="627"/>
      <c r="I63" s="658"/>
    </row>
    <row r="64" spans="1:9" s="645" customFormat="1" ht="15">
      <c r="A64" s="902" t="s">
        <v>445</v>
      </c>
      <c r="B64" s="903" t="s">
        <v>387</v>
      </c>
      <c r="C64" s="901">
        <v>0.4</v>
      </c>
      <c r="D64" s="880">
        <v>742054.29222533421</v>
      </c>
      <c r="E64" s="627">
        <v>240</v>
      </c>
      <c r="F64" s="658">
        <v>3091892.8842722257</v>
      </c>
      <c r="G64" s="881">
        <v>1588787.2112295455</v>
      </c>
      <c r="H64" s="627">
        <v>420</v>
      </c>
      <c r="I64" s="658">
        <v>3782826.6934036799</v>
      </c>
    </row>
    <row r="65" spans="1:9" s="645" customFormat="1" ht="15">
      <c r="A65" s="902" t="s">
        <v>446</v>
      </c>
      <c r="B65" s="903" t="s">
        <v>387</v>
      </c>
      <c r="C65" s="901" t="s">
        <v>401</v>
      </c>
      <c r="D65" s="880">
        <v>426127.88519599999</v>
      </c>
      <c r="E65" s="627">
        <v>200</v>
      </c>
      <c r="F65" s="658">
        <v>2130639.4259799998</v>
      </c>
      <c r="G65" s="881"/>
      <c r="H65" s="627"/>
      <c r="I65" s="658"/>
    </row>
    <row r="66" spans="1:9" s="645" customFormat="1" ht="15">
      <c r="A66" s="902" t="s">
        <v>447</v>
      </c>
      <c r="B66" s="903" t="s">
        <v>387</v>
      </c>
      <c r="C66" s="901">
        <v>35</v>
      </c>
      <c r="D66" s="880"/>
      <c r="E66" s="627"/>
      <c r="F66" s="658"/>
      <c r="G66" s="881"/>
      <c r="H66" s="627"/>
      <c r="I66" s="658"/>
    </row>
    <row r="67" spans="1:9" s="645" customFormat="1" ht="15">
      <c r="A67" s="902" t="s">
        <v>448</v>
      </c>
      <c r="B67" s="903" t="s">
        <v>387</v>
      </c>
      <c r="C67" s="901">
        <v>110</v>
      </c>
      <c r="D67" s="880"/>
      <c r="E67" s="627"/>
      <c r="F67" s="658"/>
      <c r="G67" s="881"/>
      <c r="H67" s="627"/>
      <c r="I67" s="658"/>
    </row>
    <row r="68" spans="1:9" s="645" customFormat="1" ht="15">
      <c r="A68" s="902" t="s">
        <v>449</v>
      </c>
      <c r="B68" s="903" t="s">
        <v>389</v>
      </c>
      <c r="C68" s="901">
        <v>0.4</v>
      </c>
      <c r="D68" s="880">
        <v>3939217.3233313984</v>
      </c>
      <c r="E68" s="627">
        <v>1100</v>
      </c>
      <c r="F68" s="658">
        <v>3581106.6575739989</v>
      </c>
      <c r="G68" s="881">
        <v>2640386.0583395567</v>
      </c>
      <c r="H68" s="627">
        <v>700</v>
      </c>
      <c r="I68" s="658">
        <v>3771980.0833422239</v>
      </c>
    </row>
    <row r="69" spans="1:9" s="645" customFormat="1" ht="15">
      <c r="A69" s="902" t="s">
        <v>450</v>
      </c>
      <c r="B69" s="903" t="s">
        <v>389</v>
      </c>
      <c r="C69" s="901" t="s">
        <v>401</v>
      </c>
      <c r="D69" s="880">
        <v>392264.39546068315</v>
      </c>
      <c r="E69" s="627">
        <v>100</v>
      </c>
      <c r="F69" s="658">
        <v>3922643.9546068315</v>
      </c>
      <c r="G69" s="881"/>
      <c r="H69" s="627"/>
      <c r="I69" s="658"/>
    </row>
    <row r="70" spans="1:9" s="645" customFormat="1" ht="15">
      <c r="A70" s="902" t="s">
        <v>451</v>
      </c>
      <c r="B70" s="903" t="s">
        <v>389</v>
      </c>
      <c r="C70" s="901">
        <v>35</v>
      </c>
      <c r="D70" s="880"/>
      <c r="E70" s="627"/>
      <c r="F70" s="658"/>
      <c r="G70" s="881"/>
      <c r="H70" s="627"/>
      <c r="I70" s="658"/>
    </row>
    <row r="71" spans="1:9" s="645" customFormat="1" ht="15">
      <c r="A71" s="902" t="s">
        <v>452</v>
      </c>
      <c r="B71" s="903" t="s">
        <v>389</v>
      </c>
      <c r="C71" s="901">
        <v>110</v>
      </c>
      <c r="D71" s="880"/>
      <c r="E71" s="627"/>
      <c r="F71" s="658"/>
      <c r="G71" s="881"/>
      <c r="H71" s="627"/>
      <c r="I71" s="658"/>
    </row>
    <row r="72" spans="1:9" s="645" customFormat="1" ht="15">
      <c r="A72" s="907" t="s">
        <v>453</v>
      </c>
      <c r="B72" s="908" t="s">
        <v>392</v>
      </c>
      <c r="C72" s="909">
        <v>0.4</v>
      </c>
      <c r="D72" s="880">
        <v>897386.11133109115</v>
      </c>
      <c r="E72" s="627">
        <v>425</v>
      </c>
      <c r="F72" s="658">
        <v>2111496.7325437437</v>
      </c>
      <c r="G72" s="881">
        <v>1093722.3259103231</v>
      </c>
      <c r="H72" s="627">
        <v>300</v>
      </c>
      <c r="I72" s="658">
        <v>3645741.0863677436</v>
      </c>
    </row>
    <row r="73" spans="1:9" s="645" customFormat="1" ht="15">
      <c r="A73" s="907" t="s">
        <v>453</v>
      </c>
      <c r="B73" s="908" t="s">
        <v>392</v>
      </c>
      <c r="C73" s="909">
        <v>0.4</v>
      </c>
      <c r="D73" s="880">
        <v>1078811.1257143999</v>
      </c>
      <c r="E73" s="627">
        <v>720</v>
      </c>
      <c r="F73" s="658">
        <v>1498348.7857144442</v>
      </c>
      <c r="G73" s="881"/>
      <c r="H73" s="627"/>
      <c r="I73" s="658"/>
    </row>
    <row r="74" spans="1:9" s="645" customFormat="1" ht="15">
      <c r="A74" s="907" t="s">
        <v>453</v>
      </c>
      <c r="B74" s="908" t="s">
        <v>392</v>
      </c>
      <c r="C74" s="909">
        <v>10</v>
      </c>
      <c r="D74" s="880">
        <v>39095539.031754397</v>
      </c>
      <c r="E74" s="627">
        <v>9200</v>
      </c>
      <c r="F74" s="658">
        <v>4249515.1121472176</v>
      </c>
      <c r="G74" s="881"/>
      <c r="H74" s="627"/>
      <c r="I74" s="658"/>
    </row>
    <row r="75" spans="1:9" s="652" customFormat="1" ht="15">
      <c r="A75" s="907" t="s">
        <v>453</v>
      </c>
      <c r="B75" s="908" t="s">
        <v>392</v>
      </c>
      <c r="C75" s="909">
        <v>6</v>
      </c>
      <c r="D75" s="910">
        <v>3197459.7845735992</v>
      </c>
      <c r="E75" s="630">
        <v>5360</v>
      </c>
      <c r="F75" s="672">
        <v>596541.00458462676</v>
      </c>
      <c r="G75" s="881"/>
      <c r="H75" s="627"/>
      <c r="I75" s="658"/>
    </row>
    <row r="76" spans="1:9" s="645" customFormat="1" ht="15.75" thickBot="1">
      <c r="A76" s="904" t="s">
        <v>454</v>
      </c>
      <c r="B76" s="905" t="s">
        <v>392</v>
      </c>
      <c r="C76" s="906">
        <v>110</v>
      </c>
      <c r="D76" s="911"/>
      <c r="E76" s="912"/>
      <c r="F76" s="913"/>
      <c r="G76" s="887"/>
      <c r="H76" s="628"/>
      <c r="I76" s="662"/>
    </row>
    <row r="77" spans="1:9" s="645" customFormat="1" ht="15">
      <c r="A77" s="914" t="s">
        <v>172</v>
      </c>
      <c r="B77" s="915" t="s">
        <v>429</v>
      </c>
      <c r="C77" s="916" t="s">
        <v>380</v>
      </c>
      <c r="D77" s="889"/>
      <c r="E77" s="637"/>
      <c r="F77" s="668"/>
      <c r="G77" s="890"/>
      <c r="H77" s="637"/>
      <c r="I77" s="891"/>
    </row>
    <row r="78" spans="1:9" s="645" customFormat="1" ht="15">
      <c r="A78" s="902" t="s">
        <v>455</v>
      </c>
      <c r="B78" s="903" t="s">
        <v>399</v>
      </c>
      <c r="C78" s="901">
        <v>0.4</v>
      </c>
      <c r="D78" s="880">
        <v>85997.99519999999</v>
      </c>
      <c r="E78" s="627">
        <v>40</v>
      </c>
      <c r="F78" s="658">
        <v>2149949.88</v>
      </c>
      <c r="G78" s="881"/>
      <c r="H78" s="627"/>
      <c r="I78" s="658"/>
    </row>
    <row r="79" spans="1:9" s="645" customFormat="1" ht="15">
      <c r="A79" s="902" t="s">
        <v>456</v>
      </c>
      <c r="B79" s="903" t="s">
        <v>399</v>
      </c>
      <c r="C79" s="901" t="s">
        <v>401</v>
      </c>
      <c r="D79" s="880">
        <v>743655.97276879987</v>
      </c>
      <c r="E79" s="627">
        <v>263</v>
      </c>
      <c r="F79" s="658">
        <v>2827589.2500714823</v>
      </c>
      <c r="G79" s="881"/>
      <c r="H79" s="627"/>
      <c r="I79" s="658"/>
    </row>
    <row r="80" spans="1:9" s="645" customFormat="1" ht="15">
      <c r="A80" s="902" t="s">
        <v>457</v>
      </c>
      <c r="B80" s="903" t="s">
        <v>399</v>
      </c>
      <c r="C80" s="901">
        <v>35</v>
      </c>
      <c r="D80" s="880"/>
      <c r="E80" s="627"/>
      <c r="F80" s="658"/>
      <c r="G80" s="881"/>
      <c r="H80" s="627"/>
      <c r="I80" s="658"/>
    </row>
    <row r="81" spans="1:9" s="645" customFormat="1" ht="15">
      <c r="A81" s="902" t="s">
        <v>458</v>
      </c>
      <c r="B81" s="903" t="s">
        <v>399</v>
      </c>
      <c r="C81" s="901">
        <v>110</v>
      </c>
      <c r="D81" s="880"/>
      <c r="E81" s="627"/>
      <c r="F81" s="658"/>
      <c r="G81" s="881"/>
      <c r="H81" s="627"/>
      <c r="I81" s="658"/>
    </row>
    <row r="82" spans="1:9" s="645" customFormat="1" ht="15">
      <c r="A82" s="902" t="s">
        <v>459</v>
      </c>
      <c r="B82" s="903" t="s">
        <v>387</v>
      </c>
      <c r="C82" s="901">
        <v>0.4</v>
      </c>
      <c r="D82" s="880">
        <v>746351.87079439999</v>
      </c>
      <c r="E82" s="627">
        <v>280</v>
      </c>
      <c r="F82" s="658">
        <v>2665542.3956942856</v>
      </c>
      <c r="G82" s="881">
        <v>511224.29268559994</v>
      </c>
      <c r="H82" s="627">
        <v>200</v>
      </c>
      <c r="I82" s="658">
        <v>2556121.4634279995</v>
      </c>
    </row>
    <row r="83" spans="1:9" s="645" customFormat="1" ht="15">
      <c r="A83" s="902" t="s">
        <v>460</v>
      </c>
      <c r="B83" s="903" t="s">
        <v>387</v>
      </c>
      <c r="C83" s="901" t="s">
        <v>401</v>
      </c>
      <c r="D83" s="880">
        <v>1801370.5953048</v>
      </c>
      <c r="E83" s="627">
        <v>250</v>
      </c>
      <c r="F83" s="658">
        <v>7205482.3812191999</v>
      </c>
      <c r="G83" s="881">
        <v>226134.67550834161</v>
      </c>
      <c r="H83" s="627">
        <v>50</v>
      </c>
      <c r="I83" s="658">
        <v>4522693.5101668322</v>
      </c>
    </row>
    <row r="84" spans="1:9" s="645" customFormat="1" ht="15">
      <c r="A84" s="902" t="s">
        <v>461</v>
      </c>
      <c r="B84" s="903" t="s">
        <v>387</v>
      </c>
      <c r="C84" s="901">
        <v>35</v>
      </c>
      <c r="D84" s="880"/>
      <c r="E84" s="627"/>
      <c r="F84" s="658"/>
      <c r="G84" s="881"/>
      <c r="H84" s="627"/>
      <c r="I84" s="658"/>
    </row>
    <row r="85" spans="1:9" s="645" customFormat="1" ht="15">
      <c r="A85" s="902" t="s">
        <v>462</v>
      </c>
      <c r="B85" s="903" t="s">
        <v>387</v>
      </c>
      <c r="C85" s="901">
        <v>110</v>
      </c>
      <c r="D85" s="880"/>
      <c r="E85" s="627"/>
      <c r="F85" s="658"/>
      <c r="G85" s="881"/>
      <c r="H85" s="627"/>
      <c r="I85" s="658"/>
    </row>
    <row r="86" spans="1:9" s="645" customFormat="1" ht="15">
      <c r="A86" s="902" t="s">
        <v>463</v>
      </c>
      <c r="B86" s="903" t="s">
        <v>389</v>
      </c>
      <c r="C86" s="901">
        <v>0.4</v>
      </c>
      <c r="D86" s="880">
        <v>1185955.4175144001</v>
      </c>
      <c r="E86" s="627">
        <v>290</v>
      </c>
      <c r="F86" s="658">
        <v>4089501.439704828</v>
      </c>
      <c r="G86" s="881"/>
      <c r="H86" s="627"/>
      <c r="I86" s="658"/>
    </row>
    <row r="87" spans="1:9" s="645" customFormat="1" ht="15">
      <c r="A87" s="902" t="s">
        <v>464</v>
      </c>
      <c r="B87" s="903" t="s">
        <v>389</v>
      </c>
      <c r="C87" s="901" t="s">
        <v>401</v>
      </c>
      <c r="D87" s="880">
        <v>1363429.1264671998</v>
      </c>
      <c r="E87" s="627">
        <v>538</v>
      </c>
      <c r="F87" s="658">
        <v>2534254.8819092931</v>
      </c>
      <c r="G87" s="881"/>
      <c r="H87" s="627"/>
      <c r="I87" s="658"/>
    </row>
    <row r="88" spans="1:9" s="645" customFormat="1" ht="15">
      <c r="A88" s="902" t="s">
        <v>465</v>
      </c>
      <c r="B88" s="903" t="s">
        <v>389</v>
      </c>
      <c r="C88" s="901">
        <v>35</v>
      </c>
      <c r="D88" s="880"/>
      <c r="E88" s="627"/>
      <c r="F88" s="658"/>
      <c r="G88" s="881"/>
      <c r="H88" s="627"/>
      <c r="I88" s="658"/>
    </row>
    <row r="89" spans="1:9" s="652" customFormat="1" ht="15">
      <c r="A89" s="902" t="s">
        <v>466</v>
      </c>
      <c r="B89" s="903" t="s">
        <v>389</v>
      </c>
      <c r="C89" s="901">
        <v>110</v>
      </c>
      <c r="D89" s="880"/>
      <c r="E89" s="627"/>
      <c r="F89" s="658"/>
      <c r="G89" s="881"/>
      <c r="H89" s="627"/>
      <c r="I89" s="658"/>
    </row>
    <row r="90" spans="1:9" s="652" customFormat="1" ht="15">
      <c r="A90" s="902" t="s">
        <v>467</v>
      </c>
      <c r="B90" s="903" t="s">
        <v>392</v>
      </c>
      <c r="C90" s="901" t="s">
        <v>401</v>
      </c>
      <c r="D90" s="880">
        <v>13984157.693677599</v>
      </c>
      <c r="E90" s="627">
        <v>5515</v>
      </c>
      <c r="F90" s="658">
        <v>2535658.6933232276</v>
      </c>
      <c r="G90" s="879">
        <v>18898698.404609963</v>
      </c>
      <c r="H90" s="626">
        <v>1501</v>
      </c>
      <c r="I90" s="658">
        <v>12590738.444110569</v>
      </c>
    </row>
    <row r="91" spans="1:9" s="652" customFormat="1" ht="15.75" thickBot="1">
      <c r="A91" s="917" t="s">
        <v>467</v>
      </c>
      <c r="B91" s="918" t="s">
        <v>392</v>
      </c>
      <c r="C91" s="919">
        <v>0.4</v>
      </c>
      <c r="D91" s="910"/>
      <c r="E91" s="630"/>
      <c r="F91" s="672"/>
      <c r="G91" s="879">
        <v>2073538.1915455998</v>
      </c>
      <c r="H91" s="626">
        <v>240</v>
      </c>
      <c r="I91" s="656">
        <v>8639742.4647733327</v>
      </c>
    </row>
    <row r="92" spans="1:9" s="652" customFormat="1" ht="15">
      <c r="A92" s="896" t="s">
        <v>173</v>
      </c>
      <c r="B92" s="897" t="s">
        <v>468</v>
      </c>
      <c r="C92" s="898"/>
      <c r="D92" s="872"/>
      <c r="E92" s="624"/>
      <c r="F92" s="651"/>
      <c r="G92" s="873"/>
      <c r="H92" s="624"/>
      <c r="I92" s="666"/>
    </row>
    <row r="93" spans="1:9" s="645" customFormat="1" ht="15">
      <c r="A93" s="899" t="s">
        <v>174</v>
      </c>
      <c r="B93" s="900" t="s">
        <v>416</v>
      </c>
      <c r="C93" s="901"/>
      <c r="D93" s="875"/>
      <c r="E93" s="625"/>
      <c r="F93" s="654"/>
      <c r="G93" s="876"/>
      <c r="H93" s="625"/>
      <c r="I93" s="658"/>
    </row>
    <row r="94" spans="1:9" s="645" customFormat="1" ht="15">
      <c r="A94" s="899" t="s">
        <v>175</v>
      </c>
      <c r="B94" s="900" t="s">
        <v>417</v>
      </c>
      <c r="C94" s="901"/>
      <c r="D94" s="875"/>
      <c r="E94" s="625"/>
      <c r="F94" s="654"/>
      <c r="G94" s="876"/>
      <c r="H94" s="625"/>
      <c r="I94" s="658"/>
    </row>
    <row r="95" spans="1:9" s="645" customFormat="1" ht="15">
      <c r="A95" s="902" t="s">
        <v>469</v>
      </c>
      <c r="B95" s="903" t="s">
        <v>399</v>
      </c>
      <c r="C95" s="901"/>
      <c r="D95" s="880"/>
      <c r="E95" s="627"/>
      <c r="F95" s="658"/>
      <c r="G95" s="881"/>
      <c r="H95" s="627"/>
      <c r="I95" s="658"/>
    </row>
    <row r="96" spans="1:9" s="645" customFormat="1" ht="15" hidden="1" customHeight="1">
      <c r="A96" s="902" t="s">
        <v>470</v>
      </c>
      <c r="B96" s="903" t="s">
        <v>399</v>
      </c>
      <c r="C96" s="901"/>
      <c r="D96" s="880"/>
      <c r="E96" s="627"/>
      <c r="F96" s="658"/>
      <c r="G96" s="881"/>
      <c r="H96" s="627"/>
      <c r="I96" s="658"/>
    </row>
    <row r="97" spans="1:9" s="645" customFormat="1" ht="15" hidden="1" customHeight="1">
      <c r="A97" s="902" t="s">
        <v>471</v>
      </c>
      <c r="B97" s="903" t="s">
        <v>399</v>
      </c>
      <c r="C97" s="901"/>
      <c r="D97" s="880"/>
      <c r="E97" s="627"/>
      <c r="F97" s="658"/>
      <c r="G97" s="881"/>
      <c r="H97" s="627"/>
      <c r="I97" s="658"/>
    </row>
    <row r="98" spans="1:9" s="645" customFormat="1" ht="15" hidden="1" customHeight="1">
      <c r="A98" s="902" t="s">
        <v>472</v>
      </c>
      <c r="B98" s="903" t="s">
        <v>387</v>
      </c>
      <c r="C98" s="901"/>
      <c r="D98" s="880"/>
      <c r="E98" s="627"/>
      <c r="F98" s="658"/>
      <c r="G98" s="881"/>
      <c r="H98" s="627"/>
      <c r="I98" s="658"/>
    </row>
    <row r="99" spans="1:9" s="645" customFormat="1" ht="15" hidden="1" customHeight="1">
      <c r="A99" s="902" t="s">
        <v>473</v>
      </c>
      <c r="B99" s="903" t="s">
        <v>387</v>
      </c>
      <c r="C99" s="901"/>
      <c r="D99" s="880"/>
      <c r="E99" s="627"/>
      <c r="F99" s="658"/>
      <c r="G99" s="881"/>
      <c r="H99" s="627"/>
      <c r="I99" s="658"/>
    </row>
    <row r="100" spans="1:9" s="645" customFormat="1" ht="15" hidden="1" customHeight="1">
      <c r="A100" s="902" t="s">
        <v>474</v>
      </c>
      <c r="B100" s="903" t="s">
        <v>387</v>
      </c>
      <c r="C100" s="901"/>
      <c r="D100" s="880"/>
      <c r="E100" s="627"/>
      <c r="F100" s="658"/>
      <c r="G100" s="881"/>
      <c r="H100" s="627"/>
      <c r="I100" s="658"/>
    </row>
    <row r="101" spans="1:9" s="645" customFormat="1" ht="15" hidden="1" customHeight="1">
      <c r="A101" s="902" t="s">
        <v>475</v>
      </c>
      <c r="B101" s="903" t="s">
        <v>389</v>
      </c>
      <c r="C101" s="901"/>
      <c r="D101" s="880"/>
      <c r="E101" s="627"/>
      <c r="F101" s="658"/>
      <c r="G101" s="881"/>
      <c r="H101" s="627"/>
      <c r="I101" s="658"/>
    </row>
    <row r="102" spans="1:9" s="645" customFormat="1" ht="15">
      <c r="A102" s="902" t="s">
        <v>476</v>
      </c>
      <c r="B102" s="903" t="s">
        <v>389</v>
      </c>
      <c r="C102" s="901"/>
      <c r="D102" s="880"/>
      <c r="E102" s="627"/>
      <c r="F102" s="658"/>
      <c r="G102" s="881"/>
      <c r="H102" s="627"/>
      <c r="I102" s="658"/>
    </row>
    <row r="103" spans="1:9" s="652" customFormat="1" ht="15">
      <c r="A103" s="902" t="s">
        <v>477</v>
      </c>
      <c r="B103" s="903" t="s">
        <v>392</v>
      </c>
      <c r="C103" s="901" t="s">
        <v>401</v>
      </c>
      <c r="D103" s="880">
        <v>20030696.267462399</v>
      </c>
      <c r="E103" s="627">
        <v>4506</v>
      </c>
      <c r="F103" s="658">
        <v>4445338.7189219706</v>
      </c>
      <c r="G103" s="881"/>
      <c r="H103" s="627"/>
      <c r="I103" s="658"/>
    </row>
    <row r="104" spans="1:9" s="645" customFormat="1" ht="15.75" thickBot="1">
      <c r="A104" s="904" t="s">
        <v>478</v>
      </c>
      <c r="B104" s="905" t="s">
        <v>479</v>
      </c>
      <c r="C104" s="906">
        <v>110</v>
      </c>
      <c r="D104" s="886">
        <v>80370799.574729651</v>
      </c>
      <c r="E104" s="628">
        <v>6358.5</v>
      </c>
      <c r="F104" s="662">
        <v>12639899.280448165</v>
      </c>
      <c r="G104" s="887"/>
      <c r="H104" s="628"/>
      <c r="I104" s="662"/>
    </row>
    <row r="105" spans="1:9" s="645" customFormat="1" ht="15">
      <c r="A105" s="896" t="s">
        <v>176</v>
      </c>
      <c r="B105" s="897" t="s">
        <v>429</v>
      </c>
      <c r="C105" s="898"/>
      <c r="D105" s="872"/>
      <c r="E105" s="624"/>
      <c r="F105" s="651"/>
      <c r="G105" s="873"/>
      <c r="H105" s="624"/>
      <c r="I105" s="666"/>
    </row>
    <row r="106" spans="1:9" s="645" customFormat="1" ht="15" hidden="1" customHeight="1">
      <c r="A106" s="902" t="s">
        <v>480</v>
      </c>
      <c r="B106" s="903" t="s">
        <v>399</v>
      </c>
      <c r="C106" s="901"/>
      <c r="D106" s="880"/>
      <c r="E106" s="627"/>
      <c r="F106" s="658"/>
      <c r="G106" s="881"/>
      <c r="H106" s="627"/>
      <c r="I106" s="658"/>
    </row>
    <row r="107" spans="1:9" s="645" customFormat="1" ht="15" hidden="1" customHeight="1">
      <c r="A107" s="902" t="s">
        <v>481</v>
      </c>
      <c r="B107" s="903" t="s">
        <v>399</v>
      </c>
      <c r="C107" s="901"/>
      <c r="D107" s="880"/>
      <c r="E107" s="627"/>
      <c r="F107" s="658"/>
      <c r="G107" s="881"/>
      <c r="H107" s="627"/>
      <c r="I107" s="658"/>
    </row>
    <row r="108" spans="1:9" s="645" customFormat="1" ht="15" hidden="1" customHeight="1">
      <c r="A108" s="902" t="s">
        <v>482</v>
      </c>
      <c r="B108" s="903" t="s">
        <v>399</v>
      </c>
      <c r="C108" s="901"/>
      <c r="D108" s="880"/>
      <c r="E108" s="627"/>
      <c r="F108" s="658"/>
      <c r="G108" s="881"/>
      <c r="H108" s="627"/>
      <c r="I108" s="658"/>
    </row>
    <row r="109" spans="1:9" s="645" customFormat="1" ht="15" hidden="1" customHeight="1">
      <c r="A109" s="902" t="s">
        <v>483</v>
      </c>
      <c r="B109" s="903" t="s">
        <v>387</v>
      </c>
      <c r="C109" s="901"/>
      <c r="D109" s="880"/>
      <c r="E109" s="627"/>
      <c r="F109" s="658"/>
      <c r="G109" s="881"/>
      <c r="H109" s="627"/>
      <c r="I109" s="658"/>
    </row>
    <row r="110" spans="1:9" s="645" customFormat="1" ht="15" hidden="1" customHeight="1">
      <c r="A110" s="902" t="s">
        <v>484</v>
      </c>
      <c r="B110" s="903" t="s">
        <v>387</v>
      </c>
      <c r="C110" s="901"/>
      <c r="D110" s="880"/>
      <c r="E110" s="627"/>
      <c r="F110" s="658"/>
      <c r="G110" s="881"/>
      <c r="H110" s="627"/>
      <c r="I110" s="658"/>
    </row>
    <row r="111" spans="1:9" s="645" customFormat="1" ht="15" hidden="1" customHeight="1">
      <c r="A111" s="902" t="s">
        <v>485</v>
      </c>
      <c r="B111" s="903" t="s">
        <v>387</v>
      </c>
      <c r="C111" s="901"/>
      <c r="D111" s="880"/>
      <c r="E111" s="627"/>
      <c r="F111" s="658"/>
      <c r="G111" s="881"/>
      <c r="H111" s="627"/>
      <c r="I111" s="658"/>
    </row>
    <row r="112" spans="1:9" s="645" customFormat="1" ht="15" hidden="1" customHeight="1">
      <c r="A112" s="902" t="s">
        <v>486</v>
      </c>
      <c r="B112" s="903" t="s">
        <v>389</v>
      </c>
      <c r="C112" s="901"/>
      <c r="D112" s="880"/>
      <c r="E112" s="627"/>
      <c r="F112" s="658"/>
      <c r="G112" s="881"/>
      <c r="H112" s="627"/>
      <c r="I112" s="658"/>
    </row>
    <row r="113" spans="1:9" s="645" customFormat="1" ht="15" hidden="1" customHeight="1">
      <c r="A113" s="902" t="s">
        <v>487</v>
      </c>
      <c r="B113" s="903" t="s">
        <v>389</v>
      </c>
      <c r="C113" s="901"/>
      <c r="D113" s="880"/>
      <c r="E113" s="627"/>
      <c r="F113" s="658"/>
      <c r="G113" s="881"/>
      <c r="H113" s="627"/>
      <c r="I113" s="658"/>
    </row>
    <row r="114" spans="1:9" s="652" customFormat="1" ht="15" hidden="1" customHeight="1">
      <c r="A114" s="902" t="s">
        <v>488</v>
      </c>
      <c r="B114" s="903" t="s">
        <v>389</v>
      </c>
      <c r="C114" s="901"/>
      <c r="D114" s="880"/>
      <c r="E114" s="627"/>
      <c r="F114" s="658"/>
      <c r="G114" s="881"/>
      <c r="H114" s="627"/>
      <c r="I114" s="658"/>
    </row>
    <row r="115" spans="1:9" s="652" customFormat="1" ht="15.75" hidden="1" customHeight="1" thickBot="1">
      <c r="A115" s="904" t="s">
        <v>489</v>
      </c>
      <c r="B115" s="905" t="s">
        <v>392</v>
      </c>
      <c r="C115" s="906"/>
      <c r="D115" s="886"/>
      <c r="E115" s="628"/>
      <c r="F115" s="662"/>
      <c r="G115" s="887"/>
      <c r="H115" s="628"/>
      <c r="I115" s="662"/>
    </row>
    <row r="116" spans="1:9" s="645" customFormat="1" ht="15">
      <c r="A116" s="914" t="s">
        <v>177</v>
      </c>
      <c r="B116" s="915" t="s">
        <v>440</v>
      </c>
      <c r="C116" s="916"/>
      <c r="D116" s="889"/>
      <c r="E116" s="637"/>
      <c r="F116" s="668"/>
      <c r="G116" s="890"/>
      <c r="H116" s="637"/>
      <c r="I116" s="891"/>
    </row>
    <row r="117" spans="1:9" s="645" customFormat="1" ht="15.75" thickBot="1">
      <c r="A117" s="899" t="s">
        <v>178</v>
      </c>
      <c r="B117" s="900" t="s">
        <v>417</v>
      </c>
      <c r="C117" s="901"/>
      <c r="D117" s="875"/>
      <c r="E117" s="625"/>
      <c r="F117" s="654"/>
      <c r="G117" s="876"/>
      <c r="H117" s="625"/>
      <c r="I117" s="658"/>
    </row>
    <row r="118" spans="1:9" s="645" customFormat="1" ht="15.75" hidden="1" customHeight="1" thickBot="1">
      <c r="A118" s="902" t="s">
        <v>490</v>
      </c>
      <c r="B118" s="903" t="s">
        <v>399</v>
      </c>
      <c r="C118" s="901"/>
      <c r="D118" s="880"/>
      <c r="E118" s="627"/>
      <c r="F118" s="658"/>
      <c r="G118" s="881"/>
      <c r="H118" s="627"/>
      <c r="I118" s="658"/>
    </row>
    <row r="119" spans="1:9" s="645" customFormat="1" ht="15.75" hidden="1" customHeight="1" thickBot="1">
      <c r="A119" s="902" t="s">
        <v>491</v>
      </c>
      <c r="B119" s="903" t="s">
        <v>399</v>
      </c>
      <c r="C119" s="901"/>
      <c r="D119" s="880"/>
      <c r="E119" s="627"/>
      <c r="F119" s="658"/>
      <c r="G119" s="881"/>
      <c r="H119" s="627"/>
      <c r="I119" s="658"/>
    </row>
    <row r="120" spans="1:9" s="645" customFormat="1" ht="15.75" hidden="1" customHeight="1" thickBot="1">
      <c r="A120" s="902" t="s">
        <v>492</v>
      </c>
      <c r="B120" s="903" t="s">
        <v>399</v>
      </c>
      <c r="C120" s="901"/>
      <c r="D120" s="880"/>
      <c r="E120" s="627"/>
      <c r="F120" s="658"/>
      <c r="G120" s="881"/>
      <c r="H120" s="627"/>
      <c r="I120" s="658"/>
    </row>
    <row r="121" spans="1:9" s="645" customFormat="1" ht="15.75" hidden="1" customHeight="1" thickBot="1">
      <c r="A121" s="902" t="s">
        <v>493</v>
      </c>
      <c r="B121" s="903" t="s">
        <v>387</v>
      </c>
      <c r="C121" s="901"/>
      <c r="D121" s="880"/>
      <c r="E121" s="627"/>
      <c r="F121" s="658"/>
      <c r="G121" s="881"/>
      <c r="H121" s="627"/>
      <c r="I121" s="658"/>
    </row>
    <row r="122" spans="1:9" s="645" customFormat="1" ht="15.75" hidden="1" customHeight="1" thickBot="1">
      <c r="A122" s="902" t="s">
        <v>494</v>
      </c>
      <c r="B122" s="903" t="s">
        <v>387</v>
      </c>
      <c r="C122" s="901"/>
      <c r="D122" s="880"/>
      <c r="E122" s="627"/>
      <c r="F122" s="658"/>
      <c r="G122" s="881"/>
      <c r="H122" s="627"/>
      <c r="I122" s="658"/>
    </row>
    <row r="123" spans="1:9" s="645" customFormat="1" ht="15.75" hidden="1" customHeight="1" thickBot="1">
      <c r="A123" s="902" t="s">
        <v>495</v>
      </c>
      <c r="B123" s="903" t="s">
        <v>387</v>
      </c>
      <c r="C123" s="901"/>
      <c r="D123" s="880"/>
      <c r="E123" s="627"/>
      <c r="F123" s="658"/>
      <c r="G123" s="881"/>
      <c r="H123" s="627"/>
      <c r="I123" s="658"/>
    </row>
    <row r="124" spans="1:9" s="645" customFormat="1" ht="15.75" hidden="1" customHeight="1" thickBot="1">
      <c r="A124" s="902" t="s">
        <v>496</v>
      </c>
      <c r="B124" s="903" t="s">
        <v>389</v>
      </c>
      <c r="C124" s="901"/>
      <c r="D124" s="880"/>
      <c r="E124" s="627"/>
      <c r="F124" s="658"/>
      <c r="G124" s="881"/>
      <c r="H124" s="627"/>
      <c r="I124" s="658"/>
    </row>
    <row r="125" spans="1:9" s="645" customFormat="1" ht="15.75" hidden="1" customHeight="1" thickBot="1">
      <c r="A125" s="902" t="s">
        <v>497</v>
      </c>
      <c r="B125" s="903" t="s">
        <v>389</v>
      </c>
      <c r="C125" s="901"/>
      <c r="D125" s="880"/>
      <c r="E125" s="627"/>
      <c r="F125" s="658"/>
      <c r="G125" s="881"/>
      <c r="H125" s="627"/>
      <c r="I125" s="658"/>
    </row>
    <row r="126" spans="1:9" s="652" customFormat="1" ht="15.75" hidden="1" customHeight="1" thickBot="1">
      <c r="A126" s="902" t="s">
        <v>498</v>
      </c>
      <c r="B126" s="903" t="s">
        <v>389</v>
      </c>
      <c r="C126" s="901"/>
      <c r="D126" s="880"/>
      <c r="E126" s="627"/>
      <c r="F126" s="658"/>
      <c r="G126" s="881"/>
      <c r="H126" s="627"/>
      <c r="I126" s="658"/>
    </row>
    <row r="127" spans="1:9" s="645" customFormat="1" ht="15.75" hidden="1" customHeight="1" thickBot="1">
      <c r="A127" s="907" t="s">
        <v>499</v>
      </c>
      <c r="B127" s="908" t="s">
        <v>392</v>
      </c>
      <c r="C127" s="909"/>
      <c r="D127" s="878"/>
      <c r="E127" s="626"/>
      <c r="F127" s="656"/>
      <c r="G127" s="879"/>
      <c r="H127" s="626"/>
      <c r="I127" s="656"/>
    </row>
    <row r="128" spans="1:9" s="645" customFormat="1" ht="27" customHeight="1" thickBot="1">
      <c r="A128" s="896" t="s">
        <v>179</v>
      </c>
      <c r="B128" s="897" t="s">
        <v>429</v>
      </c>
      <c r="C128" s="898"/>
      <c r="D128" s="872"/>
      <c r="E128" s="624"/>
      <c r="F128" s="651"/>
      <c r="G128" s="873"/>
      <c r="H128" s="624"/>
      <c r="I128" s="666"/>
    </row>
    <row r="129" spans="1:9" s="645" customFormat="1" ht="15.75" hidden="1" customHeight="1" thickBot="1">
      <c r="A129" s="902" t="s">
        <v>500</v>
      </c>
      <c r="B129" s="903" t="s">
        <v>399</v>
      </c>
      <c r="C129" s="901"/>
      <c r="D129" s="880"/>
      <c r="E129" s="627"/>
      <c r="F129" s="658"/>
      <c r="G129" s="881"/>
      <c r="H129" s="627"/>
      <c r="I129" s="658"/>
    </row>
    <row r="130" spans="1:9" s="645" customFormat="1" ht="15.75" hidden="1" customHeight="1" thickBot="1">
      <c r="A130" s="902" t="s">
        <v>501</v>
      </c>
      <c r="B130" s="903" t="s">
        <v>399</v>
      </c>
      <c r="C130" s="901"/>
      <c r="D130" s="880"/>
      <c r="E130" s="627"/>
      <c r="F130" s="658"/>
      <c r="G130" s="881"/>
      <c r="H130" s="627"/>
      <c r="I130" s="658"/>
    </row>
    <row r="131" spans="1:9" s="645" customFormat="1" ht="15.75" hidden="1" customHeight="1" thickBot="1">
      <c r="A131" s="902" t="s">
        <v>502</v>
      </c>
      <c r="B131" s="903" t="s">
        <v>399</v>
      </c>
      <c r="C131" s="901"/>
      <c r="D131" s="880"/>
      <c r="E131" s="627"/>
      <c r="F131" s="658"/>
      <c r="G131" s="881"/>
      <c r="H131" s="627"/>
      <c r="I131" s="658"/>
    </row>
    <row r="132" spans="1:9" s="645" customFormat="1" ht="15.75" hidden="1" customHeight="1" thickBot="1">
      <c r="A132" s="902" t="s">
        <v>503</v>
      </c>
      <c r="B132" s="903" t="s">
        <v>387</v>
      </c>
      <c r="C132" s="901"/>
      <c r="D132" s="880"/>
      <c r="E132" s="627"/>
      <c r="F132" s="658"/>
      <c r="G132" s="881"/>
      <c r="H132" s="627"/>
      <c r="I132" s="658"/>
    </row>
    <row r="133" spans="1:9" s="645" customFormat="1" ht="15.75" hidden="1" customHeight="1" thickBot="1">
      <c r="A133" s="902" t="s">
        <v>504</v>
      </c>
      <c r="B133" s="903" t="s">
        <v>387</v>
      </c>
      <c r="C133" s="901"/>
      <c r="D133" s="880"/>
      <c r="E133" s="627"/>
      <c r="F133" s="658"/>
      <c r="G133" s="881"/>
      <c r="H133" s="627"/>
      <c r="I133" s="658"/>
    </row>
    <row r="134" spans="1:9" s="645" customFormat="1" ht="15.75" hidden="1" customHeight="1" thickBot="1">
      <c r="A134" s="902" t="s">
        <v>505</v>
      </c>
      <c r="B134" s="903" t="s">
        <v>387</v>
      </c>
      <c r="C134" s="901"/>
      <c r="D134" s="880"/>
      <c r="E134" s="627"/>
      <c r="F134" s="658"/>
      <c r="G134" s="881"/>
      <c r="H134" s="627"/>
      <c r="I134" s="658"/>
    </row>
    <row r="135" spans="1:9" s="645" customFormat="1" ht="15.75" hidden="1" customHeight="1" thickBot="1">
      <c r="A135" s="902" t="s">
        <v>506</v>
      </c>
      <c r="B135" s="903" t="s">
        <v>389</v>
      </c>
      <c r="C135" s="901"/>
      <c r="D135" s="880"/>
      <c r="E135" s="627"/>
      <c r="F135" s="658"/>
      <c r="G135" s="881"/>
      <c r="H135" s="627"/>
      <c r="I135" s="658"/>
    </row>
    <row r="136" spans="1:9" s="645" customFormat="1" ht="15.75" hidden="1" customHeight="1" thickBot="1">
      <c r="A136" s="902" t="s">
        <v>507</v>
      </c>
      <c r="B136" s="903" t="s">
        <v>389</v>
      </c>
      <c r="C136" s="901"/>
      <c r="D136" s="880"/>
      <c r="E136" s="627"/>
      <c r="F136" s="658"/>
      <c r="G136" s="881"/>
      <c r="H136" s="627"/>
      <c r="I136" s="658"/>
    </row>
    <row r="137" spans="1:9" s="652" customFormat="1" ht="15.75" hidden="1" customHeight="1" thickBot="1">
      <c r="A137" s="902" t="s">
        <v>508</v>
      </c>
      <c r="B137" s="903" t="s">
        <v>389</v>
      </c>
      <c r="C137" s="901"/>
      <c r="D137" s="880"/>
      <c r="E137" s="627"/>
      <c r="F137" s="658"/>
      <c r="G137" s="881"/>
      <c r="H137" s="627"/>
      <c r="I137" s="658"/>
    </row>
    <row r="138" spans="1:9" s="652" customFormat="1" ht="15.75" hidden="1" customHeight="1" thickBot="1">
      <c r="A138" s="904" t="s">
        <v>509</v>
      </c>
      <c r="B138" s="905" t="s">
        <v>392</v>
      </c>
      <c r="C138" s="906"/>
      <c r="D138" s="886"/>
      <c r="E138" s="628"/>
      <c r="F138" s="662"/>
      <c r="G138" s="887"/>
      <c r="H138" s="628"/>
      <c r="I138" s="662"/>
    </row>
    <row r="139" spans="1:9" s="652" customFormat="1" ht="30">
      <c r="A139" s="896" t="s">
        <v>180</v>
      </c>
      <c r="B139" s="897" t="s">
        <v>510</v>
      </c>
      <c r="C139" s="898" t="s">
        <v>380</v>
      </c>
      <c r="D139" s="872"/>
      <c r="E139" s="624"/>
      <c r="F139" s="651"/>
      <c r="G139" s="873"/>
      <c r="H139" s="624"/>
      <c r="I139" s="666"/>
    </row>
    <row r="140" spans="1:9" s="645" customFormat="1" ht="15">
      <c r="A140" s="899" t="s">
        <v>181</v>
      </c>
      <c r="B140" s="900" t="s">
        <v>440</v>
      </c>
      <c r="C140" s="901" t="s">
        <v>380</v>
      </c>
      <c r="D140" s="875"/>
      <c r="E140" s="625"/>
      <c r="F140" s="654"/>
      <c r="G140" s="876"/>
      <c r="H140" s="625"/>
      <c r="I140" s="658"/>
    </row>
    <row r="141" spans="1:9" s="645" customFormat="1" ht="27" customHeight="1">
      <c r="A141" s="899" t="s">
        <v>511</v>
      </c>
      <c r="B141" s="900" t="s">
        <v>417</v>
      </c>
      <c r="C141" s="901" t="s">
        <v>380</v>
      </c>
      <c r="D141" s="875"/>
      <c r="E141" s="625"/>
      <c r="F141" s="654"/>
      <c r="G141" s="876"/>
      <c r="H141" s="625"/>
      <c r="I141" s="658"/>
    </row>
    <row r="142" spans="1:9" s="645" customFormat="1" ht="15">
      <c r="A142" s="902" t="s">
        <v>512</v>
      </c>
      <c r="B142" s="903" t="s">
        <v>392</v>
      </c>
      <c r="C142" s="901" t="s">
        <v>401</v>
      </c>
      <c r="D142" s="880"/>
      <c r="E142" s="627"/>
      <c r="F142" s="658"/>
      <c r="G142" s="881"/>
      <c r="H142" s="627"/>
      <c r="I142" s="658"/>
    </row>
    <row r="143" spans="1:9" s="652" customFormat="1" ht="15">
      <c r="A143" s="902" t="s">
        <v>513</v>
      </c>
      <c r="B143" s="903" t="s">
        <v>392</v>
      </c>
      <c r="C143" s="901">
        <v>35</v>
      </c>
      <c r="D143" s="880"/>
      <c r="E143" s="627"/>
      <c r="F143" s="658"/>
      <c r="G143" s="881"/>
      <c r="H143" s="627"/>
      <c r="I143" s="658"/>
    </row>
    <row r="144" spans="1:9" s="645" customFormat="1" ht="15">
      <c r="A144" s="902" t="s">
        <v>514</v>
      </c>
      <c r="B144" s="903" t="s">
        <v>479</v>
      </c>
      <c r="C144" s="901">
        <v>110</v>
      </c>
      <c r="D144" s="880">
        <v>21406335.858922992</v>
      </c>
      <c r="E144" s="627">
        <v>347</v>
      </c>
      <c r="F144" s="658">
        <v>61689728.700066261</v>
      </c>
      <c r="G144" s="881"/>
      <c r="H144" s="627"/>
      <c r="I144" s="658"/>
    </row>
    <row r="145" spans="1:10" s="645" customFormat="1" ht="22.5" customHeight="1">
      <c r="A145" s="899" t="s">
        <v>515</v>
      </c>
      <c r="B145" s="900" t="s">
        <v>429</v>
      </c>
      <c r="C145" s="901" t="s">
        <v>380</v>
      </c>
      <c r="D145" s="875"/>
      <c r="E145" s="625"/>
      <c r="F145" s="654"/>
      <c r="G145" s="876"/>
      <c r="H145" s="625"/>
      <c r="I145" s="658"/>
    </row>
    <row r="146" spans="1:10" s="645" customFormat="1" ht="15">
      <c r="A146" s="902" t="s">
        <v>516</v>
      </c>
      <c r="B146" s="903" t="s">
        <v>392</v>
      </c>
      <c r="C146" s="901" t="s">
        <v>401</v>
      </c>
      <c r="D146" s="880">
        <v>1945023.3763687997</v>
      </c>
      <c r="E146" s="627">
        <v>260</v>
      </c>
      <c r="F146" s="658">
        <v>7480859.1398799988</v>
      </c>
      <c r="G146" s="881">
        <v>1783161.2693647998</v>
      </c>
      <c r="H146" s="627">
        <v>137</v>
      </c>
      <c r="I146" s="658">
        <v>13015775.68879416</v>
      </c>
    </row>
    <row r="147" spans="1:10" s="652" customFormat="1" ht="15">
      <c r="A147" s="902" t="s">
        <v>517</v>
      </c>
      <c r="B147" s="903" t="s">
        <v>392</v>
      </c>
      <c r="C147" s="901">
        <v>35</v>
      </c>
      <c r="D147" s="880"/>
      <c r="E147" s="627"/>
      <c r="F147" s="658"/>
      <c r="G147" s="881"/>
      <c r="H147" s="627"/>
      <c r="I147" s="658"/>
    </row>
    <row r="148" spans="1:10" s="645" customFormat="1" ht="19.5" customHeight="1" thickBot="1">
      <c r="A148" s="904" t="s">
        <v>518</v>
      </c>
      <c r="B148" s="905" t="s">
        <v>392</v>
      </c>
      <c r="C148" s="906">
        <v>110</v>
      </c>
      <c r="D148" s="886"/>
      <c r="E148" s="628"/>
      <c r="F148" s="662"/>
      <c r="G148" s="887"/>
      <c r="H148" s="628"/>
      <c r="I148" s="662"/>
    </row>
    <row r="149" spans="1:10" s="645" customFormat="1" ht="19.5" customHeight="1">
      <c r="A149" s="1437"/>
      <c r="B149" s="1438"/>
      <c r="C149" s="1439"/>
      <c r="D149" s="1440"/>
      <c r="E149" s="1440"/>
      <c r="F149" s="1440"/>
      <c r="G149" s="1440"/>
      <c r="H149" s="1440"/>
      <c r="I149" s="1440"/>
    </row>
    <row r="150" spans="1:10" s="645" customFormat="1" ht="19.5" customHeight="1">
      <c r="A150" s="1437"/>
      <c r="B150" s="1438"/>
      <c r="C150" s="1439"/>
      <c r="D150" s="1440"/>
      <c r="E150" s="1440"/>
      <c r="F150" s="1440"/>
      <c r="G150" s="1440"/>
      <c r="H150" s="585"/>
      <c r="I150" s="1440"/>
    </row>
    <row r="151" spans="1:10" s="922" customFormat="1" ht="15.75">
      <c r="A151" s="1441" t="s">
        <v>200</v>
      </c>
      <c r="B151" s="921"/>
      <c r="C151" s="652"/>
      <c r="D151" s="645"/>
      <c r="E151" s="645"/>
      <c r="F151" s="645"/>
      <c r="G151" s="645"/>
      <c r="H151" s="732" t="s">
        <v>706</v>
      </c>
      <c r="I151" s="645"/>
    </row>
    <row r="152" spans="1:10" s="645" customFormat="1">
      <c r="A152" s="920"/>
      <c r="C152" s="652"/>
    </row>
    <row r="153" spans="1:10" s="652" customFormat="1">
      <c r="A153" s="920"/>
      <c r="B153" s="645"/>
      <c r="D153" s="645"/>
      <c r="E153" s="645"/>
      <c r="F153" s="645"/>
      <c r="G153" s="645"/>
      <c r="H153" s="645"/>
      <c r="I153" s="645"/>
      <c r="J153" s="645"/>
    </row>
    <row r="154" spans="1:10" s="645" customFormat="1">
      <c r="A154" s="920"/>
      <c r="C154" s="652"/>
    </row>
    <row r="155" spans="1:10" s="645" customFormat="1">
      <c r="A155" s="920"/>
      <c r="C155" s="652"/>
    </row>
    <row r="156" spans="1:10" s="645" customFormat="1">
      <c r="A156" s="920"/>
      <c r="C156" s="652"/>
    </row>
    <row r="157" spans="1:10" s="645" customFormat="1">
      <c r="A157" s="920"/>
      <c r="C157" s="652"/>
    </row>
    <row r="158" spans="1:10" s="645" customFormat="1">
      <c r="A158" s="920"/>
      <c r="C158" s="652"/>
    </row>
    <row r="159" spans="1:10" s="645" customFormat="1">
      <c r="A159" s="920"/>
      <c r="C159" s="652"/>
    </row>
    <row r="160" spans="1:10" s="645" customFormat="1">
      <c r="A160" s="920"/>
      <c r="C160" s="652"/>
    </row>
    <row r="161" spans="1:3" s="645" customFormat="1">
      <c r="A161" s="920"/>
      <c r="C161" s="652"/>
    </row>
    <row r="162" spans="1:3" s="645" customFormat="1">
      <c r="A162" s="920"/>
      <c r="C162" s="652"/>
    </row>
    <row r="163" spans="1:3" s="645" customFormat="1">
      <c r="A163" s="920"/>
      <c r="C163" s="652"/>
    </row>
    <row r="164" spans="1:3" s="645" customFormat="1">
      <c r="A164" s="920"/>
      <c r="C164" s="652"/>
    </row>
    <row r="165" spans="1:3" s="645" customFormat="1">
      <c r="A165" s="920"/>
      <c r="C165" s="652"/>
    </row>
    <row r="166" spans="1:3" s="645" customFormat="1">
      <c r="A166" s="920"/>
      <c r="C166" s="652"/>
    </row>
    <row r="167" spans="1:3" s="645" customFormat="1">
      <c r="A167" s="920"/>
      <c r="C167" s="652"/>
    </row>
    <row r="168" spans="1:3" s="645" customFormat="1">
      <c r="A168" s="920"/>
      <c r="C168" s="652"/>
    </row>
    <row r="169" spans="1:3" s="645" customFormat="1">
      <c r="A169" s="920"/>
      <c r="C169" s="652"/>
    </row>
    <row r="170" spans="1:3" s="645" customFormat="1">
      <c r="A170" s="920"/>
      <c r="C170" s="652"/>
    </row>
  </sheetData>
  <mergeCells count="4">
    <mergeCell ref="G4:I4"/>
    <mergeCell ref="A1:I1"/>
    <mergeCell ref="B2:C2"/>
    <mergeCell ref="D4:F4"/>
  </mergeCells>
  <pageMargins left="0.7" right="0.7" top="0.54" bottom="0.34"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11"/>
  <sheetViews>
    <sheetView view="pageBreakPreview" topLeftCell="A166" zoomScale="67" zoomScaleNormal="75" zoomScaleSheetLayoutView="67" workbookViewId="0">
      <selection activeCell="E178" sqref="E178"/>
    </sheetView>
  </sheetViews>
  <sheetFormatPr defaultRowHeight="18.75"/>
  <cols>
    <col min="1" max="1" width="12.28515625" style="282" bestFit="1" customWidth="1"/>
    <col min="2" max="2" width="20.85546875" style="282" customWidth="1"/>
    <col min="3" max="3" width="92" style="283" customWidth="1"/>
    <col min="4" max="4" width="12.42578125" style="334" customWidth="1"/>
    <col min="5" max="5" width="21" style="283" customWidth="1"/>
    <col min="6" max="6" width="21.28515625" style="283" customWidth="1"/>
    <col min="7" max="7" width="31.85546875" style="283" customWidth="1"/>
    <col min="8" max="257" width="9.140625" style="283"/>
    <col min="258" max="258" width="4.85546875" style="283" customWidth="1"/>
    <col min="259" max="259" width="12.28515625" style="283" bestFit="1" customWidth="1"/>
    <col min="260" max="260" width="92" style="283" customWidth="1"/>
    <col min="261" max="261" width="21" style="283" customWidth="1"/>
    <col min="262" max="262" width="21.28515625" style="283" customWidth="1"/>
    <col min="263" max="263" width="31.85546875" style="283" customWidth="1"/>
    <col min="264" max="513" width="9.140625" style="283"/>
    <col min="514" max="514" width="4.85546875" style="283" customWidth="1"/>
    <col min="515" max="515" width="12.28515625" style="283" bestFit="1" customWidth="1"/>
    <col min="516" max="516" width="92" style="283" customWidth="1"/>
    <col min="517" max="517" width="21" style="283" customWidth="1"/>
    <col min="518" max="518" width="21.28515625" style="283" customWidth="1"/>
    <col min="519" max="519" width="31.85546875" style="283" customWidth="1"/>
    <col min="520" max="769" width="9.140625" style="283"/>
    <col min="770" max="770" width="4.85546875" style="283" customWidth="1"/>
    <col min="771" max="771" width="12.28515625" style="283" bestFit="1" customWidth="1"/>
    <col min="772" max="772" width="92" style="283" customWidth="1"/>
    <col min="773" max="773" width="21" style="283" customWidth="1"/>
    <col min="774" max="774" width="21.28515625" style="283" customWidth="1"/>
    <col min="775" max="775" width="31.85546875" style="283" customWidth="1"/>
    <col min="776" max="1025" width="9.140625" style="283"/>
    <col min="1026" max="1026" width="4.85546875" style="283" customWidth="1"/>
    <col min="1027" max="1027" width="12.28515625" style="283" bestFit="1" customWidth="1"/>
    <col min="1028" max="1028" width="92" style="283" customWidth="1"/>
    <col min="1029" max="1029" width="21" style="283" customWidth="1"/>
    <col min="1030" max="1030" width="21.28515625" style="283" customWidth="1"/>
    <col min="1031" max="1031" width="31.85546875" style="283" customWidth="1"/>
    <col min="1032" max="1281" width="9.140625" style="283"/>
    <col min="1282" max="1282" width="4.85546875" style="283" customWidth="1"/>
    <col min="1283" max="1283" width="12.28515625" style="283" bestFit="1" customWidth="1"/>
    <col min="1284" max="1284" width="92" style="283" customWidth="1"/>
    <col min="1285" max="1285" width="21" style="283" customWidth="1"/>
    <col min="1286" max="1286" width="21.28515625" style="283" customWidth="1"/>
    <col min="1287" max="1287" width="31.85546875" style="283" customWidth="1"/>
    <col min="1288" max="1537" width="9.140625" style="283"/>
    <col min="1538" max="1538" width="4.85546875" style="283" customWidth="1"/>
    <col min="1539" max="1539" width="12.28515625" style="283" bestFit="1" customWidth="1"/>
    <col min="1540" max="1540" width="92" style="283" customWidth="1"/>
    <col min="1541" max="1541" width="21" style="283" customWidth="1"/>
    <col min="1542" max="1542" width="21.28515625" style="283" customWidth="1"/>
    <col min="1543" max="1543" width="31.85546875" style="283" customWidth="1"/>
    <col min="1544" max="1793" width="9.140625" style="283"/>
    <col min="1794" max="1794" width="4.85546875" style="283" customWidth="1"/>
    <col min="1795" max="1795" width="12.28515625" style="283" bestFit="1" customWidth="1"/>
    <col min="1796" max="1796" width="92" style="283" customWidth="1"/>
    <col min="1797" max="1797" width="21" style="283" customWidth="1"/>
    <col min="1798" max="1798" width="21.28515625" style="283" customWidth="1"/>
    <col min="1799" max="1799" width="31.85546875" style="283" customWidth="1"/>
    <col min="1800" max="2049" width="9.140625" style="283"/>
    <col min="2050" max="2050" width="4.85546875" style="283" customWidth="1"/>
    <col min="2051" max="2051" width="12.28515625" style="283" bestFit="1" customWidth="1"/>
    <col min="2052" max="2052" width="92" style="283" customWidth="1"/>
    <col min="2053" max="2053" width="21" style="283" customWidth="1"/>
    <col min="2054" max="2054" width="21.28515625" style="283" customWidth="1"/>
    <col min="2055" max="2055" width="31.85546875" style="283" customWidth="1"/>
    <col min="2056" max="2305" width="9.140625" style="283"/>
    <col min="2306" max="2306" width="4.85546875" style="283" customWidth="1"/>
    <col min="2307" max="2307" width="12.28515625" style="283" bestFit="1" customWidth="1"/>
    <col min="2308" max="2308" width="92" style="283" customWidth="1"/>
    <col min="2309" max="2309" width="21" style="283" customWidth="1"/>
    <col min="2310" max="2310" width="21.28515625" style="283" customWidth="1"/>
    <col min="2311" max="2311" width="31.85546875" style="283" customWidth="1"/>
    <col min="2312" max="2561" width="9.140625" style="283"/>
    <col min="2562" max="2562" width="4.85546875" style="283" customWidth="1"/>
    <col min="2563" max="2563" width="12.28515625" style="283" bestFit="1" customWidth="1"/>
    <col min="2564" max="2564" width="92" style="283" customWidth="1"/>
    <col min="2565" max="2565" width="21" style="283" customWidth="1"/>
    <col min="2566" max="2566" width="21.28515625" style="283" customWidth="1"/>
    <col min="2567" max="2567" width="31.85546875" style="283" customWidth="1"/>
    <col min="2568" max="2817" width="9.140625" style="283"/>
    <col min="2818" max="2818" width="4.85546875" style="283" customWidth="1"/>
    <col min="2819" max="2819" width="12.28515625" style="283" bestFit="1" customWidth="1"/>
    <col min="2820" max="2820" width="92" style="283" customWidth="1"/>
    <col min="2821" max="2821" width="21" style="283" customWidth="1"/>
    <col min="2822" max="2822" width="21.28515625" style="283" customWidth="1"/>
    <col min="2823" max="2823" width="31.85546875" style="283" customWidth="1"/>
    <col min="2824" max="3073" width="9.140625" style="283"/>
    <col min="3074" max="3074" width="4.85546875" style="283" customWidth="1"/>
    <col min="3075" max="3075" width="12.28515625" style="283" bestFit="1" customWidth="1"/>
    <col min="3076" max="3076" width="92" style="283" customWidth="1"/>
    <col min="3077" max="3077" width="21" style="283" customWidth="1"/>
    <col min="3078" max="3078" width="21.28515625" style="283" customWidth="1"/>
    <col min="3079" max="3079" width="31.85546875" style="283" customWidth="1"/>
    <col min="3080" max="3329" width="9.140625" style="283"/>
    <col min="3330" max="3330" width="4.85546875" style="283" customWidth="1"/>
    <col min="3331" max="3331" width="12.28515625" style="283" bestFit="1" customWidth="1"/>
    <col min="3332" max="3332" width="92" style="283" customWidth="1"/>
    <col min="3333" max="3333" width="21" style="283" customWidth="1"/>
    <col min="3334" max="3334" width="21.28515625" style="283" customWidth="1"/>
    <col min="3335" max="3335" width="31.85546875" style="283" customWidth="1"/>
    <col min="3336" max="3585" width="9.140625" style="283"/>
    <col min="3586" max="3586" width="4.85546875" style="283" customWidth="1"/>
    <col min="3587" max="3587" width="12.28515625" style="283" bestFit="1" customWidth="1"/>
    <col min="3588" max="3588" width="92" style="283" customWidth="1"/>
    <col min="3589" max="3589" width="21" style="283" customWidth="1"/>
    <col min="3590" max="3590" width="21.28515625" style="283" customWidth="1"/>
    <col min="3591" max="3591" width="31.85546875" style="283" customWidth="1"/>
    <col min="3592" max="3841" width="9.140625" style="283"/>
    <col min="3842" max="3842" width="4.85546875" style="283" customWidth="1"/>
    <col min="3843" max="3843" width="12.28515625" style="283" bestFit="1" customWidth="1"/>
    <col min="3844" max="3844" width="92" style="283" customWidth="1"/>
    <col min="3845" max="3845" width="21" style="283" customWidth="1"/>
    <col min="3846" max="3846" width="21.28515625" style="283" customWidth="1"/>
    <col min="3847" max="3847" width="31.85546875" style="283" customWidth="1"/>
    <col min="3848" max="4097" width="9.140625" style="283"/>
    <col min="4098" max="4098" width="4.85546875" style="283" customWidth="1"/>
    <col min="4099" max="4099" width="12.28515625" style="283" bestFit="1" customWidth="1"/>
    <col min="4100" max="4100" width="92" style="283" customWidth="1"/>
    <col min="4101" max="4101" width="21" style="283" customWidth="1"/>
    <col min="4102" max="4102" width="21.28515625" style="283" customWidth="1"/>
    <col min="4103" max="4103" width="31.85546875" style="283" customWidth="1"/>
    <col min="4104" max="4353" width="9.140625" style="283"/>
    <col min="4354" max="4354" width="4.85546875" style="283" customWidth="1"/>
    <col min="4355" max="4355" width="12.28515625" style="283" bestFit="1" customWidth="1"/>
    <col min="4356" max="4356" width="92" style="283" customWidth="1"/>
    <col min="4357" max="4357" width="21" style="283" customWidth="1"/>
    <col min="4358" max="4358" width="21.28515625" style="283" customWidth="1"/>
    <col min="4359" max="4359" width="31.85546875" style="283" customWidth="1"/>
    <col min="4360" max="4609" width="9.140625" style="283"/>
    <col min="4610" max="4610" width="4.85546875" style="283" customWidth="1"/>
    <col min="4611" max="4611" width="12.28515625" style="283" bestFit="1" customWidth="1"/>
    <col min="4612" max="4612" width="92" style="283" customWidth="1"/>
    <col min="4613" max="4613" width="21" style="283" customWidth="1"/>
    <col min="4614" max="4614" width="21.28515625" style="283" customWidth="1"/>
    <col min="4615" max="4615" width="31.85546875" style="283" customWidth="1"/>
    <col min="4616" max="4865" width="9.140625" style="283"/>
    <col min="4866" max="4866" width="4.85546875" style="283" customWidth="1"/>
    <col min="4867" max="4867" width="12.28515625" style="283" bestFit="1" customWidth="1"/>
    <col min="4868" max="4868" width="92" style="283" customWidth="1"/>
    <col min="4869" max="4869" width="21" style="283" customWidth="1"/>
    <col min="4870" max="4870" width="21.28515625" style="283" customWidth="1"/>
    <col min="4871" max="4871" width="31.85546875" style="283" customWidth="1"/>
    <col min="4872" max="5121" width="9.140625" style="283"/>
    <col min="5122" max="5122" width="4.85546875" style="283" customWidth="1"/>
    <col min="5123" max="5123" width="12.28515625" style="283" bestFit="1" customWidth="1"/>
    <col min="5124" max="5124" width="92" style="283" customWidth="1"/>
    <col min="5125" max="5125" width="21" style="283" customWidth="1"/>
    <col min="5126" max="5126" width="21.28515625" style="283" customWidth="1"/>
    <col min="5127" max="5127" width="31.85546875" style="283" customWidth="1"/>
    <col min="5128" max="5377" width="9.140625" style="283"/>
    <col min="5378" max="5378" width="4.85546875" style="283" customWidth="1"/>
    <col min="5379" max="5379" width="12.28515625" style="283" bestFit="1" customWidth="1"/>
    <col min="5380" max="5380" width="92" style="283" customWidth="1"/>
    <col min="5381" max="5381" width="21" style="283" customWidth="1"/>
    <col min="5382" max="5382" width="21.28515625" style="283" customWidth="1"/>
    <col min="5383" max="5383" width="31.85546875" style="283" customWidth="1"/>
    <col min="5384" max="5633" width="9.140625" style="283"/>
    <col min="5634" max="5634" width="4.85546875" style="283" customWidth="1"/>
    <col min="5635" max="5635" width="12.28515625" style="283" bestFit="1" customWidth="1"/>
    <col min="5636" max="5636" width="92" style="283" customWidth="1"/>
    <col min="5637" max="5637" width="21" style="283" customWidth="1"/>
    <col min="5638" max="5638" width="21.28515625" style="283" customWidth="1"/>
    <col min="5639" max="5639" width="31.85546875" style="283" customWidth="1"/>
    <col min="5640" max="5889" width="9.140625" style="283"/>
    <col min="5890" max="5890" width="4.85546875" style="283" customWidth="1"/>
    <col min="5891" max="5891" width="12.28515625" style="283" bestFit="1" customWidth="1"/>
    <col min="5892" max="5892" width="92" style="283" customWidth="1"/>
    <col min="5893" max="5893" width="21" style="283" customWidth="1"/>
    <col min="5894" max="5894" width="21.28515625" style="283" customWidth="1"/>
    <col min="5895" max="5895" width="31.85546875" style="283" customWidth="1"/>
    <col min="5896" max="6145" width="9.140625" style="283"/>
    <col min="6146" max="6146" width="4.85546875" style="283" customWidth="1"/>
    <col min="6147" max="6147" width="12.28515625" style="283" bestFit="1" customWidth="1"/>
    <col min="6148" max="6148" width="92" style="283" customWidth="1"/>
    <col min="6149" max="6149" width="21" style="283" customWidth="1"/>
    <col min="6150" max="6150" width="21.28515625" style="283" customWidth="1"/>
    <col min="6151" max="6151" width="31.85546875" style="283" customWidth="1"/>
    <col min="6152" max="6401" width="9.140625" style="283"/>
    <col min="6402" max="6402" width="4.85546875" style="283" customWidth="1"/>
    <col min="6403" max="6403" width="12.28515625" style="283" bestFit="1" customWidth="1"/>
    <col min="6404" max="6404" width="92" style="283" customWidth="1"/>
    <col min="6405" max="6405" width="21" style="283" customWidth="1"/>
    <col min="6406" max="6406" width="21.28515625" style="283" customWidth="1"/>
    <col min="6407" max="6407" width="31.85546875" style="283" customWidth="1"/>
    <col min="6408" max="6657" width="9.140625" style="283"/>
    <col min="6658" max="6658" width="4.85546875" style="283" customWidth="1"/>
    <col min="6659" max="6659" width="12.28515625" style="283" bestFit="1" customWidth="1"/>
    <col min="6660" max="6660" width="92" style="283" customWidth="1"/>
    <col min="6661" max="6661" width="21" style="283" customWidth="1"/>
    <col min="6662" max="6662" width="21.28515625" style="283" customWidth="1"/>
    <col min="6663" max="6663" width="31.85546875" style="283" customWidth="1"/>
    <col min="6664" max="6913" width="9.140625" style="283"/>
    <col min="6914" max="6914" width="4.85546875" style="283" customWidth="1"/>
    <col min="6915" max="6915" width="12.28515625" style="283" bestFit="1" customWidth="1"/>
    <col min="6916" max="6916" width="92" style="283" customWidth="1"/>
    <col min="6917" max="6917" width="21" style="283" customWidth="1"/>
    <col min="6918" max="6918" width="21.28515625" style="283" customWidth="1"/>
    <col min="6919" max="6919" width="31.85546875" style="283" customWidth="1"/>
    <col min="6920" max="7169" width="9.140625" style="283"/>
    <col min="7170" max="7170" width="4.85546875" style="283" customWidth="1"/>
    <col min="7171" max="7171" width="12.28515625" style="283" bestFit="1" customWidth="1"/>
    <col min="7172" max="7172" width="92" style="283" customWidth="1"/>
    <col min="7173" max="7173" width="21" style="283" customWidth="1"/>
    <col min="7174" max="7174" width="21.28515625" style="283" customWidth="1"/>
    <col min="7175" max="7175" width="31.85546875" style="283" customWidth="1"/>
    <col min="7176" max="7425" width="9.140625" style="283"/>
    <col min="7426" max="7426" width="4.85546875" style="283" customWidth="1"/>
    <col min="7427" max="7427" width="12.28515625" style="283" bestFit="1" customWidth="1"/>
    <col min="7428" max="7428" width="92" style="283" customWidth="1"/>
    <col min="7429" max="7429" width="21" style="283" customWidth="1"/>
    <col min="7430" max="7430" width="21.28515625" style="283" customWidth="1"/>
    <col min="7431" max="7431" width="31.85546875" style="283" customWidth="1"/>
    <col min="7432" max="7681" width="9.140625" style="283"/>
    <col min="7682" max="7682" width="4.85546875" style="283" customWidth="1"/>
    <col min="7683" max="7683" width="12.28515625" style="283" bestFit="1" customWidth="1"/>
    <col min="7684" max="7684" width="92" style="283" customWidth="1"/>
    <col min="7685" max="7685" width="21" style="283" customWidth="1"/>
    <col min="7686" max="7686" width="21.28515625" style="283" customWidth="1"/>
    <col min="7687" max="7687" width="31.85546875" style="283" customWidth="1"/>
    <col min="7688" max="7937" width="9.140625" style="283"/>
    <col min="7938" max="7938" width="4.85546875" style="283" customWidth="1"/>
    <col min="7939" max="7939" width="12.28515625" style="283" bestFit="1" customWidth="1"/>
    <col min="7940" max="7940" width="92" style="283" customWidth="1"/>
    <col min="7941" max="7941" width="21" style="283" customWidth="1"/>
    <col min="7942" max="7942" width="21.28515625" style="283" customWidth="1"/>
    <col min="7943" max="7943" width="31.85546875" style="283" customWidth="1"/>
    <col min="7944" max="8193" width="9.140625" style="283"/>
    <col min="8194" max="8194" width="4.85546875" style="283" customWidth="1"/>
    <col min="8195" max="8195" width="12.28515625" style="283" bestFit="1" customWidth="1"/>
    <col min="8196" max="8196" width="92" style="283" customWidth="1"/>
    <col min="8197" max="8197" width="21" style="283" customWidth="1"/>
    <col min="8198" max="8198" width="21.28515625" style="283" customWidth="1"/>
    <col min="8199" max="8199" width="31.85546875" style="283" customWidth="1"/>
    <col min="8200" max="8449" width="9.140625" style="283"/>
    <col min="8450" max="8450" width="4.85546875" style="283" customWidth="1"/>
    <col min="8451" max="8451" width="12.28515625" style="283" bestFit="1" customWidth="1"/>
    <col min="8452" max="8452" width="92" style="283" customWidth="1"/>
    <col min="8453" max="8453" width="21" style="283" customWidth="1"/>
    <col min="8454" max="8454" width="21.28515625" style="283" customWidth="1"/>
    <col min="8455" max="8455" width="31.85546875" style="283" customWidth="1"/>
    <col min="8456" max="8705" width="9.140625" style="283"/>
    <col min="8706" max="8706" width="4.85546875" style="283" customWidth="1"/>
    <col min="8707" max="8707" width="12.28515625" style="283" bestFit="1" customWidth="1"/>
    <col min="8708" max="8708" width="92" style="283" customWidth="1"/>
    <col min="8709" max="8709" width="21" style="283" customWidth="1"/>
    <col min="8710" max="8710" width="21.28515625" style="283" customWidth="1"/>
    <col min="8711" max="8711" width="31.85546875" style="283" customWidth="1"/>
    <col min="8712" max="8961" width="9.140625" style="283"/>
    <col min="8962" max="8962" width="4.85546875" style="283" customWidth="1"/>
    <col min="8963" max="8963" width="12.28515625" style="283" bestFit="1" customWidth="1"/>
    <col min="8964" max="8964" width="92" style="283" customWidth="1"/>
    <col min="8965" max="8965" width="21" style="283" customWidth="1"/>
    <col min="8966" max="8966" width="21.28515625" style="283" customWidth="1"/>
    <col min="8967" max="8967" width="31.85546875" style="283" customWidth="1"/>
    <col min="8968" max="9217" width="9.140625" style="283"/>
    <col min="9218" max="9218" width="4.85546875" style="283" customWidth="1"/>
    <col min="9219" max="9219" width="12.28515625" style="283" bestFit="1" customWidth="1"/>
    <col min="9220" max="9220" width="92" style="283" customWidth="1"/>
    <col min="9221" max="9221" width="21" style="283" customWidth="1"/>
    <col min="9222" max="9222" width="21.28515625" style="283" customWidth="1"/>
    <col min="9223" max="9223" width="31.85546875" style="283" customWidth="1"/>
    <col min="9224" max="9473" width="9.140625" style="283"/>
    <col min="9474" max="9474" width="4.85546875" style="283" customWidth="1"/>
    <col min="9475" max="9475" width="12.28515625" style="283" bestFit="1" customWidth="1"/>
    <col min="9476" max="9476" width="92" style="283" customWidth="1"/>
    <col min="9477" max="9477" width="21" style="283" customWidth="1"/>
    <col min="9478" max="9478" width="21.28515625" style="283" customWidth="1"/>
    <col min="9479" max="9479" width="31.85546875" style="283" customWidth="1"/>
    <col min="9480" max="9729" width="9.140625" style="283"/>
    <col min="9730" max="9730" width="4.85546875" style="283" customWidth="1"/>
    <col min="9731" max="9731" width="12.28515625" style="283" bestFit="1" customWidth="1"/>
    <col min="9732" max="9732" width="92" style="283" customWidth="1"/>
    <col min="9733" max="9733" width="21" style="283" customWidth="1"/>
    <col min="9734" max="9734" width="21.28515625" style="283" customWidth="1"/>
    <col min="9735" max="9735" width="31.85546875" style="283" customWidth="1"/>
    <col min="9736" max="9985" width="9.140625" style="283"/>
    <col min="9986" max="9986" width="4.85546875" style="283" customWidth="1"/>
    <col min="9987" max="9987" width="12.28515625" style="283" bestFit="1" customWidth="1"/>
    <col min="9988" max="9988" width="92" style="283" customWidth="1"/>
    <col min="9989" max="9989" width="21" style="283" customWidth="1"/>
    <col min="9990" max="9990" width="21.28515625" style="283" customWidth="1"/>
    <col min="9991" max="9991" width="31.85546875" style="283" customWidth="1"/>
    <col min="9992" max="10241" width="9.140625" style="283"/>
    <col min="10242" max="10242" width="4.85546875" style="283" customWidth="1"/>
    <col min="10243" max="10243" width="12.28515625" style="283" bestFit="1" customWidth="1"/>
    <col min="10244" max="10244" width="92" style="283" customWidth="1"/>
    <col min="10245" max="10245" width="21" style="283" customWidth="1"/>
    <col min="10246" max="10246" width="21.28515625" style="283" customWidth="1"/>
    <col min="10247" max="10247" width="31.85546875" style="283" customWidth="1"/>
    <col min="10248" max="10497" width="9.140625" style="283"/>
    <col min="10498" max="10498" width="4.85546875" style="283" customWidth="1"/>
    <col min="10499" max="10499" width="12.28515625" style="283" bestFit="1" customWidth="1"/>
    <col min="10500" max="10500" width="92" style="283" customWidth="1"/>
    <col min="10501" max="10501" width="21" style="283" customWidth="1"/>
    <col min="10502" max="10502" width="21.28515625" style="283" customWidth="1"/>
    <col min="10503" max="10503" width="31.85546875" style="283" customWidth="1"/>
    <col min="10504" max="10753" width="9.140625" style="283"/>
    <col min="10754" max="10754" width="4.85546875" style="283" customWidth="1"/>
    <col min="10755" max="10755" width="12.28515625" style="283" bestFit="1" customWidth="1"/>
    <col min="10756" max="10756" width="92" style="283" customWidth="1"/>
    <col min="10757" max="10757" width="21" style="283" customWidth="1"/>
    <col min="10758" max="10758" width="21.28515625" style="283" customWidth="1"/>
    <col min="10759" max="10759" width="31.85546875" style="283" customWidth="1"/>
    <col min="10760" max="11009" width="9.140625" style="283"/>
    <col min="11010" max="11010" width="4.85546875" style="283" customWidth="1"/>
    <col min="11011" max="11011" width="12.28515625" style="283" bestFit="1" customWidth="1"/>
    <col min="11012" max="11012" width="92" style="283" customWidth="1"/>
    <col min="11013" max="11013" width="21" style="283" customWidth="1"/>
    <col min="11014" max="11014" width="21.28515625" style="283" customWidth="1"/>
    <col min="11015" max="11015" width="31.85546875" style="283" customWidth="1"/>
    <col min="11016" max="11265" width="9.140625" style="283"/>
    <col min="11266" max="11266" width="4.85546875" style="283" customWidth="1"/>
    <col min="11267" max="11267" width="12.28515625" style="283" bestFit="1" customWidth="1"/>
    <col min="11268" max="11268" width="92" style="283" customWidth="1"/>
    <col min="11269" max="11269" width="21" style="283" customWidth="1"/>
    <col min="11270" max="11270" width="21.28515625" style="283" customWidth="1"/>
    <col min="11271" max="11271" width="31.85546875" style="283" customWidth="1"/>
    <col min="11272" max="11521" width="9.140625" style="283"/>
    <col min="11522" max="11522" width="4.85546875" style="283" customWidth="1"/>
    <col min="11523" max="11523" width="12.28515625" style="283" bestFit="1" customWidth="1"/>
    <col min="11524" max="11524" width="92" style="283" customWidth="1"/>
    <col min="11525" max="11525" width="21" style="283" customWidth="1"/>
    <col min="11526" max="11526" width="21.28515625" style="283" customWidth="1"/>
    <col min="11527" max="11527" width="31.85546875" style="283" customWidth="1"/>
    <col min="11528" max="11777" width="9.140625" style="283"/>
    <col min="11778" max="11778" width="4.85546875" style="283" customWidth="1"/>
    <col min="11779" max="11779" width="12.28515625" style="283" bestFit="1" customWidth="1"/>
    <col min="11780" max="11780" width="92" style="283" customWidth="1"/>
    <col min="11781" max="11781" width="21" style="283" customWidth="1"/>
    <col min="11782" max="11782" width="21.28515625" style="283" customWidth="1"/>
    <col min="11783" max="11783" width="31.85546875" style="283" customWidth="1"/>
    <col min="11784" max="12033" width="9.140625" style="283"/>
    <col min="12034" max="12034" width="4.85546875" style="283" customWidth="1"/>
    <col min="12035" max="12035" width="12.28515625" style="283" bestFit="1" customWidth="1"/>
    <col min="12036" max="12036" width="92" style="283" customWidth="1"/>
    <col min="12037" max="12037" width="21" style="283" customWidth="1"/>
    <col min="12038" max="12038" width="21.28515625" style="283" customWidth="1"/>
    <col min="12039" max="12039" width="31.85546875" style="283" customWidth="1"/>
    <col min="12040" max="12289" width="9.140625" style="283"/>
    <col min="12290" max="12290" width="4.85546875" style="283" customWidth="1"/>
    <col min="12291" max="12291" width="12.28515625" style="283" bestFit="1" customWidth="1"/>
    <col min="12292" max="12292" width="92" style="283" customWidth="1"/>
    <col min="12293" max="12293" width="21" style="283" customWidth="1"/>
    <col min="12294" max="12294" width="21.28515625" style="283" customWidth="1"/>
    <col min="12295" max="12295" width="31.85546875" style="283" customWidth="1"/>
    <col min="12296" max="12545" width="9.140625" style="283"/>
    <col min="12546" max="12546" width="4.85546875" style="283" customWidth="1"/>
    <col min="12547" max="12547" width="12.28515625" style="283" bestFit="1" customWidth="1"/>
    <col min="12548" max="12548" width="92" style="283" customWidth="1"/>
    <col min="12549" max="12549" width="21" style="283" customWidth="1"/>
    <col min="12550" max="12550" width="21.28515625" style="283" customWidth="1"/>
    <col min="12551" max="12551" width="31.85546875" style="283" customWidth="1"/>
    <col min="12552" max="12801" width="9.140625" style="283"/>
    <col min="12802" max="12802" width="4.85546875" style="283" customWidth="1"/>
    <col min="12803" max="12803" width="12.28515625" style="283" bestFit="1" customWidth="1"/>
    <col min="12804" max="12804" width="92" style="283" customWidth="1"/>
    <col min="12805" max="12805" width="21" style="283" customWidth="1"/>
    <col min="12806" max="12806" width="21.28515625" style="283" customWidth="1"/>
    <col min="12807" max="12807" width="31.85546875" style="283" customWidth="1"/>
    <col min="12808" max="13057" width="9.140625" style="283"/>
    <col min="13058" max="13058" width="4.85546875" style="283" customWidth="1"/>
    <col min="13059" max="13059" width="12.28515625" style="283" bestFit="1" customWidth="1"/>
    <col min="13060" max="13060" width="92" style="283" customWidth="1"/>
    <col min="13061" max="13061" width="21" style="283" customWidth="1"/>
    <col min="13062" max="13062" width="21.28515625" style="283" customWidth="1"/>
    <col min="13063" max="13063" width="31.85546875" style="283" customWidth="1"/>
    <col min="13064" max="13313" width="9.140625" style="283"/>
    <col min="13314" max="13314" width="4.85546875" style="283" customWidth="1"/>
    <col min="13315" max="13315" width="12.28515625" style="283" bestFit="1" customWidth="1"/>
    <col min="13316" max="13316" width="92" style="283" customWidth="1"/>
    <col min="13317" max="13317" width="21" style="283" customWidth="1"/>
    <col min="13318" max="13318" width="21.28515625" style="283" customWidth="1"/>
    <col min="13319" max="13319" width="31.85546875" style="283" customWidth="1"/>
    <col min="13320" max="13569" width="9.140625" style="283"/>
    <col min="13570" max="13570" width="4.85546875" style="283" customWidth="1"/>
    <col min="13571" max="13571" width="12.28515625" style="283" bestFit="1" customWidth="1"/>
    <col min="13572" max="13572" width="92" style="283" customWidth="1"/>
    <col min="13573" max="13573" width="21" style="283" customWidth="1"/>
    <col min="13574" max="13574" width="21.28515625" style="283" customWidth="1"/>
    <col min="13575" max="13575" width="31.85546875" style="283" customWidth="1"/>
    <col min="13576" max="13825" width="9.140625" style="283"/>
    <col min="13826" max="13826" width="4.85546875" style="283" customWidth="1"/>
    <col min="13827" max="13827" width="12.28515625" style="283" bestFit="1" customWidth="1"/>
    <col min="13828" max="13828" width="92" style="283" customWidth="1"/>
    <col min="13829" max="13829" width="21" style="283" customWidth="1"/>
    <col min="13830" max="13830" width="21.28515625" style="283" customWidth="1"/>
    <col min="13831" max="13831" width="31.85546875" style="283" customWidth="1"/>
    <col min="13832" max="14081" width="9.140625" style="283"/>
    <col min="14082" max="14082" width="4.85546875" style="283" customWidth="1"/>
    <col min="14083" max="14083" width="12.28515625" style="283" bestFit="1" customWidth="1"/>
    <col min="14084" max="14084" width="92" style="283" customWidth="1"/>
    <col min="14085" max="14085" width="21" style="283" customWidth="1"/>
    <col min="14086" max="14086" width="21.28515625" style="283" customWidth="1"/>
    <col min="14087" max="14087" width="31.85546875" style="283" customWidth="1"/>
    <col min="14088" max="14337" width="9.140625" style="283"/>
    <col min="14338" max="14338" width="4.85546875" style="283" customWidth="1"/>
    <col min="14339" max="14339" width="12.28515625" style="283" bestFit="1" customWidth="1"/>
    <col min="14340" max="14340" width="92" style="283" customWidth="1"/>
    <col min="14341" max="14341" width="21" style="283" customWidth="1"/>
    <col min="14342" max="14342" width="21.28515625" style="283" customWidth="1"/>
    <col min="14343" max="14343" width="31.85546875" style="283" customWidth="1"/>
    <col min="14344" max="14593" width="9.140625" style="283"/>
    <col min="14594" max="14594" width="4.85546875" style="283" customWidth="1"/>
    <col min="14595" max="14595" width="12.28515625" style="283" bestFit="1" customWidth="1"/>
    <col min="14596" max="14596" width="92" style="283" customWidth="1"/>
    <col min="14597" max="14597" width="21" style="283" customWidth="1"/>
    <col min="14598" max="14598" width="21.28515625" style="283" customWidth="1"/>
    <col min="14599" max="14599" width="31.85546875" style="283" customWidth="1"/>
    <col min="14600" max="14849" width="9.140625" style="283"/>
    <col min="14850" max="14850" width="4.85546875" style="283" customWidth="1"/>
    <col min="14851" max="14851" width="12.28515625" style="283" bestFit="1" customWidth="1"/>
    <col min="14852" max="14852" width="92" style="283" customWidth="1"/>
    <col min="14853" max="14853" width="21" style="283" customWidth="1"/>
    <col min="14854" max="14854" width="21.28515625" style="283" customWidth="1"/>
    <col min="14855" max="14855" width="31.85546875" style="283" customWidth="1"/>
    <col min="14856" max="15105" width="9.140625" style="283"/>
    <col min="15106" max="15106" width="4.85546875" style="283" customWidth="1"/>
    <col min="15107" max="15107" width="12.28515625" style="283" bestFit="1" customWidth="1"/>
    <col min="15108" max="15108" width="92" style="283" customWidth="1"/>
    <col min="15109" max="15109" width="21" style="283" customWidth="1"/>
    <col min="15110" max="15110" width="21.28515625" style="283" customWidth="1"/>
    <col min="15111" max="15111" width="31.85546875" style="283" customWidth="1"/>
    <col min="15112" max="15361" width="9.140625" style="283"/>
    <col min="15362" max="15362" width="4.85546875" style="283" customWidth="1"/>
    <col min="15363" max="15363" width="12.28515625" style="283" bestFit="1" customWidth="1"/>
    <col min="15364" max="15364" width="92" style="283" customWidth="1"/>
    <col min="15365" max="15365" width="21" style="283" customWidth="1"/>
    <col min="15366" max="15366" width="21.28515625" style="283" customWidth="1"/>
    <col min="15367" max="15367" width="31.85546875" style="283" customWidth="1"/>
    <col min="15368" max="15617" width="9.140625" style="283"/>
    <col min="15618" max="15618" width="4.85546875" style="283" customWidth="1"/>
    <col min="15619" max="15619" width="12.28515625" style="283" bestFit="1" customWidth="1"/>
    <col min="15620" max="15620" width="92" style="283" customWidth="1"/>
    <col min="15621" max="15621" width="21" style="283" customWidth="1"/>
    <col min="15622" max="15622" width="21.28515625" style="283" customWidth="1"/>
    <col min="15623" max="15623" width="31.85546875" style="283" customWidth="1"/>
    <col min="15624" max="15873" width="9.140625" style="283"/>
    <col min="15874" max="15874" width="4.85546875" style="283" customWidth="1"/>
    <col min="15875" max="15875" width="12.28515625" style="283" bestFit="1" customWidth="1"/>
    <col min="15876" max="15876" width="92" style="283" customWidth="1"/>
    <col min="15877" max="15877" width="21" style="283" customWidth="1"/>
    <col min="15878" max="15878" width="21.28515625" style="283" customWidth="1"/>
    <col min="15879" max="15879" width="31.85546875" style="283" customWidth="1"/>
    <col min="15880" max="16129" width="9.140625" style="283"/>
    <col min="16130" max="16130" width="4.85546875" style="283" customWidth="1"/>
    <col min="16131" max="16131" width="12.28515625" style="283" bestFit="1" customWidth="1"/>
    <col min="16132" max="16132" width="92" style="283" customWidth="1"/>
    <col min="16133" max="16133" width="21" style="283" customWidth="1"/>
    <col min="16134" max="16134" width="21.28515625" style="283" customWidth="1"/>
    <col min="16135" max="16135" width="31.85546875" style="283" customWidth="1"/>
    <col min="16136" max="16384" width="9.140625" style="283"/>
  </cols>
  <sheetData>
    <row r="1" spans="1:7" ht="76.150000000000006" customHeight="1">
      <c r="F1" s="284"/>
      <c r="G1" s="285" t="s">
        <v>589</v>
      </c>
    </row>
    <row r="2" spans="1:7">
      <c r="F2" s="284"/>
      <c r="G2" s="284"/>
    </row>
    <row r="3" spans="1:7" ht="40.5" customHeight="1">
      <c r="C3" s="964" t="s">
        <v>364</v>
      </c>
      <c r="D3" s="964"/>
      <c r="E3" s="964"/>
      <c r="F3" s="964"/>
      <c r="G3" s="964"/>
    </row>
    <row r="4" spans="1:7" ht="43.5" customHeight="1">
      <c r="C4" s="965" t="s">
        <v>377</v>
      </c>
      <c r="D4" s="965"/>
      <c r="E4" s="965"/>
      <c r="F4" s="965"/>
      <c r="G4" s="965"/>
    </row>
    <row r="5" spans="1:7" ht="43.5" customHeight="1">
      <c r="C5" s="502" t="s">
        <v>577</v>
      </c>
      <c r="D5" s="286"/>
      <c r="E5" s="286"/>
      <c r="F5" s="286"/>
      <c r="G5" s="286"/>
    </row>
    <row r="6" spans="1:7" ht="19.5" thickBot="1">
      <c r="C6" s="287"/>
      <c r="D6" s="335"/>
      <c r="E6" s="287"/>
      <c r="F6" s="287"/>
      <c r="G6" s="287"/>
    </row>
    <row r="7" spans="1:7" ht="75" customHeight="1" thickBot="1">
      <c r="A7" s="288" t="s">
        <v>365</v>
      </c>
      <c r="B7" s="288" t="s">
        <v>835</v>
      </c>
      <c r="C7" s="966" t="s">
        <v>366</v>
      </c>
      <c r="D7" s="967"/>
      <c r="E7" s="288" t="s">
        <v>367</v>
      </c>
      <c r="F7" s="288" t="s">
        <v>368</v>
      </c>
      <c r="G7" s="288" t="s">
        <v>376</v>
      </c>
    </row>
    <row r="8" spans="1:7" ht="82.5" customHeight="1" thickBot="1">
      <c r="A8" s="305" t="s">
        <v>14</v>
      </c>
      <c r="B8" s="305"/>
      <c r="C8" s="306" t="s">
        <v>369</v>
      </c>
      <c r="D8" s="336"/>
      <c r="E8" s="307">
        <f>'прил.3 стандарт С1 2019 кВт'!D12</f>
        <v>46573993.853118367</v>
      </c>
      <c r="F8" s="308">
        <f>'прил.3 стандарт С1 2019 кВт'!F12</f>
        <v>136886</v>
      </c>
      <c r="G8" s="308"/>
    </row>
    <row r="9" spans="1:7">
      <c r="A9" s="290"/>
      <c r="B9" s="290"/>
      <c r="C9" s="291" t="s">
        <v>370</v>
      </c>
      <c r="D9" s="301"/>
      <c r="E9" s="292"/>
      <c r="F9" s="292"/>
      <c r="G9" s="354"/>
    </row>
    <row r="10" spans="1:7">
      <c r="A10" s="290"/>
      <c r="B10" s="290"/>
      <c r="C10" s="960" t="s">
        <v>139</v>
      </c>
      <c r="D10" s="961"/>
      <c r="E10" s="429">
        <f>F10*G10</f>
        <v>40427732.419116035</v>
      </c>
      <c r="F10" s="429">
        <v>33716.666666666664</v>
      </c>
      <c r="G10" s="438">
        <f>'прил.3 стандарт С1 2019 кВт'!I12</f>
        <v>1199.0429783227694</v>
      </c>
    </row>
    <row r="11" spans="1:7" s="294" customFormat="1">
      <c r="A11" s="293"/>
      <c r="B11" s="293"/>
      <c r="C11" s="960" t="s">
        <v>164</v>
      </c>
      <c r="D11" s="961"/>
      <c r="E11" s="430">
        <f t="shared" ref="E11:E12" si="0">F11*G11</f>
        <v>3082876.412495499</v>
      </c>
      <c r="F11" s="430">
        <v>9825</v>
      </c>
      <c r="G11" s="438">
        <f>'прил.3 стандарт С1 2019 кВт'!J12</f>
        <v>313.77876971964366</v>
      </c>
    </row>
    <row r="12" spans="1:7" s="294" customFormat="1" ht="19.5" thickBot="1">
      <c r="A12" s="293"/>
      <c r="B12" s="293"/>
      <c r="C12" s="962" t="s">
        <v>378</v>
      </c>
      <c r="D12" s="963"/>
      <c r="E12" s="430">
        <f t="shared" si="0"/>
        <v>3063385.0215068255</v>
      </c>
      <c r="F12" s="430">
        <v>93344.333333333328</v>
      </c>
      <c r="G12" s="438">
        <f>'прил.3 стандарт С1 2019 кВт'!K12</f>
        <v>32.818114524075654</v>
      </c>
    </row>
    <row r="13" spans="1:7" s="294" customFormat="1" ht="19.5" thickTop="1">
      <c r="A13" s="290"/>
      <c r="B13" s="290"/>
      <c r="C13" s="295" t="s">
        <v>371</v>
      </c>
      <c r="D13" s="302"/>
      <c r="E13" s="439"/>
      <c r="F13" s="439"/>
      <c r="G13" s="440"/>
    </row>
    <row r="14" spans="1:7">
      <c r="A14" s="290"/>
      <c r="B14" s="290"/>
      <c r="C14" s="960" t="s">
        <v>139</v>
      </c>
      <c r="D14" s="961"/>
      <c r="E14" s="429">
        <f>E10</f>
        <v>40427732.419116035</v>
      </c>
      <c r="F14" s="429">
        <f t="shared" ref="F14:G14" si="1">F10</f>
        <v>33716.666666666664</v>
      </c>
      <c r="G14" s="438">
        <f t="shared" si="1"/>
        <v>1199.0429783227694</v>
      </c>
    </row>
    <row r="15" spans="1:7" s="294" customFormat="1">
      <c r="A15" s="293"/>
      <c r="B15" s="293"/>
      <c r="C15" s="960" t="s">
        <v>164</v>
      </c>
      <c r="D15" s="961"/>
      <c r="E15" s="430">
        <f t="shared" ref="E15:G15" si="2">E11</f>
        <v>3082876.412495499</v>
      </c>
      <c r="F15" s="430">
        <f t="shared" si="2"/>
        <v>9825</v>
      </c>
      <c r="G15" s="438">
        <f t="shared" si="2"/>
        <v>313.77876971964366</v>
      </c>
    </row>
    <row r="16" spans="1:7" s="294" customFormat="1" ht="19.5" thickBot="1">
      <c r="A16" s="293"/>
      <c r="B16" s="293"/>
      <c r="C16" s="962" t="s">
        <v>378</v>
      </c>
      <c r="D16" s="963"/>
      <c r="E16" s="430">
        <f t="shared" ref="E16:G16" si="3">E12</f>
        <v>3063385.0215068255</v>
      </c>
      <c r="F16" s="430">
        <f t="shared" si="3"/>
        <v>93344.333333333328</v>
      </c>
      <c r="G16" s="438">
        <f t="shared" si="3"/>
        <v>32.818114524075654</v>
      </c>
    </row>
    <row r="17" spans="1:7" s="294" customFormat="1" ht="41.25" customHeight="1" thickTop="1" thickBot="1">
      <c r="A17" s="305" t="s">
        <v>135</v>
      </c>
      <c r="B17" s="305"/>
      <c r="C17" s="306" t="s">
        <v>372</v>
      </c>
      <c r="D17" s="336"/>
      <c r="E17" s="307"/>
      <c r="F17" s="308"/>
      <c r="G17" s="308"/>
    </row>
    <row r="18" spans="1:7" ht="77.25" customHeight="1" thickBot="1">
      <c r="A18" s="305" t="s">
        <v>191</v>
      </c>
      <c r="B18" s="305"/>
      <c r="C18" s="306" t="s">
        <v>373</v>
      </c>
      <c r="D18" s="445" t="s">
        <v>576</v>
      </c>
      <c r="E18" s="307"/>
      <c r="F18" s="308"/>
      <c r="G18" s="308"/>
    </row>
    <row r="19" spans="1:7" ht="40.5" customHeight="1" thickBot="1">
      <c r="A19" s="441"/>
      <c r="B19" s="441" t="s">
        <v>14</v>
      </c>
      <c r="C19" s="442" t="s">
        <v>379</v>
      </c>
      <c r="D19" s="443"/>
      <c r="E19" s="497"/>
      <c r="F19" s="386"/>
      <c r="G19" s="444"/>
    </row>
    <row r="20" spans="1:7" ht="24.75" customHeight="1">
      <c r="A20" s="312"/>
      <c r="B20" s="312" t="s">
        <v>381</v>
      </c>
      <c r="C20" s="313" t="s">
        <v>382</v>
      </c>
      <c r="D20" s="346"/>
      <c r="E20" s="356"/>
      <c r="F20" s="332"/>
      <c r="G20" s="357"/>
    </row>
    <row r="21" spans="1:7" ht="24.75" customHeight="1">
      <c r="A21" s="314"/>
      <c r="B21" s="314" t="s">
        <v>383</v>
      </c>
      <c r="C21" s="315" t="s">
        <v>384</v>
      </c>
      <c r="D21" s="347"/>
      <c r="E21" s="358"/>
      <c r="F21" s="333"/>
      <c r="G21" s="359"/>
    </row>
    <row r="22" spans="1:7" ht="24.75" customHeight="1" thickBot="1">
      <c r="A22" s="314"/>
      <c r="B22" s="314" t="s">
        <v>385</v>
      </c>
      <c r="C22" s="315" t="s">
        <v>386</v>
      </c>
      <c r="D22" s="347"/>
      <c r="E22" s="358"/>
      <c r="F22" s="333"/>
      <c r="G22" s="359"/>
    </row>
    <row r="23" spans="1:7">
      <c r="A23" s="312"/>
      <c r="B23" s="312" t="s">
        <v>393</v>
      </c>
      <c r="C23" s="313" t="s">
        <v>394</v>
      </c>
      <c r="D23" s="346"/>
      <c r="E23" s="356"/>
      <c r="F23" s="332"/>
      <c r="G23" s="357"/>
    </row>
    <row r="24" spans="1:7">
      <c r="A24" s="314"/>
      <c r="B24" s="314" t="s">
        <v>395</v>
      </c>
      <c r="C24" s="315" t="s">
        <v>396</v>
      </c>
      <c r="D24" s="347"/>
      <c r="E24" s="358"/>
      <c r="F24" s="333"/>
      <c r="G24" s="359"/>
    </row>
    <row r="25" spans="1:7">
      <c r="A25" s="314"/>
      <c r="B25" s="314" t="s">
        <v>397</v>
      </c>
      <c r="C25" s="315" t="s">
        <v>386</v>
      </c>
      <c r="D25" s="347"/>
      <c r="E25" s="358"/>
      <c r="F25" s="333"/>
      <c r="G25" s="359"/>
    </row>
    <row r="26" spans="1:7">
      <c r="A26" s="318"/>
      <c r="B26" s="318" t="s">
        <v>398</v>
      </c>
      <c r="C26" s="319" t="s">
        <v>399</v>
      </c>
      <c r="D26" s="347">
        <v>0.4</v>
      </c>
      <c r="E26" s="404">
        <v>8587915.8226408418</v>
      </c>
      <c r="F26" s="388">
        <v>464.33333333333331</v>
      </c>
      <c r="G26" s="446">
        <f>E26/F26</f>
        <v>18495.152525428948</v>
      </c>
    </row>
    <row r="27" spans="1:7">
      <c r="A27" s="318"/>
      <c r="B27" s="318" t="s">
        <v>400</v>
      </c>
      <c r="C27" s="319" t="s">
        <v>399</v>
      </c>
      <c r="D27" s="347" t="s">
        <v>401</v>
      </c>
      <c r="E27" s="404">
        <v>6768261.6079573454</v>
      </c>
      <c r="F27" s="388">
        <v>812.98768000000007</v>
      </c>
      <c r="G27" s="446">
        <f t="shared" ref="G27:G32" si="4">E27/F27</f>
        <v>8325.1711858134731</v>
      </c>
    </row>
    <row r="28" spans="1:7">
      <c r="A28" s="318"/>
      <c r="B28" s="318" t="s">
        <v>402</v>
      </c>
      <c r="C28" s="319" t="s">
        <v>387</v>
      </c>
      <c r="D28" s="347">
        <v>0.4</v>
      </c>
      <c r="E28" s="404">
        <v>10989002.050889969</v>
      </c>
      <c r="F28" s="388">
        <v>649</v>
      </c>
      <c r="G28" s="446">
        <f t="shared" si="4"/>
        <v>16932.206549907503</v>
      </c>
    </row>
    <row r="29" spans="1:7">
      <c r="A29" s="316"/>
      <c r="B29" s="316" t="s">
        <v>403</v>
      </c>
      <c r="C29" s="317" t="s">
        <v>387</v>
      </c>
      <c r="D29" s="348" t="s">
        <v>401</v>
      </c>
      <c r="E29" s="394">
        <v>3217815.7009283993</v>
      </c>
      <c r="F29" s="389">
        <v>97.5</v>
      </c>
      <c r="G29" s="447">
        <f t="shared" si="4"/>
        <v>33003.237958239995</v>
      </c>
    </row>
    <row r="30" spans="1:7">
      <c r="A30" s="316"/>
      <c r="B30" s="316" t="s">
        <v>404</v>
      </c>
      <c r="C30" s="317" t="s">
        <v>387</v>
      </c>
      <c r="D30" s="348">
        <v>35</v>
      </c>
      <c r="E30" s="394"/>
      <c r="F30" s="389"/>
      <c r="G30" s="447"/>
    </row>
    <row r="31" spans="1:7">
      <c r="A31" s="316"/>
      <c r="B31" s="316" t="s">
        <v>405</v>
      </c>
      <c r="C31" s="317" t="s">
        <v>389</v>
      </c>
      <c r="D31" s="348">
        <v>0.4</v>
      </c>
      <c r="E31" s="394"/>
      <c r="F31" s="389"/>
      <c r="G31" s="447"/>
    </row>
    <row r="32" spans="1:7">
      <c r="A32" s="316"/>
      <c r="B32" s="316" t="s">
        <v>406</v>
      </c>
      <c r="C32" s="317" t="s">
        <v>389</v>
      </c>
      <c r="D32" s="348" t="s">
        <v>401</v>
      </c>
      <c r="E32" s="394">
        <v>3485754.3128615995</v>
      </c>
      <c r="F32" s="389">
        <v>480</v>
      </c>
      <c r="G32" s="447">
        <f t="shared" si="4"/>
        <v>7261.9881517949989</v>
      </c>
    </row>
    <row r="33" spans="1:7" s="294" customFormat="1" ht="19.5" thickBot="1">
      <c r="A33" s="316"/>
      <c r="B33" s="316" t="s">
        <v>407</v>
      </c>
      <c r="C33" s="317" t="s">
        <v>389</v>
      </c>
      <c r="D33" s="348">
        <v>35</v>
      </c>
      <c r="E33" s="394"/>
      <c r="F33" s="389"/>
      <c r="G33" s="447"/>
    </row>
    <row r="34" spans="1:7" s="294" customFormat="1">
      <c r="A34" s="312"/>
      <c r="B34" s="312" t="s">
        <v>408</v>
      </c>
      <c r="C34" s="313" t="s">
        <v>384</v>
      </c>
      <c r="D34" s="346"/>
      <c r="E34" s="398"/>
      <c r="F34" s="399"/>
      <c r="G34" s="448"/>
    </row>
    <row r="35" spans="1:7" s="294" customFormat="1">
      <c r="A35" s="314"/>
      <c r="B35" s="314" t="s">
        <v>409</v>
      </c>
      <c r="C35" s="315" t="s">
        <v>386</v>
      </c>
      <c r="D35" s="347"/>
      <c r="E35" s="401"/>
      <c r="F35" s="402"/>
      <c r="G35" s="449"/>
    </row>
    <row r="36" spans="1:7" s="294" customFormat="1">
      <c r="A36" s="318"/>
      <c r="B36" s="318" t="s">
        <v>410</v>
      </c>
      <c r="C36" s="319" t="s">
        <v>399</v>
      </c>
      <c r="D36" s="347"/>
      <c r="E36" s="404"/>
      <c r="F36" s="388"/>
      <c r="G36" s="446"/>
    </row>
    <row r="37" spans="1:7">
      <c r="A37" s="318"/>
      <c r="B37" s="318" t="s">
        <v>411</v>
      </c>
      <c r="C37" s="319" t="s">
        <v>399</v>
      </c>
      <c r="D37" s="347" t="s">
        <v>401</v>
      </c>
      <c r="E37" s="404">
        <v>1232646.9580776</v>
      </c>
      <c r="F37" s="388">
        <v>140</v>
      </c>
      <c r="G37" s="446">
        <f t="shared" ref="G37:G38" si="5">E37/F37</f>
        <v>8804.621129125715</v>
      </c>
    </row>
    <row r="38" spans="1:7" s="294" customFormat="1">
      <c r="A38" s="316"/>
      <c r="B38" s="316" t="s">
        <v>412</v>
      </c>
      <c r="C38" s="317" t="s">
        <v>387</v>
      </c>
      <c r="D38" s="347">
        <v>10</v>
      </c>
      <c r="E38" s="404">
        <v>6985106.3226515995</v>
      </c>
      <c r="F38" s="388">
        <v>1045</v>
      </c>
      <c r="G38" s="446">
        <f t="shared" si="5"/>
        <v>6684.3122704799998</v>
      </c>
    </row>
    <row r="39" spans="1:7" s="294" customFormat="1" ht="19.5" thickBot="1">
      <c r="A39" s="320"/>
      <c r="B39" s="320" t="s">
        <v>413</v>
      </c>
      <c r="C39" s="321" t="s">
        <v>389</v>
      </c>
      <c r="D39" s="349">
        <v>35</v>
      </c>
      <c r="E39" s="396"/>
      <c r="F39" s="391"/>
      <c r="G39" s="450"/>
    </row>
    <row r="40" spans="1:7" ht="44.25" customHeight="1" thickBot="1">
      <c r="A40" s="441"/>
      <c r="B40" s="441" t="s">
        <v>135</v>
      </c>
      <c r="C40" s="442" t="s">
        <v>414</v>
      </c>
      <c r="D40" s="443"/>
      <c r="E40" s="469"/>
      <c r="F40" s="470"/>
      <c r="G40" s="471"/>
    </row>
    <row r="41" spans="1:7">
      <c r="A41" s="312"/>
      <c r="B41" s="312" t="s">
        <v>167</v>
      </c>
      <c r="C41" s="313" t="s">
        <v>415</v>
      </c>
      <c r="D41" s="346"/>
      <c r="E41" s="398"/>
      <c r="F41" s="399"/>
      <c r="G41" s="448"/>
    </row>
    <row r="42" spans="1:7" s="294" customFormat="1">
      <c r="A42" s="314"/>
      <c r="B42" s="314" t="s">
        <v>168</v>
      </c>
      <c r="C42" s="315" t="s">
        <v>416</v>
      </c>
      <c r="D42" s="347"/>
      <c r="E42" s="401"/>
      <c r="F42" s="402"/>
      <c r="G42" s="449"/>
    </row>
    <row r="43" spans="1:7" s="294" customFormat="1">
      <c r="A43" s="314"/>
      <c r="B43" s="314" t="s">
        <v>169</v>
      </c>
      <c r="C43" s="315" t="s">
        <v>417</v>
      </c>
      <c r="D43" s="347"/>
      <c r="E43" s="401"/>
      <c r="F43" s="402"/>
      <c r="G43" s="449"/>
    </row>
    <row r="44" spans="1:7" s="294" customFormat="1" hidden="1">
      <c r="A44" s="318"/>
      <c r="B44" s="318" t="s">
        <v>418</v>
      </c>
      <c r="C44" s="319" t="s">
        <v>399</v>
      </c>
      <c r="D44" s="347" t="s">
        <v>401</v>
      </c>
      <c r="E44" s="404">
        <v>0</v>
      </c>
      <c r="F44" s="388">
        <v>0</v>
      </c>
      <c r="G44" s="446"/>
    </row>
    <row r="45" spans="1:7" s="294" customFormat="1" hidden="1">
      <c r="A45" s="318"/>
      <c r="B45" s="318" t="s">
        <v>419</v>
      </c>
      <c r="C45" s="319" t="s">
        <v>399</v>
      </c>
      <c r="D45" s="347">
        <v>35</v>
      </c>
      <c r="E45" s="404">
        <v>0</v>
      </c>
      <c r="F45" s="388">
        <v>0</v>
      </c>
      <c r="G45" s="446"/>
    </row>
    <row r="46" spans="1:7" hidden="1">
      <c r="A46" s="318"/>
      <c r="B46" s="318" t="s">
        <v>420</v>
      </c>
      <c r="C46" s="319" t="s">
        <v>399</v>
      </c>
      <c r="D46" s="347">
        <v>110</v>
      </c>
      <c r="E46" s="404">
        <v>0</v>
      </c>
      <c r="F46" s="388">
        <v>0</v>
      </c>
      <c r="G46" s="446"/>
    </row>
    <row r="47" spans="1:7" s="294" customFormat="1" hidden="1">
      <c r="A47" s="318"/>
      <c r="B47" s="318" t="s">
        <v>421</v>
      </c>
      <c r="C47" s="319" t="s">
        <v>387</v>
      </c>
      <c r="D47" s="347" t="s">
        <v>401</v>
      </c>
      <c r="E47" s="404">
        <v>0</v>
      </c>
      <c r="F47" s="388">
        <v>0</v>
      </c>
      <c r="G47" s="446"/>
    </row>
    <row r="48" spans="1:7" s="294" customFormat="1" hidden="1">
      <c r="A48" s="318"/>
      <c r="B48" s="318" t="s">
        <v>422</v>
      </c>
      <c r="C48" s="319" t="s">
        <v>387</v>
      </c>
      <c r="D48" s="347">
        <v>35</v>
      </c>
      <c r="E48" s="404">
        <v>0</v>
      </c>
      <c r="F48" s="388">
        <v>0</v>
      </c>
      <c r="G48" s="446"/>
    </row>
    <row r="49" spans="1:7" s="294" customFormat="1" hidden="1">
      <c r="A49" s="318"/>
      <c r="B49" s="318" t="s">
        <v>423</v>
      </c>
      <c r="C49" s="319" t="s">
        <v>387</v>
      </c>
      <c r="D49" s="347">
        <v>110</v>
      </c>
      <c r="E49" s="404">
        <v>0</v>
      </c>
      <c r="F49" s="388">
        <v>0</v>
      </c>
      <c r="G49" s="446"/>
    </row>
    <row r="50" spans="1:7" s="294" customFormat="1" hidden="1">
      <c r="A50" s="318"/>
      <c r="B50" s="318" t="s">
        <v>424</v>
      </c>
      <c r="C50" s="319" t="s">
        <v>389</v>
      </c>
      <c r="D50" s="347" t="s">
        <v>401</v>
      </c>
      <c r="E50" s="404">
        <v>0</v>
      </c>
      <c r="F50" s="388">
        <v>0</v>
      </c>
      <c r="G50" s="446"/>
    </row>
    <row r="51" spans="1:7" hidden="1">
      <c r="A51" s="318"/>
      <c r="B51" s="318" t="s">
        <v>425</v>
      </c>
      <c r="C51" s="319" t="s">
        <v>389</v>
      </c>
      <c r="D51" s="347">
        <v>35</v>
      </c>
      <c r="E51" s="404">
        <v>0</v>
      </c>
      <c r="F51" s="388">
        <v>0</v>
      </c>
      <c r="G51" s="446"/>
    </row>
    <row r="52" spans="1:7" hidden="1">
      <c r="A52" s="318"/>
      <c r="B52" s="318" t="s">
        <v>426</v>
      </c>
      <c r="C52" s="319" t="s">
        <v>389</v>
      </c>
      <c r="D52" s="347">
        <v>110</v>
      </c>
      <c r="E52" s="404">
        <v>0</v>
      </c>
      <c r="F52" s="388">
        <v>0</v>
      </c>
      <c r="G52" s="446"/>
    </row>
    <row r="53" spans="1:7" s="294" customFormat="1" ht="19.5" thickBot="1">
      <c r="A53" s="320"/>
      <c r="B53" s="320" t="s">
        <v>427</v>
      </c>
      <c r="C53" s="321" t="s">
        <v>392</v>
      </c>
      <c r="D53" s="349" t="s">
        <v>401</v>
      </c>
      <c r="E53" s="396">
        <v>6771976.6359127983</v>
      </c>
      <c r="F53" s="391">
        <v>1000</v>
      </c>
      <c r="G53" s="450">
        <f>E53/F53</f>
        <v>6771.976635912798</v>
      </c>
    </row>
    <row r="54" spans="1:7" s="294" customFormat="1">
      <c r="A54" s="312"/>
      <c r="B54" s="312" t="s">
        <v>428</v>
      </c>
      <c r="C54" s="313" t="s">
        <v>429</v>
      </c>
      <c r="D54" s="346"/>
      <c r="E54" s="398"/>
      <c r="F54" s="399"/>
      <c r="G54" s="448"/>
    </row>
    <row r="55" spans="1:7" s="294" customFormat="1" hidden="1">
      <c r="A55" s="318"/>
      <c r="B55" s="318" t="s">
        <v>430</v>
      </c>
      <c r="C55" s="319" t="s">
        <v>399</v>
      </c>
      <c r="D55" s="347"/>
      <c r="E55" s="404">
        <v>0</v>
      </c>
      <c r="F55" s="388">
        <v>0</v>
      </c>
      <c r="G55" s="446"/>
    </row>
    <row r="56" spans="1:7" s="294" customFormat="1" hidden="1">
      <c r="A56" s="318"/>
      <c r="B56" s="318" t="s">
        <v>431</v>
      </c>
      <c r="C56" s="319" t="s">
        <v>399</v>
      </c>
      <c r="D56" s="347"/>
      <c r="E56" s="404">
        <v>0</v>
      </c>
      <c r="F56" s="388">
        <v>0</v>
      </c>
      <c r="G56" s="446"/>
    </row>
    <row r="57" spans="1:7" hidden="1">
      <c r="A57" s="318"/>
      <c r="B57" s="318" t="s">
        <v>432</v>
      </c>
      <c r="C57" s="319" t="s">
        <v>399</v>
      </c>
      <c r="D57" s="347"/>
      <c r="E57" s="404">
        <v>0</v>
      </c>
      <c r="F57" s="388">
        <v>0</v>
      </c>
      <c r="G57" s="446"/>
    </row>
    <row r="58" spans="1:7" s="294" customFormat="1" hidden="1">
      <c r="A58" s="318"/>
      <c r="B58" s="318" t="s">
        <v>433</v>
      </c>
      <c r="C58" s="319" t="s">
        <v>387</v>
      </c>
      <c r="D58" s="347"/>
      <c r="E58" s="404">
        <v>0</v>
      </c>
      <c r="F58" s="388">
        <v>0</v>
      </c>
      <c r="G58" s="446"/>
    </row>
    <row r="59" spans="1:7" s="294" customFormat="1" hidden="1">
      <c r="A59" s="318"/>
      <c r="B59" s="318" t="s">
        <v>434</v>
      </c>
      <c r="C59" s="319" t="s">
        <v>387</v>
      </c>
      <c r="D59" s="347"/>
      <c r="E59" s="404">
        <v>0</v>
      </c>
      <c r="F59" s="388">
        <v>0</v>
      </c>
      <c r="G59" s="446"/>
    </row>
    <row r="60" spans="1:7" s="294" customFormat="1" hidden="1">
      <c r="A60" s="318"/>
      <c r="B60" s="318" t="s">
        <v>435</v>
      </c>
      <c r="C60" s="319" t="s">
        <v>387</v>
      </c>
      <c r="D60" s="347"/>
      <c r="E60" s="404">
        <v>0</v>
      </c>
      <c r="F60" s="388">
        <v>0</v>
      </c>
      <c r="G60" s="446"/>
    </row>
    <row r="61" spans="1:7" s="294" customFormat="1" hidden="1">
      <c r="A61" s="318"/>
      <c r="B61" s="318" t="s">
        <v>436</v>
      </c>
      <c r="C61" s="319" t="s">
        <v>389</v>
      </c>
      <c r="D61" s="347"/>
      <c r="E61" s="404">
        <v>0</v>
      </c>
      <c r="F61" s="388">
        <v>0</v>
      </c>
      <c r="G61" s="446"/>
    </row>
    <row r="62" spans="1:7" s="294" customFormat="1" hidden="1">
      <c r="A62" s="318"/>
      <c r="B62" s="318" t="s">
        <v>437</v>
      </c>
      <c r="C62" s="319" t="s">
        <v>389</v>
      </c>
      <c r="D62" s="347"/>
      <c r="E62" s="404">
        <v>0</v>
      </c>
      <c r="F62" s="388">
        <v>0</v>
      </c>
      <c r="G62" s="446"/>
    </row>
    <row r="63" spans="1:7" s="298" customFormat="1" ht="25.5" hidden="1">
      <c r="A63" s="318"/>
      <c r="B63" s="318" t="s">
        <v>438</v>
      </c>
      <c r="C63" s="319" t="s">
        <v>389</v>
      </c>
      <c r="D63" s="347"/>
      <c r="E63" s="404">
        <v>0</v>
      </c>
      <c r="F63" s="388">
        <v>0</v>
      </c>
      <c r="G63" s="446"/>
    </row>
    <row r="64" spans="1:7" s="298" customFormat="1" ht="26.25" hidden="1" thickBot="1">
      <c r="A64" s="320"/>
      <c r="B64" s="320" t="s">
        <v>439</v>
      </c>
      <c r="C64" s="321" t="s">
        <v>392</v>
      </c>
      <c r="D64" s="349"/>
      <c r="E64" s="396">
        <v>0</v>
      </c>
      <c r="F64" s="391">
        <v>0</v>
      </c>
      <c r="G64" s="450"/>
    </row>
    <row r="65" spans="1:7">
      <c r="A65" s="314"/>
      <c r="B65" s="314" t="s">
        <v>170</v>
      </c>
      <c r="C65" s="315" t="s">
        <v>440</v>
      </c>
      <c r="D65" s="347"/>
      <c r="E65" s="401"/>
      <c r="F65" s="402"/>
      <c r="G65" s="449"/>
    </row>
    <row r="66" spans="1:7">
      <c r="A66" s="314"/>
      <c r="B66" s="314" t="s">
        <v>171</v>
      </c>
      <c r="C66" s="315" t="s">
        <v>417</v>
      </c>
      <c r="D66" s="347"/>
      <c r="E66" s="401"/>
      <c r="F66" s="402"/>
      <c r="G66" s="449"/>
    </row>
    <row r="67" spans="1:7" s="299" customFormat="1" ht="15.75">
      <c r="A67" s="318"/>
      <c r="B67" s="318" t="s">
        <v>441</v>
      </c>
      <c r="C67" s="319" t="s">
        <v>399</v>
      </c>
      <c r="D67" s="347">
        <v>0.4</v>
      </c>
      <c r="E67" s="404">
        <v>717875.28628976154</v>
      </c>
      <c r="F67" s="388">
        <v>79</v>
      </c>
      <c r="G67" s="446">
        <f t="shared" ref="G67:G82" si="6">E67/F67</f>
        <v>9087.0289403767292</v>
      </c>
    </row>
    <row r="68" spans="1:7" s="299" customFormat="1" ht="15.75">
      <c r="A68" s="318"/>
      <c r="B68" s="318" t="s">
        <v>442</v>
      </c>
      <c r="C68" s="319" t="s">
        <v>399</v>
      </c>
      <c r="D68" s="347" t="s">
        <v>401</v>
      </c>
      <c r="E68" s="404"/>
      <c r="F68" s="388"/>
      <c r="G68" s="446"/>
    </row>
    <row r="69" spans="1:7" s="300" customFormat="1" ht="15.75">
      <c r="A69" s="318"/>
      <c r="B69" s="318" t="s">
        <v>443</v>
      </c>
      <c r="C69" s="319" t="s">
        <v>399</v>
      </c>
      <c r="D69" s="347">
        <v>35</v>
      </c>
      <c r="E69" s="404"/>
      <c r="F69" s="388"/>
      <c r="G69" s="446"/>
    </row>
    <row r="70" spans="1:7">
      <c r="A70" s="318"/>
      <c r="B70" s="318" t="s">
        <v>444</v>
      </c>
      <c r="C70" s="319" t="s">
        <v>399</v>
      </c>
      <c r="D70" s="347">
        <v>110</v>
      </c>
      <c r="E70" s="404"/>
      <c r="F70" s="388"/>
      <c r="G70" s="446"/>
    </row>
    <row r="71" spans="1:7">
      <c r="A71" s="318"/>
      <c r="B71" s="318" t="s">
        <v>445</v>
      </c>
      <c r="C71" s="319" t="s">
        <v>387</v>
      </c>
      <c r="D71" s="347">
        <v>0.4</v>
      </c>
      <c r="E71" s="476">
        <v>742054.29222533421</v>
      </c>
      <c r="F71" s="477">
        <v>135</v>
      </c>
      <c r="G71" s="478">
        <f t="shared" si="6"/>
        <v>5496.6984609284018</v>
      </c>
    </row>
    <row r="72" spans="1:7">
      <c r="A72" s="318"/>
      <c r="B72" s="318" t="s">
        <v>446</v>
      </c>
      <c r="C72" s="319" t="s">
        <v>387</v>
      </c>
      <c r="D72" s="347" t="s">
        <v>401</v>
      </c>
      <c r="E72" s="404">
        <v>426127.88519599999</v>
      </c>
      <c r="F72" s="388">
        <v>165.4</v>
      </c>
      <c r="G72" s="446">
        <f t="shared" si="6"/>
        <v>2576.3475525755744</v>
      </c>
    </row>
    <row r="73" spans="1:7">
      <c r="A73" s="318"/>
      <c r="B73" s="318" t="s">
        <v>447</v>
      </c>
      <c r="C73" s="319" t="s">
        <v>387</v>
      </c>
      <c r="D73" s="347">
        <v>35</v>
      </c>
      <c r="E73" s="404"/>
      <c r="F73" s="388"/>
      <c r="G73" s="446"/>
    </row>
    <row r="74" spans="1:7">
      <c r="A74" s="318"/>
      <c r="B74" s="318" t="s">
        <v>448</v>
      </c>
      <c r="C74" s="319" t="s">
        <v>387</v>
      </c>
      <c r="D74" s="347">
        <v>110</v>
      </c>
      <c r="E74" s="404"/>
      <c r="F74" s="388"/>
      <c r="G74" s="446"/>
    </row>
    <row r="75" spans="1:7">
      <c r="A75" s="318"/>
      <c r="B75" s="318" t="s">
        <v>449</v>
      </c>
      <c r="C75" s="319" t="s">
        <v>389</v>
      </c>
      <c r="D75" s="347">
        <v>0.4</v>
      </c>
      <c r="E75" s="404">
        <v>3939217.3233313984</v>
      </c>
      <c r="F75" s="388">
        <v>260</v>
      </c>
      <c r="G75" s="446">
        <f t="shared" si="6"/>
        <v>15150.835858966917</v>
      </c>
    </row>
    <row r="76" spans="1:7">
      <c r="A76" s="318"/>
      <c r="B76" s="318" t="s">
        <v>450</v>
      </c>
      <c r="C76" s="319" t="s">
        <v>389</v>
      </c>
      <c r="D76" s="347" t="s">
        <v>401</v>
      </c>
      <c r="E76" s="404">
        <v>392264.4</v>
      </c>
      <c r="F76" s="388">
        <v>48</v>
      </c>
      <c r="G76" s="446">
        <f t="shared" si="6"/>
        <v>8172.1750000000002</v>
      </c>
    </row>
    <row r="77" spans="1:7">
      <c r="A77" s="318"/>
      <c r="B77" s="318" t="s">
        <v>451</v>
      </c>
      <c r="C77" s="319" t="s">
        <v>389</v>
      </c>
      <c r="D77" s="347">
        <v>35</v>
      </c>
      <c r="E77" s="404"/>
      <c r="F77" s="388"/>
      <c r="G77" s="446"/>
    </row>
    <row r="78" spans="1:7">
      <c r="A78" s="318"/>
      <c r="B78" s="318" t="s">
        <v>452</v>
      </c>
      <c r="C78" s="319" t="s">
        <v>389</v>
      </c>
      <c r="D78" s="347">
        <v>110</v>
      </c>
      <c r="E78" s="404"/>
      <c r="F78" s="388"/>
      <c r="G78" s="446"/>
    </row>
    <row r="79" spans="1:7">
      <c r="A79" s="316"/>
      <c r="B79" s="316" t="s">
        <v>453</v>
      </c>
      <c r="C79" s="317" t="s">
        <v>392</v>
      </c>
      <c r="D79" s="348">
        <v>0.4</v>
      </c>
      <c r="E79" s="404">
        <v>897386.11</v>
      </c>
      <c r="F79" s="388">
        <v>200</v>
      </c>
      <c r="G79" s="446">
        <f t="shared" si="6"/>
        <v>4486.93055</v>
      </c>
    </row>
    <row r="80" spans="1:7">
      <c r="A80" s="316"/>
      <c r="B80" s="316" t="s">
        <v>453</v>
      </c>
      <c r="C80" s="317" t="s">
        <v>392</v>
      </c>
      <c r="D80" s="348">
        <v>0.4</v>
      </c>
      <c r="E80" s="476">
        <v>1078811.1257143999</v>
      </c>
      <c r="F80" s="477">
        <v>125</v>
      </c>
      <c r="G80" s="478">
        <f t="shared" si="6"/>
        <v>8630.4890057151988</v>
      </c>
    </row>
    <row r="81" spans="1:7">
      <c r="A81" s="316"/>
      <c r="B81" s="316" t="s">
        <v>453</v>
      </c>
      <c r="C81" s="317" t="s">
        <v>392</v>
      </c>
      <c r="D81" s="348">
        <v>10</v>
      </c>
      <c r="E81" s="451">
        <v>39095539.031754397</v>
      </c>
      <c r="F81" s="452">
        <v>275</v>
      </c>
      <c r="G81" s="453">
        <f t="shared" si="6"/>
        <v>142165.5964791069</v>
      </c>
    </row>
    <row r="82" spans="1:7">
      <c r="A82" s="316"/>
      <c r="B82" s="316" t="s">
        <v>453</v>
      </c>
      <c r="C82" s="317" t="s">
        <v>392</v>
      </c>
      <c r="D82" s="348">
        <v>6</v>
      </c>
      <c r="E82" s="451">
        <v>3197459.7845735992</v>
      </c>
      <c r="F82" s="452">
        <v>1900</v>
      </c>
      <c r="G82" s="453">
        <f t="shared" si="6"/>
        <v>1682.8735708282102</v>
      </c>
    </row>
    <row r="83" spans="1:7" ht="19.5" thickBot="1">
      <c r="A83" s="320"/>
      <c r="B83" s="320" t="s">
        <v>454</v>
      </c>
      <c r="C83" s="321" t="s">
        <v>392</v>
      </c>
      <c r="D83" s="349">
        <v>110</v>
      </c>
      <c r="E83" s="457"/>
      <c r="F83" s="496"/>
      <c r="G83" s="458"/>
    </row>
    <row r="84" spans="1:7">
      <c r="A84" s="312"/>
      <c r="B84" s="312" t="s">
        <v>172</v>
      </c>
      <c r="C84" s="313" t="s">
        <v>429</v>
      </c>
      <c r="D84" s="346"/>
      <c r="E84" s="398"/>
      <c r="F84" s="399"/>
      <c r="G84" s="448"/>
    </row>
    <row r="85" spans="1:7">
      <c r="A85" s="318"/>
      <c r="B85" s="318" t="s">
        <v>455</v>
      </c>
      <c r="C85" s="319" t="s">
        <v>399</v>
      </c>
      <c r="D85" s="347">
        <v>0.4</v>
      </c>
      <c r="E85" s="404">
        <v>85997.99519999999</v>
      </c>
      <c r="F85" s="388">
        <v>12</v>
      </c>
      <c r="G85" s="446">
        <f t="shared" ref="G85:G97" si="7">E85/F85</f>
        <v>7166.4995999999992</v>
      </c>
    </row>
    <row r="86" spans="1:7">
      <c r="A86" s="318"/>
      <c r="B86" s="318" t="s">
        <v>456</v>
      </c>
      <c r="C86" s="319" t="s">
        <v>399</v>
      </c>
      <c r="D86" s="347" t="s">
        <v>401</v>
      </c>
      <c r="E86" s="404">
        <v>743655.97276879987</v>
      </c>
      <c r="F86" s="388">
        <v>12</v>
      </c>
      <c r="G86" s="446">
        <f t="shared" si="7"/>
        <v>61971.331064066653</v>
      </c>
    </row>
    <row r="87" spans="1:7">
      <c r="A87" s="318"/>
      <c r="B87" s="318" t="s">
        <v>457</v>
      </c>
      <c r="C87" s="319" t="s">
        <v>399</v>
      </c>
      <c r="D87" s="347">
        <v>35</v>
      </c>
      <c r="E87" s="404"/>
      <c r="F87" s="388"/>
      <c r="G87" s="446"/>
    </row>
    <row r="88" spans="1:7">
      <c r="A88" s="318"/>
      <c r="B88" s="318" t="s">
        <v>458</v>
      </c>
      <c r="C88" s="319" t="s">
        <v>399</v>
      </c>
      <c r="D88" s="347">
        <v>110</v>
      </c>
      <c r="E88" s="404"/>
      <c r="F88" s="388"/>
      <c r="G88" s="446"/>
    </row>
    <row r="89" spans="1:7">
      <c r="A89" s="318"/>
      <c r="B89" s="318" t="s">
        <v>459</v>
      </c>
      <c r="C89" s="319" t="s">
        <v>387</v>
      </c>
      <c r="D89" s="347">
        <v>0.4</v>
      </c>
      <c r="E89" s="404">
        <v>746351.87079439999</v>
      </c>
      <c r="F89" s="388">
        <v>103</v>
      </c>
      <c r="G89" s="446">
        <f t="shared" si="7"/>
        <v>7246.1346679067956</v>
      </c>
    </row>
    <row r="90" spans="1:7">
      <c r="A90" s="318"/>
      <c r="B90" s="318" t="s">
        <v>460</v>
      </c>
      <c r="C90" s="319" t="s">
        <v>387</v>
      </c>
      <c r="D90" s="347" t="s">
        <v>401</v>
      </c>
      <c r="E90" s="404">
        <v>1801370.5953048</v>
      </c>
      <c r="F90" s="388">
        <v>86</v>
      </c>
      <c r="G90" s="446">
        <f t="shared" si="7"/>
        <v>20946.169712846513</v>
      </c>
    </row>
    <row r="91" spans="1:7">
      <c r="A91" s="318"/>
      <c r="B91" s="318" t="s">
        <v>461</v>
      </c>
      <c r="C91" s="319" t="s">
        <v>387</v>
      </c>
      <c r="D91" s="347">
        <v>35</v>
      </c>
      <c r="E91" s="404"/>
      <c r="F91" s="388"/>
      <c r="G91" s="446"/>
    </row>
    <row r="92" spans="1:7">
      <c r="A92" s="318"/>
      <c r="B92" s="318" t="s">
        <v>462</v>
      </c>
      <c r="C92" s="319" t="s">
        <v>387</v>
      </c>
      <c r="D92" s="347">
        <v>110</v>
      </c>
      <c r="E92" s="404"/>
      <c r="F92" s="388"/>
      <c r="G92" s="446"/>
    </row>
    <row r="93" spans="1:7">
      <c r="A93" s="318"/>
      <c r="B93" s="318" t="s">
        <v>463</v>
      </c>
      <c r="C93" s="319" t="s">
        <v>389</v>
      </c>
      <c r="D93" s="347">
        <v>0.4</v>
      </c>
      <c r="E93" s="404">
        <v>1185955.4175144001</v>
      </c>
      <c r="F93" s="388">
        <v>153.5</v>
      </c>
      <c r="G93" s="446">
        <f t="shared" si="7"/>
        <v>7726.0939251752452</v>
      </c>
    </row>
    <row r="94" spans="1:7">
      <c r="A94" s="318"/>
      <c r="B94" s="318" t="s">
        <v>464</v>
      </c>
      <c r="C94" s="319" t="s">
        <v>389</v>
      </c>
      <c r="D94" s="347" t="s">
        <v>401</v>
      </c>
      <c r="E94" s="404">
        <v>1363429.1264671998</v>
      </c>
      <c r="F94" s="388">
        <v>178.5</v>
      </c>
      <c r="G94" s="446">
        <f t="shared" si="7"/>
        <v>7638.2584115809514</v>
      </c>
    </row>
    <row r="95" spans="1:7">
      <c r="A95" s="318"/>
      <c r="B95" s="318" t="s">
        <v>465</v>
      </c>
      <c r="C95" s="319" t="s">
        <v>389</v>
      </c>
      <c r="D95" s="347">
        <v>35</v>
      </c>
      <c r="E95" s="404"/>
      <c r="F95" s="388"/>
      <c r="G95" s="446"/>
    </row>
    <row r="96" spans="1:7">
      <c r="A96" s="318"/>
      <c r="B96" s="318" t="s">
        <v>466</v>
      </c>
      <c r="C96" s="319" t="s">
        <v>389</v>
      </c>
      <c r="D96" s="347">
        <v>110</v>
      </c>
      <c r="E96" s="404"/>
      <c r="F96" s="388"/>
      <c r="G96" s="446"/>
    </row>
    <row r="97" spans="1:7" ht="19.5" thickBot="1">
      <c r="A97" s="320"/>
      <c r="B97" s="320" t="s">
        <v>467</v>
      </c>
      <c r="C97" s="321" t="s">
        <v>392</v>
      </c>
      <c r="D97" s="349" t="s">
        <v>401</v>
      </c>
      <c r="E97" s="396">
        <v>13984157.693677599</v>
      </c>
      <c r="F97" s="391">
        <v>2094.67</v>
      </c>
      <c r="G97" s="450">
        <f t="shared" si="7"/>
        <v>6676.0672056589337</v>
      </c>
    </row>
    <row r="98" spans="1:7">
      <c r="A98" s="312"/>
      <c r="B98" s="312" t="s">
        <v>173</v>
      </c>
      <c r="C98" s="313" t="s">
        <v>468</v>
      </c>
      <c r="D98" s="346"/>
      <c r="E98" s="398"/>
      <c r="F98" s="399"/>
      <c r="G98" s="448"/>
    </row>
    <row r="99" spans="1:7">
      <c r="A99" s="314"/>
      <c r="B99" s="314" t="s">
        <v>174</v>
      </c>
      <c r="C99" s="315" t="s">
        <v>416</v>
      </c>
      <c r="D99" s="347"/>
      <c r="E99" s="401"/>
      <c r="F99" s="402"/>
      <c r="G99" s="449"/>
    </row>
    <row r="100" spans="1:7">
      <c r="A100" s="314"/>
      <c r="B100" s="314" t="s">
        <v>175</v>
      </c>
      <c r="C100" s="315" t="s">
        <v>417</v>
      </c>
      <c r="D100" s="347"/>
      <c r="E100" s="401"/>
      <c r="F100" s="402"/>
      <c r="G100" s="449"/>
    </row>
    <row r="101" spans="1:7">
      <c r="A101" s="318"/>
      <c r="B101" s="318" t="s">
        <v>469</v>
      </c>
      <c r="C101" s="319" t="s">
        <v>399</v>
      </c>
      <c r="D101" s="347" t="s">
        <v>401</v>
      </c>
      <c r="E101" s="404"/>
      <c r="F101" s="388"/>
      <c r="G101" s="446"/>
    </row>
    <row r="102" spans="1:7">
      <c r="A102" s="318"/>
      <c r="B102" s="318" t="s">
        <v>470</v>
      </c>
      <c r="C102" s="319" t="s">
        <v>399</v>
      </c>
      <c r="D102" s="347">
        <v>35</v>
      </c>
      <c r="E102" s="404"/>
      <c r="F102" s="388"/>
      <c r="G102" s="446"/>
    </row>
    <row r="103" spans="1:7">
      <c r="A103" s="318"/>
      <c r="B103" s="318" t="s">
        <v>471</v>
      </c>
      <c r="C103" s="319" t="s">
        <v>399</v>
      </c>
      <c r="D103" s="347">
        <v>110</v>
      </c>
      <c r="E103" s="404"/>
      <c r="F103" s="388"/>
      <c r="G103" s="446"/>
    </row>
    <row r="104" spans="1:7">
      <c r="A104" s="318"/>
      <c r="B104" s="318" t="s">
        <v>472</v>
      </c>
      <c r="C104" s="319" t="s">
        <v>387</v>
      </c>
      <c r="D104" s="347" t="s">
        <v>401</v>
      </c>
      <c r="E104" s="404"/>
      <c r="F104" s="388"/>
      <c r="G104" s="446"/>
    </row>
    <row r="105" spans="1:7">
      <c r="A105" s="318"/>
      <c r="B105" s="318" t="s">
        <v>473</v>
      </c>
      <c r="C105" s="319" t="s">
        <v>387</v>
      </c>
      <c r="D105" s="347">
        <v>35</v>
      </c>
      <c r="E105" s="404"/>
      <c r="F105" s="388"/>
      <c r="G105" s="446"/>
    </row>
    <row r="106" spans="1:7">
      <c r="A106" s="318"/>
      <c r="B106" s="318" t="s">
        <v>474</v>
      </c>
      <c r="C106" s="319" t="s">
        <v>387</v>
      </c>
      <c r="D106" s="347">
        <v>110</v>
      </c>
      <c r="E106" s="404"/>
      <c r="F106" s="388"/>
      <c r="G106" s="446"/>
    </row>
    <row r="107" spans="1:7">
      <c r="A107" s="318"/>
      <c r="B107" s="318" t="s">
        <v>475</v>
      </c>
      <c r="C107" s="319" t="s">
        <v>389</v>
      </c>
      <c r="D107" s="347" t="s">
        <v>401</v>
      </c>
      <c r="E107" s="404"/>
      <c r="F107" s="388"/>
      <c r="G107" s="446"/>
    </row>
    <row r="108" spans="1:7">
      <c r="A108" s="318"/>
      <c r="B108" s="318" t="s">
        <v>476</v>
      </c>
      <c r="C108" s="319" t="s">
        <v>389</v>
      </c>
      <c r="D108" s="347">
        <v>35</v>
      </c>
      <c r="E108" s="404"/>
      <c r="F108" s="388"/>
      <c r="G108" s="446"/>
    </row>
    <row r="109" spans="1:7">
      <c r="A109" s="318"/>
      <c r="B109" s="318" t="s">
        <v>477</v>
      </c>
      <c r="C109" s="319" t="s">
        <v>392</v>
      </c>
      <c r="D109" s="347" t="s">
        <v>401</v>
      </c>
      <c r="E109" s="404">
        <v>20030696.267462399</v>
      </c>
      <c r="F109" s="388">
        <v>400</v>
      </c>
      <c r="G109" s="446">
        <f t="shared" ref="G109:G110" si="8">E109/F109</f>
        <v>50076.740668655999</v>
      </c>
    </row>
    <row r="110" spans="1:7" ht="19.5" thickBot="1">
      <c r="A110" s="320"/>
      <c r="B110" s="320" t="s">
        <v>478</v>
      </c>
      <c r="C110" s="321" t="s">
        <v>479</v>
      </c>
      <c r="D110" s="349">
        <v>110</v>
      </c>
      <c r="E110" s="396">
        <v>80370799.574729651</v>
      </c>
      <c r="F110" s="391">
        <v>15369.9</v>
      </c>
      <c r="G110" s="450">
        <f t="shared" si="8"/>
        <v>5229.1036099603543</v>
      </c>
    </row>
    <row r="111" spans="1:7" hidden="1">
      <c r="A111" s="312"/>
      <c r="B111" s="312" t="s">
        <v>176</v>
      </c>
      <c r="C111" s="313" t="s">
        <v>429</v>
      </c>
      <c r="D111" s="346" t="s">
        <v>380</v>
      </c>
      <c r="E111" s="398"/>
      <c r="F111" s="399"/>
      <c r="G111" s="448"/>
    </row>
    <row r="112" spans="1:7" hidden="1">
      <c r="A112" s="318"/>
      <c r="B112" s="318" t="s">
        <v>480</v>
      </c>
      <c r="C112" s="319" t="s">
        <v>399</v>
      </c>
      <c r="D112" s="347" t="s">
        <v>401</v>
      </c>
      <c r="E112" s="404"/>
      <c r="F112" s="388"/>
      <c r="G112" s="446"/>
    </row>
    <row r="113" spans="1:7" hidden="1">
      <c r="A113" s="318"/>
      <c r="B113" s="318" t="s">
        <v>481</v>
      </c>
      <c r="C113" s="319" t="s">
        <v>399</v>
      </c>
      <c r="D113" s="347">
        <v>35</v>
      </c>
      <c r="E113" s="404"/>
      <c r="F113" s="388"/>
      <c r="G113" s="446"/>
    </row>
    <row r="114" spans="1:7" hidden="1">
      <c r="A114" s="318"/>
      <c r="B114" s="318" t="s">
        <v>482</v>
      </c>
      <c r="C114" s="319" t="s">
        <v>399</v>
      </c>
      <c r="D114" s="347">
        <v>110</v>
      </c>
      <c r="E114" s="404"/>
      <c r="F114" s="388"/>
      <c r="G114" s="446"/>
    </row>
    <row r="115" spans="1:7" hidden="1">
      <c r="A115" s="318"/>
      <c r="B115" s="318" t="s">
        <v>483</v>
      </c>
      <c r="C115" s="319" t="s">
        <v>387</v>
      </c>
      <c r="D115" s="347" t="s">
        <v>401</v>
      </c>
      <c r="E115" s="404"/>
      <c r="F115" s="388"/>
      <c r="G115" s="446"/>
    </row>
    <row r="116" spans="1:7" hidden="1">
      <c r="A116" s="318"/>
      <c r="B116" s="318" t="s">
        <v>484</v>
      </c>
      <c r="C116" s="319" t="s">
        <v>387</v>
      </c>
      <c r="D116" s="347">
        <v>35</v>
      </c>
      <c r="E116" s="404"/>
      <c r="F116" s="388"/>
      <c r="G116" s="446"/>
    </row>
    <row r="117" spans="1:7" hidden="1">
      <c r="A117" s="318"/>
      <c r="B117" s="318" t="s">
        <v>485</v>
      </c>
      <c r="C117" s="319" t="s">
        <v>387</v>
      </c>
      <c r="D117" s="347">
        <v>110</v>
      </c>
      <c r="E117" s="404"/>
      <c r="F117" s="388"/>
      <c r="G117" s="446"/>
    </row>
    <row r="118" spans="1:7" hidden="1">
      <c r="A118" s="318"/>
      <c r="B118" s="318" t="s">
        <v>486</v>
      </c>
      <c r="C118" s="319" t="s">
        <v>389</v>
      </c>
      <c r="D118" s="347" t="s">
        <v>401</v>
      </c>
      <c r="E118" s="404"/>
      <c r="F118" s="388"/>
      <c r="G118" s="446"/>
    </row>
    <row r="119" spans="1:7" hidden="1">
      <c r="A119" s="318"/>
      <c r="B119" s="318" t="s">
        <v>487</v>
      </c>
      <c r="C119" s="319" t="s">
        <v>389</v>
      </c>
      <c r="D119" s="347">
        <v>35</v>
      </c>
      <c r="E119" s="404"/>
      <c r="F119" s="388"/>
      <c r="G119" s="446"/>
    </row>
    <row r="120" spans="1:7" hidden="1">
      <c r="A120" s="318"/>
      <c r="B120" s="318" t="s">
        <v>488</v>
      </c>
      <c r="C120" s="319" t="s">
        <v>389</v>
      </c>
      <c r="D120" s="347">
        <v>110</v>
      </c>
      <c r="E120" s="404"/>
      <c r="F120" s="388"/>
      <c r="G120" s="446"/>
    </row>
    <row r="121" spans="1:7" ht="19.5" hidden="1" thickBot="1">
      <c r="A121" s="320"/>
      <c r="B121" s="320" t="s">
        <v>489</v>
      </c>
      <c r="C121" s="321" t="s">
        <v>392</v>
      </c>
      <c r="D121" s="349">
        <v>110</v>
      </c>
      <c r="E121" s="396"/>
      <c r="F121" s="391"/>
      <c r="G121" s="450"/>
    </row>
    <row r="122" spans="1:7" ht="19.5" thickBot="1">
      <c r="A122" s="314"/>
      <c r="B122" s="314" t="s">
        <v>177</v>
      </c>
      <c r="C122" s="315" t="s">
        <v>440</v>
      </c>
      <c r="D122" s="347"/>
      <c r="E122" s="401"/>
      <c r="F122" s="402"/>
      <c r="G122" s="449"/>
    </row>
    <row r="123" spans="1:7" ht="19.5" hidden="1" thickBot="1">
      <c r="A123" s="314"/>
      <c r="B123" s="314" t="s">
        <v>178</v>
      </c>
      <c r="C123" s="315" t="s">
        <v>417</v>
      </c>
      <c r="D123" s="347"/>
      <c r="E123" s="401"/>
      <c r="F123" s="402"/>
      <c r="G123" s="449"/>
    </row>
    <row r="124" spans="1:7" ht="19.5" hidden="1" thickBot="1">
      <c r="A124" s="318"/>
      <c r="B124" s="318" t="s">
        <v>490</v>
      </c>
      <c r="C124" s="319" t="s">
        <v>399</v>
      </c>
      <c r="D124" s="347"/>
      <c r="E124" s="404"/>
      <c r="F124" s="388"/>
      <c r="G124" s="446"/>
    </row>
    <row r="125" spans="1:7" ht="19.5" hidden="1" thickBot="1">
      <c r="A125" s="318"/>
      <c r="B125" s="318" t="s">
        <v>491</v>
      </c>
      <c r="C125" s="319" t="s">
        <v>399</v>
      </c>
      <c r="D125" s="347"/>
      <c r="E125" s="404"/>
      <c r="F125" s="388"/>
      <c r="G125" s="446"/>
    </row>
    <row r="126" spans="1:7" ht="19.5" hidden="1" thickBot="1">
      <c r="A126" s="318"/>
      <c r="B126" s="318" t="s">
        <v>492</v>
      </c>
      <c r="C126" s="319" t="s">
        <v>399</v>
      </c>
      <c r="D126" s="347"/>
      <c r="E126" s="404"/>
      <c r="F126" s="388"/>
      <c r="G126" s="446"/>
    </row>
    <row r="127" spans="1:7" s="294" customFormat="1" ht="41.25" hidden="1" customHeight="1">
      <c r="A127" s="318"/>
      <c r="B127" s="318" t="s">
        <v>493</v>
      </c>
      <c r="C127" s="319" t="s">
        <v>387</v>
      </c>
      <c r="D127" s="347"/>
      <c r="E127" s="404"/>
      <c r="F127" s="388"/>
      <c r="G127" s="446"/>
    </row>
    <row r="128" spans="1:7" s="294" customFormat="1" ht="41.25" hidden="1" customHeight="1">
      <c r="A128" s="318"/>
      <c r="B128" s="318" t="s">
        <v>494</v>
      </c>
      <c r="C128" s="319" t="s">
        <v>387</v>
      </c>
      <c r="D128" s="347"/>
      <c r="E128" s="404"/>
      <c r="F128" s="388"/>
      <c r="G128" s="446"/>
    </row>
    <row r="129" spans="1:7" s="298" customFormat="1" ht="30.75" hidden="1" customHeight="1">
      <c r="A129" s="318"/>
      <c r="B129" s="318" t="s">
        <v>495</v>
      </c>
      <c r="C129" s="319" t="s">
        <v>387</v>
      </c>
      <c r="D129" s="347"/>
      <c r="E129" s="404"/>
      <c r="F129" s="388"/>
      <c r="G129" s="446"/>
    </row>
    <row r="130" spans="1:7" s="298" customFormat="1" ht="30" hidden="1" customHeight="1">
      <c r="A130" s="318"/>
      <c r="B130" s="318" t="s">
        <v>496</v>
      </c>
      <c r="C130" s="319" t="s">
        <v>389</v>
      </c>
      <c r="D130" s="347"/>
      <c r="E130" s="404"/>
      <c r="F130" s="388"/>
      <c r="G130" s="446"/>
    </row>
    <row r="131" spans="1:7" ht="18.75" hidden="1" customHeight="1">
      <c r="A131" s="318"/>
      <c r="B131" s="318" t="s">
        <v>497</v>
      </c>
      <c r="C131" s="319" t="s">
        <v>389</v>
      </c>
      <c r="D131" s="347"/>
      <c r="E131" s="404"/>
      <c r="F131" s="388"/>
      <c r="G131" s="446"/>
    </row>
    <row r="132" spans="1:7" ht="19.5" hidden="1" customHeight="1">
      <c r="A132" s="318"/>
      <c r="B132" s="318" t="s">
        <v>498</v>
      </c>
      <c r="C132" s="319" t="s">
        <v>389</v>
      </c>
      <c r="D132" s="347"/>
      <c r="E132" s="404"/>
      <c r="F132" s="388"/>
      <c r="G132" s="446"/>
    </row>
    <row r="133" spans="1:7" s="299" customFormat="1" ht="16.5" hidden="1" customHeight="1" thickBot="1">
      <c r="A133" s="320"/>
      <c r="B133" s="320" t="s">
        <v>499</v>
      </c>
      <c r="C133" s="321" t="s">
        <v>392</v>
      </c>
      <c r="D133" s="349"/>
      <c r="E133" s="396"/>
      <c r="F133" s="391"/>
      <c r="G133" s="450"/>
    </row>
    <row r="134" spans="1:7" s="299" customFormat="1" ht="16.5" hidden="1" customHeight="1" thickBot="1">
      <c r="A134" s="312"/>
      <c r="B134" s="312" t="s">
        <v>179</v>
      </c>
      <c r="C134" s="313" t="s">
        <v>429</v>
      </c>
      <c r="D134" s="346"/>
      <c r="E134" s="398"/>
      <c r="F134" s="399"/>
      <c r="G134" s="448"/>
    </row>
    <row r="135" spans="1:7" s="300" customFormat="1" ht="15.75" hidden="1" customHeight="1">
      <c r="A135" s="318"/>
      <c r="B135" s="318" t="s">
        <v>500</v>
      </c>
      <c r="C135" s="319" t="s">
        <v>399</v>
      </c>
      <c r="D135" s="347"/>
      <c r="E135" s="404"/>
      <c r="F135" s="388"/>
      <c r="G135" s="446"/>
    </row>
    <row r="136" spans="1:7" ht="18.75" hidden="1" customHeight="1">
      <c r="A136" s="318"/>
      <c r="B136" s="318" t="s">
        <v>501</v>
      </c>
      <c r="C136" s="319" t="s">
        <v>399</v>
      </c>
      <c r="D136" s="347"/>
      <c r="E136" s="404"/>
      <c r="F136" s="388"/>
      <c r="G136" s="446"/>
    </row>
    <row r="137" spans="1:7" ht="19.5" hidden="1" customHeight="1">
      <c r="A137" s="318"/>
      <c r="B137" s="318" t="s">
        <v>502</v>
      </c>
      <c r="C137" s="319" t="s">
        <v>399</v>
      </c>
      <c r="D137" s="347"/>
      <c r="E137" s="404"/>
      <c r="F137" s="388"/>
      <c r="G137" s="446"/>
    </row>
    <row r="138" spans="1:7" ht="19.5" hidden="1" customHeight="1">
      <c r="A138" s="318"/>
      <c r="B138" s="318" t="s">
        <v>503</v>
      </c>
      <c r="C138" s="319" t="s">
        <v>387</v>
      </c>
      <c r="D138" s="347"/>
      <c r="E138" s="404"/>
      <c r="F138" s="388"/>
      <c r="G138" s="446"/>
    </row>
    <row r="139" spans="1:7" ht="19.5" hidden="1" thickBot="1">
      <c r="A139" s="318"/>
      <c r="B139" s="318" t="s">
        <v>504</v>
      </c>
      <c r="C139" s="319" t="s">
        <v>387</v>
      </c>
      <c r="D139" s="347"/>
      <c r="E139" s="404"/>
      <c r="F139" s="388"/>
      <c r="G139" s="446"/>
    </row>
    <row r="140" spans="1:7" ht="19.5" hidden="1" thickBot="1">
      <c r="A140" s="318"/>
      <c r="B140" s="318" t="s">
        <v>505</v>
      </c>
      <c r="C140" s="319" t="s">
        <v>387</v>
      </c>
      <c r="D140" s="347"/>
      <c r="E140" s="404"/>
      <c r="F140" s="388"/>
      <c r="G140" s="446"/>
    </row>
    <row r="141" spans="1:7" ht="19.5" hidden="1" thickBot="1">
      <c r="A141" s="318"/>
      <c r="B141" s="318" t="s">
        <v>506</v>
      </c>
      <c r="C141" s="319" t="s">
        <v>389</v>
      </c>
      <c r="D141" s="347"/>
      <c r="E141" s="404"/>
      <c r="F141" s="388"/>
      <c r="G141" s="446"/>
    </row>
    <row r="142" spans="1:7" ht="19.5" hidden="1" thickBot="1">
      <c r="A142" s="318"/>
      <c r="B142" s="318" t="s">
        <v>507</v>
      </c>
      <c r="C142" s="319" t="s">
        <v>389</v>
      </c>
      <c r="D142" s="347"/>
      <c r="E142" s="404"/>
      <c r="F142" s="388"/>
      <c r="G142" s="446"/>
    </row>
    <row r="143" spans="1:7" ht="19.5" hidden="1" thickBot="1">
      <c r="A143" s="318"/>
      <c r="B143" s="318" t="s">
        <v>508</v>
      </c>
      <c r="C143" s="319" t="s">
        <v>389</v>
      </c>
      <c r="D143" s="347"/>
      <c r="E143" s="404"/>
      <c r="F143" s="388"/>
      <c r="G143" s="446"/>
    </row>
    <row r="144" spans="1:7" ht="19.5" hidden="1" thickBot="1">
      <c r="A144" s="320"/>
      <c r="B144" s="320" t="s">
        <v>509</v>
      </c>
      <c r="C144" s="321" t="s">
        <v>392</v>
      </c>
      <c r="D144" s="349"/>
      <c r="E144" s="396"/>
      <c r="F144" s="391"/>
      <c r="G144" s="450"/>
    </row>
    <row r="145" spans="1:7">
      <c r="A145" s="312"/>
      <c r="B145" s="312" t="s">
        <v>180</v>
      </c>
      <c r="C145" s="313" t="s">
        <v>510</v>
      </c>
      <c r="D145" s="346"/>
      <c r="E145" s="398"/>
      <c r="F145" s="399"/>
      <c r="G145" s="448"/>
    </row>
    <row r="146" spans="1:7">
      <c r="A146" s="314"/>
      <c r="B146" s="314" t="s">
        <v>181</v>
      </c>
      <c r="C146" s="315" t="s">
        <v>440</v>
      </c>
      <c r="D146" s="347"/>
      <c r="E146" s="401"/>
      <c r="F146" s="402"/>
      <c r="G146" s="449"/>
    </row>
    <row r="147" spans="1:7">
      <c r="A147" s="314"/>
      <c r="B147" s="314" t="s">
        <v>511</v>
      </c>
      <c r="C147" s="315" t="s">
        <v>417</v>
      </c>
      <c r="D147" s="347"/>
      <c r="E147" s="401"/>
      <c r="F147" s="402"/>
      <c r="G147" s="449"/>
    </row>
    <row r="148" spans="1:7">
      <c r="A148" s="318"/>
      <c r="B148" s="318" t="s">
        <v>512</v>
      </c>
      <c r="C148" s="319" t="s">
        <v>392</v>
      </c>
      <c r="D148" s="347" t="s">
        <v>401</v>
      </c>
      <c r="E148" s="404"/>
      <c r="F148" s="388"/>
      <c r="G148" s="446"/>
    </row>
    <row r="149" spans="1:7">
      <c r="A149" s="318"/>
      <c r="B149" s="318" t="s">
        <v>513</v>
      </c>
      <c r="C149" s="319" t="s">
        <v>392</v>
      </c>
      <c r="D149" s="347">
        <v>35</v>
      </c>
      <c r="E149" s="404"/>
      <c r="F149" s="388"/>
      <c r="G149" s="446"/>
    </row>
    <row r="150" spans="1:7">
      <c r="A150" s="318"/>
      <c r="B150" s="318" t="s">
        <v>514</v>
      </c>
      <c r="C150" s="319" t="s">
        <v>479</v>
      </c>
      <c r="D150" s="347">
        <v>110</v>
      </c>
      <c r="E150" s="404">
        <v>21406335.858922992</v>
      </c>
      <c r="F150" s="388">
        <v>5111.7</v>
      </c>
      <c r="G150" s="446">
        <f t="shared" ref="G150:G152" si="9">E150/F150</f>
        <v>4187.7136488688684</v>
      </c>
    </row>
    <row r="151" spans="1:7">
      <c r="A151" s="314"/>
      <c r="B151" s="314" t="s">
        <v>515</v>
      </c>
      <c r="C151" s="315" t="s">
        <v>429</v>
      </c>
      <c r="D151" s="347"/>
      <c r="E151" s="401"/>
      <c r="F151" s="402"/>
      <c r="G151" s="449"/>
    </row>
    <row r="152" spans="1:7">
      <c r="A152" s="318"/>
      <c r="B152" s="318" t="s">
        <v>516</v>
      </c>
      <c r="C152" s="319" t="s">
        <v>392</v>
      </c>
      <c r="D152" s="347" t="s">
        <v>401</v>
      </c>
      <c r="E152" s="404">
        <v>1945023.3763687997</v>
      </c>
      <c r="F152" s="388">
        <v>223.37047999999999</v>
      </c>
      <c r="G152" s="446">
        <f t="shared" si="9"/>
        <v>8707.6115714520547</v>
      </c>
    </row>
    <row r="153" spans="1:7">
      <c r="A153" s="318"/>
      <c r="B153" s="318" t="s">
        <v>517</v>
      </c>
      <c r="C153" s="319" t="s">
        <v>392</v>
      </c>
      <c r="D153" s="347">
        <v>35</v>
      </c>
      <c r="E153" s="404"/>
      <c r="F153" s="388"/>
      <c r="G153" s="446"/>
    </row>
    <row r="154" spans="1:7" ht="19.5" thickBot="1">
      <c r="A154" s="318"/>
      <c r="B154" s="318" t="s">
        <v>518</v>
      </c>
      <c r="C154" s="319" t="s">
        <v>392</v>
      </c>
      <c r="D154" s="347">
        <v>110</v>
      </c>
      <c r="E154" s="404"/>
      <c r="F154" s="388"/>
      <c r="G154" s="446"/>
    </row>
    <row r="155" spans="1:7" ht="47.25" customHeight="1" thickBot="1">
      <c r="A155" s="441"/>
      <c r="B155" s="441" t="s">
        <v>191</v>
      </c>
      <c r="C155" s="442" t="s">
        <v>519</v>
      </c>
      <c r="D155" s="443"/>
      <c r="E155" s="406"/>
      <c r="F155" s="407"/>
      <c r="G155" s="472"/>
    </row>
    <row r="156" spans="1:7">
      <c r="A156" s="322"/>
      <c r="B156" s="322" t="s">
        <v>192</v>
      </c>
      <c r="C156" s="323" t="s">
        <v>520</v>
      </c>
      <c r="D156" s="350"/>
      <c r="E156" s="409"/>
      <c r="F156" s="410"/>
      <c r="G156" s="459"/>
    </row>
    <row r="157" spans="1:7">
      <c r="A157" s="316"/>
      <c r="B157" s="316" t="s">
        <v>193</v>
      </c>
      <c r="C157" s="317" t="s">
        <v>521</v>
      </c>
      <c r="D157" s="348" t="s">
        <v>401</v>
      </c>
      <c r="E157" s="394"/>
      <c r="F157" s="389"/>
      <c r="G157" s="447"/>
    </row>
    <row r="158" spans="1:7" ht="19.5" thickBot="1">
      <c r="A158" s="320"/>
      <c r="B158" s="320" t="s">
        <v>194</v>
      </c>
      <c r="C158" s="321" t="s">
        <v>521</v>
      </c>
      <c r="D158" s="349">
        <v>35</v>
      </c>
      <c r="E158" s="396"/>
      <c r="F158" s="391"/>
      <c r="G158" s="450"/>
    </row>
    <row r="159" spans="1:7">
      <c r="A159" s="324"/>
      <c r="B159" s="324" t="s">
        <v>195</v>
      </c>
      <c r="C159" s="325" t="s">
        <v>522</v>
      </c>
      <c r="D159" s="351"/>
      <c r="E159" s="412"/>
      <c r="F159" s="413"/>
      <c r="G159" s="460"/>
    </row>
    <row r="160" spans="1:7">
      <c r="A160" s="316"/>
      <c r="B160" s="316" t="s">
        <v>196</v>
      </c>
      <c r="C160" s="317" t="s">
        <v>523</v>
      </c>
      <c r="D160" s="348" t="s">
        <v>401</v>
      </c>
      <c r="E160" s="394">
        <v>9213556.4269423988</v>
      </c>
      <c r="F160" s="389">
        <v>400</v>
      </c>
      <c r="G160" s="447">
        <f t="shared" ref="G160:G161" si="10">E160/F160</f>
        <v>23033.891067355999</v>
      </c>
    </row>
    <row r="161" spans="1:7" ht="19.5" thickBot="1">
      <c r="A161" s="320"/>
      <c r="B161" s="320" t="s">
        <v>197</v>
      </c>
      <c r="C161" s="321" t="s">
        <v>524</v>
      </c>
      <c r="D161" s="349" t="s">
        <v>401</v>
      </c>
      <c r="E161" s="396">
        <v>39752156.912426397</v>
      </c>
      <c r="F161" s="391">
        <v>4570.04</v>
      </c>
      <c r="G161" s="450">
        <f t="shared" si="10"/>
        <v>8698.4264716340331</v>
      </c>
    </row>
    <row r="162" spans="1:7" ht="48" thickBot="1">
      <c r="A162" s="441"/>
      <c r="B162" s="441" t="s">
        <v>198</v>
      </c>
      <c r="C162" s="442" t="s">
        <v>525</v>
      </c>
      <c r="D162" s="443"/>
      <c r="E162" s="406"/>
      <c r="F162" s="407"/>
      <c r="G162" s="472"/>
    </row>
    <row r="163" spans="1:7" ht="32.25" thickBot="1">
      <c r="A163" s="326"/>
      <c r="B163" s="326" t="s">
        <v>199</v>
      </c>
      <c r="C163" s="327" t="s">
        <v>526</v>
      </c>
      <c r="D163" s="352"/>
      <c r="E163" s="415"/>
      <c r="F163" s="416"/>
      <c r="G163" s="461"/>
    </row>
    <row r="164" spans="1:7" ht="19.5" thickBot="1">
      <c r="A164" s="326"/>
      <c r="B164" s="326" t="s">
        <v>527</v>
      </c>
      <c r="C164" s="327" t="s">
        <v>528</v>
      </c>
      <c r="D164" s="352"/>
      <c r="E164" s="415"/>
      <c r="F164" s="416"/>
      <c r="G164" s="461"/>
    </row>
    <row r="165" spans="1:7">
      <c r="A165" s="328"/>
      <c r="B165" s="328" t="s">
        <v>529</v>
      </c>
      <c r="C165" s="329" t="s">
        <v>530</v>
      </c>
      <c r="D165" s="351" t="s">
        <v>531</v>
      </c>
      <c r="E165" s="418"/>
      <c r="F165" s="462"/>
      <c r="G165" s="463"/>
    </row>
    <row r="166" spans="1:7">
      <c r="A166" s="316"/>
      <c r="B166" s="316" t="s">
        <v>532</v>
      </c>
      <c r="C166" s="317" t="s">
        <v>533</v>
      </c>
      <c r="D166" s="348" t="s">
        <v>531</v>
      </c>
      <c r="E166" s="394">
        <v>2366576.3238232546</v>
      </c>
      <c r="F166" s="389">
        <v>207.5</v>
      </c>
      <c r="G166" s="447">
        <f t="shared" ref="G166:G170" si="11">E166/F166</f>
        <v>11405.187102762673</v>
      </c>
    </row>
    <row r="167" spans="1:7">
      <c r="A167" s="316"/>
      <c r="B167" s="316" t="s">
        <v>534</v>
      </c>
      <c r="C167" s="317" t="s">
        <v>535</v>
      </c>
      <c r="D167" s="348" t="s">
        <v>531</v>
      </c>
      <c r="E167" s="394">
        <v>1614516.7823437187</v>
      </c>
      <c r="F167" s="389">
        <v>125.66666666666667</v>
      </c>
      <c r="G167" s="447">
        <f t="shared" si="11"/>
        <v>12847.613652602535</v>
      </c>
    </row>
    <row r="168" spans="1:7">
      <c r="A168" s="316"/>
      <c r="B168" s="316" t="s">
        <v>536</v>
      </c>
      <c r="C168" s="317" t="s">
        <v>537</v>
      </c>
      <c r="D168" s="348" t="s">
        <v>531</v>
      </c>
      <c r="E168" s="394">
        <v>3835912.6540488</v>
      </c>
      <c r="F168" s="389">
        <v>490</v>
      </c>
      <c r="G168" s="447">
        <f t="shared" si="11"/>
        <v>7828.3931715281633</v>
      </c>
    </row>
    <row r="169" spans="1:7">
      <c r="A169" s="316"/>
      <c r="B169" s="316" t="s">
        <v>538</v>
      </c>
      <c r="C169" s="317" t="s">
        <v>539</v>
      </c>
      <c r="D169" s="348" t="s">
        <v>531</v>
      </c>
      <c r="E169" s="394">
        <v>2809108.1512464015</v>
      </c>
      <c r="F169" s="389">
        <v>463.33333333333331</v>
      </c>
      <c r="G169" s="447">
        <f t="shared" si="11"/>
        <v>6062.823348013816</v>
      </c>
    </row>
    <row r="170" spans="1:7" ht="19.5" thickBot="1">
      <c r="A170" s="316"/>
      <c r="B170" s="316" t="s">
        <v>540</v>
      </c>
      <c r="C170" s="317" t="s">
        <v>541</v>
      </c>
      <c r="D170" s="348" t="s">
        <v>531</v>
      </c>
      <c r="E170" s="394">
        <v>4306399.9638711996</v>
      </c>
      <c r="F170" s="389">
        <v>315</v>
      </c>
      <c r="G170" s="447">
        <f t="shared" si="11"/>
        <v>13671.110996416506</v>
      </c>
    </row>
    <row r="171" spans="1:7" ht="19.5" thickBot="1">
      <c r="A171" s="326"/>
      <c r="B171" s="326" t="s">
        <v>542</v>
      </c>
      <c r="C171" s="327" t="s">
        <v>543</v>
      </c>
      <c r="D171" s="352"/>
      <c r="E171" s="415"/>
      <c r="F171" s="416"/>
      <c r="G171" s="461"/>
    </row>
    <row r="172" spans="1:7">
      <c r="A172" s="328"/>
      <c r="B172" s="328" t="s">
        <v>544</v>
      </c>
      <c r="C172" s="329" t="s">
        <v>530</v>
      </c>
      <c r="D172" s="351" t="s">
        <v>531</v>
      </c>
      <c r="E172" s="454"/>
      <c r="F172" s="455"/>
      <c r="G172" s="456"/>
    </row>
    <row r="173" spans="1:7">
      <c r="A173" s="316"/>
      <c r="B173" s="316" t="s">
        <v>545</v>
      </c>
      <c r="C173" s="317" t="s">
        <v>533</v>
      </c>
      <c r="D173" s="348" t="s">
        <v>531</v>
      </c>
      <c r="E173" s="464"/>
      <c r="F173" s="465"/>
      <c r="G173" s="466"/>
    </row>
    <row r="174" spans="1:7">
      <c r="A174" s="316"/>
      <c r="B174" s="316" t="s">
        <v>546</v>
      </c>
      <c r="C174" s="317" t="s">
        <v>535</v>
      </c>
      <c r="D174" s="348" t="s">
        <v>531</v>
      </c>
      <c r="E174" s="473">
        <v>8068887.8607115997</v>
      </c>
      <c r="F174" s="474">
        <v>375</v>
      </c>
      <c r="G174" s="475">
        <f t="shared" ref="G174:G177" si="12">E174/F174</f>
        <v>21517.034295230933</v>
      </c>
    </row>
    <row r="175" spans="1:7">
      <c r="A175" s="316"/>
      <c r="B175" s="316" t="s">
        <v>547</v>
      </c>
      <c r="C175" s="317" t="s">
        <v>537</v>
      </c>
      <c r="D175" s="348" t="s">
        <v>531</v>
      </c>
      <c r="E175" s="464">
        <v>4262501.3845336</v>
      </c>
      <c r="F175" s="465">
        <v>209.25</v>
      </c>
      <c r="G175" s="466">
        <f t="shared" si="12"/>
        <v>20370.376987018401</v>
      </c>
    </row>
    <row r="176" spans="1:7">
      <c r="A176" s="316"/>
      <c r="B176" s="316" t="s">
        <v>548</v>
      </c>
      <c r="C176" s="317" t="s">
        <v>539</v>
      </c>
      <c r="D176" s="348" t="s">
        <v>531</v>
      </c>
      <c r="E176" s="464">
        <v>6806390.1346375998</v>
      </c>
      <c r="F176" s="465">
        <v>1876</v>
      </c>
      <c r="G176" s="466">
        <f t="shared" si="12"/>
        <v>3628.1397306170575</v>
      </c>
    </row>
    <row r="177" spans="1:7" ht="19.5" thickBot="1">
      <c r="A177" s="316"/>
      <c r="B177" s="316" t="s">
        <v>549</v>
      </c>
      <c r="C177" s="317" t="s">
        <v>541</v>
      </c>
      <c r="D177" s="348" t="s">
        <v>531</v>
      </c>
      <c r="E177" s="464">
        <v>3741591.1659047999</v>
      </c>
      <c r="F177" s="465">
        <v>1540.4</v>
      </c>
      <c r="G177" s="466">
        <f t="shared" si="12"/>
        <v>2428.9737509119709</v>
      </c>
    </row>
    <row r="178" spans="1:7" ht="32.25" thickBot="1">
      <c r="A178" s="441"/>
      <c r="B178" s="441" t="s">
        <v>351</v>
      </c>
      <c r="C178" s="442" t="s">
        <v>550</v>
      </c>
      <c r="D178" s="443"/>
      <c r="E178" s="406"/>
      <c r="F178" s="407"/>
      <c r="G178" s="472"/>
    </row>
    <row r="179" spans="1:7" ht="19.5" thickBot="1">
      <c r="A179" s="326"/>
      <c r="B179" s="326" t="s">
        <v>551</v>
      </c>
      <c r="C179" s="327" t="s">
        <v>552</v>
      </c>
      <c r="D179" s="352"/>
      <c r="E179" s="415"/>
      <c r="F179" s="416"/>
      <c r="G179" s="461"/>
    </row>
    <row r="180" spans="1:7" ht="19.5" thickBot="1">
      <c r="A180" s="326"/>
      <c r="B180" s="326" t="s">
        <v>553</v>
      </c>
      <c r="C180" s="327" t="s">
        <v>543</v>
      </c>
      <c r="D180" s="352"/>
      <c r="E180" s="415"/>
      <c r="F180" s="416"/>
      <c r="G180" s="461"/>
    </row>
    <row r="181" spans="1:7">
      <c r="A181" s="330"/>
      <c r="B181" s="330" t="s">
        <v>554</v>
      </c>
      <c r="C181" s="331" t="s">
        <v>530</v>
      </c>
      <c r="D181" s="353" t="s">
        <v>531</v>
      </c>
      <c r="E181" s="419"/>
      <c r="F181" s="467"/>
      <c r="G181" s="468"/>
    </row>
    <row r="182" spans="1:7">
      <c r="A182" s="316"/>
      <c r="B182" s="316" t="s">
        <v>555</v>
      </c>
      <c r="C182" s="317" t="s">
        <v>533</v>
      </c>
      <c r="D182" s="348" t="s">
        <v>531</v>
      </c>
      <c r="E182" s="394"/>
      <c r="F182" s="389"/>
      <c r="G182" s="447"/>
    </row>
    <row r="183" spans="1:7">
      <c r="A183" s="316"/>
      <c r="B183" s="316" t="s">
        <v>556</v>
      </c>
      <c r="C183" s="317" t="s">
        <v>535</v>
      </c>
      <c r="D183" s="348" t="s">
        <v>531</v>
      </c>
      <c r="E183" s="473">
        <v>6575621.9775999999</v>
      </c>
      <c r="F183" s="474">
        <v>66.666666666666671</v>
      </c>
      <c r="G183" s="475">
        <f t="shared" ref="G183" si="13">E183/F183</f>
        <v>98634.32966399999</v>
      </c>
    </row>
    <row r="184" spans="1:7">
      <c r="A184" s="316"/>
      <c r="B184" s="316" t="s">
        <v>557</v>
      </c>
      <c r="C184" s="317" t="s">
        <v>537</v>
      </c>
      <c r="D184" s="348" t="s">
        <v>531</v>
      </c>
      <c r="E184" s="394"/>
      <c r="F184" s="389"/>
      <c r="G184" s="447"/>
    </row>
    <row r="185" spans="1:7">
      <c r="A185" s="316"/>
      <c r="B185" s="316" t="s">
        <v>558</v>
      </c>
      <c r="C185" s="317" t="s">
        <v>539</v>
      </c>
      <c r="D185" s="348" t="s">
        <v>531</v>
      </c>
      <c r="E185" s="394"/>
      <c r="F185" s="389"/>
      <c r="G185" s="447"/>
    </row>
    <row r="186" spans="1:7" ht="19.5" thickBot="1">
      <c r="A186" s="320"/>
      <c r="B186" s="320" t="s">
        <v>559</v>
      </c>
      <c r="C186" s="321" t="s">
        <v>541</v>
      </c>
      <c r="D186" s="349" t="s">
        <v>531</v>
      </c>
      <c r="E186" s="396"/>
      <c r="F186" s="391"/>
      <c r="G186" s="450"/>
    </row>
    <row r="187" spans="1:7" ht="32.25" thickBot="1">
      <c r="A187" s="441"/>
      <c r="B187" s="441" t="s">
        <v>353</v>
      </c>
      <c r="C187" s="442" t="s">
        <v>560</v>
      </c>
      <c r="D187" s="443"/>
      <c r="E187" s="406"/>
      <c r="F187" s="407"/>
      <c r="G187" s="472"/>
    </row>
    <row r="188" spans="1:7" ht="39.75" customHeight="1" thickBot="1">
      <c r="A188" s="309" t="s">
        <v>198</v>
      </c>
      <c r="B188" s="309"/>
      <c r="C188" s="306" t="s">
        <v>109</v>
      </c>
      <c r="D188" s="336"/>
      <c r="E188" s="307">
        <f>'прил.3 стандарт С1 2019 кВт'!D14</f>
        <v>47830197.070643224</v>
      </c>
      <c r="F188" s="307">
        <f>SUM(F190:F192)</f>
        <v>136886</v>
      </c>
      <c r="G188" s="307"/>
    </row>
    <row r="189" spans="1:7">
      <c r="A189" s="290"/>
      <c r="B189" s="290"/>
      <c r="C189" s="291" t="s">
        <v>370</v>
      </c>
      <c r="D189" s="301"/>
      <c r="E189" s="292"/>
      <c r="F189" s="292"/>
      <c r="G189" s="354"/>
    </row>
    <row r="190" spans="1:7">
      <c r="A190" s="290"/>
      <c r="B190" s="290"/>
      <c r="C190" s="956" t="s">
        <v>139</v>
      </c>
      <c r="D190" s="957"/>
      <c r="E190" s="303">
        <f>F190*G190</f>
        <v>41488954.114448376</v>
      </c>
      <c r="F190" s="303">
        <v>33716.666666666664</v>
      </c>
      <c r="G190" s="360">
        <f>'прил.3 стандарт С1 2019 кВт'!I14</f>
        <v>1230.5176702258541</v>
      </c>
    </row>
    <row r="191" spans="1:7">
      <c r="A191" s="293"/>
      <c r="B191" s="293"/>
      <c r="C191" s="956" t="s">
        <v>164</v>
      </c>
      <c r="D191" s="957"/>
      <c r="E191" s="304">
        <f t="shared" ref="E191:E192" si="14">F191*G191</f>
        <v>3183153.9059404964</v>
      </c>
      <c r="F191" s="304">
        <v>9825</v>
      </c>
      <c r="G191" s="360">
        <f>'прил.3 стандарт С1 2019 кВт'!J14</f>
        <v>323.98513037562304</v>
      </c>
    </row>
    <row r="192" spans="1:7" ht="19.5" thickBot="1">
      <c r="A192" s="293"/>
      <c r="B192" s="293"/>
      <c r="C192" s="954" t="s">
        <v>378</v>
      </c>
      <c r="D192" s="955"/>
      <c r="E192" s="304">
        <f t="shared" si="14"/>
        <v>3158089.0502543491</v>
      </c>
      <c r="F192" s="304">
        <v>93344.333333333328</v>
      </c>
      <c r="G192" s="360">
        <f>'прил.3 стандарт С1 2019 кВт'!K14</f>
        <v>33.832680972467699</v>
      </c>
    </row>
    <row r="193" spans="1:8" ht="19.5" thickTop="1">
      <c r="A193" s="290"/>
      <c r="B193" s="290"/>
      <c r="C193" s="295" t="s">
        <v>371</v>
      </c>
      <c r="D193" s="302"/>
      <c r="E193" s="296"/>
      <c r="F193" s="296"/>
      <c r="G193" s="355"/>
    </row>
    <row r="194" spans="1:8">
      <c r="A194" s="290"/>
      <c r="B194" s="290"/>
      <c r="C194" s="956" t="s">
        <v>139</v>
      </c>
      <c r="D194" s="957"/>
      <c r="E194" s="303">
        <f>E190</f>
        <v>41488954.114448376</v>
      </c>
      <c r="F194" s="303">
        <f t="shared" ref="F194:G194" si="15">F190</f>
        <v>33716.666666666664</v>
      </c>
      <c r="G194" s="360">
        <f t="shared" si="15"/>
        <v>1230.5176702258541</v>
      </c>
    </row>
    <row r="195" spans="1:8">
      <c r="A195" s="293"/>
      <c r="B195" s="293"/>
      <c r="C195" s="956" t="s">
        <v>164</v>
      </c>
      <c r="D195" s="957"/>
      <c r="E195" s="304">
        <f t="shared" ref="E195:G195" si="16">E191</f>
        <v>3183153.9059404964</v>
      </c>
      <c r="F195" s="304">
        <f t="shared" si="16"/>
        <v>9825</v>
      </c>
      <c r="G195" s="360">
        <f t="shared" si="16"/>
        <v>323.98513037562304</v>
      </c>
    </row>
    <row r="196" spans="1:8" ht="19.5" thickBot="1">
      <c r="A196" s="293"/>
      <c r="B196" s="293"/>
      <c r="C196" s="954" t="s">
        <v>378</v>
      </c>
      <c r="D196" s="955"/>
      <c r="E196" s="304">
        <f t="shared" ref="E196:G196" si="17">E192</f>
        <v>3158089.0502543491</v>
      </c>
      <c r="F196" s="304">
        <f t="shared" si="17"/>
        <v>93344.333333333328</v>
      </c>
      <c r="G196" s="360">
        <f t="shared" si="17"/>
        <v>33.832680972467699</v>
      </c>
    </row>
    <row r="197" spans="1:8" ht="33" thickTop="1" thickBot="1">
      <c r="A197" s="309" t="s">
        <v>351</v>
      </c>
      <c r="B197" s="309"/>
      <c r="C197" s="306" t="s">
        <v>374</v>
      </c>
      <c r="D197" s="336"/>
      <c r="E197" s="307"/>
      <c r="F197" s="307"/>
      <c r="G197" s="307"/>
    </row>
    <row r="198" spans="1:8" ht="19.5" thickBot="1">
      <c r="A198" s="290"/>
      <c r="B198" s="290"/>
      <c r="C198" s="301" t="s">
        <v>370</v>
      </c>
      <c r="D198" s="301"/>
      <c r="E198" s="292"/>
      <c r="F198" s="292"/>
      <c r="G198" s="354"/>
    </row>
    <row r="199" spans="1:8" ht="20.25" thickTop="1" thickBot="1">
      <c r="A199" s="290"/>
      <c r="B199" s="290"/>
      <c r="C199" s="302" t="s">
        <v>371</v>
      </c>
      <c r="D199" s="302"/>
      <c r="E199" s="296"/>
      <c r="F199" s="296"/>
      <c r="G199" s="355"/>
    </row>
    <row r="200" spans="1:8" ht="32.25" thickBot="1">
      <c r="A200" s="309" t="s">
        <v>353</v>
      </c>
      <c r="B200" s="309"/>
      <c r="C200" s="310" t="s">
        <v>375</v>
      </c>
      <c r="D200" s="345"/>
      <c r="E200" s="307"/>
      <c r="F200" s="311"/>
      <c r="G200" s="311"/>
    </row>
    <row r="201" spans="1:8" ht="19.5" thickBot="1">
      <c r="A201" s="290"/>
      <c r="B201" s="290"/>
      <c r="C201" s="958" t="s">
        <v>370</v>
      </c>
      <c r="D201" s="959"/>
      <c r="E201" s="297"/>
      <c r="F201" s="289"/>
      <c r="G201" s="289"/>
    </row>
    <row r="202" spans="1:8" ht="20.25" thickTop="1" thickBot="1">
      <c r="A202" s="711"/>
      <c r="B202" s="711"/>
      <c r="C202" s="712" t="s">
        <v>371</v>
      </c>
      <c r="D202" s="712"/>
      <c r="E202" s="361"/>
      <c r="F202" s="361"/>
      <c r="G202" s="362"/>
    </row>
    <row r="205" spans="1:8" s="504" customFormat="1" ht="19.5" customHeight="1">
      <c r="A205" s="585" t="s">
        <v>200</v>
      </c>
      <c r="B205" s="585"/>
      <c r="C205" s="585"/>
      <c r="E205" s="506"/>
      <c r="F205" s="585" t="s">
        <v>706</v>
      </c>
      <c r="G205" s="506"/>
      <c r="H205" s="503"/>
    </row>
    <row r="207" spans="1:8" s="730" customFormat="1" ht="19.5">
      <c r="A207" s="730" t="s">
        <v>845</v>
      </c>
      <c r="F207" s="730" t="s">
        <v>847</v>
      </c>
    </row>
    <row r="211" spans="5:5">
      <c r="E211" s="495">
        <f>E8+E188-'прил.3 стандарт С1 2019 кВт'!D10</f>
        <v>0</v>
      </c>
    </row>
  </sheetData>
  <mergeCells count="16">
    <mergeCell ref="C3:G3"/>
    <mergeCell ref="C4:G4"/>
    <mergeCell ref="C10:D10"/>
    <mergeCell ref="C11:D11"/>
    <mergeCell ref="C12:D12"/>
    <mergeCell ref="C7:D7"/>
    <mergeCell ref="C14:D14"/>
    <mergeCell ref="C15:D15"/>
    <mergeCell ref="C16:D16"/>
    <mergeCell ref="C190:D190"/>
    <mergeCell ref="C191:D191"/>
    <mergeCell ref="C192:D192"/>
    <mergeCell ref="C194:D194"/>
    <mergeCell ref="C195:D195"/>
    <mergeCell ref="C196:D196"/>
    <mergeCell ref="C201:D201"/>
  </mergeCells>
  <pageMargins left="0.94488188976377963" right="0.19685039370078741" top="0.74803149606299213" bottom="0" header="0.51181102362204722" footer="0.15748031496062992"/>
  <pageSetup paperSize="9" scale="63" fitToHeight="0" orientation="landscape" r:id="rId1"/>
  <headerFooter alignWithMargins="0"/>
  <rowBreaks count="1" manualBreakCount="1">
    <brk id="165"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12"/>
  <sheetViews>
    <sheetView view="pageBreakPreview" zoomScale="67" zoomScaleNormal="75" zoomScaleSheetLayoutView="67" workbookViewId="0">
      <selection activeCell="E19" sqref="E19"/>
    </sheetView>
  </sheetViews>
  <sheetFormatPr defaultRowHeight="18.75"/>
  <cols>
    <col min="1" max="1" width="12.28515625" style="282" bestFit="1" customWidth="1"/>
    <col min="2" max="2" width="16.28515625" style="282" customWidth="1"/>
    <col min="3" max="3" width="92" style="283" customWidth="1"/>
    <col min="4" max="4" width="15.42578125" style="334" customWidth="1"/>
    <col min="5" max="5" width="21" style="283" customWidth="1"/>
    <col min="6" max="6" width="21.28515625" style="283" customWidth="1"/>
    <col min="7" max="7" width="31.85546875" style="283" customWidth="1"/>
    <col min="8" max="257" width="9.140625" style="283"/>
    <col min="258" max="258" width="4.85546875" style="283" customWidth="1"/>
    <col min="259" max="259" width="12.28515625" style="283" bestFit="1" customWidth="1"/>
    <col min="260" max="260" width="92" style="283" customWidth="1"/>
    <col min="261" max="261" width="21" style="283" customWidth="1"/>
    <col min="262" max="262" width="21.28515625" style="283" customWidth="1"/>
    <col min="263" max="263" width="31.85546875" style="283" customWidth="1"/>
    <col min="264" max="513" width="9.140625" style="283"/>
    <col min="514" max="514" width="4.85546875" style="283" customWidth="1"/>
    <col min="515" max="515" width="12.28515625" style="283" bestFit="1" customWidth="1"/>
    <col min="516" max="516" width="92" style="283" customWidth="1"/>
    <col min="517" max="517" width="21" style="283" customWidth="1"/>
    <col min="518" max="518" width="21.28515625" style="283" customWidth="1"/>
    <col min="519" max="519" width="31.85546875" style="283" customWidth="1"/>
    <col min="520" max="769" width="9.140625" style="283"/>
    <col min="770" max="770" width="4.85546875" style="283" customWidth="1"/>
    <col min="771" max="771" width="12.28515625" style="283" bestFit="1" customWidth="1"/>
    <col min="772" max="772" width="92" style="283" customWidth="1"/>
    <col min="773" max="773" width="21" style="283" customWidth="1"/>
    <col min="774" max="774" width="21.28515625" style="283" customWidth="1"/>
    <col min="775" max="775" width="31.85546875" style="283" customWidth="1"/>
    <col min="776" max="1025" width="9.140625" style="283"/>
    <col min="1026" max="1026" width="4.85546875" style="283" customWidth="1"/>
    <col min="1027" max="1027" width="12.28515625" style="283" bestFit="1" customWidth="1"/>
    <col min="1028" max="1028" width="92" style="283" customWidth="1"/>
    <col min="1029" max="1029" width="21" style="283" customWidth="1"/>
    <col min="1030" max="1030" width="21.28515625" style="283" customWidth="1"/>
    <col min="1031" max="1031" width="31.85546875" style="283" customWidth="1"/>
    <col min="1032" max="1281" width="9.140625" style="283"/>
    <col min="1282" max="1282" width="4.85546875" style="283" customWidth="1"/>
    <col min="1283" max="1283" width="12.28515625" style="283" bestFit="1" customWidth="1"/>
    <col min="1284" max="1284" width="92" style="283" customWidth="1"/>
    <col min="1285" max="1285" width="21" style="283" customWidth="1"/>
    <col min="1286" max="1286" width="21.28515625" style="283" customWidth="1"/>
    <col min="1287" max="1287" width="31.85546875" style="283" customWidth="1"/>
    <col min="1288" max="1537" width="9.140625" style="283"/>
    <col min="1538" max="1538" width="4.85546875" style="283" customWidth="1"/>
    <col min="1539" max="1539" width="12.28515625" style="283" bestFit="1" customWidth="1"/>
    <col min="1540" max="1540" width="92" style="283" customWidth="1"/>
    <col min="1541" max="1541" width="21" style="283" customWidth="1"/>
    <col min="1542" max="1542" width="21.28515625" style="283" customWidth="1"/>
    <col min="1543" max="1543" width="31.85546875" style="283" customWidth="1"/>
    <col min="1544" max="1793" width="9.140625" style="283"/>
    <col min="1794" max="1794" width="4.85546875" style="283" customWidth="1"/>
    <col min="1795" max="1795" width="12.28515625" style="283" bestFit="1" customWidth="1"/>
    <col min="1796" max="1796" width="92" style="283" customWidth="1"/>
    <col min="1797" max="1797" width="21" style="283" customWidth="1"/>
    <col min="1798" max="1798" width="21.28515625" style="283" customWidth="1"/>
    <col min="1799" max="1799" width="31.85546875" style="283" customWidth="1"/>
    <col min="1800" max="2049" width="9.140625" style="283"/>
    <col min="2050" max="2050" width="4.85546875" style="283" customWidth="1"/>
    <col min="2051" max="2051" width="12.28515625" style="283" bestFit="1" customWidth="1"/>
    <col min="2052" max="2052" width="92" style="283" customWidth="1"/>
    <col min="2053" max="2053" width="21" style="283" customWidth="1"/>
    <col min="2054" max="2054" width="21.28515625" style="283" customWidth="1"/>
    <col min="2055" max="2055" width="31.85546875" style="283" customWidth="1"/>
    <col min="2056" max="2305" width="9.140625" style="283"/>
    <col min="2306" max="2306" width="4.85546875" style="283" customWidth="1"/>
    <col min="2307" max="2307" width="12.28515625" style="283" bestFit="1" customWidth="1"/>
    <col min="2308" max="2308" width="92" style="283" customWidth="1"/>
    <col min="2309" max="2309" width="21" style="283" customWidth="1"/>
    <col min="2310" max="2310" width="21.28515625" style="283" customWidth="1"/>
    <col min="2311" max="2311" width="31.85546875" style="283" customWidth="1"/>
    <col min="2312" max="2561" width="9.140625" style="283"/>
    <col min="2562" max="2562" width="4.85546875" style="283" customWidth="1"/>
    <col min="2563" max="2563" width="12.28515625" style="283" bestFit="1" customWidth="1"/>
    <col min="2564" max="2564" width="92" style="283" customWidth="1"/>
    <col min="2565" max="2565" width="21" style="283" customWidth="1"/>
    <col min="2566" max="2566" width="21.28515625" style="283" customWidth="1"/>
    <col min="2567" max="2567" width="31.85546875" style="283" customWidth="1"/>
    <col min="2568" max="2817" width="9.140625" style="283"/>
    <col min="2818" max="2818" width="4.85546875" style="283" customWidth="1"/>
    <col min="2819" max="2819" width="12.28515625" style="283" bestFit="1" customWidth="1"/>
    <col min="2820" max="2820" width="92" style="283" customWidth="1"/>
    <col min="2821" max="2821" width="21" style="283" customWidth="1"/>
    <col min="2822" max="2822" width="21.28515625" style="283" customWidth="1"/>
    <col min="2823" max="2823" width="31.85546875" style="283" customWidth="1"/>
    <col min="2824" max="3073" width="9.140625" style="283"/>
    <col min="3074" max="3074" width="4.85546875" style="283" customWidth="1"/>
    <col min="3075" max="3075" width="12.28515625" style="283" bestFit="1" customWidth="1"/>
    <col min="3076" max="3076" width="92" style="283" customWidth="1"/>
    <col min="3077" max="3077" width="21" style="283" customWidth="1"/>
    <col min="3078" max="3078" width="21.28515625" style="283" customWidth="1"/>
    <col min="3079" max="3079" width="31.85546875" style="283" customWidth="1"/>
    <col min="3080" max="3329" width="9.140625" style="283"/>
    <col min="3330" max="3330" width="4.85546875" style="283" customWidth="1"/>
    <col min="3331" max="3331" width="12.28515625" style="283" bestFit="1" customWidth="1"/>
    <col min="3332" max="3332" width="92" style="283" customWidth="1"/>
    <col min="3333" max="3333" width="21" style="283" customWidth="1"/>
    <col min="3334" max="3334" width="21.28515625" style="283" customWidth="1"/>
    <col min="3335" max="3335" width="31.85546875" style="283" customWidth="1"/>
    <col min="3336" max="3585" width="9.140625" style="283"/>
    <col min="3586" max="3586" width="4.85546875" style="283" customWidth="1"/>
    <col min="3587" max="3587" width="12.28515625" style="283" bestFit="1" customWidth="1"/>
    <col min="3588" max="3588" width="92" style="283" customWidth="1"/>
    <col min="3589" max="3589" width="21" style="283" customWidth="1"/>
    <col min="3590" max="3590" width="21.28515625" style="283" customWidth="1"/>
    <col min="3591" max="3591" width="31.85546875" style="283" customWidth="1"/>
    <col min="3592" max="3841" width="9.140625" style="283"/>
    <col min="3842" max="3842" width="4.85546875" style="283" customWidth="1"/>
    <col min="3843" max="3843" width="12.28515625" style="283" bestFit="1" customWidth="1"/>
    <col min="3844" max="3844" width="92" style="283" customWidth="1"/>
    <col min="3845" max="3845" width="21" style="283" customWidth="1"/>
    <col min="3846" max="3846" width="21.28515625" style="283" customWidth="1"/>
    <col min="3847" max="3847" width="31.85546875" style="283" customWidth="1"/>
    <col min="3848" max="4097" width="9.140625" style="283"/>
    <col min="4098" max="4098" width="4.85546875" style="283" customWidth="1"/>
    <col min="4099" max="4099" width="12.28515625" style="283" bestFit="1" customWidth="1"/>
    <col min="4100" max="4100" width="92" style="283" customWidth="1"/>
    <col min="4101" max="4101" width="21" style="283" customWidth="1"/>
    <col min="4102" max="4102" width="21.28515625" style="283" customWidth="1"/>
    <col min="4103" max="4103" width="31.85546875" style="283" customWidth="1"/>
    <col min="4104" max="4353" width="9.140625" style="283"/>
    <col min="4354" max="4354" width="4.85546875" style="283" customWidth="1"/>
    <col min="4355" max="4355" width="12.28515625" style="283" bestFit="1" customWidth="1"/>
    <col min="4356" max="4356" width="92" style="283" customWidth="1"/>
    <col min="4357" max="4357" width="21" style="283" customWidth="1"/>
    <col min="4358" max="4358" width="21.28515625" style="283" customWidth="1"/>
    <col min="4359" max="4359" width="31.85546875" style="283" customWidth="1"/>
    <col min="4360" max="4609" width="9.140625" style="283"/>
    <col min="4610" max="4610" width="4.85546875" style="283" customWidth="1"/>
    <col min="4611" max="4611" width="12.28515625" style="283" bestFit="1" customWidth="1"/>
    <col min="4612" max="4612" width="92" style="283" customWidth="1"/>
    <col min="4613" max="4613" width="21" style="283" customWidth="1"/>
    <col min="4614" max="4614" width="21.28515625" style="283" customWidth="1"/>
    <col min="4615" max="4615" width="31.85546875" style="283" customWidth="1"/>
    <col min="4616" max="4865" width="9.140625" style="283"/>
    <col min="4866" max="4866" width="4.85546875" style="283" customWidth="1"/>
    <col min="4867" max="4867" width="12.28515625" style="283" bestFit="1" customWidth="1"/>
    <col min="4868" max="4868" width="92" style="283" customWidth="1"/>
    <col min="4869" max="4869" width="21" style="283" customWidth="1"/>
    <col min="4870" max="4870" width="21.28515625" style="283" customWidth="1"/>
    <col min="4871" max="4871" width="31.85546875" style="283" customWidth="1"/>
    <col min="4872" max="5121" width="9.140625" style="283"/>
    <col min="5122" max="5122" width="4.85546875" style="283" customWidth="1"/>
    <col min="5123" max="5123" width="12.28515625" style="283" bestFit="1" customWidth="1"/>
    <col min="5124" max="5124" width="92" style="283" customWidth="1"/>
    <col min="5125" max="5125" width="21" style="283" customWidth="1"/>
    <col min="5126" max="5126" width="21.28515625" style="283" customWidth="1"/>
    <col min="5127" max="5127" width="31.85546875" style="283" customWidth="1"/>
    <col min="5128" max="5377" width="9.140625" style="283"/>
    <col min="5378" max="5378" width="4.85546875" style="283" customWidth="1"/>
    <col min="5379" max="5379" width="12.28515625" style="283" bestFit="1" customWidth="1"/>
    <col min="5380" max="5380" width="92" style="283" customWidth="1"/>
    <col min="5381" max="5381" width="21" style="283" customWidth="1"/>
    <col min="5382" max="5382" width="21.28515625" style="283" customWidth="1"/>
    <col min="5383" max="5383" width="31.85546875" style="283" customWidth="1"/>
    <col min="5384" max="5633" width="9.140625" style="283"/>
    <col min="5634" max="5634" width="4.85546875" style="283" customWidth="1"/>
    <col min="5635" max="5635" width="12.28515625" style="283" bestFit="1" customWidth="1"/>
    <col min="5636" max="5636" width="92" style="283" customWidth="1"/>
    <col min="5637" max="5637" width="21" style="283" customWidth="1"/>
    <col min="5638" max="5638" width="21.28515625" style="283" customWidth="1"/>
    <col min="5639" max="5639" width="31.85546875" style="283" customWidth="1"/>
    <col min="5640" max="5889" width="9.140625" style="283"/>
    <col min="5890" max="5890" width="4.85546875" style="283" customWidth="1"/>
    <col min="5891" max="5891" width="12.28515625" style="283" bestFit="1" customWidth="1"/>
    <col min="5892" max="5892" width="92" style="283" customWidth="1"/>
    <col min="5893" max="5893" width="21" style="283" customWidth="1"/>
    <col min="5894" max="5894" width="21.28515625" style="283" customWidth="1"/>
    <col min="5895" max="5895" width="31.85546875" style="283" customWidth="1"/>
    <col min="5896" max="6145" width="9.140625" style="283"/>
    <col min="6146" max="6146" width="4.85546875" style="283" customWidth="1"/>
    <col min="6147" max="6147" width="12.28515625" style="283" bestFit="1" customWidth="1"/>
    <col min="6148" max="6148" width="92" style="283" customWidth="1"/>
    <col min="6149" max="6149" width="21" style="283" customWidth="1"/>
    <col min="6150" max="6150" width="21.28515625" style="283" customWidth="1"/>
    <col min="6151" max="6151" width="31.85546875" style="283" customWidth="1"/>
    <col min="6152" max="6401" width="9.140625" style="283"/>
    <col min="6402" max="6402" width="4.85546875" style="283" customWidth="1"/>
    <col min="6403" max="6403" width="12.28515625" style="283" bestFit="1" customWidth="1"/>
    <col min="6404" max="6404" width="92" style="283" customWidth="1"/>
    <col min="6405" max="6405" width="21" style="283" customWidth="1"/>
    <col min="6406" max="6406" width="21.28515625" style="283" customWidth="1"/>
    <col min="6407" max="6407" width="31.85546875" style="283" customWidth="1"/>
    <col min="6408" max="6657" width="9.140625" style="283"/>
    <col min="6658" max="6658" width="4.85546875" style="283" customWidth="1"/>
    <col min="6659" max="6659" width="12.28515625" style="283" bestFit="1" customWidth="1"/>
    <col min="6660" max="6660" width="92" style="283" customWidth="1"/>
    <col min="6661" max="6661" width="21" style="283" customWidth="1"/>
    <col min="6662" max="6662" width="21.28515625" style="283" customWidth="1"/>
    <col min="6663" max="6663" width="31.85546875" style="283" customWidth="1"/>
    <col min="6664" max="6913" width="9.140625" style="283"/>
    <col min="6914" max="6914" width="4.85546875" style="283" customWidth="1"/>
    <col min="6915" max="6915" width="12.28515625" style="283" bestFit="1" customWidth="1"/>
    <col min="6916" max="6916" width="92" style="283" customWidth="1"/>
    <col min="6917" max="6917" width="21" style="283" customWidth="1"/>
    <col min="6918" max="6918" width="21.28515625" style="283" customWidth="1"/>
    <col min="6919" max="6919" width="31.85546875" style="283" customWidth="1"/>
    <col min="6920" max="7169" width="9.140625" style="283"/>
    <col min="7170" max="7170" width="4.85546875" style="283" customWidth="1"/>
    <col min="7171" max="7171" width="12.28515625" style="283" bestFit="1" customWidth="1"/>
    <col min="7172" max="7172" width="92" style="283" customWidth="1"/>
    <col min="7173" max="7173" width="21" style="283" customWidth="1"/>
    <col min="7174" max="7174" width="21.28515625" style="283" customWidth="1"/>
    <col min="7175" max="7175" width="31.85546875" style="283" customWidth="1"/>
    <col min="7176" max="7425" width="9.140625" style="283"/>
    <col min="7426" max="7426" width="4.85546875" style="283" customWidth="1"/>
    <col min="7427" max="7427" width="12.28515625" style="283" bestFit="1" customWidth="1"/>
    <col min="7428" max="7428" width="92" style="283" customWidth="1"/>
    <col min="7429" max="7429" width="21" style="283" customWidth="1"/>
    <col min="7430" max="7430" width="21.28515625" style="283" customWidth="1"/>
    <col min="7431" max="7431" width="31.85546875" style="283" customWidth="1"/>
    <col min="7432" max="7681" width="9.140625" style="283"/>
    <col min="7682" max="7682" width="4.85546875" style="283" customWidth="1"/>
    <col min="7683" max="7683" width="12.28515625" style="283" bestFit="1" customWidth="1"/>
    <col min="7684" max="7684" width="92" style="283" customWidth="1"/>
    <col min="7685" max="7685" width="21" style="283" customWidth="1"/>
    <col min="7686" max="7686" width="21.28515625" style="283" customWidth="1"/>
    <col min="7687" max="7687" width="31.85546875" style="283" customWidth="1"/>
    <col min="7688" max="7937" width="9.140625" style="283"/>
    <col min="7938" max="7938" width="4.85546875" style="283" customWidth="1"/>
    <col min="7939" max="7939" width="12.28515625" style="283" bestFit="1" customWidth="1"/>
    <col min="7940" max="7940" width="92" style="283" customWidth="1"/>
    <col min="7941" max="7941" width="21" style="283" customWidth="1"/>
    <col min="7942" max="7942" width="21.28515625" style="283" customWidth="1"/>
    <col min="7943" max="7943" width="31.85546875" style="283" customWidth="1"/>
    <col min="7944" max="8193" width="9.140625" style="283"/>
    <col min="8194" max="8194" width="4.85546875" style="283" customWidth="1"/>
    <col min="8195" max="8195" width="12.28515625" style="283" bestFit="1" customWidth="1"/>
    <col min="8196" max="8196" width="92" style="283" customWidth="1"/>
    <col min="8197" max="8197" width="21" style="283" customWidth="1"/>
    <col min="8198" max="8198" width="21.28515625" style="283" customWidth="1"/>
    <col min="8199" max="8199" width="31.85546875" style="283" customWidth="1"/>
    <col min="8200" max="8449" width="9.140625" style="283"/>
    <col min="8450" max="8450" width="4.85546875" style="283" customWidth="1"/>
    <col min="8451" max="8451" width="12.28515625" style="283" bestFit="1" customWidth="1"/>
    <col min="8452" max="8452" width="92" style="283" customWidth="1"/>
    <col min="8453" max="8453" width="21" style="283" customWidth="1"/>
    <col min="8454" max="8454" width="21.28515625" style="283" customWidth="1"/>
    <col min="8455" max="8455" width="31.85546875" style="283" customWidth="1"/>
    <col min="8456" max="8705" width="9.140625" style="283"/>
    <col min="8706" max="8706" width="4.85546875" style="283" customWidth="1"/>
    <col min="8707" max="8707" width="12.28515625" style="283" bestFit="1" customWidth="1"/>
    <col min="8708" max="8708" width="92" style="283" customWidth="1"/>
    <col min="8709" max="8709" width="21" style="283" customWidth="1"/>
    <col min="8710" max="8710" width="21.28515625" style="283" customWidth="1"/>
    <col min="8711" max="8711" width="31.85546875" style="283" customWidth="1"/>
    <col min="8712" max="8961" width="9.140625" style="283"/>
    <col min="8962" max="8962" width="4.85546875" style="283" customWidth="1"/>
    <col min="8963" max="8963" width="12.28515625" style="283" bestFit="1" customWidth="1"/>
    <col min="8964" max="8964" width="92" style="283" customWidth="1"/>
    <col min="8965" max="8965" width="21" style="283" customWidth="1"/>
    <col min="8966" max="8966" width="21.28515625" style="283" customWidth="1"/>
    <col min="8967" max="8967" width="31.85546875" style="283" customWidth="1"/>
    <col min="8968" max="9217" width="9.140625" style="283"/>
    <col min="9218" max="9218" width="4.85546875" style="283" customWidth="1"/>
    <col min="9219" max="9219" width="12.28515625" style="283" bestFit="1" customWidth="1"/>
    <col min="9220" max="9220" width="92" style="283" customWidth="1"/>
    <col min="9221" max="9221" width="21" style="283" customWidth="1"/>
    <col min="9222" max="9222" width="21.28515625" style="283" customWidth="1"/>
    <col min="9223" max="9223" width="31.85546875" style="283" customWidth="1"/>
    <col min="9224" max="9473" width="9.140625" style="283"/>
    <col min="9474" max="9474" width="4.85546875" style="283" customWidth="1"/>
    <col min="9475" max="9475" width="12.28515625" style="283" bestFit="1" customWidth="1"/>
    <col min="9476" max="9476" width="92" style="283" customWidth="1"/>
    <col min="9477" max="9477" width="21" style="283" customWidth="1"/>
    <col min="9478" max="9478" width="21.28515625" style="283" customWidth="1"/>
    <col min="9479" max="9479" width="31.85546875" style="283" customWidth="1"/>
    <col min="9480" max="9729" width="9.140625" style="283"/>
    <col min="9730" max="9730" width="4.85546875" style="283" customWidth="1"/>
    <col min="9731" max="9731" width="12.28515625" style="283" bestFit="1" customWidth="1"/>
    <col min="9732" max="9732" width="92" style="283" customWidth="1"/>
    <col min="9733" max="9733" width="21" style="283" customWidth="1"/>
    <col min="9734" max="9734" width="21.28515625" style="283" customWidth="1"/>
    <col min="9735" max="9735" width="31.85546875" style="283" customWidth="1"/>
    <col min="9736" max="9985" width="9.140625" style="283"/>
    <col min="9986" max="9986" width="4.85546875" style="283" customWidth="1"/>
    <col min="9987" max="9987" width="12.28515625" style="283" bestFit="1" customWidth="1"/>
    <col min="9988" max="9988" width="92" style="283" customWidth="1"/>
    <col min="9989" max="9989" width="21" style="283" customWidth="1"/>
    <col min="9990" max="9990" width="21.28515625" style="283" customWidth="1"/>
    <col min="9991" max="9991" width="31.85546875" style="283" customWidth="1"/>
    <col min="9992" max="10241" width="9.140625" style="283"/>
    <col min="10242" max="10242" width="4.85546875" style="283" customWidth="1"/>
    <col min="10243" max="10243" width="12.28515625" style="283" bestFit="1" customWidth="1"/>
    <col min="10244" max="10244" width="92" style="283" customWidth="1"/>
    <col min="10245" max="10245" width="21" style="283" customWidth="1"/>
    <col min="10246" max="10246" width="21.28515625" style="283" customWidth="1"/>
    <col min="10247" max="10247" width="31.85546875" style="283" customWidth="1"/>
    <col min="10248" max="10497" width="9.140625" style="283"/>
    <col min="10498" max="10498" width="4.85546875" style="283" customWidth="1"/>
    <col min="10499" max="10499" width="12.28515625" style="283" bestFit="1" customWidth="1"/>
    <col min="10500" max="10500" width="92" style="283" customWidth="1"/>
    <col min="10501" max="10501" width="21" style="283" customWidth="1"/>
    <col min="10502" max="10502" width="21.28515625" style="283" customWidth="1"/>
    <col min="10503" max="10503" width="31.85546875" style="283" customWidth="1"/>
    <col min="10504" max="10753" width="9.140625" style="283"/>
    <col min="10754" max="10754" width="4.85546875" style="283" customWidth="1"/>
    <col min="10755" max="10755" width="12.28515625" style="283" bestFit="1" customWidth="1"/>
    <col min="10756" max="10756" width="92" style="283" customWidth="1"/>
    <col min="10757" max="10757" width="21" style="283" customWidth="1"/>
    <col min="10758" max="10758" width="21.28515625" style="283" customWidth="1"/>
    <col min="10759" max="10759" width="31.85546875" style="283" customWidth="1"/>
    <col min="10760" max="11009" width="9.140625" style="283"/>
    <col min="11010" max="11010" width="4.85546875" style="283" customWidth="1"/>
    <col min="11011" max="11011" width="12.28515625" style="283" bestFit="1" customWidth="1"/>
    <col min="11012" max="11012" width="92" style="283" customWidth="1"/>
    <col min="11013" max="11013" width="21" style="283" customWidth="1"/>
    <col min="11014" max="11014" width="21.28515625" style="283" customWidth="1"/>
    <col min="11015" max="11015" width="31.85546875" style="283" customWidth="1"/>
    <col min="11016" max="11265" width="9.140625" style="283"/>
    <col min="11266" max="11266" width="4.85546875" style="283" customWidth="1"/>
    <col min="11267" max="11267" width="12.28515625" style="283" bestFit="1" customWidth="1"/>
    <col min="11268" max="11268" width="92" style="283" customWidth="1"/>
    <col min="11269" max="11269" width="21" style="283" customWidth="1"/>
    <col min="11270" max="11270" width="21.28515625" style="283" customWidth="1"/>
    <col min="11271" max="11271" width="31.85546875" style="283" customWidth="1"/>
    <col min="11272" max="11521" width="9.140625" style="283"/>
    <col min="11522" max="11522" width="4.85546875" style="283" customWidth="1"/>
    <col min="11523" max="11523" width="12.28515625" style="283" bestFit="1" customWidth="1"/>
    <col min="11524" max="11524" width="92" style="283" customWidth="1"/>
    <col min="11525" max="11525" width="21" style="283" customWidth="1"/>
    <col min="11526" max="11526" width="21.28515625" style="283" customWidth="1"/>
    <col min="11527" max="11527" width="31.85546875" style="283" customWidth="1"/>
    <col min="11528" max="11777" width="9.140625" style="283"/>
    <col min="11778" max="11778" width="4.85546875" style="283" customWidth="1"/>
    <col min="11779" max="11779" width="12.28515625" style="283" bestFit="1" customWidth="1"/>
    <col min="11780" max="11780" width="92" style="283" customWidth="1"/>
    <col min="11781" max="11781" width="21" style="283" customWidth="1"/>
    <col min="11782" max="11782" width="21.28515625" style="283" customWidth="1"/>
    <col min="11783" max="11783" width="31.85546875" style="283" customWidth="1"/>
    <col min="11784" max="12033" width="9.140625" style="283"/>
    <col min="12034" max="12034" width="4.85546875" style="283" customWidth="1"/>
    <col min="12035" max="12035" width="12.28515625" style="283" bestFit="1" customWidth="1"/>
    <col min="12036" max="12036" width="92" style="283" customWidth="1"/>
    <col min="12037" max="12037" width="21" style="283" customWidth="1"/>
    <col min="12038" max="12038" width="21.28515625" style="283" customWidth="1"/>
    <col min="12039" max="12039" width="31.85546875" style="283" customWidth="1"/>
    <col min="12040" max="12289" width="9.140625" style="283"/>
    <col min="12290" max="12290" width="4.85546875" style="283" customWidth="1"/>
    <col min="12291" max="12291" width="12.28515625" style="283" bestFit="1" customWidth="1"/>
    <col min="12292" max="12292" width="92" style="283" customWidth="1"/>
    <col min="12293" max="12293" width="21" style="283" customWidth="1"/>
    <col min="12294" max="12294" width="21.28515625" style="283" customWidth="1"/>
    <col min="12295" max="12295" width="31.85546875" style="283" customWidth="1"/>
    <col min="12296" max="12545" width="9.140625" style="283"/>
    <col min="12546" max="12546" width="4.85546875" style="283" customWidth="1"/>
    <col min="12547" max="12547" width="12.28515625" style="283" bestFit="1" customWidth="1"/>
    <col min="12548" max="12548" width="92" style="283" customWidth="1"/>
    <col min="12549" max="12549" width="21" style="283" customWidth="1"/>
    <col min="12550" max="12550" width="21.28515625" style="283" customWidth="1"/>
    <col min="12551" max="12551" width="31.85546875" style="283" customWidth="1"/>
    <col min="12552" max="12801" width="9.140625" style="283"/>
    <col min="12802" max="12802" width="4.85546875" style="283" customWidth="1"/>
    <col min="12803" max="12803" width="12.28515625" style="283" bestFit="1" customWidth="1"/>
    <col min="12804" max="12804" width="92" style="283" customWidth="1"/>
    <col min="12805" max="12805" width="21" style="283" customWidth="1"/>
    <col min="12806" max="12806" width="21.28515625" style="283" customWidth="1"/>
    <col min="12807" max="12807" width="31.85546875" style="283" customWidth="1"/>
    <col min="12808" max="13057" width="9.140625" style="283"/>
    <col min="13058" max="13058" width="4.85546875" style="283" customWidth="1"/>
    <col min="13059" max="13059" width="12.28515625" style="283" bestFit="1" customWidth="1"/>
    <col min="13060" max="13060" width="92" style="283" customWidth="1"/>
    <col min="13061" max="13061" width="21" style="283" customWidth="1"/>
    <col min="13062" max="13062" width="21.28515625" style="283" customWidth="1"/>
    <col min="13063" max="13063" width="31.85546875" style="283" customWidth="1"/>
    <col min="13064" max="13313" width="9.140625" style="283"/>
    <col min="13314" max="13314" width="4.85546875" style="283" customWidth="1"/>
    <col min="13315" max="13315" width="12.28515625" style="283" bestFit="1" customWidth="1"/>
    <col min="13316" max="13316" width="92" style="283" customWidth="1"/>
    <col min="13317" max="13317" width="21" style="283" customWidth="1"/>
    <col min="13318" max="13318" width="21.28515625" style="283" customWidth="1"/>
    <col min="13319" max="13319" width="31.85546875" style="283" customWidth="1"/>
    <col min="13320" max="13569" width="9.140625" style="283"/>
    <col min="13570" max="13570" width="4.85546875" style="283" customWidth="1"/>
    <col min="13571" max="13571" width="12.28515625" style="283" bestFit="1" customWidth="1"/>
    <col min="13572" max="13572" width="92" style="283" customWidth="1"/>
    <col min="13573" max="13573" width="21" style="283" customWidth="1"/>
    <col min="13574" max="13574" width="21.28515625" style="283" customWidth="1"/>
    <col min="13575" max="13575" width="31.85546875" style="283" customWidth="1"/>
    <col min="13576" max="13825" width="9.140625" style="283"/>
    <col min="13826" max="13826" width="4.85546875" style="283" customWidth="1"/>
    <col min="13827" max="13827" width="12.28515625" style="283" bestFit="1" customWidth="1"/>
    <col min="13828" max="13828" width="92" style="283" customWidth="1"/>
    <col min="13829" max="13829" width="21" style="283" customWidth="1"/>
    <col min="13830" max="13830" width="21.28515625" style="283" customWidth="1"/>
    <col min="13831" max="13831" width="31.85546875" style="283" customWidth="1"/>
    <col min="13832" max="14081" width="9.140625" style="283"/>
    <col min="14082" max="14082" width="4.85546875" style="283" customWidth="1"/>
    <col min="14083" max="14083" width="12.28515625" style="283" bestFit="1" customWidth="1"/>
    <col min="14084" max="14084" width="92" style="283" customWidth="1"/>
    <col min="14085" max="14085" width="21" style="283" customWidth="1"/>
    <col min="14086" max="14086" width="21.28515625" style="283" customWidth="1"/>
    <col min="14087" max="14087" width="31.85546875" style="283" customWidth="1"/>
    <col min="14088" max="14337" width="9.140625" style="283"/>
    <col min="14338" max="14338" width="4.85546875" style="283" customWidth="1"/>
    <col min="14339" max="14339" width="12.28515625" style="283" bestFit="1" customWidth="1"/>
    <col min="14340" max="14340" width="92" style="283" customWidth="1"/>
    <col min="14341" max="14341" width="21" style="283" customWidth="1"/>
    <col min="14342" max="14342" width="21.28515625" style="283" customWidth="1"/>
    <col min="14343" max="14343" width="31.85546875" style="283" customWidth="1"/>
    <col min="14344" max="14593" width="9.140625" style="283"/>
    <col min="14594" max="14594" width="4.85546875" style="283" customWidth="1"/>
    <col min="14595" max="14595" width="12.28515625" style="283" bestFit="1" customWidth="1"/>
    <col min="14596" max="14596" width="92" style="283" customWidth="1"/>
    <col min="14597" max="14597" width="21" style="283" customWidth="1"/>
    <col min="14598" max="14598" width="21.28515625" style="283" customWidth="1"/>
    <col min="14599" max="14599" width="31.85546875" style="283" customWidth="1"/>
    <col min="14600" max="14849" width="9.140625" style="283"/>
    <col min="14850" max="14850" width="4.85546875" style="283" customWidth="1"/>
    <col min="14851" max="14851" width="12.28515625" style="283" bestFit="1" customWidth="1"/>
    <col min="14852" max="14852" width="92" style="283" customWidth="1"/>
    <col min="14853" max="14853" width="21" style="283" customWidth="1"/>
    <col min="14854" max="14854" width="21.28515625" style="283" customWidth="1"/>
    <col min="14855" max="14855" width="31.85546875" style="283" customWidth="1"/>
    <col min="14856" max="15105" width="9.140625" style="283"/>
    <col min="15106" max="15106" width="4.85546875" style="283" customWidth="1"/>
    <col min="15107" max="15107" width="12.28515625" style="283" bestFit="1" customWidth="1"/>
    <col min="15108" max="15108" width="92" style="283" customWidth="1"/>
    <col min="15109" max="15109" width="21" style="283" customWidth="1"/>
    <col min="15110" max="15110" width="21.28515625" style="283" customWidth="1"/>
    <col min="15111" max="15111" width="31.85546875" style="283" customWidth="1"/>
    <col min="15112" max="15361" width="9.140625" style="283"/>
    <col min="15362" max="15362" width="4.85546875" style="283" customWidth="1"/>
    <col min="15363" max="15363" width="12.28515625" style="283" bestFit="1" customWidth="1"/>
    <col min="15364" max="15364" width="92" style="283" customWidth="1"/>
    <col min="15365" max="15365" width="21" style="283" customWidth="1"/>
    <col min="15366" max="15366" width="21.28515625" style="283" customWidth="1"/>
    <col min="15367" max="15367" width="31.85546875" style="283" customWidth="1"/>
    <col min="15368" max="15617" width="9.140625" style="283"/>
    <col min="15618" max="15618" width="4.85546875" style="283" customWidth="1"/>
    <col min="15619" max="15619" width="12.28515625" style="283" bestFit="1" customWidth="1"/>
    <col min="15620" max="15620" width="92" style="283" customWidth="1"/>
    <col min="15621" max="15621" width="21" style="283" customWidth="1"/>
    <col min="15622" max="15622" width="21.28515625" style="283" customWidth="1"/>
    <col min="15623" max="15623" width="31.85546875" style="283" customWidth="1"/>
    <col min="15624" max="15873" width="9.140625" style="283"/>
    <col min="15874" max="15874" width="4.85546875" style="283" customWidth="1"/>
    <col min="15875" max="15875" width="12.28515625" style="283" bestFit="1" customWidth="1"/>
    <col min="15876" max="15876" width="92" style="283" customWidth="1"/>
    <col min="15877" max="15877" width="21" style="283" customWidth="1"/>
    <col min="15878" max="15878" width="21.28515625" style="283" customWidth="1"/>
    <col min="15879" max="15879" width="31.85546875" style="283" customWidth="1"/>
    <col min="15880" max="16129" width="9.140625" style="283"/>
    <col min="16130" max="16130" width="4.85546875" style="283" customWidth="1"/>
    <col min="16131" max="16131" width="12.28515625" style="283" bestFit="1" customWidth="1"/>
    <col min="16132" max="16132" width="92" style="283" customWidth="1"/>
    <col min="16133" max="16133" width="21" style="283" customWidth="1"/>
    <col min="16134" max="16134" width="21.28515625" style="283" customWidth="1"/>
    <col min="16135" max="16135" width="31.85546875" style="283" customWidth="1"/>
    <col min="16136" max="16384" width="9.140625" style="283"/>
  </cols>
  <sheetData>
    <row r="1" spans="1:7" ht="76.150000000000006" customHeight="1">
      <c r="F1" s="284"/>
      <c r="G1" s="285" t="s">
        <v>589</v>
      </c>
    </row>
    <row r="2" spans="1:7">
      <c r="F2" s="284"/>
      <c r="G2" s="284"/>
    </row>
    <row r="3" spans="1:7" ht="40.5" customHeight="1">
      <c r="C3" s="964" t="s">
        <v>364</v>
      </c>
      <c r="D3" s="964"/>
      <c r="E3" s="964"/>
      <c r="F3" s="964"/>
      <c r="G3" s="964"/>
    </row>
    <row r="4" spans="1:7" ht="43.5" customHeight="1">
      <c r="C4" s="965" t="s">
        <v>377</v>
      </c>
      <c r="D4" s="965"/>
      <c r="E4" s="965"/>
      <c r="F4" s="965"/>
      <c r="G4" s="965"/>
    </row>
    <row r="5" spans="1:7" ht="43.5" customHeight="1">
      <c r="C5" s="502" t="s">
        <v>578</v>
      </c>
      <c r="D5" s="335"/>
      <c r="E5" s="286"/>
      <c r="F5" s="286"/>
      <c r="G5" s="286"/>
    </row>
    <row r="6" spans="1:7" ht="19.5" thickBot="1">
      <c r="C6" s="287"/>
      <c r="D6" s="335"/>
      <c r="E6" s="287"/>
      <c r="F6" s="287"/>
      <c r="G6" s="287"/>
    </row>
    <row r="7" spans="1:7" ht="63.75" thickBot="1">
      <c r="A7" s="288" t="s">
        <v>365</v>
      </c>
      <c r="B7" s="288" t="s">
        <v>835</v>
      </c>
      <c r="C7" s="966" t="s">
        <v>366</v>
      </c>
      <c r="D7" s="970"/>
      <c r="E7" s="288" t="s">
        <v>367</v>
      </c>
      <c r="F7" s="288" t="s">
        <v>368</v>
      </c>
      <c r="G7" s="288" t="s">
        <v>376</v>
      </c>
    </row>
    <row r="8" spans="1:7" ht="82.5" customHeight="1" thickBot="1">
      <c r="A8" s="305" t="s">
        <v>14</v>
      </c>
      <c r="B8" s="305"/>
      <c r="C8" s="306" t="s">
        <v>369</v>
      </c>
      <c r="D8" s="336"/>
      <c r="E8" s="433">
        <f>'прил.3 стандарт С1 2019 кВт'!D12</f>
        <v>46573993.853118367</v>
      </c>
      <c r="F8" s="434">
        <f>'прил.3 стандарт С1 2019 кВт'!F12</f>
        <v>136886</v>
      </c>
      <c r="G8" s="501"/>
    </row>
    <row r="9" spans="1:7">
      <c r="A9" s="290"/>
      <c r="B9" s="290"/>
      <c r="C9" s="291" t="s">
        <v>370</v>
      </c>
      <c r="D9" s="301"/>
      <c r="E9" s="432"/>
      <c r="F9" s="432"/>
      <c r="G9" s="923"/>
    </row>
    <row r="10" spans="1:7">
      <c r="A10" s="290"/>
      <c r="B10" s="290"/>
      <c r="C10" s="956" t="s">
        <v>139</v>
      </c>
      <c r="D10" s="968"/>
      <c r="E10" s="429">
        <f>F10*G10</f>
        <v>40427732.419116035</v>
      </c>
      <c r="F10" s="429">
        <v>33716.666666666664</v>
      </c>
      <c r="G10" s="923">
        <f>'прил.3 стандарт С1 2019 кВт'!I12</f>
        <v>1199.0429783227694</v>
      </c>
    </row>
    <row r="11" spans="1:7" s="294" customFormat="1">
      <c r="A11" s="293"/>
      <c r="B11" s="293"/>
      <c r="C11" s="956" t="s">
        <v>164</v>
      </c>
      <c r="D11" s="968"/>
      <c r="E11" s="430">
        <f t="shared" ref="E11:E12" si="0">F11*G11</f>
        <v>3082876.412495499</v>
      </c>
      <c r="F11" s="430">
        <v>9825</v>
      </c>
      <c r="G11" s="923">
        <f>'прил.3 стандарт С1 2019 кВт'!J12</f>
        <v>313.77876971964366</v>
      </c>
    </row>
    <row r="12" spans="1:7" s="294" customFormat="1" ht="19.5" thickBot="1">
      <c r="A12" s="293"/>
      <c r="B12" s="293"/>
      <c r="C12" s="954" t="s">
        <v>378</v>
      </c>
      <c r="D12" s="969"/>
      <c r="E12" s="430">
        <f t="shared" si="0"/>
        <v>3063385.0215068255</v>
      </c>
      <c r="F12" s="430">
        <v>93344.333333333328</v>
      </c>
      <c r="G12" s="923">
        <f>'прил.3 стандарт С1 2019 кВт'!K12</f>
        <v>32.818114524075654</v>
      </c>
    </row>
    <row r="13" spans="1:7" s="294" customFormat="1" ht="19.5" thickTop="1">
      <c r="A13" s="290"/>
      <c r="B13" s="290"/>
      <c r="C13" s="295" t="s">
        <v>371</v>
      </c>
      <c r="D13" s="302"/>
      <c r="E13" s="431"/>
      <c r="F13" s="431"/>
      <c r="G13" s="924"/>
    </row>
    <row r="14" spans="1:7">
      <c r="A14" s="290"/>
      <c r="B14" s="290"/>
      <c r="C14" s="956" t="s">
        <v>139</v>
      </c>
      <c r="D14" s="968"/>
      <c r="E14" s="429">
        <f>E10</f>
        <v>40427732.419116035</v>
      </c>
      <c r="F14" s="429">
        <f t="shared" ref="F14:G14" si="1">F10</f>
        <v>33716.666666666664</v>
      </c>
      <c r="G14" s="923">
        <f t="shared" si="1"/>
        <v>1199.0429783227694</v>
      </c>
    </row>
    <row r="15" spans="1:7" s="294" customFormat="1">
      <c r="A15" s="293"/>
      <c r="B15" s="293"/>
      <c r="C15" s="956" t="s">
        <v>164</v>
      </c>
      <c r="D15" s="968"/>
      <c r="E15" s="430">
        <f t="shared" ref="E15:G16" si="2">E11</f>
        <v>3082876.412495499</v>
      </c>
      <c r="F15" s="430">
        <f t="shared" si="2"/>
        <v>9825</v>
      </c>
      <c r="G15" s="923">
        <f t="shared" si="2"/>
        <v>313.77876971964366</v>
      </c>
    </row>
    <row r="16" spans="1:7" s="294" customFormat="1" ht="19.5" thickBot="1">
      <c r="A16" s="293"/>
      <c r="B16" s="293"/>
      <c r="C16" s="954" t="s">
        <v>378</v>
      </c>
      <c r="D16" s="969"/>
      <c r="E16" s="430">
        <f t="shared" si="2"/>
        <v>3063385.0215068255</v>
      </c>
      <c r="F16" s="430">
        <f t="shared" si="2"/>
        <v>93344.333333333328</v>
      </c>
      <c r="G16" s="923">
        <f t="shared" si="2"/>
        <v>32.818114524075654</v>
      </c>
    </row>
    <row r="17" spans="1:7" s="294" customFormat="1" ht="33" thickTop="1" thickBot="1">
      <c r="A17" s="305" t="s">
        <v>135</v>
      </c>
      <c r="B17" s="305"/>
      <c r="C17" s="306" t="s">
        <v>372</v>
      </c>
      <c r="D17" s="336"/>
      <c r="E17" s="307"/>
      <c r="F17" s="308"/>
      <c r="G17" s="498"/>
    </row>
    <row r="18" spans="1:7" ht="32.25" thickBot="1">
      <c r="A18" s="305" t="s">
        <v>191</v>
      </c>
      <c r="B18" s="305"/>
      <c r="C18" s="306" t="s">
        <v>373</v>
      </c>
      <c r="D18" s="336"/>
      <c r="E18" s="307"/>
      <c r="F18" s="308"/>
      <c r="G18" s="498"/>
    </row>
    <row r="19" spans="1:7" ht="40.5" customHeight="1" thickBot="1">
      <c r="A19" s="384"/>
      <c r="B19" s="384" t="s">
        <v>14</v>
      </c>
      <c r="C19" s="385" t="s">
        <v>379</v>
      </c>
      <c r="D19" s="435" t="s">
        <v>576</v>
      </c>
      <c r="E19" s="386"/>
      <c r="F19" s="386"/>
      <c r="G19" s="444"/>
    </row>
    <row r="20" spans="1:7">
      <c r="A20" s="363"/>
      <c r="B20" s="363" t="s">
        <v>381</v>
      </c>
      <c r="C20" s="364" t="s">
        <v>382</v>
      </c>
      <c r="D20" s="337"/>
      <c r="E20" s="387"/>
      <c r="F20" s="387"/>
      <c r="G20" s="925"/>
    </row>
    <row r="21" spans="1:7">
      <c r="A21" s="365"/>
      <c r="B21" s="365" t="s">
        <v>383</v>
      </c>
      <c r="C21" s="366" t="s">
        <v>384</v>
      </c>
      <c r="D21" s="338"/>
      <c r="E21" s="388"/>
      <c r="F21" s="388"/>
      <c r="G21" s="446"/>
    </row>
    <row r="22" spans="1:7">
      <c r="A22" s="365"/>
      <c r="B22" s="365" t="s">
        <v>385</v>
      </c>
      <c r="C22" s="366" t="s">
        <v>386</v>
      </c>
      <c r="D22" s="338"/>
      <c r="E22" s="388"/>
      <c r="F22" s="388"/>
      <c r="G22" s="446"/>
    </row>
    <row r="23" spans="1:7">
      <c r="A23" s="369"/>
      <c r="B23" s="369" t="s">
        <v>579</v>
      </c>
      <c r="C23" s="370" t="s">
        <v>387</v>
      </c>
      <c r="D23" s="338"/>
      <c r="E23" s="388"/>
      <c r="F23" s="388"/>
      <c r="G23" s="446"/>
    </row>
    <row r="24" spans="1:7">
      <c r="A24" s="369"/>
      <c r="B24" s="369" t="s">
        <v>388</v>
      </c>
      <c r="C24" s="370" t="s">
        <v>389</v>
      </c>
      <c r="D24" s="338">
        <v>35</v>
      </c>
      <c r="E24" s="388">
        <v>167310285.98959997</v>
      </c>
      <c r="F24" s="388">
        <v>5440</v>
      </c>
      <c r="G24" s="446">
        <f>E24/F24</f>
        <v>30755.567277499995</v>
      </c>
    </row>
    <row r="25" spans="1:7">
      <c r="A25" s="369"/>
      <c r="B25" s="369" t="s">
        <v>390</v>
      </c>
      <c r="C25" s="370" t="s">
        <v>389</v>
      </c>
      <c r="D25" s="338">
        <v>110</v>
      </c>
      <c r="E25" s="388">
        <v>32230558.141600002</v>
      </c>
      <c r="F25" s="388">
        <v>1050</v>
      </c>
      <c r="G25" s="446">
        <f t="shared" ref="G25:G26" si="3">E25/F25</f>
        <v>30695.769658666668</v>
      </c>
    </row>
    <row r="26" spans="1:7" ht="19.5" thickBot="1">
      <c r="A26" s="371"/>
      <c r="B26" s="371" t="s">
        <v>391</v>
      </c>
      <c r="C26" s="372" t="s">
        <v>392</v>
      </c>
      <c r="D26" s="340">
        <v>110</v>
      </c>
      <c r="E26" s="390">
        <v>55313535.2016</v>
      </c>
      <c r="F26" s="390">
        <v>1790</v>
      </c>
      <c r="G26" s="926">
        <f t="shared" si="3"/>
        <v>30901.416313743019</v>
      </c>
    </row>
    <row r="27" spans="1:7" s="425" customFormat="1">
      <c r="A27" s="422"/>
      <c r="B27" s="422" t="s">
        <v>393</v>
      </c>
      <c r="C27" s="423" t="s">
        <v>394</v>
      </c>
      <c r="D27" s="436"/>
      <c r="E27" s="424"/>
      <c r="F27" s="424"/>
      <c r="G27" s="925"/>
    </row>
    <row r="28" spans="1:7" s="425" customFormat="1">
      <c r="A28" s="426"/>
      <c r="B28" s="426" t="s">
        <v>395</v>
      </c>
      <c r="C28" s="427" t="s">
        <v>396</v>
      </c>
      <c r="D28" s="437"/>
      <c r="E28" s="428"/>
      <c r="F28" s="428"/>
      <c r="G28" s="446"/>
    </row>
    <row r="29" spans="1:7" s="425" customFormat="1">
      <c r="A29" s="426"/>
      <c r="B29" s="426" t="s">
        <v>397</v>
      </c>
      <c r="C29" s="427" t="s">
        <v>386</v>
      </c>
      <c r="D29" s="437"/>
      <c r="E29" s="428"/>
      <c r="F29" s="428"/>
      <c r="G29" s="446"/>
    </row>
    <row r="30" spans="1:7">
      <c r="A30" s="369"/>
      <c r="B30" s="369" t="s">
        <v>398</v>
      </c>
      <c r="C30" s="370" t="s">
        <v>399</v>
      </c>
      <c r="D30" s="338">
        <v>0.4</v>
      </c>
      <c r="E30" s="388">
        <v>64024706.127235025</v>
      </c>
      <c r="F30" s="388">
        <v>3909</v>
      </c>
      <c r="G30" s="446">
        <f t="shared" ref="G30:G36" si="4">E30/F30</f>
        <v>16378.794097527507</v>
      </c>
    </row>
    <row r="31" spans="1:7">
      <c r="A31" s="369"/>
      <c r="B31" s="369" t="s">
        <v>400</v>
      </c>
      <c r="C31" s="370" t="s">
        <v>399</v>
      </c>
      <c r="D31" s="338" t="s">
        <v>401</v>
      </c>
      <c r="E31" s="388">
        <v>20178725.364659052</v>
      </c>
      <c r="F31" s="388">
        <v>1322.6666666666667</v>
      </c>
      <c r="G31" s="446">
        <f t="shared" si="4"/>
        <v>15256.092765619242</v>
      </c>
    </row>
    <row r="32" spans="1:7">
      <c r="A32" s="369"/>
      <c r="B32" s="369" t="s">
        <v>402</v>
      </c>
      <c r="C32" s="370" t="s">
        <v>387</v>
      </c>
      <c r="D32" s="338">
        <v>0.4</v>
      </c>
      <c r="E32" s="388">
        <v>50019511.269818954</v>
      </c>
      <c r="F32" s="388">
        <v>2582.3333333333335</v>
      </c>
      <c r="G32" s="446">
        <f t="shared" si="4"/>
        <v>19369.889481019345</v>
      </c>
    </row>
    <row r="33" spans="1:7">
      <c r="A33" s="367"/>
      <c r="B33" s="367" t="s">
        <v>403</v>
      </c>
      <c r="C33" s="368" t="s">
        <v>387</v>
      </c>
      <c r="D33" s="339" t="s">
        <v>401</v>
      </c>
      <c r="E33" s="389">
        <v>24108845.961982567</v>
      </c>
      <c r="F33" s="389">
        <v>1827</v>
      </c>
      <c r="G33" s="447">
        <f t="shared" si="4"/>
        <v>13195.865332229101</v>
      </c>
    </row>
    <row r="34" spans="1:7">
      <c r="A34" s="367"/>
      <c r="B34" s="367" t="s">
        <v>404</v>
      </c>
      <c r="C34" s="368" t="s">
        <v>387</v>
      </c>
      <c r="D34" s="339">
        <v>35</v>
      </c>
      <c r="E34" s="389"/>
      <c r="F34" s="389"/>
      <c r="G34" s="447"/>
    </row>
    <row r="35" spans="1:7">
      <c r="A35" s="367"/>
      <c r="B35" s="367" t="s">
        <v>405</v>
      </c>
      <c r="C35" s="368" t="s">
        <v>389</v>
      </c>
      <c r="D35" s="339">
        <v>0.4</v>
      </c>
      <c r="E35" s="389">
        <v>4188517.9960426986</v>
      </c>
      <c r="F35" s="389">
        <v>167.66666666666666</v>
      </c>
      <c r="G35" s="447">
        <f t="shared" si="4"/>
        <v>24981.220652342141</v>
      </c>
    </row>
    <row r="36" spans="1:7" ht="19.5" thickBot="1">
      <c r="A36" s="367"/>
      <c r="B36" s="367" t="s">
        <v>406</v>
      </c>
      <c r="C36" s="368" t="s">
        <v>389</v>
      </c>
      <c r="D36" s="339" t="s">
        <v>401</v>
      </c>
      <c r="E36" s="389">
        <v>12154276.156919535</v>
      </c>
      <c r="F36" s="389">
        <v>1150</v>
      </c>
      <c r="G36" s="447">
        <f t="shared" si="4"/>
        <v>10568.935788625682</v>
      </c>
    </row>
    <row r="37" spans="1:7" s="294" customFormat="1">
      <c r="A37" s="363"/>
      <c r="B37" s="363" t="s">
        <v>408</v>
      </c>
      <c r="C37" s="364" t="s">
        <v>384</v>
      </c>
      <c r="D37" s="337"/>
      <c r="E37" s="387"/>
      <c r="F37" s="387"/>
      <c r="G37" s="925"/>
    </row>
    <row r="38" spans="1:7" s="294" customFormat="1">
      <c r="A38" s="365"/>
      <c r="B38" s="365" t="s">
        <v>409</v>
      </c>
      <c r="C38" s="366" t="s">
        <v>386</v>
      </c>
      <c r="D38" s="338"/>
      <c r="E38" s="388"/>
      <c r="F38" s="388"/>
      <c r="G38" s="446"/>
    </row>
    <row r="39" spans="1:7" s="294" customFormat="1">
      <c r="A39" s="369"/>
      <c r="B39" s="369" t="s">
        <v>410</v>
      </c>
      <c r="C39" s="370" t="s">
        <v>399</v>
      </c>
      <c r="D39" s="338">
        <v>0.4</v>
      </c>
      <c r="E39" s="388">
        <v>6873153.0022531999</v>
      </c>
      <c r="F39" s="388">
        <v>520.5</v>
      </c>
      <c r="G39" s="446">
        <f t="shared" ref="G39:G41" si="5">E39/F39</f>
        <v>13204.904903464361</v>
      </c>
    </row>
    <row r="40" spans="1:7">
      <c r="A40" s="369"/>
      <c r="B40" s="369" t="s">
        <v>411</v>
      </c>
      <c r="C40" s="370" t="s">
        <v>399</v>
      </c>
      <c r="D40" s="338" t="s">
        <v>401</v>
      </c>
      <c r="E40" s="388">
        <v>31778281.545505662</v>
      </c>
      <c r="F40" s="388">
        <v>1334</v>
      </c>
      <c r="G40" s="446">
        <f t="shared" si="5"/>
        <v>23821.800258999745</v>
      </c>
    </row>
    <row r="41" spans="1:7" s="294" customFormat="1" ht="19.5" thickBot="1">
      <c r="A41" s="367"/>
      <c r="B41" s="367" t="s">
        <v>412</v>
      </c>
      <c r="C41" s="368" t="s">
        <v>387</v>
      </c>
      <c r="D41" s="338">
        <v>35</v>
      </c>
      <c r="E41" s="388">
        <v>6686830.7805465898</v>
      </c>
      <c r="F41" s="388">
        <v>180</v>
      </c>
      <c r="G41" s="446">
        <f t="shared" si="5"/>
        <v>37149.059891925499</v>
      </c>
    </row>
    <row r="42" spans="1:7" ht="44.25" customHeight="1" thickBot="1">
      <c r="A42" s="384"/>
      <c r="B42" s="384" t="s">
        <v>135</v>
      </c>
      <c r="C42" s="385" t="s">
        <v>414</v>
      </c>
      <c r="D42" s="435"/>
      <c r="E42" s="392"/>
      <c r="F42" s="392"/>
      <c r="G42" s="927"/>
    </row>
    <row r="43" spans="1:7">
      <c r="A43" s="363"/>
      <c r="B43" s="363" t="s">
        <v>167</v>
      </c>
      <c r="C43" s="364" t="s">
        <v>415</v>
      </c>
      <c r="D43" s="337"/>
      <c r="E43" s="387"/>
      <c r="F43" s="387"/>
      <c r="G43" s="925"/>
    </row>
    <row r="44" spans="1:7" s="294" customFormat="1">
      <c r="A44" s="365"/>
      <c r="B44" s="365" t="s">
        <v>168</v>
      </c>
      <c r="C44" s="366" t="s">
        <v>416</v>
      </c>
      <c r="D44" s="338"/>
      <c r="E44" s="388"/>
      <c r="F44" s="388"/>
      <c r="G44" s="446"/>
    </row>
    <row r="45" spans="1:7">
      <c r="A45" s="365"/>
      <c r="B45" s="365" t="s">
        <v>170</v>
      </c>
      <c r="C45" s="366" t="s">
        <v>440</v>
      </c>
      <c r="D45" s="338"/>
      <c r="E45" s="388"/>
      <c r="F45" s="388"/>
      <c r="G45" s="446"/>
    </row>
    <row r="46" spans="1:7">
      <c r="A46" s="365"/>
      <c r="B46" s="365" t="s">
        <v>171</v>
      </c>
      <c r="C46" s="366" t="s">
        <v>417</v>
      </c>
      <c r="D46" s="338"/>
      <c r="E46" s="388"/>
      <c r="F46" s="388"/>
      <c r="G46" s="446"/>
    </row>
    <row r="47" spans="1:7">
      <c r="A47" s="369"/>
      <c r="B47" s="369" t="s">
        <v>445</v>
      </c>
      <c r="C47" s="370" t="s">
        <v>387</v>
      </c>
      <c r="D47" s="338">
        <v>0.4</v>
      </c>
      <c r="E47" s="388">
        <v>1588787.2112295455</v>
      </c>
      <c r="F47" s="388">
        <v>175</v>
      </c>
      <c r="G47" s="446">
        <f t="shared" ref="G47:G54" si="6">E47/F47</f>
        <v>9078.7840641688308</v>
      </c>
    </row>
    <row r="48" spans="1:7">
      <c r="A48" s="369"/>
      <c r="B48" s="369" t="s">
        <v>449</v>
      </c>
      <c r="C48" s="370" t="s">
        <v>389</v>
      </c>
      <c r="D48" s="338">
        <v>0.4</v>
      </c>
      <c r="E48" s="388">
        <v>2640386.0583395567</v>
      </c>
      <c r="F48" s="388">
        <v>180</v>
      </c>
      <c r="G48" s="446">
        <f t="shared" si="6"/>
        <v>14668.811435219759</v>
      </c>
    </row>
    <row r="49" spans="1:7" ht="19.5" thickBot="1">
      <c r="A49" s="367"/>
      <c r="B49" s="367" t="s">
        <v>453</v>
      </c>
      <c r="C49" s="368" t="s">
        <v>392</v>
      </c>
      <c r="D49" s="339">
        <v>0.4</v>
      </c>
      <c r="E49" s="389">
        <v>1093722.3259103231</v>
      </c>
      <c r="F49" s="389">
        <v>100</v>
      </c>
      <c r="G49" s="447">
        <f t="shared" si="6"/>
        <v>10937.22325910323</v>
      </c>
    </row>
    <row r="50" spans="1:7">
      <c r="A50" s="363"/>
      <c r="B50" s="363" t="s">
        <v>172</v>
      </c>
      <c r="C50" s="364" t="s">
        <v>429</v>
      </c>
      <c r="D50" s="337"/>
      <c r="E50" s="387"/>
      <c r="F50" s="387"/>
      <c r="G50" s="925"/>
    </row>
    <row r="51" spans="1:7">
      <c r="A51" s="369"/>
      <c r="B51" s="369" t="s">
        <v>459</v>
      </c>
      <c r="C51" s="370" t="s">
        <v>387</v>
      </c>
      <c r="D51" s="338">
        <v>0.4</v>
      </c>
      <c r="E51" s="388">
        <v>511224.29268559994</v>
      </c>
      <c r="F51" s="388">
        <v>18</v>
      </c>
      <c r="G51" s="446">
        <f t="shared" si="6"/>
        <v>28401.349593644441</v>
      </c>
    </row>
    <row r="52" spans="1:7">
      <c r="A52" s="369"/>
      <c r="B52" s="369" t="s">
        <v>460</v>
      </c>
      <c r="C52" s="370" t="s">
        <v>387</v>
      </c>
      <c r="D52" s="338" t="s">
        <v>401</v>
      </c>
      <c r="E52" s="388">
        <v>226134.67550834161</v>
      </c>
      <c r="F52" s="388">
        <v>20</v>
      </c>
      <c r="G52" s="446">
        <f t="shared" si="6"/>
        <v>11306.73377541708</v>
      </c>
    </row>
    <row r="53" spans="1:7">
      <c r="A53" s="367"/>
      <c r="B53" s="367" t="s">
        <v>467</v>
      </c>
      <c r="C53" s="368" t="s">
        <v>392</v>
      </c>
      <c r="D53" s="339">
        <v>0.4</v>
      </c>
      <c r="E53" s="393">
        <v>2073538.1915455998</v>
      </c>
      <c r="F53" s="394">
        <v>301.39999999999998</v>
      </c>
      <c r="G53" s="447">
        <f t="shared" si="6"/>
        <v>6879.6887576164563</v>
      </c>
    </row>
    <row r="54" spans="1:7" ht="19.5" thickBot="1">
      <c r="A54" s="373"/>
      <c r="B54" s="373" t="s">
        <v>467</v>
      </c>
      <c r="C54" s="374" t="s">
        <v>392</v>
      </c>
      <c r="D54" s="341" t="s">
        <v>401</v>
      </c>
      <c r="E54" s="395">
        <v>18898698.404609963</v>
      </c>
      <c r="F54" s="396">
        <v>645</v>
      </c>
      <c r="G54" s="450">
        <f t="shared" si="6"/>
        <v>29300.307604046455</v>
      </c>
    </row>
    <row r="55" spans="1:7">
      <c r="A55" s="363"/>
      <c r="B55" s="363" t="s">
        <v>173</v>
      </c>
      <c r="C55" s="364" t="s">
        <v>468</v>
      </c>
      <c r="D55" s="337"/>
      <c r="E55" s="397"/>
      <c r="F55" s="398"/>
      <c r="G55" s="925"/>
    </row>
    <row r="56" spans="1:7">
      <c r="A56" s="365"/>
      <c r="B56" s="365" t="s">
        <v>174</v>
      </c>
      <c r="C56" s="366" t="s">
        <v>416</v>
      </c>
      <c r="D56" s="338"/>
      <c r="E56" s="400"/>
      <c r="F56" s="401"/>
      <c r="G56" s="446"/>
    </row>
    <row r="57" spans="1:7" ht="19.5" thickBot="1">
      <c r="A57" s="365"/>
      <c r="B57" s="365" t="s">
        <v>175</v>
      </c>
      <c r="C57" s="366" t="s">
        <v>417</v>
      </c>
      <c r="D57" s="338"/>
      <c r="E57" s="400"/>
      <c r="F57" s="401"/>
      <c r="G57" s="446"/>
    </row>
    <row r="58" spans="1:7">
      <c r="A58" s="363"/>
      <c r="B58" s="363" t="s">
        <v>176</v>
      </c>
      <c r="C58" s="364" t="s">
        <v>429</v>
      </c>
      <c r="D58" s="337"/>
      <c r="E58" s="397"/>
      <c r="F58" s="398"/>
      <c r="G58" s="925"/>
    </row>
    <row r="59" spans="1:7">
      <c r="A59" s="365"/>
      <c r="B59" s="365" t="s">
        <v>177</v>
      </c>
      <c r="C59" s="366" t="s">
        <v>440</v>
      </c>
      <c r="D59" s="338"/>
      <c r="E59" s="400"/>
      <c r="F59" s="401"/>
      <c r="G59" s="446"/>
    </row>
    <row r="60" spans="1:7" ht="19.5" thickBot="1">
      <c r="A60" s="365"/>
      <c r="B60" s="365" t="s">
        <v>178</v>
      </c>
      <c r="C60" s="366" t="s">
        <v>417</v>
      </c>
      <c r="D60" s="338"/>
      <c r="E60" s="400"/>
      <c r="F60" s="401"/>
      <c r="G60" s="446"/>
    </row>
    <row r="61" spans="1:7">
      <c r="A61" s="363"/>
      <c r="B61" s="363" t="s">
        <v>180</v>
      </c>
      <c r="C61" s="364" t="s">
        <v>510</v>
      </c>
      <c r="D61" s="337"/>
      <c r="E61" s="397"/>
      <c r="F61" s="398"/>
      <c r="G61" s="925"/>
    </row>
    <row r="62" spans="1:7">
      <c r="A62" s="365"/>
      <c r="B62" s="365" t="s">
        <v>181</v>
      </c>
      <c r="C62" s="366" t="s">
        <v>440</v>
      </c>
      <c r="D62" s="338"/>
      <c r="E62" s="400"/>
      <c r="F62" s="401"/>
      <c r="G62" s="446"/>
    </row>
    <row r="63" spans="1:7">
      <c r="A63" s="365"/>
      <c r="B63" s="365" t="s">
        <v>511</v>
      </c>
      <c r="C63" s="366" t="s">
        <v>417</v>
      </c>
      <c r="D63" s="338"/>
      <c r="E63" s="400"/>
      <c r="F63" s="401"/>
      <c r="G63" s="446"/>
    </row>
    <row r="64" spans="1:7">
      <c r="A64" s="365"/>
      <c r="B64" s="365" t="s">
        <v>515</v>
      </c>
      <c r="C64" s="366" t="s">
        <v>429</v>
      </c>
      <c r="D64" s="338"/>
      <c r="E64" s="400"/>
      <c r="F64" s="401"/>
      <c r="G64" s="446"/>
    </row>
    <row r="65" spans="1:7" ht="19.5" thickBot="1">
      <c r="A65" s="369"/>
      <c r="B65" s="369" t="s">
        <v>516</v>
      </c>
      <c r="C65" s="370" t="s">
        <v>392</v>
      </c>
      <c r="D65" s="338" t="s">
        <v>401</v>
      </c>
      <c r="E65" s="403">
        <v>1783161.2693647998</v>
      </c>
      <c r="F65" s="404">
        <v>500</v>
      </c>
      <c r="G65" s="446">
        <f>E65/F65</f>
        <v>3566.3225387295997</v>
      </c>
    </row>
    <row r="66" spans="1:7" ht="53.25" customHeight="1" thickBot="1">
      <c r="A66" s="384"/>
      <c r="B66" s="384" t="s">
        <v>191</v>
      </c>
      <c r="C66" s="385" t="s">
        <v>519</v>
      </c>
      <c r="D66" s="435"/>
      <c r="E66" s="405"/>
      <c r="F66" s="406"/>
      <c r="G66" s="927"/>
    </row>
    <row r="67" spans="1:7">
      <c r="A67" s="375"/>
      <c r="B67" s="375" t="s">
        <v>192</v>
      </c>
      <c r="C67" s="376" t="s">
        <v>520</v>
      </c>
      <c r="D67" s="342"/>
      <c r="E67" s="408"/>
      <c r="F67" s="409"/>
      <c r="G67" s="928"/>
    </row>
    <row r="68" spans="1:7" ht="19.5" thickBot="1">
      <c r="A68" s="373"/>
      <c r="B68" s="373" t="s">
        <v>194</v>
      </c>
      <c r="C68" s="374" t="s">
        <v>521</v>
      </c>
      <c r="D68" s="341">
        <v>35</v>
      </c>
      <c r="E68" s="395">
        <v>2749291.4781487994</v>
      </c>
      <c r="F68" s="396">
        <v>100</v>
      </c>
      <c r="G68" s="450">
        <f>E68/F68</f>
        <v>27492.914781487994</v>
      </c>
    </row>
    <row r="69" spans="1:7" ht="19.5" thickBot="1">
      <c r="A69" s="377"/>
      <c r="B69" s="377" t="s">
        <v>195</v>
      </c>
      <c r="C69" s="378" t="s">
        <v>522</v>
      </c>
      <c r="D69" s="343"/>
      <c r="E69" s="411"/>
      <c r="F69" s="412"/>
      <c r="G69" s="463"/>
    </row>
    <row r="70" spans="1:7" ht="57" customHeight="1" thickBot="1">
      <c r="A70" s="384"/>
      <c r="B70" s="384" t="s">
        <v>198</v>
      </c>
      <c r="C70" s="385" t="s">
        <v>525</v>
      </c>
      <c r="D70" s="435"/>
      <c r="E70" s="405"/>
      <c r="F70" s="406"/>
      <c r="G70" s="927"/>
    </row>
    <row r="71" spans="1:7" ht="32.25" thickBot="1">
      <c r="A71" s="379"/>
      <c r="B71" s="379" t="s">
        <v>199</v>
      </c>
      <c r="C71" s="380" t="s">
        <v>526</v>
      </c>
      <c r="D71" s="344"/>
      <c r="E71" s="414"/>
      <c r="F71" s="415"/>
      <c r="G71" s="929"/>
    </row>
    <row r="72" spans="1:7" ht="19.5" thickBot="1">
      <c r="A72" s="379"/>
      <c r="B72" s="379" t="s">
        <v>527</v>
      </c>
      <c r="C72" s="380" t="s">
        <v>528</v>
      </c>
      <c r="D72" s="344"/>
      <c r="E72" s="414"/>
      <c r="F72" s="415"/>
      <c r="G72" s="929"/>
    </row>
    <row r="73" spans="1:7">
      <c r="A73" s="381"/>
      <c r="B73" s="381" t="s">
        <v>529</v>
      </c>
      <c r="C73" s="382" t="s">
        <v>530</v>
      </c>
      <c r="D73" s="343" t="s">
        <v>531</v>
      </c>
      <c r="E73" s="417">
        <v>6066331.1318325251</v>
      </c>
      <c r="F73" s="418">
        <v>255.66666666666666</v>
      </c>
      <c r="G73" s="463">
        <f t="shared" ref="G73:G77" si="7">E73/F73</f>
        <v>23727.501167532693</v>
      </c>
    </row>
    <row r="74" spans="1:7">
      <c r="A74" s="367"/>
      <c r="B74" s="367" t="s">
        <v>532</v>
      </c>
      <c r="C74" s="368" t="s">
        <v>533</v>
      </c>
      <c r="D74" s="339" t="s">
        <v>531</v>
      </c>
      <c r="E74" s="393">
        <v>7584872.2221179428</v>
      </c>
      <c r="F74" s="394">
        <v>655.66666666666663</v>
      </c>
      <c r="G74" s="447">
        <f t="shared" si="7"/>
        <v>11568.183358593711</v>
      </c>
    </row>
    <row r="75" spans="1:7">
      <c r="A75" s="367"/>
      <c r="B75" s="367" t="s">
        <v>534</v>
      </c>
      <c r="C75" s="368" t="s">
        <v>535</v>
      </c>
      <c r="D75" s="339" t="s">
        <v>531</v>
      </c>
      <c r="E75" s="393">
        <v>16027869.936563848</v>
      </c>
      <c r="F75" s="394">
        <v>1242.6666666666667</v>
      </c>
      <c r="G75" s="447">
        <f t="shared" si="7"/>
        <v>12897.964004745585</v>
      </c>
    </row>
    <row r="76" spans="1:7">
      <c r="A76" s="367"/>
      <c r="B76" s="367" t="s">
        <v>536</v>
      </c>
      <c r="C76" s="368" t="s">
        <v>537</v>
      </c>
      <c r="D76" s="339" t="s">
        <v>531</v>
      </c>
      <c r="E76" s="393">
        <v>11351715.053851841</v>
      </c>
      <c r="F76" s="394">
        <v>1375.6666666666667</v>
      </c>
      <c r="G76" s="447">
        <f t="shared" si="7"/>
        <v>8251.7918976388464</v>
      </c>
    </row>
    <row r="77" spans="1:7" ht="19.5" thickBot="1">
      <c r="A77" s="367"/>
      <c r="B77" s="367" t="s">
        <v>538</v>
      </c>
      <c r="C77" s="368" t="s">
        <v>539</v>
      </c>
      <c r="D77" s="339" t="s">
        <v>531</v>
      </c>
      <c r="E77" s="393">
        <v>5454366.9450199967</v>
      </c>
      <c r="F77" s="394">
        <v>1096.5</v>
      </c>
      <c r="G77" s="447">
        <f t="shared" si="7"/>
        <v>4974.3428591153643</v>
      </c>
    </row>
    <row r="78" spans="1:7" ht="19.5" thickBot="1">
      <c r="A78" s="379"/>
      <c r="B78" s="379" t="s">
        <v>542</v>
      </c>
      <c r="C78" s="380" t="s">
        <v>543</v>
      </c>
      <c r="D78" s="344"/>
      <c r="E78" s="414"/>
      <c r="F78" s="415"/>
      <c r="G78" s="929"/>
    </row>
    <row r="79" spans="1:7" ht="55.5" customHeight="1" thickBot="1">
      <c r="A79" s="384"/>
      <c r="B79" s="384" t="s">
        <v>351</v>
      </c>
      <c r="C79" s="385" t="s">
        <v>550</v>
      </c>
      <c r="D79" s="435"/>
      <c r="E79" s="405"/>
      <c r="F79" s="406"/>
      <c r="G79" s="927"/>
    </row>
    <row r="80" spans="1:7" ht="19.5" thickBot="1">
      <c r="A80" s="379"/>
      <c r="B80" s="379" t="s">
        <v>551</v>
      </c>
      <c r="C80" s="380" t="s">
        <v>552</v>
      </c>
      <c r="D80" s="344"/>
      <c r="E80" s="414"/>
      <c r="F80" s="415"/>
      <c r="G80" s="929"/>
    </row>
    <row r="81" spans="1:7" ht="19.5" thickBot="1">
      <c r="A81" s="379"/>
      <c r="B81" s="379" t="s">
        <v>553</v>
      </c>
      <c r="C81" s="380" t="s">
        <v>543</v>
      </c>
      <c r="D81" s="344"/>
      <c r="E81" s="414"/>
      <c r="F81" s="415"/>
      <c r="G81" s="929"/>
    </row>
    <row r="82" spans="1:7" ht="32.25" thickBot="1">
      <c r="A82" s="384"/>
      <c r="B82" s="384" t="s">
        <v>353</v>
      </c>
      <c r="C82" s="385" t="s">
        <v>560</v>
      </c>
      <c r="D82" s="435"/>
      <c r="E82" s="405"/>
      <c r="F82" s="406"/>
      <c r="G82" s="927"/>
    </row>
    <row r="83" spans="1:7" ht="19.5" thickBot="1">
      <c r="A83" s="383"/>
      <c r="B83" s="383" t="s">
        <v>561</v>
      </c>
      <c r="C83" s="696" t="s">
        <v>838</v>
      </c>
      <c r="D83" s="344"/>
      <c r="E83" s="420"/>
      <c r="F83" s="421"/>
      <c r="G83" s="929"/>
    </row>
    <row r="84" spans="1:7">
      <c r="A84" s="367"/>
      <c r="B84" s="367" t="s">
        <v>564</v>
      </c>
      <c r="C84" s="368" t="s">
        <v>565</v>
      </c>
      <c r="D84" s="339" t="s">
        <v>563</v>
      </c>
      <c r="E84" s="393">
        <v>4197034.3375999993</v>
      </c>
      <c r="F84" s="394">
        <v>250</v>
      </c>
      <c r="G84" s="447">
        <f t="shared" ref="G84:G89" si="8">E84/F84</f>
        <v>16788.137350399997</v>
      </c>
    </row>
    <row r="85" spans="1:7" ht="19.5" thickBot="1">
      <c r="A85" s="367"/>
      <c r="B85" s="367" t="s">
        <v>566</v>
      </c>
      <c r="C85" s="368" t="s">
        <v>567</v>
      </c>
      <c r="D85" s="339" t="s">
        <v>563</v>
      </c>
      <c r="E85" s="393">
        <v>4624919.7677279999</v>
      </c>
      <c r="F85" s="394">
        <v>295</v>
      </c>
      <c r="G85" s="447">
        <f t="shared" si="8"/>
        <v>15677.694127891526</v>
      </c>
    </row>
    <row r="86" spans="1:7" ht="19.5" thickBot="1">
      <c r="A86" s="379"/>
      <c r="B86" s="379" t="s">
        <v>568</v>
      </c>
      <c r="C86" s="380" t="s">
        <v>562</v>
      </c>
      <c r="D86" s="344"/>
      <c r="E86" s="855"/>
      <c r="F86" s="415"/>
      <c r="G86" s="929"/>
    </row>
    <row r="87" spans="1:7">
      <c r="A87" s="367"/>
      <c r="B87" s="367" t="s">
        <v>570</v>
      </c>
      <c r="C87" s="368" t="s">
        <v>571</v>
      </c>
      <c r="D87" s="339" t="s">
        <v>569</v>
      </c>
      <c r="E87" s="856">
        <v>147426656.77383047</v>
      </c>
      <c r="F87" s="394">
        <v>3755</v>
      </c>
      <c r="G87" s="447">
        <f t="shared" si="8"/>
        <v>39261.426570926888</v>
      </c>
    </row>
    <row r="88" spans="1:7">
      <c r="A88" s="367"/>
      <c r="B88" s="367" t="s">
        <v>572</v>
      </c>
      <c r="C88" s="368" t="s">
        <v>573</v>
      </c>
      <c r="D88" s="339" t="s">
        <v>569</v>
      </c>
      <c r="E88" s="856"/>
      <c r="F88" s="394"/>
      <c r="G88" s="447"/>
    </row>
    <row r="89" spans="1:7" ht="19.5" thickBot="1">
      <c r="A89" s="367"/>
      <c r="B89" s="367" t="s">
        <v>574</v>
      </c>
      <c r="C89" s="368" t="s">
        <v>575</v>
      </c>
      <c r="D89" s="339" t="s">
        <v>569</v>
      </c>
      <c r="E89" s="856">
        <v>214611974.96766099</v>
      </c>
      <c r="F89" s="394">
        <v>6210</v>
      </c>
      <c r="G89" s="447">
        <f t="shared" si="8"/>
        <v>34559.094197690982</v>
      </c>
    </row>
    <row r="90" spans="1:7" ht="19.5" thickBot="1">
      <c r="A90" s="379"/>
      <c r="B90" s="379" t="s">
        <v>581</v>
      </c>
      <c r="C90" s="380" t="s">
        <v>580</v>
      </c>
      <c r="D90" s="344"/>
      <c r="E90" s="855"/>
      <c r="F90" s="415"/>
      <c r="G90" s="929"/>
    </row>
    <row r="91" spans="1:7">
      <c r="A91" s="367"/>
      <c r="B91" s="367" t="s">
        <v>582</v>
      </c>
      <c r="C91" s="368" t="s">
        <v>575</v>
      </c>
      <c r="D91" s="339" t="s">
        <v>583</v>
      </c>
      <c r="E91" s="856"/>
      <c r="F91" s="394"/>
      <c r="G91" s="447"/>
    </row>
    <row r="92" spans="1:7">
      <c r="A92" s="367"/>
      <c r="B92" s="367" t="s">
        <v>584</v>
      </c>
      <c r="C92" s="368" t="s">
        <v>585</v>
      </c>
      <c r="D92" s="339" t="s">
        <v>583</v>
      </c>
      <c r="E92" s="856">
        <v>358573158.35525417</v>
      </c>
      <c r="F92" s="394">
        <v>10200</v>
      </c>
      <c r="G92" s="447">
        <f t="shared" ref="G92:G93" si="9">E92/F92</f>
        <v>35154.231211299426</v>
      </c>
    </row>
    <row r="93" spans="1:7" ht="19.5" thickBot="1">
      <c r="A93" s="367"/>
      <c r="B93" s="367" t="s">
        <v>586</v>
      </c>
      <c r="C93" s="368" t="s">
        <v>587</v>
      </c>
      <c r="D93" s="697" t="s">
        <v>837</v>
      </c>
      <c r="E93" s="856">
        <v>419439427.33979666</v>
      </c>
      <c r="F93" s="394">
        <v>12655</v>
      </c>
      <c r="G93" s="447">
        <f t="shared" si="9"/>
        <v>33144.166522307125</v>
      </c>
    </row>
    <row r="94" spans="1:7" ht="39.75" customHeight="1" thickBot="1">
      <c r="A94" s="309" t="s">
        <v>198</v>
      </c>
      <c r="B94" s="309" t="s">
        <v>836</v>
      </c>
      <c r="C94" s="306" t="s">
        <v>109</v>
      </c>
      <c r="D94" s="336"/>
      <c r="E94" s="307">
        <f>'прил.3 стандарт С1 2019 кВт'!D14</f>
        <v>47830197.070643224</v>
      </c>
      <c r="F94" s="307"/>
      <c r="G94" s="498"/>
    </row>
    <row r="95" spans="1:7">
      <c r="A95" s="290"/>
      <c r="B95" s="290"/>
      <c r="C95" s="291" t="s">
        <v>370</v>
      </c>
      <c r="D95" s="301"/>
      <c r="E95" s="292"/>
      <c r="F95" s="292"/>
      <c r="G95" s="930"/>
    </row>
    <row r="96" spans="1:7">
      <c r="A96" s="290"/>
      <c r="B96" s="290"/>
      <c r="C96" s="956" t="s">
        <v>139</v>
      </c>
      <c r="D96" s="968"/>
      <c r="E96" s="429">
        <f>F96*G96</f>
        <v>41488954.114448376</v>
      </c>
      <c r="F96" s="429">
        <f>F10</f>
        <v>33716.666666666664</v>
      </c>
      <c r="G96" s="923">
        <f>'прил.3 стандарт С1 2019 кВт'!I14</f>
        <v>1230.5176702258541</v>
      </c>
    </row>
    <row r="97" spans="1:8">
      <c r="A97" s="293"/>
      <c r="B97" s="293"/>
      <c r="C97" s="956" t="s">
        <v>164</v>
      </c>
      <c r="D97" s="968"/>
      <c r="E97" s="430">
        <f t="shared" ref="E97:E98" si="10">F97*G97</f>
        <v>3183153.9059404964</v>
      </c>
      <c r="F97" s="430">
        <f>F11</f>
        <v>9825</v>
      </c>
      <c r="G97" s="923">
        <f>'прил.3 стандарт С1 2019 кВт'!J14</f>
        <v>323.98513037562304</v>
      </c>
    </row>
    <row r="98" spans="1:8" ht="19.5" thickBot="1">
      <c r="A98" s="293"/>
      <c r="B98" s="293"/>
      <c r="C98" s="954" t="s">
        <v>378</v>
      </c>
      <c r="D98" s="969"/>
      <c r="E98" s="430">
        <f t="shared" si="10"/>
        <v>3158089.0502543491</v>
      </c>
      <c r="F98" s="430">
        <f>F12</f>
        <v>93344.333333333328</v>
      </c>
      <c r="G98" s="923">
        <f>'прил.3 стандарт С1 2019 кВт'!K14</f>
        <v>33.832680972467699</v>
      </c>
    </row>
    <row r="99" spans="1:8" ht="19.5" thickTop="1">
      <c r="A99" s="290"/>
      <c r="B99" s="290"/>
      <c r="C99" s="295" t="s">
        <v>371</v>
      </c>
      <c r="D99" s="302"/>
      <c r="E99" s="431"/>
      <c r="F99" s="431"/>
      <c r="G99" s="924"/>
    </row>
    <row r="100" spans="1:8">
      <c r="A100" s="290"/>
      <c r="B100" s="290"/>
      <c r="C100" s="956" t="s">
        <v>139</v>
      </c>
      <c r="D100" s="968"/>
      <c r="E100" s="429">
        <f>E96</f>
        <v>41488954.114448376</v>
      </c>
      <c r="F100" s="429">
        <f t="shared" ref="F100:G100" si="11">F96</f>
        <v>33716.666666666664</v>
      </c>
      <c r="G100" s="923">
        <f t="shared" si="11"/>
        <v>1230.5176702258541</v>
      </c>
    </row>
    <row r="101" spans="1:8">
      <c r="A101" s="293"/>
      <c r="B101" s="293"/>
      <c r="C101" s="956" t="s">
        <v>164</v>
      </c>
      <c r="D101" s="968"/>
      <c r="E101" s="430">
        <f t="shared" ref="E101:G102" si="12">E97</f>
        <v>3183153.9059404964</v>
      </c>
      <c r="F101" s="430">
        <f t="shared" si="12"/>
        <v>9825</v>
      </c>
      <c r="G101" s="923">
        <f t="shared" si="12"/>
        <v>323.98513037562304</v>
      </c>
    </row>
    <row r="102" spans="1:8" ht="19.5" thickBot="1">
      <c r="A102" s="293"/>
      <c r="B102" s="293"/>
      <c r="C102" s="954" t="s">
        <v>378</v>
      </c>
      <c r="D102" s="969"/>
      <c r="E102" s="430">
        <f t="shared" si="12"/>
        <v>3158089.0502543491</v>
      </c>
      <c r="F102" s="430">
        <f t="shared" si="12"/>
        <v>93344.333333333328</v>
      </c>
      <c r="G102" s="923">
        <f t="shared" si="12"/>
        <v>33.832680972467699</v>
      </c>
    </row>
    <row r="103" spans="1:8" ht="33" thickTop="1" thickBot="1">
      <c r="A103" s="309" t="s">
        <v>351</v>
      </c>
      <c r="B103" s="309"/>
      <c r="C103" s="306" t="s">
        <v>374</v>
      </c>
      <c r="D103" s="336"/>
      <c r="E103" s="307"/>
      <c r="F103" s="307"/>
      <c r="G103" s="498"/>
    </row>
    <row r="104" spans="1:8" ht="19.5" thickBot="1">
      <c r="A104" s="290"/>
      <c r="B104" s="290"/>
      <c r="C104" s="301" t="s">
        <v>370</v>
      </c>
      <c r="D104" s="301"/>
      <c r="E104" s="292"/>
      <c r="F104" s="292"/>
      <c r="G104" s="930"/>
    </row>
    <row r="105" spans="1:8" ht="20.25" thickTop="1" thickBot="1">
      <c r="A105" s="290"/>
      <c r="B105" s="290"/>
      <c r="C105" s="302" t="s">
        <v>371</v>
      </c>
      <c r="D105" s="302"/>
      <c r="E105" s="296"/>
      <c r="F105" s="296"/>
      <c r="G105" s="931"/>
    </row>
    <row r="106" spans="1:8" ht="32.25" thickBot="1">
      <c r="A106" s="309" t="s">
        <v>353</v>
      </c>
      <c r="B106" s="309"/>
      <c r="C106" s="310" t="s">
        <v>375</v>
      </c>
      <c r="D106" s="345"/>
      <c r="E106" s="307"/>
      <c r="F106" s="311"/>
      <c r="G106" s="499"/>
    </row>
    <row r="107" spans="1:8" ht="19.5" thickBot="1">
      <c r="A107" s="290"/>
      <c r="B107" s="290"/>
      <c r="C107" s="958" t="s">
        <v>370</v>
      </c>
      <c r="D107" s="959"/>
      <c r="E107" s="297"/>
      <c r="F107" s="289"/>
      <c r="G107" s="500"/>
    </row>
    <row r="108" spans="1:8" ht="20.25" thickTop="1" thickBot="1">
      <c r="A108" s="711"/>
      <c r="B108" s="711"/>
      <c r="C108" s="712" t="s">
        <v>371</v>
      </c>
      <c r="D108" s="712"/>
      <c r="E108" s="361"/>
      <c r="F108" s="361"/>
      <c r="G108" s="932"/>
    </row>
    <row r="110" spans="1:8" s="504" customFormat="1" ht="19.5" customHeight="1">
      <c r="A110" s="585" t="s">
        <v>200</v>
      </c>
      <c r="B110" s="585"/>
      <c r="C110" s="585"/>
      <c r="E110" s="506"/>
      <c r="F110" s="585" t="s">
        <v>706</v>
      </c>
      <c r="G110" s="506"/>
      <c r="H110" s="503"/>
    </row>
    <row r="112" spans="1:8" s="730" customFormat="1" ht="19.5">
      <c r="A112" s="730" t="s">
        <v>845</v>
      </c>
      <c r="F112" s="730" t="s">
        <v>847</v>
      </c>
    </row>
  </sheetData>
  <mergeCells count="16">
    <mergeCell ref="C12:D12"/>
    <mergeCell ref="C3:G3"/>
    <mergeCell ref="C4:G4"/>
    <mergeCell ref="C7:D7"/>
    <mergeCell ref="C10:D10"/>
    <mergeCell ref="C11:D11"/>
    <mergeCell ref="C100:D100"/>
    <mergeCell ref="C101:D101"/>
    <mergeCell ref="C102:D102"/>
    <mergeCell ref="C107:D107"/>
    <mergeCell ref="C14:D14"/>
    <mergeCell ref="C15:D15"/>
    <mergeCell ref="C16:D16"/>
    <mergeCell ref="C96:D96"/>
    <mergeCell ref="C97:D97"/>
    <mergeCell ref="C98:D98"/>
  </mergeCells>
  <pageMargins left="0.94488188976377963" right="0.19685039370078741" top="0.74803149606299213" bottom="0" header="0.51181102362204722" footer="0.15748031496062992"/>
  <pageSetup paperSize="9" scale="6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31"/>
  <sheetViews>
    <sheetView view="pageBreakPreview" topLeftCell="A10" zoomScale="88" zoomScaleNormal="100" zoomScaleSheetLayoutView="88" workbookViewId="0">
      <selection activeCell="I28" sqref="I28"/>
    </sheetView>
  </sheetViews>
  <sheetFormatPr defaultRowHeight="12.75"/>
  <cols>
    <col min="1" max="1" width="9.140625" style="270"/>
    <col min="2" max="2" width="69" style="227" customWidth="1"/>
    <col min="3" max="3" width="15.85546875" style="227" customWidth="1"/>
    <col min="4" max="4" width="20.42578125" style="227" customWidth="1"/>
    <col min="5" max="5" width="25.5703125" style="227" customWidth="1"/>
    <col min="6" max="11" width="9.140625" style="227" customWidth="1"/>
    <col min="12" max="257" width="9.140625" style="227"/>
    <col min="258" max="258" width="69" style="227" customWidth="1"/>
    <col min="259" max="259" width="15.85546875" style="227" customWidth="1"/>
    <col min="260" max="260" width="20.42578125" style="227" customWidth="1"/>
    <col min="261" max="261" width="25.5703125" style="227" customWidth="1"/>
    <col min="262" max="267" width="9.140625" style="227" customWidth="1"/>
    <col min="268" max="513" width="9.140625" style="227"/>
    <col min="514" max="514" width="69" style="227" customWidth="1"/>
    <col min="515" max="515" width="15.85546875" style="227" customWidth="1"/>
    <col min="516" max="516" width="20.42578125" style="227" customWidth="1"/>
    <col min="517" max="517" width="25.5703125" style="227" customWidth="1"/>
    <col min="518" max="523" width="9.140625" style="227" customWidth="1"/>
    <col min="524" max="769" width="9.140625" style="227"/>
    <col min="770" max="770" width="69" style="227" customWidth="1"/>
    <col min="771" max="771" width="15.85546875" style="227" customWidth="1"/>
    <col min="772" max="772" width="20.42578125" style="227" customWidth="1"/>
    <col min="773" max="773" width="25.5703125" style="227" customWidth="1"/>
    <col min="774" max="779" width="9.140625" style="227" customWidth="1"/>
    <col min="780" max="1025" width="9.140625" style="227"/>
    <col min="1026" max="1026" width="69" style="227" customWidth="1"/>
    <col min="1027" max="1027" width="15.85546875" style="227" customWidth="1"/>
    <col min="1028" max="1028" width="20.42578125" style="227" customWidth="1"/>
    <col min="1029" max="1029" width="25.5703125" style="227" customWidth="1"/>
    <col min="1030" max="1035" width="9.140625" style="227" customWidth="1"/>
    <col min="1036" max="1281" width="9.140625" style="227"/>
    <col min="1282" max="1282" width="69" style="227" customWidth="1"/>
    <col min="1283" max="1283" width="15.85546875" style="227" customWidth="1"/>
    <col min="1284" max="1284" width="20.42578125" style="227" customWidth="1"/>
    <col min="1285" max="1285" width="25.5703125" style="227" customWidth="1"/>
    <col min="1286" max="1291" width="9.140625" style="227" customWidth="1"/>
    <col min="1292" max="1537" width="9.140625" style="227"/>
    <col min="1538" max="1538" width="69" style="227" customWidth="1"/>
    <col min="1539" max="1539" width="15.85546875" style="227" customWidth="1"/>
    <col min="1540" max="1540" width="20.42578125" style="227" customWidth="1"/>
    <col min="1541" max="1541" width="25.5703125" style="227" customWidth="1"/>
    <col min="1542" max="1547" width="9.140625" style="227" customWidth="1"/>
    <col min="1548" max="1793" width="9.140625" style="227"/>
    <col min="1794" max="1794" width="69" style="227" customWidth="1"/>
    <col min="1795" max="1795" width="15.85546875" style="227" customWidth="1"/>
    <col min="1796" max="1796" width="20.42578125" style="227" customWidth="1"/>
    <col min="1797" max="1797" width="25.5703125" style="227" customWidth="1"/>
    <col min="1798" max="1803" width="9.140625" style="227" customWidth="1"/>
    <col min="1804" max="2049" width="9.140625" style="227"/>
    <col min="2050" max="2050" width="69" style="227" customWidth="1"/>
    <col min="2051" max="2051" width="15.85546875" style="227" customWidth="1"/>
    <col min="2052" max="2052" width="20.42578125" style="227" customWidth="1"/>
    <col min="2053" max="2053" width="25.5703125" style="227" customWidth="1"/>
    <col min="2054" max="2059" width="9.140625" style="227" customWidth="1"/>
    <col min="2060" max="2305" width="9.140625" style="227"/>
    <col min="2306" max="2306" width="69" style="227" customWidth="1"/>
    <col min="2307" max="2307" width="15.85546875" style="227" customWidth="1"/>
    <col min="2308" max="2308" width="20.42578125" style="227" customWidth="1"/>
    <col min="2309" max="2309" width="25.5703125" style="227" customWidth="1"/>
    <col min="2310" max="2315" width="9.140625" style="227" customWidth="1"/>
    <col min="2316" max="2561" width="9.140625" style="227"/>
    <col min="2562" max="2562" width="69" style="227" customWidth="1"/>
    <col min="2563" max="2563" width="15.85546875" style="227" customWidth="1"/>
    <col min="2564" max="2564" width="20.42578125" style="227" customWidth="1"/>
    <col min="2565" max="2565" width="25.5703125" style="227" customWidth="1"/>
    <col min="2566" max="2571" width="9.140625" style="227" customWidth="1"/>
    <col min="2572" max="2817" width="9.140625" style="227"/>
    <col min="2818" max="2818" width="69" style="227" customWidth="1"/>
    <col min="2819" max="2819" width="15.85546875" style="227" customWidth="1"/>
    <col min="2820" max="2820" width="20.42578125" style="227" customWidth="1"/>
    <col min="2821" max="2821" width="25.5703125" style="227" customWidth="1"/>
    <col min="2822" max="2827" width="9.140625" style="227" customWidth="1"/>
    <col min="2828" max="3073" width="9.140625" style="227"/>
    <col min="3074" max="3074" width="69" style="227" customWidth="1"/>
    <col min="3075" max="3075" width="15.85546875" style="227" customWidth="1"/>
    <col min="3076" max="3076" width="20.42578125" style="227" customWidth="1"/>
    <col min="3077" max="3077" width="25.5703125" style="227" customWidth="1"/>
    <col min="3078" max="3083" width="9.140625" style="227" customWidth="1"/>
    <col min="3084" max="3329" width="9.140625" style="227"/>
    <col min="3330" max="3330" width="69" style="227" customWidth="1"/>
    <col min="3331" max="3331" width="15.85546875" style="227" customWidth="1"/>
    <col min="3332" max="3332" width="20.42578125" style="227" customWidth="1"/>
    <col min="3333" max="3333" width="25.5703125" style="227" customWidth="1"/>
    <col min="3334" max="3339" width="9.140625" style="227" customWidth="1"/>
    <col min="3340" max="3585" width="9.140625" style="227"/>
    <col min="3586" max="3586" width="69" style="227" customWidth="1"/>
    <col min="3587" max="3587" width="15.85546875" style="227" customWidth="1"/>
    <col min="3588" max="3588" width="20.42578125" style="227" customWidth="1"/>
    <col min="3589" max="3589" width="25.5703125" style="227" customWidth="1"/>
    <col min="3590" max="3595" width="9.140625" style="227" customWidth="1"/>
    <col min="3596" max="3841" width="9.140625" style="227"/>
    <col min="3842" max="3842" width="69" style="227" customWidth="1"/>
    <col min="3843" max="3843" width="15.85546875" style="227" customWidth="1"/>
    <col min="3844" max="3844" width="20.42578125" style="227" customWidth="1"/>
    <col min="3845" max="3845" width="25.5703125" style="227" customWidth="1"/>
    <col min="3846" max="3851" width="9.140625" style="227" customWidth="1"/>
    <col min="3852" max="4097" width="9.140625" style="227"/>
    <col min="4098" max="4098" width="69" style="227" customWidth="1"/>
    <col min="4099" max="4099" width="15.85546875" style="227" customWidth="1"/>
    <col min="4100" max="4100" width="20.42578125" style="227" customWidth="1"/>
    <col min="4101" max="4101" width="25.5703125" style="227" customWidth="1"/>
    <col min="4102" max="4107" width="9.140625" style="227" customWidth="1"/>
    <col min="4108" max="4353" width="9.140625" style="227"/>
    <col min="4354" max="4354" width="69" style="227" customWidth="1"/>
    <col min="4355" max="4355" width="15.85546875" style="227" customWidth="1"/>
    <col min="4356" max="4356" width="20.42578125" style="227" customWidth="1"/>
    <col min="4357" max="4357" width="25.5703125" style="227" customWidth="1"/>
    <col min="4358" max="4363" width="9.140625" style="227" customWidth="1"/>
    <col min="4364" max="4609" width="9.140625" style="227"/>
    <col min="4610" max="4610" width="69" style="227" customWidth="1"/>
    <col min="4611" max="4611" width="15.85546875" style="227" customWidth="1"/>
    <col min="4612" max="4612" width="20.42578125" style="227" customWidth="1"/>
    <col min="4613" max="4613" width="25.5703125" style="227" customWidth="1"/>
    <col min="4614" max="4619" width="9.140625" style="227" customWidth="1"/>
    <col min="4620" max="4865" width="9.140625" style="227"/>
    <col min="4866" max="4866" width="69" style="227" customWidth="1"/>
    <col min="4867" max="4867" width="15.85546875" style="227" customWidth="1"/>
    <col min="4868" max="4868" width="20.42578125" style="227" customWidth="1"/>
    <col min="4869" max="4869" width="25.5703125" style="227" customWidth="1"/>
    <col min="4870" max="4875" width="9.140625" style="227" customWidth="1"/>
    <col min="4876" max="5121" width="9.140625" style="227"/>
    <col min="5122" max="5122" width="69" style="227" customWidth="1"/>
    <col min="5123" max="5123" width="15.85546875" style="227" customWidth="1"/>
    <col min="5124" max="5124" width="20.42578125" style="227" customWidth="1"/>
    <col min="5125" max="5125" width="25.5703125" style="227" customWidth="1"/>
    <col min="5126" max="5131" width="9.140625" style="227" customWidth="1"/>
    <col min="5132" max="5377" width="9.140625" style="227"/>
    <col min="5378" max="5378" width="69" style="227" customWidth="1"/>
    <col min="5379" max="5379" width="15.85546875" style="227" customWidth="1"/>
    <col min="5380" max="5380" width="20.42578125" style="227" customWidth="1"/>
    <col min="5381" max="5381" width="25.5703125" style="227" customWidth="1"/>
    <col min="5382" max="5387" width="9.140625" style="227" customWidth="1"/>
    <col min="5388" max="5633" width="9.140625" style="227"/>
    <col min="5634" max="5634" width="69" style="227" customWidth="1"/>
    <col min="5635" max="5635" width="15.85546875" style="227" customWidth="1"/>
    <col min="5636" max="5636" width="20.42578125" style="227" customWidth="1"/>
    <col min="5637" max="5637" width="25.5703125" style="227" customWidth="1"/>
    <col min="5638" max="5643" width="9.140625" style="227" customWidth="1"/>
    <col min="5644" max="5889" width="9.140625" style="227"/>
    <col min="5890" max="5890" width="69" style="227" customWidth="1"/>
    <col min="5891" max="5891" width="15.85546875" style="227" customWidth="1"/>
    <col min="5892" max="5892" width="20.42578125" style="227" customWidth="1"/>
    <col min="5893" max="5893" width="25.5703125" style="227" customWidth="1"/>
    <col min="5894" max="5899" width="9.140625" style="227" customWidth="1"/>
    <col min="5900" max="6145" width="9.140625" style="227"/>
    <col min="6146" max="6146" width="69" style="227" customWidth="1"/>
    <col min="6147" max="6147" width="15.85546875" style="227" customWidth="1"/>
    <col min="6148" max="6148" width="20.42578125" style="227" customWidth="1"/>
    <col min="6149" max="6149" width="25.5703125" style="227" customWidth="1"/>
    <col min="6150" max="6155" width="9.140625" style="227" customWidth="1"/>
    <col min="6156" max="6401" width="9.140625" style="227"/>
    <col min="6402" max="6402" width="69" style="227" customWidth="1"/>
    <col min="6403" max="6403" width="15.85546875" style="227" customWidth="1"/>
    <col min="6404" max="6404" width="20.42578125" style="227" customWidth="1"/>
    <col min="6405" max="6405" width="25.5703125" style="227" customWidth="1"/>
    <col min="6406" max="6411" width="9.140625" style="227" customWidth="1"/>
    <col min="6412" max="6657" width="9.140625" style="227"/>
    <col min="6658" max="6658" width="69" style="227" customWidth="1"/>
    <col min="6659" max="6659" width="15.85546875" style="227" customWidth="1"/>
    <col min="6660" max="6660" width="20.42578125" style="227" customWidth="1"/>
    <col min="6661" max="6661" width="25.5703125" style="227" customWidth="1"/>
    <col min="6662" max="6667" width="9.140625" style="227" customWidth="1"/>
    <col min="6668" max="6913" width="9.140625" style="227"/>
    <col min="6914" max="6914" width="69" style="227" customWidth="1"/>
    <col min="6915" max="6915" width="15.85546875" style="227" customWidth="1"/>
    <col min="6916" max="6916" width="20.42578125" style="227" customWidth="1"/>
    <col min="6917" max="6917" width="25.5703125" style="227" customWidth="1"/>
    <col min="6918" max="6923" width="9.140625" style="227" customWidth="1"/>
    <col min="6924" max="7169" width="9.140625" style="227"/>
    <col min="7170" max="7170" width="69" style="227" customWidth="1"/>
    <col min="7171" max="7171" width="15.85546875" style="227" customWidth="1"/>
    <col min="7172" max="7172" width="20.42578125" style="227" customWidth="1"/>
    <col min="7173" max="7173" width="25.5703125" style="227" customWidth="1"/>
    <col min="7174" max="7179" width="9.140625" style="227" customWidth="1"/>
    <col min="7180" max="7425" width="9.140625" style="227"/>
    <col min="7426" max="7426" width="69" style="227" customWidth="1"/>
    <col min="7427" max="7427" width="15.85546875" style="227" customWidth="1"/>
    <col min="7428" max="7428" width="20.42578125" style="227" customWidth="1"/>
    <col min="7429" max="7429" width="25.5703125" style="227" customWidth="1"/>
    <col min="7430" max="7435" width="9.140625" style="227" customWidth="1"/>
    <col min="7436" max="7681" width="9.140625" style="227"/>
    <col min="7682" max="7682" width="69" style="227" customWidth="1"/>
    <col min="7683" max="7683" width="15.85546875" style="227" customWidth="1"/>
    <col min="7684" max="7684" width="20.42578125" style="227" customWidth="1"/>
    <col min="7685" max="7685" width="25.5703125" style="227" customWidth="1"/>
    <col min="7686" max="7691" width="9.140625" style="227" customWidth="1"/>
    <col min="7692" max="7937" width="9.140625" style="227"/>
    <col min="7938" max="7938" width="69" style="227" customWidth="1"/>
    <col min="7939" max="7939" width="15.85546875" style="227" customWidth="1"/>
    <col min="7940" max="7940" width="20.42578125" style="227" customWidth="1"/>
    <col min="7941" max="7941" width="25.5703125" style="227" customWidth="1"/>
    <col min="7942" max="7947" width="9.140625" style="227" customWidth="1"/>
    <col min="7948" max="8193" width="9.140625" style="227"/>
    <col min="8194" max="8194" width="69" style="227" customWidth="1"/>
    <col min="8195" max="8195" width="15.85546875" style="227" customWidth="1"/>
    <col min="8196" max="8196" width="20.42578125" style="227" customWidth="1"/>
    <col min="8197" max="8197" width="25.5703125" style="227" customWidth="1"/>
    <col min="8198" max="8203" width="9.140625" style="227" customWidth="1"/>
    <col min="8204" max="8449" width="9.140625" style="227"/>
    <col min="8450" max="8450" width="69" style="227" customWidth="1"/>
    <col min="8451" max="8451" width="15.85546875" style="227" customWidth="1"/>
    <col min="8452" max="8452" width="20.42578125" style="227" customWidth="1"/>
    <col min="8453" max="8453" width="25.5703125" style="227" customWidth="1"/>
    <col min="8454" max="8459" width="9.140625" style="227" customWidth="1"/>
    <col min="8460" max="8705" width="9.140625" style="227"/>
    <col min="8706" max="8706" width="69" style="227" customWidth="1"/>
    <col min="8707" max="8707" width="15.85546875" style="227" customWidth="1"/>
    <col min="8708" max="8708" width="20.42578125" style="227" customWidth="1"/>
    <col min="8709" max="8709" width="25.5703125" style="227" customWidth="1"/>
    <col min="8710" max="8715" width="9.140625" style="227" customWidth="1"/>
    <col min="8716" max="8961" width="9.140625" style="227"/>
    <col min="8962" max="8962" width="69" style="227" customWidth="1"/>
    <col min="8963" max="8963" width="15.85546875" style="227" customWidth="1"/>
    <col min="8964" max="8964" width="20.42578125" style="227" customWidth="1"/>
    <col min="8965" max="8965" width="25.5703125" style="227" customWidth="1"/>
    <col min="8966" max="8971" width="9.140625" style="227" customWidth="1"/>
    <col min="8972" max="9217" width="9.140625" style="227"/>
    <col min="9218" max="9218" width="69" style="227" customWidth="1"/>
    <col min="9219" max="9219" width="15.85546875" style="227" customWidth="1"/>
    <col min="9220" max="9220" width="20.42578125" style="227" customWidth="1"/>
    <col min="9221" max="9221" width="25.5703125" style="227" customWidth="1"/>
    <col min="9222" max="9227" width="9.140625" style="227" customWidth="1"/>
    <col min="9228" max="9473" width="9.140625" style="227"/>
    <col min="9474" max="9474" width="69" style="227" customWidth="1"/>
    <col min="9475" max="9475" width="15.85546875" style="227" customWidth="1"/>
    <col min="9476" max="9476" width="20.42578125" style="227" customWidth="1"/>
    <col min="9477" max="9477" width="25.5703125" style="227" customWidth="1"/>
    <col min="9478" max="9483" width="9.140625" style="227" customWidth="1"/>
    <col min="9484" max="9729" width="9.140625" style="227"/>
    <col min="9730" max="9730" width="69" style="227" customWidth="1"/>
    <col min="9731" max="9731" width="15.85546875" style="227" customWidth="1"/>
    <col min="9732" max="9732" width="20.42578125" style="227" customWidth="1"/>
    <col min="9733" max="9733" width="25.5703125" style="227" customWidth="1"/>
    <col min="9734" max="9739" width="9.140625" style="227" customWidth="1"/>
    <col min="9740" max="9985" width="9.140625" style="227"/>
    <col min="9986" max="9986" width="69" style="227" customWidth="1"/>
    <col min="9987" max="9987" width="15.85546875" style="227" customWidth="1"/>
    <col min="9988" max="9988" width="20.42578125" style="227" customWidth="1"/>
    <col min="9989" max="9989" width="25.5703125" style="227" customWidth="1"/>
    <col min="9990" max="9995" width="9.140625" style="227" customWidth="1"/>
    <col min="9996" max="10241" width="9.140625" style="227"/>
    <col min="10242" max="10242" width="69" style="227" customWidth="1"/>
    <col min="10243" max="10243" width="15.85546875" style="227" customWidth="1"/>
    <col min="10244" max="10244" width="20.42578125" style="227" customWidth="1"/>
    <col min="10245" max="10245" width="25.5703125" style="227" customWidth="1"/>
    <col min="10246" max="10251" width="9.140625" style="227" customWidth="1"/>
    <col min="10252" max="10497" width="9.140625" style="227"/>
    <col min="10498" max="10498" width="69" style="227" customWidth="1"/>
    <col min="10499" max="10499" width="15.85546875" style="227" customWidth="1"/>
    <col min="10500" max="10500" width="20.42578125" style="227" customWidth="1"/>
    <col min="10501" max="10501" width="25.5703125" style="227" customWidth="1"/>
    <col min="10502" max="10507" width="9.140625" style="227" customWidth="1"/>
    <col min="10508" max="10753" width="9.140625" style="227"/>
    <col min="10754" max="10754" width="69" style="227" customWidth="1"/>
    <col min="10755" max="10755" width="15.85546875" style="227" customWidth="1"/>
    <col min="10756" max="10756" width="20.42578125" style="227" customWidth="1"/>
    <col min="10757" max="10757" width="25.5703125" style="227" customWidth="1"/>
    <col min="10758" max="10763" width="9.140625" style="227" customWidth="1"/>
    <col min="10764" max="11009" width="9.140625" style="227"/>
    <col min="11010" max="11010" width="69" style="227" customWidth="1"/>
    <col min="11011" max="11011" width="15.85546875" style="227" customWidth="1"/>
    <col min="11012" max="11012" width="20.42578125" style="227" customWidth="1"/>
    <col min="11013" max="11013" width="25.5703125" style="227" customWidth="1"/>
    <col min="11014" max="11019" width="9.140625" style="227" customWidth="1"/>
    <col min="11020" max="11265" width="9.140625" style="227"/>
    <col min="11266" max="11266" width="69" style="227" customWidth="1"/>
    <col min="11267" max="11267" width="15.85546875" style="227" customWidth="1"/>
    <col min="11268" max="11268" width="20.42578125" style="227" customWidth="1"/>
    <col min="11269" max="11269" width="25.5703125" style="227" customWidth="1"/>
    <col min="11270" max="11275" width="9.140625" style="227" customWidth="1"/>
    <col min="11276" max="11521" width="9.140625" style="227"/>
    <col min="11522" max="11522" width="69" style="227" customWidth="1"/>
    <col min="11523" max="11523" width="15.85546875" style="227" customWidth="1"/>
    <col min="11524" max="11524" width="20.42578125" style="227" customWidth="1"/>
    <col min="11525" max="11525" width="25.5703125" style="227" customWidth="1"/>
    <col min="11526" max="11531" width="9.140625" style="227" customWidth="1"/>
    <col min="11532" max="11777" width="9.140625" style="227"/>
    <col min="11778" max="11778" width="69" style="227" customWidth="1"/>
    <col min="11779" max="11779" width="15.85546875" style="227" customWidth="1"/>
    <col min="11780" max="11780" width="20.42578125" style="227" customWidth="1"/>
    <col min="11781" max="11781" width="25.5703125" style="227" customWidth="1"/>
    <col min="11782" max="11787" width="9.140625" style="227" customWidth="1"/>
    <col min="11788" max="12033" width="9.140625" style="227"/>
    <col min="12034" max="12034" width="69" style="227" customWidth="1"/>
    <col min="12035" max="12035" width="15.85546875" style="227" customWidth="1"/>
    <col min="12036" max="12036" width="20.42578125" style="227" customWidth="1"/>
    <col min="12037" max="12037" width="25.5703125" style="227" customWidth="1"/>
    <col min="12038" max="12043" width="9.140625" style="227" customWidth="1"/>
    <col min="12044" max="12289" width="9.140625" style="227"/>
    <col min="12290" max="12290" width="69" style="227" customWidth="1"/>
    <col min="12291" max="12291" width="15.85546875" style="227" customWidth="1"/>
    <col min="12292" max="12292" width="20.42578125" style="227" customWidth="1"/>
    <col min="12293" max="12293" width="25.5703125" style="227" customWidth="1"/>
    <col min="12294" max="12299" width="9.140625" style="227" customWidth="1"/>
    <col min="12300" max="12545" width="9.140625" style="227"/>
    <col min="12546" max="12546" width="69" style="227" customWidth="1"/>
    <col min="12547" max="12547" width="15.85546875" style="227" customWidth="1"/>
    <col min="12548" max="12548" width="20.42578125" style="227" customWidth="1"/>
    <col min="12549" max="12549" width="25.5703125" style="227" customWidth="1"/>
    <col min="12550" max="12555" width="9.140625" style="227" customWidth="1"/>
    <col min="12556" max="12801" width="9.140625" style="227"/>
    <col min="12802" max="12802" width="69" style="227" customWidth="1"/>
    <col min="12803" max="12803" width="15.85546875" style="227" customWidth="1"/>
    <col min="12804" max="12804" width="20.42578125" style="227" customWidth="1"/>
    <col min="12805" max="12805" width="25.5703125" style="227" customWidth="1"/>
    <col min="12806" max="12811" width="9.140625" style="227" customWidth="1"/>
    <col min="12812" max="13057" width="9.140625" style="227"/>
    <col min="13058" max="13058" width="69" style="227" customWidth="1"/>
    <col min="13059" max="13059" width="15.85546875" style="227" customWidth="1"/>
    <col min="13060" max="13060" width="20.42578125" style="227" customWidth="1"/>
    <col min="13061" max="13061" width="25.5703125" style="227" customWidth="1"/>
    <col min="13062" max="13067" width="9.140625" style="227" customWidth="1"/>
    <col min="13068" max="13313" width="9.140625" style="227"/>
    <col min="13314" max="13314" width="69" style="227" customWidth="1"/>
    <col min="13315" max="13315" width="15.85546875" style="227" customWidth="1"/>
    <col min="13316" max="13316" width="20.42578125" style="227" customWidth="1"/>
    <col min="13317" max="13317" width="25.5703125" style="227" customWidth="1"/>
    <col min="13318" max="13323" width="9.140625" style="227" customWidth="1"/>
    <col min="13324" max="13569" width="9.140625" style="227"/>
    <col min="13570" max="13570" width="69" style="227" customWidth="1"/>
    <col min="13571" max="13571" width="15.85546875" style="227" customWidth="1"/>
    <col min="13572" max="13572" width="20.42578125" style="227" customWidth="1"/>
    <col min="13573" max="13573" width="25.5703125" style="227" customWidth="1"/>
    <col min="13574" max="13579" width="9.140625" style="227" customWidth="1"/>
    <col min="13580" max="13825" width="9.140625" style="227"/>
    <col min="13826" max="13826" width="69" style="227" customWidth="1"/>
    <col min="13827" max="13827" width="15.85546875" style="227" customWidth="1"/>
    <col min="13828" max="13828" width="20.42578125" style="227" customWidth="1"/>
    <col min="13829" max="13829" width="25.5703125" style="227" customWidth="1"/>
    <col min="13830" max="13835" width="9.140625" style="227" customWidth="1"/>
    <col min="13836" max="14081" width="9.140625" style="227"/>
    <col min="14082" max="14082" width="69" style="227" customWidth="1"/>
    <col min="14083" max="14083" width="15.85546875" style="227" customWidth="1"/>
    <col min="14084" max="14084" width="20.42578125" style="227" customWidth="1"/>
    <col min="14085" max="14085" width="25.5703125" style="227" customWidth="1"/>
    <col min="14086" max="14091" width="9.140625" style="227" customWidth="1"/>
    <col min="14092" max="14337" width="9.140625" style="227"/>
    <col min="14338" max="14338" width="69" style="227" customWidth="1"/>
    <col min="14339" max="14339" width="15.85546875" style="227" customWidth="1"/>
    <col min="14340" max="14340" width="20.42578125" style="227" customWidth="1"/>
    <col min="14341" max="14341" width="25.5703125" style="227" customWidth="1"/>
    <col min="14342" max="14347" width="9.140625" style="227" customWidth="1"/>
    <col min="14348" max="14593" width="9.140625" style="227"/>
    <col min="14594" max="14594" width="69" style="227" customWidth="1"/>
    <col min="14595" max="14595" width="15.85546875" style="227" customWidth="1"/>
    <col min="14596" max="14596" width="20.42578125" style="227" customWidth="1"/>
    <col min="14597" max="14597" width="25.5703125" style="227" customWidth="1"/>
    <col min="14598" max="14603" width="9.140625" style="227" customWidth="1"/>
    <col min="14604" max="14849" width="9.140625" style="227"/>
    <col min="14850" max="14850" width="69" style="227" customWidth="1"/>
    <col min="14851" max="14851" width="15.85546875" style="227" customWidth="1"/>
    <col min="14852" max="14852" width="20.42578125" style="227" customWidth="1"/>
    <col min="14853" max="14853" width="25.5703125" style="227" customWidth="1"/>
    <col min="14854" max="14859" width="9.140625" style="227" customWidth="1"/>
    <col min="14860" max="15105" width="9.140625" style="227"/>
    <col min="15106" max="15106" width="69" style="227" customWidth="1"/>
    <col min="15107" max="15107" width="15.85546875" style="227" customWidth="1"/>
    <col min="15108" max="15108" width="20.42578125" style="227" customWidth="1"/>
    <col min="15109" max="15109" width="25.5703125" style="227" customWidth="1"/>
    <col min="15110" max="15115" width="9.140625" style="227" customWidth="1"/>
    <col min="15116" max="15361" width="9.140625" style="227"/>
    <col min="15362" max="15362" width="69" style="227" customWidth="1"/>
    <col min="15363" max="15363" width="15.85546875" style="227" customWidth="1"/>
    <col min="15364" max="15364" width="20.42578125" style="227" customWidth="1"/>
    <col min="15365" max="15365" width="25.5703125" style="227" customWidth="1"/>
    <col min="15366" max="15371" width="9.140625" style="227" customWidth="1"/>
    <col min="15372" max="15617" width="9.140625" style="227"/>
    <col min="15618" max="15618" width="69" style="227" customWidth="1"/>
    <col min="15619" max="15619" width="15.85546875" style="227" customWidth="1"/>
    <col min="15620" max="15620" width="20.42578125" style="227" customWidth="1"/>
    <col min="15621" max="15621" width="25.5703125" style="227" customWidth="1"/>
    <col min="15622" max="15627" width="9.140625" style="227" customWidth="1"/>
    <col min="15628" max="15873" width="9.140625" style="227"/>
    <col min="15874" max="15874" width="69" style="227" customWidth="1"/>
    <col min="15875" max="15875" width="15.85546875" style="227" customWidth="1"/>
    <col min="15876" max="15876" width="20.42578125" style="227" customWidth="1"/>
    <col min="15877" max="15877" width="25.5703125" style="227" customWidth="1"/>
    <col min="15878" max="15883" width="9.140625" style="227" customWidth="1"/>
    <col min="15884" max="16129" width="9.140625" style="227"/>
    <col min="16130" max="16130" width="69" style="227" customWidth="1"/>
    <col min="16131" max="16131" width="15.85546875" style="227" customWidth="1"/>
    <col min="16132" max="16132" width="20.42578125" style="227" customWidth="1"/>
    <col min="16133" max="16133" width="25.5703125" style="227" customWidth="1"/>
    <col min="16134" max="16139" width="9.140625" style="227" customWidth="1"/>
    <col min="16140" max="16384" width="9.140625" style="227"/>
  </cols>
  <sheetData>
    <row r="1" spans="1:8" ht="133.5" customHeight="1">
      <c r="A1" s="224"/>
      <c r="B1" s="225"/>
      <c r="C1" s="225"/>
      <c r="D1" s="225"/>
      <c r="E1" s="226" t="s">
        <v>588</v>
      </c>
    </row>
    <row r="2" spans="1:8" ht="24" customHeight="1">
      <c r="A2" s="224"/>
      <c r="B2" s="225"/>
      <c r="C2" s="225"/>
      <c r="D2" s="225"/>
      <c r="E2" s="228"/>
    </row>
    <row r="3" spans="1:8" ht="58.5" customHeight="1">
      <c r="A3" s="971" t="s">
        <v>306</v>
      </c>
      <c r="B3" s="972"/>
      <c r="C3" s="972"/>
      <c r="D3" s="972"/>
      <c r="E3" s="972"/>
    </row>
    <row r="4" spans="1:8" s="231" customFormat="1" ht="9.75" customHeight="1" thickBot="1">
      <c r="A4" s="229"/>
      <c r="B4" s="230"/>
      <c r="C4" s="230"/>
      <c r="D4" s="230"/>
      <c r="E4" s="230"/>
    </row>
    <row r="5" spans="1:8" s="231" customFormat="1" ht="46.5" customHeight="1" thickBot="1">
      <c r="A5" s="232" t="s">
        <v>8</v>
      </c>
      <c r="B5" s="233" t="s">
        <v>9</v>
      </c>
      <c r="C5" s="234" t="s">
        <v>10</v>
      </c>
      <c r="D5" s="235" t="s">
        <v>307</v>
      </c>
      <c r="E5" s="236" t="s">
        <v>308</v>
      </c>
    </row>
    <row r="6" spans="1:8" ht="16.5" thickBot="1">
      <c r="A6" s="237">
        <v>1</v>
      </c>
      <c r="B6" s="238">
        <v>2</v>
      </c>
      <c r="C6" s="239">
        <v>3</v>
      </c>
      <c r="D6" s="239">
        <v>4</v>
      </c>
      <c r="E6" s="240">
        <v>5</v>
      </c>
    </row>
    <row r="7" spans="1:8" s="245" customFormat="1" ht="31.5">
      <c r="A7" s="241" t="s">
        <v>14</v>
      </c>
      <c r="B7" s="242" t="s">
        <v>15</v>
      </c>
      <c r="C7" s="243" t="s">
        <v>16</v>
      </c>
      <c r="D7" s="244">
        <f>D8+D9+D10+D11+D12+D25</f>
        <v>90408.512960800013</v>
      </c>
      <c r="E7" s="244">
        <f>E8+E9+E10+E11+E12+E25</f>
        <v>86520.566679231997</v>
      </c>
      <c r="G7" s="245">
        <v>88708.42</v>
      </c>
      <c r="H7" s="245">
        <v>84752.47</v>
      </c>
    </row>
    <row r="8" spans="1:8" ht="15.75">
      <c r="A8" s="246" t="s">
        <v>17</v>
      </c>
      <c r="B8" s="247" t="s">
        <v>18</v>
      </c>
      <c r="C8" s="248" t="s">
        <v>16</v>
      </c>
      <c r="D8" s="249">
        <f>7923.18-D9</f>
        <v>2162.5100000000002</v>
      </c>
      <c r="E8" s="250">
        <f>8263.01-E9</f>
        <v>2218.3199999999997</v>
      </c>
    </row>
    <row r="9" spans="1:8" ht="15.75">
      <c r="A9" s="246" t="s">
        <v>19</v>
      </c>
      <c r="B9" s="247" t="s">
        <v>20</v>
      </c>
      <c r="C9" s="248" t="s">
        <v>16</v>
      </c>
      <c r="D9" s="249">
        <f>5373.35+387.32</f>
        <v>5760.67</v>
      </c>
      <c r="E9" s="250">
        <f>649.35+5395.34</f>
        <v>6044.6900000000005</v>
      </c>
    </row>
    <row r="10" spans="1:8" ht="15.75">
      <c r="A10" s="246" t="s">
        <v>21</v>
      </c>
      <c r="B10" s="247" t="s">
        <v>309</v>
      </c>
      <c r="C10" s="248" t="s">
        <v>16</v>
      </c>
      <c r="D10" s="249">
        <f>47946.14+4228.93-4208.76</f>
        <v>47966.31</v>
      </c>
      <c r="E10" s="250">
        <f>49379.56+1425.95-1375.84</f>
        <v>49429.67</v>
      </c>
    </row>
    <row r="11" spans="1:8" ht="15.75">
      <c r="A11" s="251" t="s">
        <v>23</v>
      </c>
      <c r="B11" s="247" t="s">
        <v>24</v>
      </c>
      <c r="C11" s="248" t="s">
        <v>16</v>
      </c>
      <c r="D11" s="249">
        <f>14281.76+1263.62-1250.27</f>
        <v>14295.11</v>
      </c>
      <c r="E11" s="250">
        <f>14498.37+1425.95-1375.84</f>
        <v>14548.480000000001</v>
      </c>
    </row>
    <row r="12" spans="1:8" ht="15.75">
      <c r="A12" s="246" t="s">
        <v>25</v>
      </c>
      <c r="B12" s="247" t="s">
        <v>26</v>
      </c>
      <c r="C12" s="248" t="s">
        <v>16</v>
      </c>
      <c r="D12" s="250">
        <f>D13+D15</f>
        <v>18523.820000000007</v>
      </c>
      <c r="E12" s="250">
        <f>E13+E15</f>
        <v>12511.309999999992</v>
      </c>
    </row>
    <row r="13" spans="1:8" ht="15.75">
      <c r="A13" s="246" t="s">
        <v>27</v>
      </c>
      <c r="B13" s="252" t="s">
        <v>310</v>
      </c>
      <c r="C13" s="248" t="s">
        <v>16</v>
      </c>
      <c r="D13" s="249">
        <f>475.41</f>
        <v>475.41</v>
      </c>
      <c r="E13" s="250">
        <f>480.72</f>
        <v>480.72</v>
      </c>
    </row>
    <row r="14" spans="1:8" ht="31.5">
      <c r="A14" s="246" t="s">
        <v>46</v>
      </c>
      <c r="B14" s="253" t="s">
        <v>47</v>
      </c>
      <c r="C14" s="248" t="s">
        <v>16</v>
      </c>
      <c r="D14" s="254"/>
      <c r="E14" s="255"/>
    </row>
    <row r="15" spans="1:8" ht="15.75">
      <c r="A15" s="246" t="s">
        <v>49</v>
      </c>
      <c r="B15" s="247" t="s">
        <v>50</v>
      </c>
      <c r="C15" s="248" t="s">
        <v>16</v>
      </c>
      <c r="D15" s="250">
        <f>SUM(D16:D20)</f>
        <v>18048.410000000007</v>
      </c>
      <c r="E15" s="250">
        <f>SUM(E16:E20)</f>
        <v>12030.589999999993</v>
      </c>
    </row>
    <row r="16" spans="1:8" ht="15.75">
      <c r="A16" s="246" t="s">
        <v>51</v>
      </c>
      <c r="B16" s="256" t="s">
        <v>52</v>
      </c>
      <c r="C16" s="248" t="s">
        <v>16</v>
      </c>
      <c r="D16" s="249">
        <v>345.97</v>
      </c>
      <c r="E16" s="250">
        <v>392.66</v>
      </c>
    </row>
    <row r="17" spans="1:5" ht="23.25" customHeight="1">
      <c r="A17" s="246" t="s">
        <v>53</v>
      </c>
      <c r="B17" s="256" t="s">
        <v>54</v>
      </c>
      <c r="C17" s="248" t="s">
        <v>16</v>
      </c>
      <c r="D17" s="249">
        <f>51.92+710.27</f>
        <v>762.18999999999994</v>
      </c>
      <c r="E17" s="250">
        <f>66.52+518.2</f>
        <v>584.72</v>
      </c>
    </row>
    <row r="18" spans="1:5" ht="27" customHeight="1">
      <c r="A18" s="246" t="s">
        <v>55</v>
      </c>
      <c r="B18" s="257" t="s">
        <v>56</v>
      </c>
      <c r="C18" s="248" t="s">
        <v>16</v>
      </c>
      <c r="D18" s="249">
        <f>57.51+0.24</f>
        <v>57.75</v>
      </c>
      <c r="E18" s="250">
        <f>54.93+0.47</f>
        <v>55.4</v>
      </c>
    </row>
    <row r="19" spans="1:5" ht="15.75">
      <c r="A19" s="246" t="s">
        <v>57</v>
      </c>
      <c r="B19" s="256" t="s">
        <v>58</v>
      </c>
      <c r="C19" s="248" t="s">
        <v>16</v>
      </c>
      <c r="D19" s="249">
        <f>176.16</f>
        <v>176.16</v>
      </c>
      <c r="E19" s="250">
        <f>136.29</f>
        <v>136.29</v>
      </c>
    </row>
    <row r="20" spans="1:5" ht="15.75">
      <c r="A20" s="246" t="s">
        <v>59</v>
      </c>
      <c r="B20" s="258" t="s">
        <v>60</v>
      </c>
      <c r="C20" s="248" t="s">
        <v>16</v>
      </c>
      <c r="D20" s="249">
        <f>88708.42-D8-D9-D10-D11-D13-D16-D17-D18-D19</f>
        <v>16706.340000000007</v>
      </c>
      <c r="E20" s="249">
        <f>84752.47-E8-E9-E10-E11-E13-E16-E17-E18-E19</f>
        <v>10861.519999999993</v>
      </c>
    </row>
    <row r="21" spans="1:5" ht="15.75">
      <c r="A21" s="246" t="s">
        <v>74</v>
      </c>
      <c r="B21" s="247" t="s">
        <v>75</v>
      </c>
      <c r="C21" s="248" t="s">
        <v>16</v>
      </c>
      <c r="D21" s="250">
        <f>SUM(D22:D25)</f>
        <v>1700.0929608000001</v>
      </c>
      <c r="E21" s="250">
        <f>SUM(E22:E25)</f>
        <v>1768.0966792320003</v>
      </c>
    </row>
    <row r="22" spans="1:5" ht="15.75">
      <c r="A22" s="246" t="s">
        <v>76</v>
      </c>
      <c r="B22" s="259" t="s">
        <v>77</v>
      </c>
      <c r="C22" s="248" t="s">
        <v>16</v>
      </c>
      <c r="D22" s="254"/>
      <c r="E22" s="255"/>
    </row>
    <row r="23" spans="1:5" ht="15.75">
      <c r="A23" s="246" t="s">
        <v>78</v>
      </c>
      <c r="B23" s="259" t="s">
        <v>79</v>
      </c>
      <c r="C23" s="248" t="s">
        <v>16</v>
      </c>
      <c r="D23" s="254"/>
      <c r="E23" s="255"/>
    </row>
    <row r="24" spans="1:5" ht="15.75">
      <c r="A24" s="246" t="s">
        <v>80</v>
      </c>
      <c r="B24" s="259" t="s">
        <v>81</v>
      </c>
      <c r="C24" s="248" t="s">
        <v>16</v>
      </c>
      <c r="D24" s="254"/>
      <c r="E24" s="255"/>
    </row>
    <row r="25" spans="1:5" ht="31.5">
      <c r="A25" s="246" t="s">
        <v>85</v>
      </c>
      <c r="B25" s="260" t="s">
        <v>86</v>
      </c>
      <c r="C25" s="248" t="s">
        <v>16</v>
      </c>
      <c r="D25" s="261">
        <f>1634.70477*1.04</f>
        <v>1700.0929608000001</v>
      </c>
      <c r="E25" s="262">
        <f>D25*1.04</f>
        <v>1768.0966792320003</v>
      </c>
    </row>
    <row r="26" spans="1:5" ht="63">
      <c r="A26" s="263" t="s">
        <v>135</v>
      </c>
      <c r="B26" s="264" t="s">
        <v>311</v>
      </c>
      <c r="C26" s="248" t="s">
        <v>16</v>
      </c>
      <c r="D26" s="265">
        <v>2365115</v>
      </c>
      <c r="E26" s="265">
        <v>487816</v>
      </c>
    </row>
    <row r="27" spans="1:5" ht="78.75">
      <c r="A27" s="246" t="s">
        <v>191</v>
      </c>
      <c r="B27" s="264" t="s">
        <v>312</v>
      </c>
      <c r="C27" s="248" t="s">
        <v>16</v>
      </c>
      <c r="D27" s="249">
        <f>134138.83*1.04</f>
        <v>139504.38319999998</v>
      </c>
      <c r="E27" s="249">
        <v>181352.86539989023</v>
      </c>
    </row>
    <row r="28" spans="1:5" ht="36" customHeight="1" thickBot="1">
      <c r="A28" s="266" t="s">
        <v>198</v>
      </c>
      <c r="B28" s="267" t="s">
        <v>313</v>
      </c>
      <c r="C28" s="268" t="s">
        <v>16</v>
      </c>
      <c r="D28" s="269">
        <f>D7+D26+D27</f>
        <v>2595027.8961608</v>
      </c>
      <c r="E28" s="269">
        <f>E7+E26+E27</f>
        <v>755689.43207912229</v>
      </c>
    </row>
    <row r="31" spans="1:5" s="729" customFormat="1" ht="15.75">
      <c r="A31" s="728"/>
      <c r="B31" s="729" t="s">
        <v>845</v>
      </c>
      <c r="E31" s="729" t="s">
        <v>846</v>
      </c>
    </row>
  </sheetData>
  <mergeCells count="1">
    <mergeCell ref="A3:E3"/>
  </mergeCells>
  <pageMargins left="1.23" right="0.35433070866141736" top="1.1000000000000001" bottom="0.19685039370078741" header="0.86" footer="0.51181102362204722"/>
  <pageSetup paperSize="9" scale="5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X15"/>
  <sheetViews>
    <sheetView topLeftCell="A10" workbookViewId="0">
      <selection activeCell="BT11" sqref="BT11:CX11"/>
    </sheetView>
  </sheetViews>
  <sheetFormatPr defaultColWidth="0.85546875" defaultRowHeight="15"/>
  <cols>
    <col min="1" max="16384" width="0.85546875" style="278"/>
  </cols>
  <sheetData>
    <row r="1" spans="1:102" s="271" customFormat="1" ht="12.75">
      <c r="BO1" s="271" t="s">
        <v>314</v>
      </c>
    </row>
    <row r="2" spans="1:102" s="271" customFormat="1" ht="41.25" customHeight="1">
      <c r="BO2" s="995" t="s">
        <v>281</v>
      </c>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row>
    <row r="3" spans="1:102" s="271" customFormat="1" ht="5.25" customHeight="1"/>
    <row r="4" spans="1:102" s="272" customFormat="1" ht="12">
      <c r="BO4" s="272" t="s">
        <v>315</v>
      </c>
    </row>
    <row r="5" spans="1:102" s="272" customFormat="1" ht="12">
      <c r="BO5" s="272" t="s">
        <v>316</v>
      </c>
    </row>
    <row r="6" spans="1:102" s="271" customFormat="1" ht="12.75"/>
    <row r="7" spans="1:102" s="273" customFormat="1" ht="18.75">
      <c r="A7" s="996" t="s">
        <v>317</v>
      </c>
      <c r="B7" s="996"/>
      <c r="C7" s="996"/>
      <c r="D7" s="996"/>
      <c r="E7" s="996"/>
      <c r="F7" s="996"/>
      <c r="G7" s="996"/>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row>
    <row r="8" spans="1:102" s="274" customFormat="1" ht="41.25" customHeight="1">
      <c r="A8" s="997" t="s">
        <v>318</v>
      </c>
      <c r="B8" s="997"/>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997"/>
      <c r="AV8" s="997"/>
      <c r="AW8" s="997"/>
      <c r="AX8" s="997"/>
      <c r="AY8" s="997"/>
      <c r="AZ8" s="997"/>
      <c r="BA8" s="997"/>
      <c r="BB8" s="997"/>
      <c r="BC8" s="997"/>
      <c r="BD8" s="997"/>
      <c r="BE8" s="997"/>
      <c r="BF8" s="997"/>
      <c r="BG8" s="997"/>
      <c r="BH8" s="997"/>
      <c r="BI8" s="997"/>
      <c r="BJ8" s="997"/>
      <c r="BK8" s="997"/>
      <c r="BL8" s="997"/>
      <c r="BM8" s="997"/>
      <c r="BN8" s="997"/>
      <c r="BO8" s="997"/>
      <c r="BP8" s="997"/>
      <c r="BQ8" s="997"/>
      <c r="BR8" s="997"/>
      <c r="BS8" s="997"/>
      <c r="BT8" s="997"/>
      <c r="BU8" s="997"/>
      <c r="BV8" s="997"/>
      <c r="BW8" s="997"/>
      <c r="BX8" s="997"/>
      <c r="BY8" s="997"/>
      <c r="BZ8" s="997"/>
      <c r="CA8" s="997"/>
      <c r="CB8" s="997"/>
      <c r="CC8" s="997"/>
      <c r="CD8" s="997"/>
      <c r="CE8" s="997"/>
      <c r="CF8" s="997"/>
      <c r="CG8" s="997"/>
      <c r="CH8" s="997"/>
      <c r="CI8" s="997"/>
      <c r="CJ8" s="997"/>
      <c r="CK8" s="997"/>
      <c r="CL8" s="997"/>
      <c r="CM8" s="997"/>
      <c r="CN8" s="997"/>
      <c r="CO8" s="997"/>
      <c r="CP8" s="997"/>
      <c r="CQ8" s="997"/>
      <c r="CR8" s="997"/>
      <c r="CS8" s="997"/>
      <c r="CT8" s="997"/>
      <c r="CU8" s="997"/>
      <c r="CV8" s="997"/>
      <c r="CW8" s="997"/>
      <c r="CX8" s="997"/>
    </row>
    <row r="9" spans="1:102" s="275" customFormat="1" ht="17.25" thickBot="1"/>
    <row r="10" spans="1:102" s="276" customFormat="1" ht="66" customHeight="1">
      <c r="A10" s="998" t="s">
        <v>319</v>
      </c>
      <c r="B10" s="999"/>
      <c r="C10" s="999"/>
      <c r="D10" s="999"/>
      <c r="E10" s="999"/>
      <c r="F10" s="999"/>
      <c r="G10" s="999"/>
      <c r="H10" s="999"/>
      <c r="I10" s="999"/>
      <c r="J10" s="999"/>
      <c r="K10" s="999"/>
      <c r="L10" s="999"/>
      <c r="M10" s="999"/>
      <c r="N10" s="999"/>
      <c r="O10" s="999"/>
      <c r="P10" s="999"/>
      <c r="Q10" s="999"/>
      <c r="R10" s="999"/>
      <c r="S10" s="999"/>
      <c r="T10" s="999"/>
      <c r="U10" s="999"/>
      <c r="V10" s="999"/>
      <c r="W10" s="999"/>
      <c r="X10" s="999"/>
      <c r="Y10" s="999"/>
      <c r="Z10" s="999"/>
      <c r="AA10" s="999"/>
      <c r="AB10" s="999"/>
      <c r="AC10" s="999"/>
      <c r="AD10" s="999"/>
      <c r="AE10" s="999"/>
      <c r="AF10" s="999"/>
      <c r="AG10" s="999"/>
      <c r="AH10" s="999"/>
      <c r="AI10" s="999"/>
      <c r="AJ10" s="999"/>
      <c r="AK10" s="999"/>
      <c r="AL10" s="999"/>
      <c r="AM10" s="1000"/>
      <c r="AN10" s="1001" t="s">
        <v>320</v>
      </c>
      <c r="AO10" s="1002"/>
      <c r="AP10" s="1002"/>
      <c r="AQ10" s="1002"/>
      <c r="AR10" s="1002"/>
      <c r="AS10" s="1002"/>
      <c r="AT10" s="1002"/>
      <c r="AU10" s="1002"/>
      <c r="AV10" s="1002"/>
      <c r="AW10" s="1002"/>
      <c r="AX10" s="1002"/>
      <c r="AY10" s="1002"/>
      <c r="AZ10" s="1002"/>
      <c r="BA10" s="1002"/>
      <c r="BB10" s="1002"/>
      <c r="BC10" s="1002"/>
      <c r="BD10" s="1002"/>
      <c r="BE10" s="1002"/>
      <c r="BF10" s="1002"/>
      <c r="BG10" s="1002"/>
      <c r="BH10" s="1002"/>
      <c r="BI10" s="1002"/>
      <c r="BJ10" s="1002"/>
      <c r="BK10" s="1002"/>
      <c r="BL10" s="1002"/>
      <c r="BM10" s="1002"/>
      <c r="BN10" s="1002"/>
      <c r="BO10" s="1002"/>
      <c r="BP10" s="1002"/>
      <c r="BQ10" s="1002"/>
      <c r="BR10" s="1002"/>
      <c r="BS10" s="1002"/>
      <c r="BT10" s="1003" t="s">
        <v>321</v>
      </c>
      <c r="BU10" s="1002"/>
      <c r="BV10" s="1002"/>
      <c r="BW10" s="1002"/>
      <c r="BX10" s="1002"/>
      <c r="BY10" s="1002"/>
      <c r="BZ10" s="1002"/>
      <c r="CA10" s="1002"/>
      <c r="CB10" s="1002"/>
      <c r="CC10" s="1002"/>
      <c r="CD10" s="1002"/>
      <c r="CE10" s="1002"/>
      <c r="CF10" s="1002"/>
      <c r="CG10" s="1002"/>
      <c r="CH10" s="1002"/>
      <c r="CI10" s="1002"/>
      <c r="CJ10" s="1002"/>
      <c r="CK10" s="1002"/>
      <c r="CL10" s="1002"/>
      <c r="CM10" s="1002"/>
      <c r="CN10" s="1002"/>
      <c r="CO10" s="1002"/>
      <c r="CP10" s="1002"/>
      <c r="CQ10" s="1002"/>
      <c r="CR10" s="1002"/>
      <c r="CS10" s="1002"/>
      <c r="CT10" s="1002"/>
      <c r="CU10" s="1002"/>
      <c r="CV10" s="1002"/>
      <c r="CW10" s="1002"/>
      <c r="CX10" s="1004"/>
    </row>
    <row r="11" spans="1:102" s="277" customFormat="1" ht="51.75" customHeight="1">
      <c r="A11" s="981" t="s">
        <v>14</v>
      </c>
      <c r="B11" s="982"/>
      <c r="C11" s="982"/>
      <c r="D11" s="982"/>
      <c r="E11" s="982"/>
      <c r="F11" s="982"/>
      <c r="G11" s="982"/>
      <c r="H11" s="983" t="s">
        <v>322</v>
      </c>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4"/>
      <c r="AN11" s="985">
        <v>46151.83</v>
      </c>
      <c r="AO11" s="986"/>
      <c r="AP11" s="986"/>
      <c r="AQ11" s="986"/>
      <c r="AR11" s="986"/>
      <c r="AS11" s="986"/>
      <c r="AT11" s="986"/>
      <c r="AU11" s="986"/>
      <c r="AV11" s="986"/>
      <c r="AW11" s="986"/>
      <c r="AX11" s="986"/>
      <c r="AY11" s="986"/>
      <c r="AZ11" s="986"/>
      <c r="BA11" s="986"/>
      <c r="BB11" s="986"/>
      <c r="BC11" s="986"/>
      <c r="BD11" s="986"/>
      <c r="BE11" s="986"/>
      <c r="BF11" s="986"/>
      <c r="BG11" s="986"/>
      <c r="BH11" s="986"/>
      <c r="BI11" s="986"/>
      <c r="BJ11" s="986"/>
      <c r="BK11" s="986"/>
      <c r="BL11" s="986"/>
      <c r="BM11" s="986"/>
      <c r="BN11" s="986"/>
      <c r="BO11" s="986"/>
      <c r="BP11" s="986"/>
      <c r="BQ11" s="986"/>
      <c r="BR11" s="986"/>
      <c r="BS11" s="986"/>
      <c r="BT11" s="986">
        <v>5470.03928</v>
      </c>
      <c r="BU11" s="986"/>
      <c r="BV11" s="986"/>
      <c r="BW11" s="986"/>
      <c r="BX11" s="986"/>
      <c r="BY11" s="986"/>
      <c r="BZ11" s="986"/>
      <c r="CA11" s="986"/>
      <c r="CB11" s="986"/>
      <c r="CC11" s="986"/>
      <c r="CD11" s="986"/>
      <c r="CE11" s="986"/>
      <c r="CF11" s="986"/>
      <c r="CG11" s="986"/>
      <c r="CH11" s="986"/>
      <c r="CI11" s="986"/>
      <c r="CJ11" s="986"/>
      <c r="CK11" s="986"/>
      <c r="CL11" s="986"/>
      <c r="CM11" s="986"/>
      <c r="CN11" s="986"/>
      <c r="CO11" s="986"/>
      <c r="CP11" s="986"/>
      <c r="CQ11" s="986"/>
      <c r="CR11" s="986"/>
      <c r="CS11" s="986"/>
      <c r="CT11" s="986"/>
      <c r="CU11" s="986"/>
      <c r="CV11" s="986"/>
      <c r="CW11" s="986"/>
      <c r="CX11" s="987"/>
    </row>
    <row r="12" spans="1:102" s="277" customFormat="1" ht="129" customHeight="1">
      <c r="A12" s="988" t="s">
        <v>135</v>
      </c>
      <c r="B12" s="989"/>
      <c r="C12" s="989"/>
      <c r="D12" s="989"/>
      <c r="E12" s="989"/>
      <c r="F12" s="989"/>
      <c r="G12" s="989"/>
      <c r="H12" s="990" t="s">
        <v>323</v>
      </c>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c r="AG12" s="990"/>
      <c r="AH12" s="990"/>
      <c r="AI12" s="990"/>
      <c r="AJ12" s="990"/>
      <c r="AK12" s="990"/>
      <c r="AL12" s="990"/>
      <c r="AM12" s="991"/>
      <c r="AN12" s="992">
        <v>60288.831346666666</v>
      </c>
      <c r="AO12" s="993"/>
      <c r="AP12" s="993"/>
      <c r="AQ12" s="993"/>
      <c r="AR12" s="993"/>
      <c r="AS12" s="993"/>
      <c r="AT12" s="993"/>
      <c r="AU12" s="993"/>
      <c r="AV12" s="993"/>
      <c r="AW12" s="993"/>
      <c r="AX12" s="993"/>
      <c r="AY12" s="993"/>
      <c r="AZ12" s="993"/>
      <c r="BA12" s="993"/>
      <c r="BB12" s="993"/>
      <c r="BC12" s="993"/>
      <c r="BD12" s="993"/>
      <c r="BE12" s="993"/>
      <c r="BF12" s="993"/>
      <c r="BG12" s="993"/>
      <c r="BH12" s="993"/>
      <c r="BI12" s="993"/>
      <c r="BJ12" s="993"/>
      <c r="BK12" s="993"/>
      <c r="BL12" s="993"/>
      <c r="BM12" s="993"/>
      <c r="BN12" s="993"/>
      <c r="BO12" s="993"/>
      <c r="BP12" s="993"/>
      <c r="BQ12" s="993"/>
      <c r="BR12" s="993"/>
      <c r="BS12" s="993"/>
      <c r="BT12" s="993">
        <v>10638.1</v>
      </c>
      <c r="BU12" s="993"/>
      <c r="BV12" s="993"/>
      <c r="BW12" s="993"/>
      <c r="BX12" s="993"/>
      <c r="BY12" s="993"/>
      <c r="BZ12" s="993"/>
      <c r="CA12" s="993"/>
      <c r="CB12" s="993"/>
      <c r="CC12" s="993"/>
      <c r="CD12" s="993"/>
      <c r="CE12" s="993"/>
      <c r="CF12" s="993"/>
      <c r="CG12" s="993"/>
      <c r="CH12" s="993"/>
      <c r="CI12" s="993"/>
      <c r="CJ12" s="993"/>
      <c r="CK12" s="993"/>
      <c r="CL12" s="993"/>
      <c r="CM12" s="993"/>
      <c r="CN12" s="993"/>
      <c r="CO12" s="993"/>
      <c r="CP12" s="993"/>
      <c r="CQ12" s="993"/>
      <c r="CR12" s="993"/>
      <c r="CS12" s="993"/>
      <c r="CT12" s="993"/>
      <c r="CU12" s="993"/>
      <c r="CV12" s="993"/>
      <c r="CW12" s="993"/>
      <c r="CX12" s="994"/>
    </row>
    <row r="13" spans="1:102" s="277" customFormat="1" ht="65.25" customHeight="1" thickBot="1">
      <c r="A13" s="974" t="s">
        <v>191</v>
      </c>
      <c r="B13" s="975"/>
      <c r="C13" s="975"/>
      <c r="D13" s="975"/>
      <c r="E13" s="975"/>
      <c r="F13" s="975"/>
      <c r="G13" s="975"/>
      <c r="H13" s="976" t="s">
        <v>324</v>
      </c>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7"/>
      <c r="AN13" s="978">
        <v>1057090.7364406779</v>
      </c>
      <c r="AO13" s="979"/>
      <c r="AP13" s="979"/>
      <c r="AQ13" s="979"/>
      <c r="AR13" s="979"/>
      <c r="AS13" s="979"/>
      <c r="AT13" s="979"/>
      <c r="AU13" s="979"/>
      <c r="AV13" s="979"/>
      <c r="AW13" s="979"/>
      <c r="AX13" s="979"/>
      <c r="AY13" s="979"/>
      <c r="AZ13" s="979"/>
      <c r="BA13" s="979"/>
      <c r="BB13" s="979"/>
      <c r="BC13" s="979"/>
      <c r="BD13" s="979"/>
      <c r="BE13" s="979"/>
      <c r="BF13" s="979"/>
      <c r="BG13" s="979"/>
      <c r="BH13" s="979"/>
      <c r="BI13" s="979"/>
      <c r="BJ13" s="979"/>
      <c r="BK13" s="979"/>
      <c r="BL13" s="979"/>
      <c r="BM13" s="979"/>
      <c r="BN13" s="979"/>
      <c r="BO13" s="979"/>
      <c r="BP13" s="979"/>
      <c r="BQ13" s="979"/>
      <c r="BR13" s="979"/>
      <c r="BS13" s="979"/>
      <c r="BT13" s="979">
        <f>10200+12665</f>
        <v>22865</v>
      </c>
      <c r="BU13" s="979"/>
      <c r="BV13" s="979"/>
      <c r="BW13" s="979"/>
      <c r="BX13" s="979"/>
      <c r="BY13" s="979"/>
      <c r="BZ13" s="979"/>
      <c r="CA13" s="979"/>
      <c r="CB13" s="979"/>
      <c r="CC13" s="979"/>
      <c r="CD13" s="979"/>
      <c r="CE13" s="979"/>
      <c r="CF13" s="979"/>
      <c r="CG13" s="979"/>
      <c r="CH13" s="979"/>
      <c r="CI13" s="979"/>
      <c r="CJ13" s="979"/>
      <c r="CK13" s="979"/>
      <c r="CL13" s="979"/>
      <c r="CM13" s="979"/>
      <c r="CN13" s="979"/>
      <c r="CO13" s="979"/>
      <c r="CP13" s="979"/>
      <c r="CQ13" s="979"/>
      <c r="CR13" s="979"/>
      <c r="CS13" s="979"/>
      <c r="CT13" s="979"/>
      <c r="CU13" s="979"/>
      <c r="CV13" s="979"/>
      <c r="CW13" s="979"/>
      <c r="CX13" s="980"/>
    </row>
    <row r="15" spans="1:102" ht="19.5">
      <c r="C15" s="973"/>
      <c r="D15" s="973"/>
      <c r="E15" s="973"/>
    </row>
  </sheetData>
  <mergeCells count="19">
    <mergeCell ref="BO2:CX2"/>
    <mergeCell ref="A7:CX7"/>
    <mergeCell ref="A8:CX8"/>
    <mergeCell ref="A10:AM10"/>
    <mergeCell ref="AN10:BS10"/>
    <mergeCell ref="BT10:CX10"/>
    <mergeCell ref="A11:G11"/>
    <mergeCell ref="H11:AM11"/>
    <mergeCell ref="AN11:BS11"/>
    <mergeCell ref="BT11:CX11"/>
    <mergeCell ref="A12:G12"/>
    <mergeCell ref="H12:AM12"/>
    <mergeCell ref="AN12:BS12"/>
    <mergeCell ref="BT12:CX12"/>
    <mergeCell ref="C15:E15"/>
    <mergeCell ref="A13:G13"/>
    <mergeCell ref="H13:AM13"/>
    <mergeCell ref="AN13:BS13"/>
    <mergeCell ref="BT13:CX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X18"/>
  <sheetViews>
    <sheetView view="pageBreakPreview" topLeftCell="A7" zoomScaleNormal="100" workbookViewId="0">
      <selection activeCell="A323" sqref="A323:G323"/>
    </sheetView>
  </sheetViews>
  <sheetFormatPr defaultColWidth="0.85546875" defaultRowHeight="15"/>
  <cols>
    <col min="1" max="16384" width="0.85546875" style="278"/>
  </cols>
  <sheetData>
    <row r="1" spans="1:102" s="271" customFormat="1" ht="12.75">
      <c r="BO1" s="271" t="s">
        <v>325</v>
      </c>
    </row>
    <row r="2" spans="1:102" s="271" customFormat="1" ht="41.25" customHeight="1">
      <c r="BO2" s="995" t="s">
        <v>281</v>
      </c>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row>
    <row r="3" spans="1:102" s="271" customFormat="1" ht="5.25" customHeight="1"/>
    <row r="4" spans="1:102" s="272" customFormat="1" ht="12">
      <c r="BO4" s="272" t="s">
        <v>315</v>
      </c>
    </row>
    <row r="5" spans="1:102" s="272" customFormat="1" ht="12">
      <c r="BO5" s="272" t="s">
        <v>316</v>
      </c>
    </row>
    <row r="6" spans="1:102" s="271" customFormat="1" ht="12.75"/>
    <row r="7" spans="1:102" s="273" customFormat="1" ht="18.75">
      <c r="A7" s="996" t="s">
        <v>317</v>
      </c>
      <c r="B7" s="996"/>
      <c r="C7" s="996"/>
      <c r="D7" s="996"/>
      <c r="E7" s="996"/>
      <c r="F7" s="996"/>
      <c r="G7" s="996"/>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row>
    <row r="8" spans="1:102" s="274" customFormat="1" ht="59.25" customHeight="1">
      <c r="A8" s="997" t="s">
        <v>326</v>
      </c>
      <c r="B8" s="997"/>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997"/>
      <c r="AV8" s="997"/>
      <c r="AW8" s="997"/>
      <c r="AX8" s="997"/>
      <c r="AY8" s="997"/>
      <c r="AZ8" s="997"/>
      <c r="BA8" s="997"/>
      <c r="BB8" s="997"/>
      <c r="BC8" s="997"/>
      <c r="BD8" s="997"/>
      <c r="BE8" s="997"/>
      <c r="BF8" s="997"/>
      <c r="BG8" s="997"/>
      <c r="BH8" s="997"/>
      <c r="BI8" s="997"/>
      <c r="BJ8" s="997"/>
      <c r="BK8" s="997"/>
      <c r="BL8" s="997"/>
      <c r="BM8" s="997"/>
      <c r="BN8" s="997"/>
      <c r="BO8" s="997"/>
      <c r="BP8" s="997"/>
      <c r="BQ8" s="997"/>
      <c r="BR8" s="997"/>
      <c r="BS8" s="997"/>
      <c r="BT8" s="997"/>
      <c r="BU8" s="997"/>
      <c r="BV8" s="997"/>
      <c r="BW8" s="997"/>
      <c r="BX8" s="997"/>
      <c r="BY8" s="997"/>
      <c r="BZ8" s="997"/>
      <c r="CA8" s="997"/>
      <c r="CB8" s="997"/>
      <c r="CC8" s="997"/>
      <c r="CD8" s="997"/>
      <c r="CE8" s="997"/>
      <c r="CF8" s="997"/>
      <c r="CG8" s="997"/>
      <c r="CH8" s="997"/>
      <c r="CI8" s="997"/>
      <c r="CJ8" s="997"/>
      <c r="CK8" s="997"/>
      <c r="CL8" s="997"/>
      <c r="CM8" s="997"/>
      <c r="CN8" s="997"/>
      <c r="CO8" s="997"/>
      <c r="CP8" s="997"/>
      <c r="CQ8" s="997"/>
      <c r="CR8" s="997"/>
      <c r="CS8" s="997"/>
      <c r="CT8" s="997"/>
      <c r="CU8" s="997"/>
      <c r="CV8" s="997"/>
      <c r="CW8" s="997"/>
      <c r="CX8" s="997"/>
    </row>
    <row r="9" spans="1:102" s="275" customFormat="1" ht="16.5"/>
    <row r="10" spans="1:102" s="276" customFormat="1" ht="176.25" customHeight="1">
      <c r="A10" s="1017" t="s">
        <v>319</v>
      </c>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9" t="s">
        <v>327</v>
      </c>
      <c r="AI10" s="1020"/>
      <c r="AJ10" s="1020"/>
      <c r="AK10" s="1020"/>
      <c r="AL10" s="1020"/>
      <c r="AM10" s="1020"/>
      <c r="AN10" s="1020"/>
      <c r="AO10" s="1020"/>
      <c r="AP10" s="1020"/>
      <c r="AQ10" s="1020"/>
      <c r="AR10" s="1020"/>
      <c r="AS10" s="1020"/>
      <c r="AT10" s="1020"/>
      <c r="AU10" s="1020"/>
      <c r="AV10" s="1020"/>
      <c r="AW10" s="1020"/>
      <c r="AX10" s="1020"/>
      <c r="AY10" s="1020"/>
      <c r="AZ10" s="1020"/>
      <c r="BA10" s="1020"/>
      <c r="BB10" s="1020"/>
      <c r="BC10" s="1020"/>
      <c r="BD10" s="1020"/>
      <c r="BE10" s="1019" t="s">
        <v>328</v>
      </c>
      <c r="BF10" s="1020"/>
      <c r="BG10" s="1020"/>
      <c r="BH10" s="1020"/>
      <c r="BI10" s="1020"/>
      <c r="BJ10" s="1020"/>
      <c r="BK10" s="1020"/>
      <c r="BL10" s="1020"/>
      <c r="BM10" s="1020"/>
      <c r="BN10" s="1020"/>
      <c r="BO10" s="1020"/>
      <c r="BP10" s="1020"/>
      <c r="BQ10" s="1020"/>
      <c r="BR10" s="1020"/>
      <c r="BS10" s="1020"/>
      <c r="BT10" s="1020"/>
      <c r="BU10" s="1020"/>
      <c r="BV10" s="1020"/>
      <c r="BW10" s="1020"/>
      <c r="BX10" s="1020"/>
      <c r="BY10" s="1020"/>
      <c r="BZ10" s="1020"/>
      <c r="CA10" s="1020"/>
      <c r="CB10" s="1019" t="s">
        <v>329</v>
      </c>
      <c r="CC10" s="1020"/>
      <c r="CD10" s="1020"/>
      <c r="CE10" s="1020"/>
      <c r="CF10" s="1020"/>
      <c r="CG10" s="1020"/>
      <c r="CH10" s="1020"/>
      <c r="CI10" s="1020"/>
      <c r="CJ10" s="1020"/>
      <c r="CK10" s="1020"/>
      <c r="CL10" s="1020"/>
      <c r="CM10" s="1020"/>
      <c r="CN10" s="1020"/>
      <c r="CO10" s="1020"/>
      <c r="CP10" s="1020"/>
      <c r="CQ10" s="1020"/>
      <c r="CR10" s="1020"/>
      <c r="CS10" s="1020"/>
      <c r="CT10" s="1020"/>
      <c r="CU10" s="1020"/>
      <c r="CV10" s="1020"/>
      <c r="CW10" s="1020"/>
      <c r="CX10" s="1020"/>
    </row>
    <row r="11" spans="1:102" s="277" customFormat="1" ht="55.5" customHeight="1">
      <c r="A11" s="1005" t="s">
        <v>14</v>
      </c>
      <c r="B11" s="1005"/>
      <c r="C11" s="1005"/>
      <c r="D11" s="1005"/>
      <c r="E11" s="1005"/>
      <c r="F11" s="1005"/>
      <c r="G11" s="1005"/>
      <c r="H11" s="1013" t="s">
        <v>330</v>
      </c>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4"/>
      <c r="AH11" s="1015"/>
      <c r="AI11" s="1015"/>
      <c r="AJ11" s="1015"/>
      <c r="AK11" s="1015"/>
      <c r="AL11" s="1015"/>
      <c r="AM11" s="1015"/>
      <c r="AN11" s="1015"/>
      <c r="AO11" s="1015"/>
      <c r="AP11" s="1015"/>
      <c r="AQ11" s="1015"/>
      <c r="AR11" s="1015"/>
      <c r="AS11" s="1015"/>
      <c r="AT11" s="1015"/>
      <c r="AU11" s="1015"/>
      <c r="AV11" s="1015"/>
      <c r="AW11" s="1015"/>
      <c r="AX11" s="1015"/>
      <c r="AY11" s="1015"/>
      <c r="AZ11" s="1015"/>
      <c r="BA11" s="1015"/>
      <c r="BB11" s="1015"/>
      <c r="BC11" s="1015"/>
      <c r="BD11" s="1015"/>
      <c r="BE11" s="1015"/>
      <c r="BF11" s="1015"/>
      <c r="BG11" s="1015"/>
      <c r="BH11" s="1015"/>
      <c r="BI11" s="1015"/>
      <c r="BJ11" s="1015"/>
      <c r="BK11" s="1015"/>
      <c r="BL11" s="1015"/>
      <c r="BM11" s="1015"/>
      <c r="BN11" s="1015"/>
      <c r="BO11" s="1015"/>
      <c r="BP11" s="1015"/>
      <c r="BQ11" s="1015"/>
      <c r="BR11" s="1015"/>
      <c r="BS11" s="1015"/>
      <c r="BT11" s="1015"/>
      <c r="BU11" s="1015"/>
      <c r="BV11" s="1015"/>
      <c r="BW11" s="1015"/>
      <c r="BX11" s="1015"/>
      <c r="BY11" s="1015"/>
      <c r="BZ11" s="1015"/>
      <c r="CA11" s="1015"/>
      <c r="CB11" s="1015"/>
      <c r="CC11" s="1015"/>
      <c r="CD11" s="1015"/>
      <c r="CE11" s="1015"/>
      <c r="CF11" s="1015"/>
      <c r="CG11" s="1015"/>
      <c r="CH11" s="1015"/>
      <c r="CI11" s="1015"/>
      <c r="CJ11" s="1015"/>
      <c r="CK11" s="1015"/>
      <c r="CL11" s="1015"/>
      <c r="CM11" s="1015"/>
      <c r="CN11" s="1015"/>
      <c r="CO11" s="1015"/>
      <c r="CP11" s="1015"/>
      <c r="CQ11" s="1015"/>
      <c r="CR11" s="1015"/>
      <c r="CS11" s="1015"/>
      <c r="CT11" s="1015"/>
      <c r="CU11" s="1015"/>
      <c r="CV11" s="1015"/>
      <c r="CW11" s="1015"/>
      <c r="CX11" s="1016"/>
    </row>
    <row r="12" spans="1:102" s="277" customFormat="1" ht="23.25" customHeight="1">
      <c r="A12" s="1005"/>
      <c r="B12" s="1005"/>
      <c r="C12" s="1005"/>
      <c r="D12" s="1005"/>
      <c r="E12" s="1005"/>
      <c r="F12" s="1005"/>
      <c r="G12" s="1005"/>
      <c r="H12" s="1006" t="s">
        <v>331</v>
      </c>
      <c r="I12" s="1006"/>
      <c r="J12" s="1006"/>
      <c r="K12" s="1006"/>
      <c r="L12" s="1006"/>
      <c r="M12" s="1006"/>
      <c r="N12" s="1006"/>
      <c r="O12" s="1006"/>
      <c r="P12" s="1006"/>
      <c r="Q12" s="1006"/>
      <c r="R12" s="1006"/>
      <c r="S12" s="1006"/>
      <c r="T12" s="1006"/>
      <c r="U12" s="1006"/>
      <c r="V12" s="1006"/>
      <c r="W12" s="1006"/>
      <c r="X12" s="1006"/>
      <c r="Y12" s="1006"/>
      <c r="Z12" s="1006"/>
      <c r="AA12" s="1006"/>
      <c r="AB12" s="1006"/>
      <c r="AC12" s="1006"/>
      <c r="AD12" s="1006"/>
      <c r="AE12" s="1006"/>
      <c r="AF12" s="1006"/>
      <c r="AG12" s="1007"/>
      <c r="AH12" s="1008">
        <v>5282.1513766666667</v>
      </c>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v>1.7520333333333331</v>
      </c>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v>643.4666666666667</v>
      </c>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9"/>
    </row>
    <row r="13" spans="1:102" s="277" customFormat="1" ht="23.25" customHeight="1">
      <c r="A13" s="1005"/>
      <c r="B13" s="1005"/>
      <c r="C13" s="1005"/>
      <c r="D13" s="1005"/>
      <c r="E13" s="1005"/>
      <c r="F13" s="1005"/>
      <c r="G13" s="1005"/>
      <c r="H13" s="1006" t="s">
        <v>332</v>
      </c>
      <c r="I13" s="1006"/>
      <c r="J13" s="1006"/>
      <c r="K13" s="1006"/>
      <c r="L13" s="1006"/>
      <c r="M13" s="1006"/>
      <c r="N13" s="1006"/>
      <c r="O13" s="1006"/>
      <c r="P13" s="1006"/>
      <c r="Q13" s="1006"/>
      <c r="R13" s="1006"/>
      <c r="S13" s="1006"/>
      <c r="T13" s="1006"/>
      <c r="U13" s="1006"/>
      <c r="V13" s="1006"/>
      <c r="W13" s="1006"/>
      <c r="X13" s="1006"/>
      <c r="Y13" s="1006"/>
      <c r="Z13" s="1006"/>
      <c r="AA13" s="1006"/>
      <c r="AB13" s="1006"/>
      <c r="AC13" s="1006"/>
      <c r="AD13" s="1006"/>
      <c r="AE13" s="1006"/>
      <c r="AF13" s="1006"/>
      <c r="AG13" s="1007"/>
      <c r="AH13" s="1008">
        <v>39292.564906666667</v>
      </c>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v>10.689733333333333</v>
      </c>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v>3064.3125599999998</v>
      </c>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9"/>
    </row>
    <row r="14" spans="1:102" s="277" customFormat="1" ht="23.25" customHeight="1">
      <c r="A14" s="982"/>
      <c r="B14" s="982"/>
      <c r="C14" s="982"/>
      <c r="D14" s="982"/>
      <c r="E14" s="982"/>
      <c r="F14" s="982"/>
      <c r="G14" s="982"/>
      <c r="H14" s="1010" t="s">
        <v>333</v>
      </c>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0"/>
      <c r="AF14" s="1010"/>
      <c r="AG14" s="1011"/>
      <c r="AH14" s="986">
        <v>0</v>
      </c>
      <c r="AI14" s="986"/>
      <c r="AJ14" s="986"/>
      <c r="AK14" s="986"/>
      <c r="AL14" s="986"/>
      <c r="AM14" s="986"/>
      <c r="AN14" s="986"/>
      <c r="AO14" s="986"/>
      <c r="AP14" s="986"/>
      <c r="AQ14" s="986"/>
      <c r="AR14" s="986"/>
      <c r="AS14" s="986"/>
      <c r="AT14" s="986"/>
      <c r="AU14" s="986"/>
      <c r="AV14" s="986"/>
      <c r="AW14" s="986"/>
      <c r="AX14" s="986"/>
      <c r="AY14" s="986"/>
      <c r="AZ14" s="986"/>
      <c r="BA14" s="986"/>
      <c r="BB14" s="986"/>
      <c r="BC14" s="986"/>
      <c r="BD14" s="986"/>
      <c r="BE14" s="986">
        <v>0</v>
      </c>
      <c r="BF14" s="986"/>
      <c r="BG14" s="986"/>
      <c r="BH14" s="986"/>
      <c r="BI14" s="986"/>
      <c r="BJ14" s="986"/>
      <c r="BK14" s="986"/>
      <c r="BL14" s="986"/>
      <c r="BM14" s="986"/>
      <c r="BN14" s="986"/>
      <c r="BO14" s="986"/>
      <c r="BP14" s="986"/>
      <c r="BQ14" s="986"/>
      <c r="BR14" s="986"/>
      <c r="BS14" s="986"/>
      <c r="BT14" s="986"/>
      <c r="BU14" s="986"/>
      <c r="BV14" s="986"/>
      <c r="BW14" s="986"/>
      <c r="BX14" s="986"/>
      <c r="BY14" s="986"/>
      <c r="BZ14" s="986"/>
      <c r="CA14" s="986"/>
      <c r="CB14" s="986">
        <v>0</v>
      </c>
      <c r="CC14" s="986"/>
      <c r="CD14" s="986"/>
      <c r="CE14" s="986"/>
      <c r="CF14" s="986"/>
      <c r="CG14" s="986"/>
      <c r="CH14" s="986"/>
      <c r="CI14" s="986"/>
      <c r="CJ14" s="986"/>
      <c r="CK14" s="986"/>
      <c r="CL14" s="986"/>
      <c r="CM14" s="986"/>
      <c r="CN14" s="986"/>
      <c r="CO14" s="986"/>
      <c r="CP14" s="986"/>
      <c r="CQ14" s="986"/>
      <c r="CR14" s="986"/>
      <c r="CS14" s="986"/>
      <c r="CT14" s="986"/>
      <c r="CU14" s="986"/>
      <c r="CV14" s="986"/>
      <c r="CW14" s="986"/>
      <c r="CX14" s="1012"/>
    </row>
    <row r="15" spans="1:102" s="277" customFormat="1" ht="55.5" customHeight="1">
      <c r="A15" s="1005" t="s">
        <v>135</v>
      </c>
      <c r="B15" s="1005"/>
      <c r="C15" s="1005"/>
      <c r="D15" s="1005"/>
      <c r="E15" s="1005"/>
      <c r="F15" s="1005"/>
      <c r="G15" s="1005"/>
      <c r="H15" s="1013" t="s">
        <v>334</v>
      </c>
      <c r="I15" s="1013"/>
      <c r="J15" s="1013"/>
      <c r="K15" s="1013"/>
      <c r="L15" s="1013"/>
      <c r="M15" s="1013"/>
      <c r="N15" s="1013"/>
      <c r="O15" s="1013"/>
      <c r="P15" s="1013"/>
      <c r="Q15" s="1013"/>
      <c r="R15" s="1013"/>
      <c r="S15" s="1013"/>
      <c r="T15" s="1013"/>
      <c r="U15" s="1013"/>
      <c r="V15" s="1013"/>
      <c r="W15" s="1013"/>
      <c r="X15" s="1013"/>
      <c r="Y15" s="1013"/>
      <c r="Z15" s="1013"/>
      <c r="AA15" s="1013"/>
      <c r="AB15" s="1013"/>
      <c r="AC15" s="1013"/>
      <c r="AD15" s="1013"/>
      <c r="AE15" s="1013"/>
      <c r="AF15" s="1013"/>
      <c r="AG15" s="1014"/>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9"/>
    </row>
    <row r="16" spans="1:102" s="277" customFormat="1" ht="23.25" customHeight="1">
      <c r="A16" s="1005"/>
      <c r="B16" s="1005"/>
      <c r="C16" s="1005"/>
      <c r="D16" s="1005"/>
      <c r="E16" s="1005"/>
      <c r="F16" s="1005"/>
      <c r="G16" s="1005"/>
      <c r="H16" s="1006" t="s">
        <v>331</v>
      </c>
      <c r="I16" s="1006"/>
      <c r="J16" s="1006"/>
      <c r="K16" s="1006"/>
      <c r="L16" s="1006"/>
      <c r="M16" s="1006"/>
      <c r="N16" s="1006"/>
      <c r="O16" s="1006"/>
      <c r="P16" s="1006"/>
      <c r="Q16" s="1006"/>
      <c r="R16" s="1006"/>
      <c r="S16" s="1006"/>
      <c r="T16" s="1006"/>
      <c r="U16" s="1006"/>
      <c r="V16" s="1006"/>
      <c r="W16" s="1006"/>
      <c r="X16" s="1006"/>
      <c r="Y16" s="1006"/>
      <c r="Z16" s="1006"/>
      <c r="AA16" s="1006"/>
      <c r="AB16" s="1006"/>
      <c r="AC16" s="1006"/>
      <c r="AD16" s="1006"/>
      <c r="AE16" s="1006"/>
      <c r="AF16" s="1006"/>
      <c r="AG16" s="1007"/>
      <c r="AH16" s="1008">
        <v>130415.01744833332</v>
      </c>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v>78.308666666666667</v>
      </c>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v>8680.6666666666661</v>
      </c>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9"/>
    </row>
    <row r="17" spans="1:102" s="277" customFormat="1" ht="23.25" customHeight="1">
      <c r="A17" s="1005"/>
      <c r="B17" s="1005"/>
      <c r="C17" s="1005"/>
      <c r="D17" s="1005"/>
      <c r="E17" s="1005"/>
      <c r="F17" s="1005"/>
      <c r="G17" s="1005"/>
      <c r="H17" s="1006" t="s">
        <v>332</v>
      </c>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c r="AE17" s="1006"/>
      <c r="AF17" s="1006"/>
      <c r="AG17" s="1007"/>
      <c r="AH17" s="1008">
        <v>97107.315948333344</v>
      </c>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v>71.780166666666673</v>
      </c>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v>6875.9876800000011</v>
      </c>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9"/>
    </row>
    <row r="18" spans="1:102" s="277" customFormat="1" ht="23.25" customHeight="1">
      <c r="A18" s="982"/>
      <c r="B18" s="982"/>
      <c r="C18" s="982"/>
      <c r="D18" s="982"/>
      <c r="E18" s="982"/>
      <c r="F18" s="982"/>
      <c r="G18" s="982"/>
      <c r="H18" s="1010" t="s">
        <v>333</v>
      </c>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1"/>
      <c r="AH18" s="986">
        <v>78716.314574999997</v>
      </c>
      <c r="AI18" s="986"/>
      <c r="AJ18" s="986"/>
      <c r="AK18" s="986"/>
      <c r="AL18" s="986"/>
      <c r="AM18" s="986"/>
      <c r="AN18" s="986"/>
      <c r="AO18" s="986"/>
      <c r="AP18" s="986"/>
      <c r="AQ18" s="986"/>
      <c r="AR18" s="986"/>
      <c r="AS18" s="986"/>
      <c r="AT18" s="986"/>
      <c r="AU18" s="986"/>
      <c r="AV18" s="986"/>
      <c r="AW18" s="986"/>
      <c r="AX18" s="986"/>
      <c r="AY18" s="986"/>
      <c r="AZ18" s="986"/>
      <c r="BA18" s="986"/>
      <c r="BB18" s="986"/>
      <c r="BC18" s="986"/>
      <c r="BD18" s="986"/>
      <c r="BE18" s="986">
        <v>12.092499999999999</v>
      </c>
      <c r="BF18" s="986"/>
      <c r="BG18" s="986"/>
      <c r="BH18" s="986"/>
      <c r="BI18" s="986"/>
      <c r="BJ18" s="986"/>
      <c r="BK18" s="986"/>
      <c r="BL18" s="986"/>
      <c r="BM18" s="986"/>
      <c r="BN18" s="986"/>
      <c r="BO18" s="986"/>
      <c r="BP18" s="986"/>
      <c r="BQ18" s="986"/>
      <c r="BR18" s="986"/>
      <c r="BS18" s="986"/>
      <c r="BT18" s="986"/>
      <c r="BU18" s="986"/>
      <c r="BV18" s="986"/>
      <c r="BW18" s="986"/>
      <c r="BX18" s="986"/>
      <c r="BY18" s="986"/>
      <c r="BZ18" s="986"/>
      <c r="CA18" s="986"/>
      <c r="CB18" s="986">
        <v>2770</v>
      </c>
      <c r="CC18" s="986"/>
      <c r="CD18" s="986"/>
      <c r="CE18" s="986"/>
      <c r="CF18" s="986"/>
      <c r="CG18" s="986"/>
      <c r="CH18" s="986"/>
      <c r="CI18" s="986"/>
      <c r="CJ18" s="986"/>
      <c r="CK18" s="986"/>
      <c r="CL18" s="986"/>
      <c r="CM18" s="986"/>
      <c r="CN18" s="986"/>
      <c r="CO18" s="986"/>
      <c r="CP18" s="986"/>
      <c r="CQ18" s="986"/>
      <c r="CR18" s="986"/>
      <c r="CS18" s="986"/>
      <c r="CT18" s="986"/>
      <c r="CU18" s="986"/>
      <c r="CV18" s="986"/>
      <c r="CW18" s="986"/>
      <c r="CX18" s="1012"/>
    </row>
  </sheetData>
  <mergeCells count="47">
    <mergeCell ref="BO2:CX2"/>
    <mergeCell ref="A7:CX7"/>
    <mergeCell ref="A8:CX8"/>
    <mergeCell ref="A10:AG10"/>
    <mergeCell ref="AH10:BD10"/>
    <mergeCell ref="BE10:CA10"/>
    <mergeCell ref="CB10:CX10"/>
    <mergeCell ref="A12:G12"/>
    <mergeCell ref="H12:AG12"/>
    <mergeCell ref="AH12:BD12"/>
    <mergeCell ref="BE12:CA12"/>
    <mergeCell ref="CB12:CX12"/>
    <mergeCell ref="A11:G11"/>
    <mergeCell ref="H11:AG11"/>
    <mergeCell ref="AH11:BD11"/>
    <mergeCell ref="BE11:CA11"/>
    <mergeCell ref="CB11:CX11"/>
    <mergeCell ref="A14:G14"/>
    <mergeCell ref="H14:AG14"/>
    <mergeCell ref="AH14:BD14"/>
    <mergeCell ref="BE14:CA14"/>
    <mergeCell ref="CB14:CX14"/>
    <mergeCell ref="A13:G13"/>
    <mergeCell ref="H13:AG13"/>
    <mergeCell ref="AH13:BD13"/>
    <mergeCell ref="BE13:CA13"/>
    <mergeCell ref="CB13:CX13"/>
    <mergeCell ref="A16:G16"/>
    <mergeCell ref="H16:AG16"/>
    <mergeCell ref="AH16:BD16"/>
    <mergeCell ref="BE16:CA16"/>
    <mergeCell ref="CB16:CX16"/>
    <mergeCell ref="A15:G15"/>
    <mergeCell ref="H15:AG15"/>
    <mergeCell ref="AH15:BD15"/>
    <mergeCell ref="BE15:CA15"/>
    <mergeCell ref="CB15:CX15"/>
    <mergeCell ref="A18:G18"/>
    <mergeCell ref="H18:AG18"/>
    <mergeCell ref="AH18:BD18"/>
    <mergeCell ref="BE18:CA18"/>
    <mergeCell ref="CB18:CX18"/>
    <mergeCell ref="A17:G17"/>
    <mergeCell ref="H17:AG17"/>
    <mergeCell ref="AH17:BD17"/>
    <mergeCell ref="BE17:CA17"/>
    <mergeCell ref="CB17:CX17"/>
  </mergeCells>
  <pageMargins left="0.78740157480314965" right="0.70866141732283472" top="0.59055118110236227" bottom="0.39370078740157483" header="0.19685039370078741" footer="0.19685039370078741"/>
  <pageSetup paperSize="9" scale="98"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X32"/>
  <sheetViews>
    <sheetView topLeftCell="A20" workbookViewId="0">
      <selection activeCell="C32" sqref="C32:CV32"/>
    </sheetView>
  </sheetViews>
  <sheetFormatPr defaultColWidth="0.85546875" defaultRowHeight="15"/>
  <cols>
    <col min="1" max="16384" width="0.85546875" style="278"/>
  </cols>
  <sheetData>
    <row r="1" spans="1:102" s="271" customFormat="1" ht="12.75">
      <c r="BN1" s="271" t="s">
        <v>335</v>
      </c>
    </row>
    <row r="2" spans="1:102" s="271" customFormat="1" ht="41.25" customHeight="1">
      <c r="BN2" s="995" t="s">
        <v>281</v>
      </c>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row>
    <row r="3" spans="1:102" s="271" customFormat="1" ht="5.25" customHeight="1"/>
    <row r="4" spans="1:102" s="272" customFormat="1" ht="12">
      <c r="BN4" s="272" t="s">
        <v>315</v>
      </c>
    </row>
    <row r="5" spans="1:102" s="272" customFormat="1" ht="12">
      <c r="BN5" s="272" t="s">
        <v>316</v>
      </c>
    </row>
    <row r="6" spans="1:102" s="271" customFormat="1" ht="12.75"/>
    <row r="7" spans="1:102" s="273" customFormat="1" ht="18.75">
      <c r="A7" s="996" t="s">
        <v>336</v>
      </c>
      <c r="B7" s="996"/>
      <c r="C7" s="996"/>
      <c r="D7" s="996"/>
      <c r="E7" s="996"/>
      <c r="F7" s="996"/>
      <c r="G7" s="996"/>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row>
    <row r="8" spans="1:102" s="274" customFormat="1" ht="39.75" customHeight="1">
      <c r="A8" s="997" t="s">
        <v>337</v>
      </c>
      <c r="B8" s="997"/>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997"/>
      <c r="AV8" s="997"/>
      <c r="AW8" s="997"/>
      <c r="AX8" s="997"/>
      <c r="AY8" s="997"/>
      <c r="AZ8" s="997"/>
      <c r="BA8" s="997"/>
      <c r="BB8" s="997"/>
      <c r="BC8" s="997"/>
      <c r="BD8" s="997"/>
      <c r="BE8" s="997"/>
      <c r="BF8" s="997"/>
      <c r="BG8" s="997"/>
      <c r="BH8" s="997"/>
      <c r="BI8" s="997"/>
      <c r="BJ8" s="997"/>
      <c r="BK8" s="997"/>
      <c r="BL8" s="997"/>
      <c r="BM8" s="997"/>
      <c r="BN8" s="997"/>
      <c r="BO8" s="997"/>
      <c r="BP8" s="997"/>
      <c r="BQ8" s="997"/>
      <c r="BR8" s="997"/>
      <c r="BS8" s="997"/>
      <c r="BT8" s="997"/>
      <c r="BU8" s="997"/>
      <c r="BV8" s="997"/>
      <c r="BW8" s="997"/>
      <c r="BX8" s="997"/>
      <c r="BY8" s="997"/>
      <c r="BZ8" s="997"/>
      <c r="CA8" s="997"/>
      <c r="CB8" s="997"/>
      <c r="CC8" s="997"/>
      <c r="CD8" s="997"/>
      <c r="CE8" s="997"/>
      <c r="CF8" s="997"/>
      <c r="CG8" s="997"/>
      <c r="CH8" s="997"/>
      <c r="CI8" s="997"/>
      <c r="CJ8" s="997"/>
      <c r="CK8" s="997"/>
      <c r="CL8" s="997"/>
      <c r="CM8" s="997"/>
      <c r="CN8" s="997"/>
      <c r="CO8" s="997"/>
      <c r="CP8" s="997"/>
      <c r="CQ8" s="997"/>
      <c r="CR8" s="997"/>
      <c r="CS8" s="997"/>
      <c r="CT8" s="997"/>
      <c r="CU8" s="997"/>
      <c r="CV8" s="997"/>
      <c r="CW8" s="997"/>
      <c r="CX8" s="997"/>
    </row>
    <row r="9" spans="1:102" ht="18.75" customHeight="1" thickBot="1"/>
    <row r="10" spans="1:102" s="279" customFormat="1" ht="27.75" customHeight="1">
      <c r="A10" s="1081" t="s">
        <v>338</v>
      </c>
      <c r="B10" s="1082"/>
      <c r="C10" s="1082"/>
      <c r="D10" s="1082"/>
      <c r="E10" s="1082"/>
      <c r="F10" s="1082"/>
      <c r="G10" s="1082"/>
      <c r="H10" s="1082"/>
      <c r="I10" s="1082"/>
      <c r="J10" s="1082"/>
      <c r="K10" s="1082"/>
      <c r="L10" s="1082"/>
      <c r="M10" s="1082"/>
      <c r="N10" s="1082"/>
      <c r="O10" s="1082"/>
      <c r="P10" s="1082"/>
      <c r="Q10" s="1082"/>
      <c r="R10" s="1082"/>
      <c r="S10" s="1082"/>
      <c r="T10" s="1082"/>
      <c r="U10" s="1083"/>
      <c r="V10" s="1087" t="s">
        <v>339</v>
      </c>
      <c r="W10" s="1087"/>
      <c r="X10" s="1087"/>
      <c r="Y10" s="1087"/>
      <c r="Z10" s="1087"/>
      <c r="AA10" s="1087"/>
      <c r="AB10" s="1087"/>
      <c r="AC10" s="1087"/>
      <c r="AD10" s="1087"/>
      <c r="AE10" s="1087"/>
      <c r="AF10" s="1087"/>
      <c r="AG10" s="1087"/>
      <c r="AH10" s="1087"/>
      <c r="AI10" s="1087"/>
      <c r="AJ10" s="1087"/>
      <c r="AK10" s="1087"/>
      <c r="AL10" s="1087"/>
      <c r="AM10" s="1087"/>
      <c r="AN10" s="1087"/>
      <c r="AO10" s="1087"/>
      <c r="AP10" s="1087"/>
      <c r="AQ10" s="1087"/>
      <c r="AR10" s="1087"/>
      <c r="AS10" s="1087"/>
      <c r="AT10" s="1087"/>
      <c r="AU10" s="1087"/>
      <c r="AV10" s="1087"/>
      <c r="AW10" s="1088" t="s">
        <v>340</v>
      </c>
      <c r="AX10" s="1087"/>
      <c r="AY10" s="1087"/>
      <c r="AZ10" s="1087"/>
      <c r="BA10" s="1087"/>
      <c r="BB10" s="1087"/>
      <c r="BC10" s="1087"/>
      <c r="BD10" s="1087"/>
      <c r="BE10" s="1087"/>
      <c r="BF10" s="1087"/>
      <c r="BG10" s="1087"/>
      <c r="BH10" s="1087"/>
      <c r="BI10" s="1087"/>
      <c r="BJ10" s="1087"/>
      <c r="BK10" s="1087"/>
      <c r="BL10" s="1087"/>
      <c r="BM10" s="1087"/>
      <c r="BN10" s="1087"/>
      <c r="BO10" s="1087"/>
      <c r="BP10" s="1087"/>
      <c r="BQ10" s="1087"/>
      <c r="BR10" s="1087"/>
      <c r="BS10" s="1087"/>
      <c r="BT10" s="1087"/>
      <c r="BU10" s="1087"/>
      <c r="BV10" s="1087"/>
      <c r="BW10" s="1089"/>
      <c r="BX10" s="1087" t="s">
        <v>341</v>
      </c>
      <c r="BY10" s="1087"/>
      <c r="BZ10" s="1087"/>
      <c r="CA10" s="1087"/>
      <c r="CB10" s="1087"/>
      <c r="CC10" s="1087"/>
      <c r="CD10" s="1087"/>
      <c r="CE10" s="1087"/>
      <c r="CF10" s="1087"/>
      <c r="CG10" s="1087"/>
      <c r="CH10" s="1087"/>
      <c r="CI10" s="1087"/>
      <c r="CJ10" s="1087"/>
      <c r="CK10" s="1087"/>
      <c r="CL10" s="1087"/>
      <c r="CM10" s="1087"/>
      <c r="CN10" s="1087"/>
      <c r="CO10" s="1087"/>
      <c r="CP10" s="1087"/>
      <c r="CQ10" s="1087"/>
      <c r="CR10" s="1087"/>
      <c r="CS10" s="1087"/>
      <c r="CT10" s="1087"/>
      <c r="CU10" s="1087"/>
      <c r="CV10" s="1087"/>
      <c r="CW10" s="1087"/>
      <c r="CX10" s="1089"/>
    </row>
    <row r="11" spans="1:102" s="279" customFormat="1" ht="35.25" customHeight="1" thickBot="1">
      <c r="A11" s="1084"/>
      <c r="B11" s="1085"/>
      <c r="C11" s="1085"/>
      <c r="D11" s="1085"/>
      <c r="E11" s="1085"/>
      <c r="F11" s="1085"/>
      <c r="G11" s="1085"/>
      <c r="H11" s="1085"/>
      <c r="I11" s="1085"/>
      <c r="J11" s="1085"/>
      <c r="K11" s="1085"/>
      <c r="L11" s="1085"/>
      <c r="M11" s="1085"/>
      <c r="N11" s="1085"/>
      <c r="O11" s="1085"/>
      <c r="P11" s="1085"/>
      <c r="Q11" s="1085"/>
      <c r="R11" s="1085"/>
      <c r="S11" s="1085"/>
      <c r="T11" s="1085"/>
      <c r="U11" s="1086"/>
      <c r="V11" s="1080" t="s">
        <v>331</v>
      </c>
      <c r="W11" s="1078"/>
      <c r="X11" s="1078"/>
      <c r="Y11" s="1078"/>
      <c r="Z11" s="1078"/>
      <c r="AA11" s="1078"/>
      <c r="AB11" s="1078"/>
      <c r="AC11" s="1078"/>
      <c r="AD11" s="1078"/>
      <c r="AE11" s="1078" t="s">
        <v>332</v>
      </c>
      <c r="AF11" s="1078"/>
      <c r="AG11" s="1078"/>
      <c r="AH11" s="1078"/>
      <c r="AI11" s="1078"/>
      <c r="AJ11" s="1078"/>
      <c r="AK11" s="1078"/>
      <c r="AL11" s="1078"/>
      <c r="AM11" s="1078"/>
      <c r="AN11" s="1078" t="s">
        <v>342</v>
      </c>
      <c r="AO11" s="1078"/>
      <c r="AP11" s="1078"/>
      <c r="AQ11" s="1078"/>
      <c r="AR11" s="1078"/>
      <c r="AS11" s="1078"/>
      <c r="AT11" s="1078"/>
      <c r="AU11" s="1078"/>
      <c r="AV11" s="1090"/>
      <c r="AW11" s="1077" t="s">
        <v>331</v>
      </c>
      <c r="AX11" s="1078"/>
      <c r="AY11" s="1078"/>
      <c r="AZ11" s="1078"/>
      <c r="BA11" s="1078"/>
      <c r="BB11" s="1078"/>
      <c r="BC11" s="1078"/>
      <c r="BD11" s="1078"/>
      <c r="BE11" s="1078"/>
      <c r="BF11" s="1078" t="s">
        <v>332</v>
      </c>
      <c r="BG11" s="1078"/>
      <c r="BH11" s="1078"/>
      <c r="BI11" s="1078"/>
      <c r="BJ11" s="1078"/>
      <c r="BK11" s="1078"/>
      <c r="BL11" s="1078"/>
      <c r="BM11" s="1078"/>
      <c r="BN11" s="1078"/>
      <c r="BO11" s="1078" t="s">
        <v>342</v>
      </c>
      <c r="BP11" s="1078"/>
      <c r="BQ11" s="1078"/>
      <c r="BR11" s="1078"/>
      <c r="BS11" s="1078"/>
      <c r="BT11" s="1078"/>
      <c r="BU11" s="1078"/>
      <c r="BV11" s="1078"/>
      <c r="BW11" s="1079"/>
      <c r="BX11" s="1080" t="s">
        <v>331</v>
      </c>
      <c r="BY11" s="1078"/>
      <c r="BZ11" s="1078"/>
      <c r="CA11" s="1078"/>
      <c r="CB11" s="1078"/>
      <c r="CC11" s="1078"/>
      <c r="CD11" s="1078"/>
      <c r="CE11" s="1078"/>
      <c r="CF11" s="1078"/>
      <c r="CG11" s="1078" t="s">
        <v>332</v>
      </c>
      <c r="CH11" s="1078"/>
      <c r="CI11" s="1078"/>
      <c r="CJ11" s="1078"/>
      <c r="CK11" s="1078"/>
      <c r="CL11" s="1078"/>
      <c r="CM11" s="1078"/>
      <c r="CN11" s="1078"/>
      <c r="CO11" s="1078"/>
      <c r="CP11" s="1078" t="s">
        <v>342</v>
      </c>
      <c r="CQ11" s="1078"/>
      <c r="CR11" s="1078"/>
      <c r="CS11" s="1078"/>
      <c r="CT11" s="1078"/>
      <c r="CU11" s="1078"/>
      <c r="CV11" s="1078"/>
      <c r="CW11" s="1078"/>
      <c r="CX11" s="1079"/>
    </row>
    <row r="12" spans="1:102" s="280" customFormat="1" ht="33" customHeight="1">
      <c r="A12" s="1054" t="s">
        <v>14</v>
      </c>
      <c r="B12" s="1055"/>
      <c r="C12" s="1055"/>
      <c r="D12" s="1055"/>
      <c r="E12" s="1055"/>
      <c r="F12" s="1056"/>
      <c r="G12" s="1074" t="s">
        <v>343</v>
      </c>
      <c r="H12" s="1075"/>
      <c r="I12" s="1075"/>
      <c r="J12" s="1075"/>
      <c r="K12" s="1075"/>
      <c r="L12" s="1075"/>
      <c r="M12" s="1075"/>
      <c r="N12" s="1075"/>
      <c r="O12" s="1075"/>
      <c r="P12" s="1075"/>
      <c r="Q12" s="1075"/>
      <c r="R12" s="1075"/>
      <c r="S12" s="1075"/>
      <c r="T12" s="1075"/>
      <c r="U12" s="1076"/>
      <c r="V12" s="1049">
        <v>2642</v>
      </c>
      <c r="W12" s="1047"/>
      <c r="X12" s="1047"/>
      <c r="Y12" s="1047"/>
      <c r="Z12" s="1047"/>
      <c r="AA12" s="1047"/>
      <c r="AB12" s="1047"/>
      <c r="AC12" s="1047"/>
      <c r="AD12" s="1047"/>
      <c r="AE12" s="1047">
        <v>5</v>
      </c>
      <c r="AF12" s="1047"/>
      <c r="AG12" s="1047"/>
      <c r="AH12" s="1047"/>
      <c r="AI12" s="1047"/>
      <c r="AJ12" s="1047"/>
      <c r="AK12" s="1047"/>
      <c r="AL12" s="1047"/>
      <c r="AM12" s="1047"/>
      <c r="AN12" s="1047">
        <v>0</v>
      </c>
      <c r="AO12" s="1047"/>
      <c r="AP12" s="1047"/>
      <c r="AQ12" s="1047"/>
      <c r="AR12" s="1047"/>
      <c r="AS12" s="1047"/>
      <c r="AT12" s="1047"/>
      <c r="AU12" s="1047"/>
      <c r="AV12" s="1060"/>
      <c r="AW12" s="1046">
        <v>32351</v>
      </c>
      <c r="AX12" s="1047"/>
      <c r="AY12" s="1047"/>
      <c r="AZ12" s="1047"/>
      <c r="BA12" s="1047"/>
      <c r="BB12" s="1047"/>
      <c r="BC12" s="1047"/>
      <c r="BD12" s="1047"/>
      <c r="BE12" s="1047"/>
      <c r="BF12" s="1047">
        <v>59</v>
      </c>
      <c r="BG12" s="1047"/>
      <c r="BH12" s="1047"/>
      <c r="BI12" s="1047"/>
      <c r="BJ12" s="1047"/>
      <c r="BK12" s="1047"/>
      <c r="BL12" s="1047"/>
      <c r="BM12" s="1047"/>
      <c r="BN12" s="1047"/>
      <c r="BO12" s="1047">
        <v>0</v>
      </c>
      <c r="BP12" s="1047"/>
      <c r="BQ12" s="1047"/>
      <c r="BR12" s="1047"/>
      <c r="BS12" s="1047"/>
      <c r="BT12" s="1047"/>
      <c r="BU12" s="1047"/>
      <c r="BV12" s="1047"/>
      <c r="BW12" s="1048"/>
      <c r="BX12" s="1049">
        <v>5976.81</v>
      </c>
      <c r="BY12" s="1047"/>
      <c r="BZ12" s="1047"/>
      <c r="CA12" s="1047"/>
      <c r="CB12" s="1047"/>
      <c r="CC12" s="1047"/>
      <c r="CD12" s="1047"/>
      <c r="CE12" s="1047"/>
      <c r="CF12" s="1047"/>
      <c r="CG12" s="1047">
        <v>16.190000000000001</v>
      </c>
      <c r="CH12" s="1047"/>
      <c r="CI12" s="1047"/>
      <c r="CJ12" s="1047"/>
      <c r="CK12" s="1047"/>
      <c r="CL12" s="1047"/>
      <c r="CM12" s="1047"/>
      <c r="CN12" s="1047"/>
      <c r="CO12" s="1047"/>
      <c r="CP12" s="1047">
        <v>0</v>
      </c>
      <c r="CQ12" s="1047"/>
      <c r="CR12" s="1047"/>
      <c r="CS12" s="1047"/>
      <c r="CT12" s="1047"/>
      <c r="CU12" s="1047"/>
      <c r="CV12" s="1047"/>
      <c r="CW12" s="1047"/>
      <c r="CX12" s="1048"/>
    </row>
    <row r="13" spans="1:102" s="280" customFormat="1" ht="19.5" customHeight="1">
      <c r="A13" s="1054"/>
      <c r="B13" s="1055"/>
      <c r="C13" s="1055"/>
      <c r="D13" s="1055"/>
      <c r="E13" s="1055"/>
      <c r="F13" s="1056"/>
      <c r="G13" s="1057" t="s">
        <v>344</v>
      </c>
      <c r="H13" s="1058"/>
      <c r="I13" s="1058"/>
      <c r="J13" s="1058"/>
      <c r="K13" s="1058"/>
      <c r="L13" s="1058"/>
      <c r="M13" s="1058"/>
      <c r="N13" s="1058"/>
      <c r="O13" s="1058"/>
      <c r="P13" s="1058"/>
      <c r="Q13" s="1058"/>
      <c r="R13" s="1058"/>
      <c r="S13" s="1058"/>
      <c r="T13" s="1058"/>
      <c r="U13" s="1059"/>
      <c r="V13" s="1049"/>
      <c r="W13" s="1047"/>
      <c r="X13" s="1047"/>
      <c r="Y13" s="1047"/>
      <c r="Z13" s="1047"/>
      <c r="AA13" s="1047"/>
      <c r="AB13" s="1047"/>
      <c r="AC13" s="1047"/>
      <c r="AD13" s="1047"/>
      <c r="AE13" s="1047"/>
      <c r="AF13" s="1047"/>
      <c r="AG13" s="1047"/>
      <c r="AH13" s="1047"/>
      <c r="AI13" s="1047"/>
      <c r="AJ13" s="1047"/>
      <c r="AK13" s="1047"/>
      <c r="AL13" s="1047"/>
      <c r="AM13" s="1047"/>
      <c r="AN13" s="1047"/>
      <c r="AO13" s="1047"/>
      <c r="AP13" s="1047"/>
      <c r="AQ13" s="1047"/>
      <c r="AR13" s="1047"/>
      <c r="AS13" s="1047"/>
      <c r="AT13" s="1047"/>
      <c r="AU13" s="1047"/>
      <c r="AV13" s="1060"/>
      <c r="AW13" s="1046"/>
      <c r="AX13" s="1047"/>
      <c r="AY13" s="1047"/>
      <c r="AZ13" s="1047"/>
      <c r="BA13" s="1047"/>
      <c r="BB13" s="1047"/>
      <c r="BC13" s="1047"/>
      <c r="BD13" s="1047"/>
      <c r="BE13" s="1047"/>
      <c r="BF13" s="1047"/>
      <c r="BG13" s="1047"/>
      <c r="BH13" s="1047"/>
      <c r="BI13" s="1047"/>
      <c r="BJ13" s="1047"/>
      <c r="BK13" s="1047"/>
      <c r="BL13" s="1047"/>
      <c r="BM13" s="1047"/>
      <c r="BN13" s="1047"/>
      <c r="BO13" s="1047"/>
      <c r="BP13" s="1047"/>
      <c r="BQ13" s="1047"/>
      <c r="BR13" s="1047"/>
      <c r="BS13" s="1047"/>
      <c r="BT13" s="1047"/>
      <c r="BU13" s="1047"/>
      <c r="BV13" s="1047"/>
      <c r="BW13" s="1048"/>
      <c r="BX13" s="1049"/>
      <c r="BY13" s="1047"/>
      <c r="BZ13" s="1047"/>
      <c r="CA13" s="1047"/>
      <c r="CB13" s="1047"/>
      <c r="CC13" s="1047"/>
      <c r="CD13" s="1047"/>
      <c r="CE13" s="1047"/>
      <c r="CF13" s="1047"/>
      <c r="CG13" s="1047"/>
      <c r="CH13" s="1047"/>
      <c r="CI13" s="1047"/>
      <c r="CJ13" s="1047"/>
      <c r="CK13" s="1047"/>
      <c r="CL13" s="1047"/>
      <c r="CM13" s="1047"/>
      <c r="CN13" s="1047"/>
      <c r="CO13" s="1047"/>
      <c r="CP13" s="1047"/>
      <c r="CQ13" s="1047"/>
      <c r="CR13" s="1047"/>
      <c r="CS13" s="1047"/>
      <c r="CT13" s="1047"/>
      <c r="CU13" s="1047"/>
      <c r="CV13" s="1047"/>
      <c r="CW13" s="1047"/>
      <c r="CX13" s="1048"/>
    </row>
    <row r="14" spans="1:102" s="280" customFormat="1" ht="33" customHeight="1">
      <c r="A14" s="1038"/>
      <c r="B14" s="1039"/>
      <c r="C14" s="1039"/>
      <c r="D14" s="1039"/>
      <c r="E14" s="1039"/>
      <c r="F14" s="1040"/>
      <c r="G14" s="1041" t="s">
        <v>345</v>
      </c>
      <c r="H14" s="1042"/>
      <c r="I14" s="1042"/>
      <c r="J14" s="1042"/>
      <c r="K14" s="1042"/>
      <c r="L14" s="1042"/>
      <c r="M14" s="1042"/>
      <c r="N14" s="1042"/>
      <c r="O14" s="1042"/>
      <c r="P14" s="1042"/>
      <c r="Q14" s="1042"/>
      <c r="R14" s="1042"/>
      <c r="S14" s="1042"/>
      <c r="T14" s="1042"/>
      <c r="U14" s="1043"/>
      <c r="V14" s="1030">
        <v>2290</v>
      </c>
      <c r="W14" s="1028"/>
      <c r="X14" s="1028"/>
      <c r="Y14" s="1028"/>
      <c r="Z14" s="1028"/>
      <c r="AA14" s="1028"/>
      <c r="AB14" s="1028"/>
      <c r="AC14" s="1028"/>
      <c r="AD14" s="1028"/>
      <c r="AE14" s="1028">
        <v>4</v>
      </c>
      <c r="AF14" s="1028"/>
      <c r="AG14" s="1028"/>
      <c r="AH14" s="1028"/>
      <c r="AI14" s="1028"/>
      <c r="AJ14" s="1028"/>
      <c r="AK14" s="1028"/>
      <c r="AL14" s="1028"/>
      <c r="AM14" s="1028"/>
      <c r="AN14" s="1028">
        <v>0</v>
      </c>
      <c r="AO14" s="1028"/>
      <c r="AP14" s="1028"/>
      <c r="AQ14" s="1028"/>
      <c r="AR14" s="1028"/>
      <c r="AS14" s="1028"/>
      <c r="AT14" s="1028"/>
      <c r="AU14" s="1028"/>
      <c r="AV14" s="1044"/>
      <c r="AW14" s="1045">
        <v>28291</v>
      </c>
      <c r="AX14" s="1028"/>
      <c r="AY14" s="1028"/>
      <c r="AZ14" s="1028"/>
      <c r="BA14" s="1028"/>
      <c r="BB14" s="1028"/>
      <c r="BC14" s="1028"/>
      <c r="BD14" s="1028"/>
      <c r="BE14" s="1028"/>
      <c r="BF14" s="1071">
        <v>54</v>
      </c>
      <c r="BG14" s="1071"/>
      <c r="BH14" s="1071"/>
      <c r="BI14" s="1071"/>
      <c r="BJ14" s="1071"/>
      <c r="BK14" s="1071"/>
      <c r="BL14" s="1071"/>
      <c r="BM14" s="1071"/>
      <c r="BN14" s="1071"/>
      <c r="BO14" s="1028">
        <v>0</v>
      </c>
      <c r="BP14" s="1028"/>
      <c r="BQ14" s="1028"/>
      <c r="BR14" s="1028"/>
      <c r="BS14" s="1028"/>
      <c r="BT14" s="1028"/>
      <c r="BU14" s="1028"/>
      <c r="BV14" s="1028"/>
      <c r="BW14" s="1029"/>
      <c r="BX14" s="1072">
        <v>1068.7</v>
      </c>
      <c r="BY14" s="1071"/>
      <c r="BZ14" s="1071"/>
      <c r="CA14" s="1071"/>
      <c r="CB14" s="1071"/>
      <c r="CC14" s="1071"/>
      <c r="CD14" s="1071"/>
      <c r="CE14" s="1071"/>
      <c r="CF14" s="1071"/>
      <c r="CG14" s="1073">
        <v>1.86</v>
      </c>
      <c r="CH14" s="1073"/>
      <c r="CI14" s="1073"/>
      <c r="CJ14" s="1073"/>
      <c r="CK14" s="1073"/>
      <c r="CL14" s="1073"/>
      <c r="CM14" s="1073"/>
      <c r="CN14" s="1073"/>
      <c r="CO14" s="1073"/>
      <c r="CP14" s="1028">
        <v>0</v>
      </c>
      <c r="CQ14" s="1028"/>
      <c r="CR14" s="1028"/>
      <c r="CS14" s="1028"/>
      <c r="CT14" s="1028"/>
      <c r="CU14" s="1028"/>
      <c r="CV14" s="1028"/>
      <c r="CW14" s="1028"/>
      <c r="CX14" s="1029"/>
    </row>
    <row r="15" spans="1:102" s="280" customFormat="1" ht="33" customHeight="1">
      <c r="A15" s="1061" t="s">
        <v>135</v>
      </c>
      <c r="B15" s="1062"/>
      <c r="C15" s="1062"/>
      <c r="D15" s="1062"/>
      <c r="E15" s="1062"/>
      <c r="F15" s="1063"/>
      <c r="G15" s="1064" t="s">
        <v>346</v>
      </c>
      <c r="H15" s="1065"/>
      <c r="I15" s="1065"/>
      <c r="J15" s="1065"/>
      <c r="K15" s="1065"/>
      <c r="L15" s="1065"/>
      <c r="M15" s="1065"/>
      <c r="N15" s="1065"/>
      <c r="O15" s="1065"/>
      <c r="P15" s="1065"/>
      <c r="Q15" s="1065"/>
      <c r="R15" s="1065"/>
      <c r="S15" s="1065"/>
      <c r="T15" s="1065"/>
      <c r="U15" s="1066"/>
      <c r="V15" s="1052">
        <v>147</v>
      </c>
      <c r="W15" s="1050"/>
      <c r="X15" s="1050"/>
      <c r="Y15" s="1050"/>
      <c r="Z15" s="1050"/>
      <c r="AA15" s="1050"/>
      <c r="AB15" s="1050"/>
      <c r="AC15" s="1050"/>
      <c r="AD15" s="1050"/>
      <c r="AE15" s="1050">
        <v>1760</v>
      </c>
      <c r="AF15" s="1050"/>
      <c r="AG15" s="1050"/>
      <c r="AH15" s="1050"/>
      <c r="AI15" s="1050"/>
      <c r="AJ15" s="1050"/>
      <c r="AK15" s="1050"/>
      <c r="AL15" s="1050"/>
      <c r="AM15" s="1050"/>
      <c r="AN15" s="1050">
        <v>0</v>
      </c>
      <c r="AO15" s="1050"/>
      <c r="AP15" s="1050"/>
      <c r="AQ15" s="1050"/>
      <c r="AR15" s="1050"/>
      <c r="AS15" s="1050"/>
      <c r="AT15" s="1050"/>
      <c r="AU15" s="1050"/>
      <c r="AV15" s="1067"/>
      <c r="AW15" s="1070">
        <v>6893</v>
      </c>
      <c r="AX15" s="1068"/>
      <c r="AY15" s="1068"/>
      <c r="AZ15" s="1068"/>
      <c r="BA15" s="1068"/>
      <c r="BB15" s="1068"/>
      <c r="BC15" s="1068"/>
      <c r="BD15" s="1068"/>
      <c r="BE15" s="1068"/>
      <c r="BF15" s="1050">
        <v>1760</v>
      </c>
      <c r="BG15" s="1050"/>
      <c r="BH15" s="1050"/>
      <c r="BI15" s="1050"/>
      <c r="BJ15" s="1050"/>
      <c r="BK15" s="1050"/>
      <c r="BL15" s="1050"/>
      <c r="BM15" s="1050"/>
      <c r="BN15" s="1050"/>
      <c r="BO15" s="1050">
        <v>0</v>
      </c>
      <c r="BP15" s="1050"/>
      <c r="BQ15" s="1050"/>
      <c r="BR15" s="1050"/>
      <c r="BS15" s="1050"/>
      <c r="BT15" s="1050"/>
      <c r="BU15" s="1050"/>
      <c r="BV15" s="1050"/>
      <c r="BW15" s="1051"/>
      <c r="BX15" s="1052">
        <v>13826.36</v>
      </c>
      <c r="BY15" s="1050"/>
      <c r="BZ15" s="1050"/>
      <c r="CA15" s="1050"/>
      <c r="CB15" s="1050"/>
      <c r="CC15" s="1050"/>
      <c r="CD15" s="1050"/>
      <c r="CE15" s="1050"/>
      <c r="CF15" s="1050"/>
      <c r="CG15" s="1050">
        <v>2767.04</v>
      </c>
      <c r="CH15" s="1050"/>
      <c r="CI15" s="1050"/>
      <c r="CJ15" s="1050"/>
      <c r="CK15" s="1050"/>
      <c r="CL15" s="1050"/>
      <c r="CM15" s="1050"/>
      <c r="CN15" s="1050"/>
      <c r="CO15" s="1050"/>
      <c r="CP15" s="1068">
        <v>0</v>
      </c>
      <c r="CQ15" s="1068"/>
      <c r="CR15" s="1068"/>
      <c r="CS15" s="1068"/>
      <c r="CT15" s="1068"/>
      <c r="CU15" s="1068"/>
      <c r="CV15" s="1068"/>
      <c r="CW15" s="1068"/>
      <c r="CX15" s="1069"/>
    </row>
    <row r="16" spans="1:102" s="280" customFormat="1" ht="19.5" customHeight="1">
      <c r="A16" s="1054"/>
      <c r="B16" s="1055"/>
      <c r="C16" s="1055"/>
      <c r="D16" s="1055"/>
      <c r="E16" s="1055"/>
      <c r="F16" s="1056"/>
      <c r="G16" s="1057" t="s">
        <v>344</v>
      </c>
      <c r="H16" s="1058"/>
      <c r="I16" s="1058"/>
      <c r="J16" s="1058"/>
      <c r="K16" s="1058"/>
      <c r="L16" s="1058"/>
      <c r="M16" s="1058"/>
      <c r="N16" s="1058"/>
      <c r="O16" s="1058"/>
      <c r="P16" s="1058"/>
      <c r="Q16" s="1058"/>
      <c r="R16" s="1058"/>
      <c r="S16" s="1058"/>
      <c r="T16" s="1058"/>
      <c r="U16" s="1059"/>
      <c r="V16" s="1049"/>
      <c r="W16" s="1047"/>
      <c r="X16" s="1047"/>
      <c r="Y16" s="1047"/>
      <c r="Z16" s="1047"/>
      <c r="AA16" s="1047"/>
      <c r="AB16" s="1047"/>
      <c r="AC16" s="1047"/>
      <c r="AD16" s="1047"/>
      <c r="AE16" s="1047"/>
      <c r="AF16" s="1047"/>
      <c r="AG16" s="1047"/>
      <c r="AH16" s="1047"/>
      <c r="AI16" s="1047"/>
      <c r="AJ16" s="1047"/>
      <c r="AK16" s="1047"/>
      <c r="AL16" s="1047"/>
      <c r="AM16" s="1047"/>
      <c r="AN16" s="1047"/>
      <c r="AO16" s="1047"/>
      <c r="AP16" s="1047"/>
      <c r="AQ16" s="1047"/>
      <c r="AR16" s="1047"/>
      <c r="AS16" s="1047"/>
      <c r="AT16" s="1047"/>
      <c r="AU16" s="1047"/>
      <c r="AV16" s="1060"/>
      <c r="AW16" s="1046"/>
      <c r="AX16" s="1047"/>
      <c r="AY16" s="1047"/>
      <c r="AZ16" s="1047"/>
      <c r="BA16" s="1047"/>
      <c r="BB16" s="1047"/>
      <c r="BC16" s="1047"/>
      <c r="BD16" s="1047"/>
      <c r="BE16" s="1047"/>
      <c r="BF16" s="1047"/>
      <c r="BG16" s="1047"/>
      <c r="BH16" s="1047"/>
      <c r="BI16" s="1047"/>
      <c r="BJ16" s="1047"/>
      <c r="BK16" s="1047"/>
      <c r="BL16" s="1047"/>
      <c r="BM16" s="1047"/>
      <c r="BN16" s="1047"/>
      <c r="BO16" s="1047"/>
      <c r="BP16" s="1047"/>
      <c r="BQ16" s="1047"/>
      <c r="BR16" s="1047"/>
      <c r="BS16" s="1047"/>
      <c r="BT16" s="1047"/>
      <c r="BU16" s="1047"/>
      <c r="BV16" s="1047"/>
      <c r="BW16" s="1048"/>
      <c r="BX16" s="1049"/>
      <c r="BY16" s="1047"/>
      <c r="BZ16" s="1047"/>
      <c r="CA16" s="1047"/>
      <c r="CB16" s="1047"/>
      <c r="CC16" s="1047"/>
      <c r="CD16" s="1047"/>
      <c r="CE16" s="1047"/>
      <c r="CF16" s="1047"/>
      <c r="CG16" s="1047"/>
      <c r="CH16" s="1047"/>
      <c r="CI16" s="1047"/>
      <c r="CJ16" s="1047"/>
      <c r="CK16" s="1047"/>
      <c r="CL16" s="1047"/>
      <c r="CM16" s="1047"/>
      <c r="CN16" s="1047"/>
      <c r="CO16" s="1047"/>
      <c r="CP16" s="1047"/>
      <c r="CQ16" s="1047"/>
      <c r="CR16" s="1047"/>
      <c r="CS16" s="1047"/>
      <c r="CT16" s="1047"/>
      <c r="CU16" s="1047"/>
      <c r="CV16" s="1047"/>
      <c r="CW16" s="1047"/>
      <c r="CX16" s="1048"/>
    </row>
    <row r="17" spans="1:102" s="280" customFormat="1" ht="33" customHeight="1">
      <c r="A17" s="1038"/>
      <c r="B17" s="1039"/>
      <c r="C17" s="1039"/>
      <c r="D17" s="1039"/>
      <c r="E17" s="1039"/>
      <c r="F17" s="1040"/>
      <c r="G17" s="1041" t="s">
        <v>347</v>
      </c>
      <c r="H17" s="1042"/>
      <c r="I17" s="1042"/>
      <c r="J17" s="1042"/>
      <c r="K17" s="1042"/>
      <c r="L17" s="1042"/>
      <c r="M17" s="1042"/>
      <c r="N17" s="1042"/>
      <c r="O17" s="1042"/>
      <c r="P17" s="1042"/>
      <c r="Q17" s="1042"/>
      <c r="R17" s="1042"/>
      <c r="S17" s="1042"/>
      <c r="T17" s="1042"/>
      <c r="U17" s="1043"/>
      <c r="V17" s="1030">
        <f>V15</f>
        <v>147</v>
      </c>
      <c r="W17" s="1028"/>
      <c r="X17" s="1028"/>
      <c r="Y17" s="1028"/>
      <c r="Z17" s="1028"/>
      <c r="AA17" s="1028"/>
      <c r="AB17" s="1028"/>
      <c r="AC17" s="1028"/>
      <c r="AD17" s="1028"/>
      <c r="AE17" s="1030">
        <f>AE15</f>
        <v>1760</v>
      </c>
      <c r="AF17" s="1028"/>
      <c r="AG17" s="1028"/>
      <c r="AH17" s="1028"/>
      <c r="AI17" s="1028"/>
      <c r="AJ17" s="1028"/>
      <c r="AK17" s="1028"/>
      <c r="AL17" s="1028"/>
      <c r="AM17" s="1028"/>
      <c r="AN17" s="1030">
        <f>AN15</f>
        <v>0</v>
      </c>
      <c r="AO17" s="1028"/>
      <c r="AP17" s="1028"/>
      <c r="AQ17" s="1028"/>
      <c r="AR17" s="1028"/>
      <c r="AS17" s="1028"/>
      <c r="AT17" s="1028"/>
      <c r="AU17" s="1028"/>
      <c r="AV17" s="1028"/>
      <c r="AW17" s="1030">
        <f>AW15</f>
        <v>6893</v>
      </c>
      <c r="AX17" s="1028"/>
      <c r="AY17" s="1028"/>
      <c r="AZ17" s="1028"/>
      <c r="BA17" s="1028"/>
      <c r="BB17" s="1028"/>
      <c r="BC17" s="1028"/>
      <c r="BD17" s="1028"/>
      <c r="BE17" s="1028"/>
      <c r="BF17" s="1030">
        <f>BF15</f>
        <v>1760</v>
      </c>
      <c r="BG17" s="1028"/>
      <c r="BH17" s="1028"/>
      <c r="BI17" s="1028"/>
      <c r="BJ17" s="1028"/>
      <c r="BK17" s="1028"/>
      <c r="BL17" s="1028"/>
      <c r="BM17" s="1028"/>
      <c r="BN17" s="1028"/>
      <c r="BO17" s="1030">
        <f>BO15</f>
        <v>0</v>
      </c>
      <c r="BP17" s="1028"/>
      <c r="BQ17" s="1028"/>
      <c r="BR17" s="1028"/>
      <c r="BS17" s="1028"/>
      <c r="BT17" s="1028"/>
      <c r="BU17" s="1028"/>
      <c r="BV17" s="1028"/>
      <c r="BW17" s="1028"/>
      <c r="BX17" s="1030">
        <f>BX15</f>
        <v>13826.36</v>
      </c>
      <c r="BY17" s="1028"/>
      <c r="BZ17" s="1028"/>
      <c r="CA17" s="1028"/>
      <c r="CB17" s="1028"/>
      <c r="CC17" s="1028"/>
      <c r="CD17" s="1028"/>
      <c r="CE17" s="1028"/>
      <c r="CF17" s="1028"/>
      <c r="CG17" s="1030">
        <f>CG15</f>
        <v>2767.04</v>
      </c>
      <c r="CH17" s="1028"/>
      <c r="CI17" s="1028"/>
      <c r="CJ17" s="1028"/>
      <c r="CK17" s="1028"/>
      <c r="CL17" s="1028"/>
      <c r="CM17" s="1028"/>
      <c r="CN17" s="1028"/>
      <c r="CO17" s="1028"/>
      <c r="CP17" s="1030">
        <f>CP15</f>
        <v>0</v>
      </c>
      <c r="CQ17" s="1028"/>
      <c r="CR17" s="1028"/>
      <c r="CS17" s="1028"/>
      <c r="CT17" s="1028"/>
      <c r="CU17" s="1028"/>
      <c r="CV17" s="1028"/>
      <c r="CW17" s="1028"/>
      <c r="CX17" s="1028"/>
    </row>
    <row r="18" spans="1:102" s="280" customFormat="1" ht="45" customHeight="1">
      <c r="A18" s="1061" t="s">
        <v>191</v>
      </c>
      <c r="B18" s="1062"/>
      <c r="C18" s="1062"/>
      <c r="D18" s="1062"/>
      <c r="E18" s="1062"/>
      <c r="F18" s="1063"/>
      <c r="G18" s="1064" t="s">
        <v>348</v>
      </c>
      <c r="H18" s="1065"/>
      <c r="I18" s="1065"/>
      <c r="J18" s="1065"/>
      <c r="K18" s="1065"/>
      <c r="L18" s="1065"/>
      <c r="M18" s="1065"/>
      <c r="N18" s="1065"/>
      <c r="O18" s="1065"/>
      <c r="P18" s="1065"/>
      <c r="Q18" s="1065"/>
      <c r="R18" s="1065"/>
      <c r="S18" s="1065"/>
      <c r="T18" s="1065"/>
      <c r="U18" s="1066"/>
      <c r="V18" s="1052">
        <v>9</v>
      </c>
      <c r="W18" s="1050"/>
      <c r="X18" s="1050"/>
      <c r="Y18" s="1050"/>
      <c r="Z18" s="1050"/>
      <c r="AA18" s="1050"/>
      <c r="AB18" s="1050"/>
      <c r="AC18" s="1050"/>
      <c r="AD18" s="1050"/>
      <c r="AE18" s="1050">
        <v>23</v>
      </c>
      <c r="AF18" s="1050"/>
      <c r="AG18" s="1050"/>
      <c r="AH18" s="1050"/>
      <c r="AI18" s="1050"/>
      <c r="AJ18" s="1050"/>
      <c r="AK18" s="1050"/>
      <c r="AL18" s="1050"/>
      <c r="AM18" s="1050"/>
      <c r="AN18" s="1050">
        <v>0</v>
      </c>
      <c r="AO18" s="1050"/>
      <c r="AP18" s="1050"/>
      <c r="AQ18" s="1050"/>
      <c r="AR18" s="1050"/>
      <c r="AS18" s="1050"/>
      <c r="AT18" s="1050"/>
      <c r="AU18" s="1050"/>
      <c r="AV18" s="1067"/>
      <c r="AW18" s="1053">
        <v>2715</v>
      </c>
      <c r="AX18" s="1050"/>
      <c r="AY18" s="1050"/>
      <c r="AZ18" s="1050"/>
      <c r="BA18" s="1050"/>
      <c r="BB18" s="1050"/>
      <c r="BC18" s="1050"/>
      <c r="BD18" s="1050"/>
      <c r="BE18" s="1050"/>
      <c r="BF18" s="1050">
        <v>8074</v>
      </c>
      <c r="BG18" s="1050"/>
      <c r="BH18" s="1050"/>
      <c r="BI18" s="1050"/>
      <c r="BJ18" s="1050"/>
      <c r="BK18" s="1050"/>
      <c r="BL18" s="1050"/>
      <c r="BM18" s="1050"/>
      <c r="BN18" s="1050"/>
      <c r="BO18" s="1050">
        <v>0</v>
      </c>
      <c r="BP18" s="1050"/>
      <c r="BQ18" s="1050"/>
      <c r="BR18" s="1050"/>
      <c r="BS18" s="1050"/>
      <c r="BT18" s="1050"/>
      <c r="BU18" s="1050"/>
      <c r="BV18" s="1050"/>
      <c r="BW18" s="1051"/>
      <c r="BX18" s="1052">
        <v>23629.86</v>
      </c>
      <c r="BY18" s="1050"/>
      <c r="BZ18" s="1050"/>
      <c r="CA18" s="1050"/>
      <c r="CB18" s="1050"/>
      <c r="CC18" s="1050"/>
      <c r="CD18" s="1050"/>
      <c r="CE18" s="1050"/>
      <c r="CF18" s="1050"/>
      <c r="CG18" s="1050">
        <v>10171.129999999999</v>
      </c>
      <c r="CH18" s="1050"/>
      <c r="CI18" s="1050"/>
      <c r="CJ18" s="1050"/>
      <c r="CK18" s="1050"/>
      <c r="CL18" s="1050"/>
      <c r="CM18" s="1050"/>
      <c r="CN18" s="1050"/>
      <c r="CO18" s="1050"/>
      <c r="CP18" s="1068">
        <v>0</v>
      </c>
      <c r="CQ18" s="1068"/>
      <c r="CR18" s="1068"/>
      <c r="CS18" s="1068"/>
      <c r="CT18" s="1068"/>
      <c r="CU18" s="1068"/>
      <c r="CV18" s="1068"/>
      <c r="CW18" s="1068"/>
      <c r="CX18" s="1069"/>
    </row>
    <row r="19" spans="1:102" s="280" customFormat="1" ht="19.5" customHeight="1">
      <c r="A19" s="1054"/>
      <c r="B19" s="1055"/>
      <c r="C19" s="1055"/>
      <c r="D19" s="1055"/>
      <c r="E19" s="1055"/>
      <c r="F19" s="1056"/>
      <c r="G19" s="1057" t="s">
        <v>344</v>
      </c>
      <c r="H19" s="1058"/>
      <c r="I19" s="1058"/>
      <c r="J19" s="1058"/>
      <c r="K19" s="1058"/>
      <c r="L19" s="1058"/>
      <c r="M19" s="1058"/>
      <c r="N19" s="1058"/>
      <c r="O19" s="1058"/>
      <c r="P19" s="1058"/>
      <c r="Q19" s="1058"/>
      <c r="R19" s="1058"/>
      <c r="S19" s="1058"/>
      <c r="T19" s="1058"/>
      <c r="U19" s="1059"/>
      <c r="V19" s="1049"/>
      <c r="W19" s="1047"/>
      <c r="X19" s="1047"/>
      <c r="Y19" s="1047"/>
      <c r="Z19" s="1047"/>
      <c r="AA19" s="1047"/>
      <c r="AB19" s="1047"/>
      <c r="AC19" s="1047"/>
      <c r="AD19" s="1047"/>
      <c r="AE19" s="1047"/>
      <c r="AF19" s="1047"/>
      <c r="AG19" s="1047"/>
      <c r="AH19" s="1047"/>
      <c r="AI19" s="1047"/>
      <c r="AJ19" s="1047"/>
      <c r="AK19" s="1047"/>
      <c r="AL19" s="1047"/>
      <c r="AM19" s="1047"/>
      <c r="AN19" s="1047"/>
      <c r="AO19" s="1047"/>
      <c r="AP19" s="1047"/>
      <c r="AQ19" s="1047"/>
      <c r="AR19" s="1047"/>
      <c r="AS19" s="1047"/>
      <c r="AT19" s="1047"/>
      <c r="AU19" s="1047"/>
      <c r="AV19" s="1060"/>
      <c r="AW19" s="1046"/>
      <c r="AX19" s="1047"/>
      <c r="AY19" s="1047"/>
      <c r="AZ19" s="1047"/>
      <c r="BA19" s="1047"/>
      <c r="BB19" s="1047"/>
      <c r="BC19" s="1047"/>
      <c r="BD19" s="1047"/>
      <c r="BE19" s="1047"/>
      <c r="BF19" s="1047"/>
      <c r="BG19" s="1047"/>
      <c r="BH19" s="1047"/>
      <c r="BI19" s="1047"/>
      <c r="BJ19" s="1047"/>
      <c r="BK19" s="1047"/>
      <c r="BL19" s="1047"/>
      <c r="BM19" s="1047"/>
      <c r="BN19" s="1047"/>
      <c r="BO19" s="1047"/>
      <c r="BP19" s="1047"/>
      <c r="BQ19" s="1047"/>
      <c r="BR19" s="1047"/>
      <c r="BS19" s="1047"/>
      <c r="BT19" s="1047"/>
      <c r="BU19" s="1047"/>
      <c r="BV19" s="1047"/>
      <c r="BW19" s="1048"/>
      <c r="BX19" s="1049"/>
      <c r="BY19" s="1047"/>
      <c r="BZ19" s="1047"/>
      <c r="CA19" s="1047"/>
      <c r="CB19" s="1047"/>
      <c r="CC19" s="1047"/>
      <c r="CD19" s="1047"/>
      <c r="CE19" s="1047"/>
      <c r="CF19" s="1047"/>
      <c r="CG19" s="1047"/>
      <c r="CH19" s="1047"/>
      <c r="CI19" s="1047"/>
      <c r="CJ19" s="1047"/>
      <c r="CK19" s="1047"/>
      <c r="CL19" s="1047"/>
      <c r="CM19" s="1047"/>
      <c r="CN19" s="1047"/>
      <c r="CO19" s="1047"/>
      <c r="CP19" s="1047"/>
      <c r="CQ19" s="1047"/>
      <c r="CR19" s="1047"/>
      <c r="CS19" s="1047"/>
      <c r="CT19" s="1047"/>
      <c r="CU19" s="1047"/>
      <c r="CV19" s="1047"/>
      <c r="CW19" s="1047"/>
      <c r="CX19" s="1048"/>
    </row>
    <row r="20" spans="1:102" s="280" customFormat="1" ht="45" customHeight="1">
      <c r="A20" s="1038"/>
      <c r="B20" s="1039"/>
      <c r="C20" s="1039"/>
      <c r="D20" s="1039"/>
      <c r="E20" s="1039"/>
      <c r="F20" s="1040"/>
      <c r="G20" s="1041" t="s">
        <v>349</v>
      </c>
      <c r="H20" s="1042"/>
      <c r="I20" s="1042"/>
      <c r="J20" s="1042"/>
      <c r="K20" s="1042"/>
      <c r="L20" s="1042"/>
      <c r="M20" s="1042"/>
      <c r="N20" s="1042"/>
      <c r="O20" s="1042"/>
      <c r="P20" s="1042"/>
      <c r="Q20" s="1042"/>
      <c r="R20" s="1042"/>
      <c r="S20" s="1042"/>
      <c r="T20" s="1042"/>
      <c r="U20" s="1043"/>
      <c r="V20" s="1030">
        <v>0</v>
      </c>
      <c r="W20" s="1028"/>
      <c r="X20" s="1028"/>
      <c r="Y20" s="1028"/>
      <c r="Z20" s="1028"/>
      <c r="AA20" s="1028"/>
      <c r="AB20" s="1028"/>
      <c r="AC20" s="1028"/>
      <c r="AD20" s="1028"/>
      <c r="AE20" s="1028">
        <v>0</v>
      </c>
      <c r="AF20" s="1028"/>
      <c r="AG20" s="1028"/>
      <c r="AH20" s="1028"/>
      <c r="AI20" s="1028"/>
      <c r="AJ20" s="1028"/>
      <c r="AK20" s="1028"/>
      <c r="AL20" s="1028"/>
      <c r="AM20" s="1028"/>
      <c r="AN20" s="1028">
        <v>0</v>
      </c>
      <c r="AO20" s="1028"/>
      <c r="AP20" s="1028"/>
      <c r="AQ20" s="1028"/>
      <c r="AR20" s="1028"/>
      <c r="AS20" s="1028"/>
      <c r="AT20" s="1028"/>
      <c r="AU20" s="1028"/>
      <c r="AV20" s="1044"/>
      <c r="AW20" s="1045">
        <v>0</v>
      </c>
      <c r="AX20" s="1028"/>
      <c r="AY20" s="1028"/>
      <c r="AZ20" s="1028"/>
      <c r="BA20" s="1028"/>
      <c r="BB20" s="1028"/>
      <c r="BC20" s="1028"/>
      <c r="BD20" s="1028"/>
      <c r="BE20" s="1028"/>
      <c r="BF20" s="1028">
        <v>0</v>
      </c>
      <c r="BG20" s="1028"/>
      <c r="BH20" s="1028"/>
      <c r="BI20" s="1028"/>
      <c r="BJ20" s="1028"/>
      <c r="BK20" s="1028"/>
      <c r="BL20" s="1028"/>
      <c r="BM20" s="1028"/>
      <c r="BN20" s="1028"/>
      <c r="BO20" s="1028">
        <v>0</v>
      </c>
      <c r="BP20" s="1028"/>
      <c r="BQ20" s="1028"/>
      <c r="BR20" s="1028"/>
      <c r="BS20" s="1028"/>
      <c r="BT20" s="1028"/>
      <c r="BU20" s="1028"/>
      <c r="BV20" s="1028"/>
      <c r="BW20" s="1029"/>
      <c r="BX20" s="1030">
        <v>0</v>
      </c>
      <c r="BY20" s="1028"/>
      <c r="BZ20" s="1028"/>
      <c r="CA20" s="1028"/>
      <c r="CB20" s="1028"/>
      <c r="CC20" s="1028"/>
      <c r="CD20" s="1028"/>
      <c r="CE20" s="1028"/>
      <c r="CF20" s="1028"/>
      <c r="CG20" s="1028">
        <v>0</v>
      </c>
      <c r="CH20" s="1028"/>
      <c r="CI20" s="1028"/>
      <c r="CJ20" s="1028"/>
      <c r="CK20" s="1028"/>
      <c r="CL20" s="1028"/>
      <c r="CM20" s="1028"/>
      <c r="CN20" s="1028"/>
      <c r="CO20" s="1028"/>
      <c r="CP20" s="1028">
        <v>0</v>
      </c>
      <c r="CQ20" s="1028"/>
      <c r="CR20" s="1028"/>
      <c r="CS20" s="1028"/>
      <c r="CT20" s="1028"/>
      <c r="CU20" s="1028"/>
      <c r="CV20" s="1028"/>
      <c r="CW20" s="1028"/>
      <c r="CX20" s="1029"/>
    </row>
    <row r="21" spans="1:102" s="280" customFormat="1" ht="45" customHeight="1">
      <c r="A21" s="1061" t="s">
        <v>198</v>
      </c>
      <c r="B21" s="1062"/>
      <c r="C21" s="1062"/>
      <c r="D21" s="1062"/>
      <c r="E21" s="1062"/>
      <c r="F21" s="1063"/>
      <c r="G21" s="1064" t="s">
        <v>350</v>
      </c>
      <c r="H21" s="1065"/>
      <c r="I21" s="1065"/>
      <c r="J21" s="1065"/>
      <c r="K21" s="1065"/>
      <c r="L21" s="1065"/>
      <c r="M21" s="1065"/>
      <c r="N21" s="1065"/>
      <c r="O21" s="1065"/>
      <c r="P21" s="1065"/>
      <c r="Q21" s="1065"/>
      <c r="R21" s="1065"/>
      <c r="S21" s="1065"/>
      <c r="T21" s="1065"/>
      <c r="U21" s="1066"/>
      <c r="V21" s="1052">
        <v>0</v>
      </c>
      <c r="W21" s="1050"/>
      <c r="X21" s="1050"/>
      <c r="Y21" s="1050"/>
      <c r="Z21" s="1050"/>
      <c r="AA21" s="1050"/>
      <c r="AB21" s="1050"/>
      <c r="AC21" s="1050"/>
      <c r="AD21" s="1050"/>
      <c r="AE21" s="1050">
        <v>24</v>
      </c>
      <c r="AF21" s="1050"/>
      <c r="AG21" s="1050"/>
      <c r="AH21" s="1050"/>
      <c r="AI21" s="1050"/>
      <c r="AJ21" s="1050"/>
      <c r="AK21" s="1050"/>
      <c r="AL21" s="1050"/>
      <c r="AM21" s="1050"/>
      <c r="AN21" s="1050">
        <v>2</v>
      </c>
      <c r="AO21" s="1050"/>
      <c r="AP21" s="1050"/>
      <c r="AQ21" s="1050"/>
      <c r="AR21" s="1050"/>
      <c r="AS21" s="1050"/>
      <c r="AT21" s="1050"/>
      <c r="AU21" s="1050"/>
      <c r="AV21" s="1067"/>
      <c r="AW21" s="1053">
        <v>0</v>
      </c>
      <c r="AX21" s="1050"/>
      <c r="AY21" s="1050"/>
      <c r="AZ21" s="1050"/>
      <c r="BA21" s="1050"/>
      <c r="BB21" s="1050"/>
      <c r="BC21" s="1050"/>
      <c r="BD21" s="1050"/>
      <c r="BE21" s="1050"/>
      <c r="BF21" s="1050">
        <v>34915</v>
      </c>
      <c r="BG21" s="1050"/>
      <c r="BH21" s="1050"/>
      <c r="BI21" s="1050"/>
      <c r="BJ21" s="1050"/>
      <c r="BK21" s="1050"/>
      <c r="BL21" s="1050"/>
      <c r="BM21" s="1050"/>
      <c r="BN21" s="1050"/>
      <c r="BO21" s="1050">
        <v>471</v>
      </c>
      <c r="BP21" s="1050"/>
      <c r="BQ21" s="1050"/>
      <c r="BR21" s="1050"/>
      <c r="BS21" s="1050"/>
      <c r="BT21" s="1050"/>
      <c r="BU21" s="1050"/>
      <c r="BV21" s="1050"/>
      <c r="BW21" s="1051"/>
      <c r="BX21" s="1052">
        <v>0</v>
      </c>
      <c r="BY21" s="1050"/>
      <c r="BZ21" s="1050"/>
      <c r="CA21" s="1050"/>
      <c r="CB21" s="1050"/>
      <c r="CC21" s="1050"/>
      <c r="CD21" s="1050"/>
      <c r="CE21" s="1050"/>
      <c r="CF21" s="1050"/>
      <c r="CG21" s="1050">
        <v>98317.19</v>
      </c>
      <c r="CH21" s="1050"/>
      <c r="CI21" s="1050"/>
      <c r="CJ21" s="1050"/>
      <c r="CK21" s="1050"/>
      <c r="CL21" s="1050"/>
      <c r="CM21" s="1050"/>
      <c r="CN21" s="1050"/>
      <c r="CO21" s="1050"/>
      <c r="CP21" s="1068">
        <v>299.69</v>
      </c>
      <c r="CQ21" s="1068"/>
      <c r="CR21" s="1068"/>
      <c r="CS21" s="1068"/>
      <c r="CT21" s="1068"/>
      <c r="CU21" s="1068"/>
      <c r="CV21" s="1068"/>
      <c r="CW21" s="1068"/>
      <c r="CX21" s="1069"/>
    </row>
    <row r="22" spans="1:102" s="280" customFormat="1" ht="19.5" customHeight="1">
      <c r="A22" s="1054"/>
      <c r="B22" s="1055"/>
      <c r="C22" s="1055"/>
      <c r="D22" s="1055"/>
      <c r="E22" s="1055"/>
      <c r="F22" s="1056"/>
      <c r="G22" s="1057" t="s">
        <v>344</v>
      </c>
      <c r="H22" s="1058"/>
      <c r="I22" s="1058"/>
      <c r="J22" s="1058"/>
      <c r="K22" s="1058"/>
      <c r="L22" s="1058"/>
      <c r="M22" s="1058"/>
      <c r="N22" s="1058"/>
      <c r="O22" s="1058"/>
      <c r="P22" s="1058"/>
      <c r="Q22" s="1058"/>
      <c r="R22" s="1058"/>
      <c r="S22" s="1058"/>
      <c r="T22" s="1058"/>
      <c r="U22" s="1059"/>
      <c r="V22" s="1049"/>
      <c r="W22" s="1047"/>
      <c r="X22" s="1047"/>
      <c r="Y22" s="1047"/>
      <c r="Z22" s="1047"/>
      <c r="AA22" s="1047"/>
      <c r="AB22" s="1047"/>
      <c r="AC22" s="1047"/>
      <c r="AD22" s="1047"/>
      <c r="AE22" s="1047"/>
      <c r="AF22" s="1047"/>
      <c r="AG22" s="1047"/>
      <c r="AH22" s="1047"/>
      <c r="AI22" s="1047"/>
      <c r="AJ22" s="1047"/>
      <c r="AK22" s="1047"/>
      <c r="AL22" s="1047"/>
      <c r="AM22" s="1047"/>
      <c r="AN22" s="1047"/>
      <c r="AO22" s="1047"/>
      <c r="AP22" s="1047"/>
      <c r="AQ22" s="1047"/>
      <c r="AR22" s="1047"/>
      <c r="AS22" s="1047"/>
      <c r="AT22" s="1047"/>
      <c r="AU22" s="1047"/>
      <c r="AV22" s="1060"/>
      <c r="AW22" s="1046"/>
      <c r="AX22" s="1047"/>
      <c r="AY22" s="1047"/>
      <c r="AZ22" s="1047"/>
      <c r="BA22" s="1047"/>
      <c r="BB22" s="1047"/>
      <c r="BC22" s="1047"/>
      <c r="BD22" s="1047"/>
      <c r="BE22" s="1047"/>
      <c r="BF22" s="1047"/>
      <c r="BG22" s="1047"/>
      <c r="BH22" s="1047"/>
      <c r="BI22" s="1047"/>
      <c r="BJ22" s="1047"/>
      <c r="BK22" s="1047"/>
      <c r="BL22" s="1047"/>
      <c r="BM22" s="1047"/>
      <c r="BN22" s="1047"/>
      <c r="BO22" s="1047"/>
      <c r="BP22" s="1047"/>
      <c r="BQ22" s="1047"/>
      <c r="BR22" s="1047"/>
      <c r="BS22" s="1047"/>
      <c r="BT22" s="1047"/>
      <c r="BU22" s="1047"/>
      <c r="BV22" s="1047"/>
      <c r="BW22" s="1048"/>
      <c r="BX22" s="1049"/>
      <c r="BY22" s="1047"/>
      <c r="BZ22" s="1047"/>
      <c r="CA22" s="1047"/>
      <c r="CB22" s="1047"/>
      <c r="CC22" s="1047"/>
      <c r="CD22" s="1047"/>
      <c r="CE22" s="1047"/>
      <c r="CF22" s="1047"/>
      <c r="CG22" s="1047"/>
      <c r="CH22" s="1047"/>
      <c r="CI22" s="1047"/>
      <c r="CJ22" s="1047"/>
      <c r="CK22" s="1047"/>
      <c r="CL22" s="1047"/>
      <c r="CM22" s="1047"/>
      <c r="CN22" s="1047"/>
      <c r="CO22" s="1047"/>
      <c r="CP22" s="1047"/>
      <c r="CQ22" s="1047"/>
      <c r="CR22" s="1047"/>
      <c r="CS22" s="1047"/>
      <c r="CT22" s="1047"/>
      <c r="CU22" s="1047"/>
      <c r="CV22" s="1047"/>
      <c r="CW22" s="1047"/>
      <c r="CX22" s="1048"/>
    </row>
    <row r="23" spans="1:102" s="280" customFormat="1" ht="45" customHeight="1">
      <c r="A23" s="1038"/>
      <c r="B23" s="1039"/>
      <c r="C23" s="1039"/>
      <c r="D23" s="1039"/>
      <c r="E23" s="1039"/>
      <c r="F23" s="1040"/>
      <c r="G23" s="1041" t="s">
        <v>349</v>
      </c>
      <c r="H23" s="1042"/>
      <c r="I23" s="1042"/>
      <c r="J23" s="1042"/>
      <c r="K23" s="1042"/>
      <c r="L23" s="1042"/>
      <c r="M23" s="1042"/>
      <c r="N23" s="1042"/>
      <c r="O23" s="1042"/>
      <c r="P23" s="1042"/>
      <c r="Q23" s="1042"/>
      <c r="R23" s="1042"/>
      <c r="S23" s="1042"/>
      <c r="T23" s="1042"/>
      <c r="U23" s="1043"/>
      <c r="V23" s="1030">
        <v>0</v>
      </c>
      <c r="W23" s="1028"/>
      <c r="X23" s="1028"/>
      <c r="Y23" s="1028"/>
      <c r="Z23" s="1028"/>
      <c r="AA23" s="1028"/>
      <c r="AB23" s="1028"/>
      <c r="AC23" s="1028"/>
      <c r="AD23" s="1028"/>
      <c r="AE23" s="1028">
        <v>0</v>
      </c>
      <c r="AF23" s="1028"/>
      <c r="AG23" s="1028"/>
      <c r="AH23" s="1028"/>
      <c r="AI23" s="1028"/>
      <c r="AJ23" s="1028"/>
      <c r="AK23" s="1028"/>
      <c r="AL23" s="1028"/>
      <c r="AM23" s="1028"/>
      <c r="AN23" s="1028">
        <v>0</v>
      </c>
      <c r="AO23" s="1028"/>
      <c r="AP23" s="1028"/>
      <c r="AQ23" s="1028"/>
      <c r="AR23" s="1028"/>
      <c r="AS23" s="1028"/>
      <c r="AT23" s="1028"/>
      <c r="AU23" s="1028"/>
      <c r="AV23" s="1044"/>
      <c r="AW23" s="1045">
        <v>0</v>
      </c>
      <c r="AX23" s="1028"/>
      <c r="AY23" s="1028"/>
      <c r="AZ23" s="1028"/>
      <c r="BA23" s="1028"/>
      <c r="BB23" s="1028"/>
      <c r="BC23" s="1028"/>
      <c r="BD23" s="1028"/>
      <c r="BE23" s="1028"/>
      <c r="BF23" s="1028">
        <v>0</v>
      </c>
      <c r="BG23" s="1028"/>
      <c r="BH23" s="1028"/>
      <c r="BI23" s="1028"/>
      <c r="BJ23" s="1028"/>
      <c r="BK23" s="1028"/>
      <c r="BL23" s="1028"/>
      <c r="BM23" s="1028"/>
      <c r="BN23" s="1028"/>
      <c r="BO23" s="1028">
        <v>0</v>
      </c>
      <c r="BP23" s="1028"/>
      <c r="BQ23" s="1028"/>
      <c r="BR23" s="1028"/>
      <c r="BS23" s="1028"/>
      <c r="BT23" s="1028"/>
      <c r="BU23" s="1028"/>
      <c r="BV23" s="1028"/>
      <c r="BW23" s="1029"/>
      <c r="BX23" s="1030">
        <v>0</v>
      </c>
      <c r="BY23" s="1028"/>
      <c r="BZ23" s="1028"/>
      <c r="CA23" s="1028"/>
      <c r="CB23" s="1028"/>
      <c r="CC23" s="1028"/>
      <c r="CD23" s="1028"/>
      <c r="CE23" s="1028"/>
      <c r="CF23" s="1028"/>
      <c r="CG23" s="1028">
        <v>0</v>
      </c>
      <c r="CH23" s="1028"/>
      <c r="CI23" s="1028"/>
      <c r="CJ23" s="1028"/>
      <c r="CK23" s="1028"/>
      <c r="CL23" s="1028"/>
      <c r="CM23" s="1028"/>
      <c r="CN23" s="1028"/>
      <c r="CO23" s="1028"/>
      <c r="CP23" s="1028">
        <v>0</v>
      </c>
      <c r="CQ23" s="1028"/>
      <c r="CR23" s="1028"/>
      <c r="CS23" s="1028"/>
      <c r="CT23" s="1028"/>
      <c r="CU23" s="1028"/>
      <c r="CV23" s="1028"/>
      <c r="CW23" s="1028"/>
      <c r="CX23" s="1029"/>
    </row>
    <row r="24" spans="1:102" s="280" customFormat="1" ht="33" customHeight="1">
      <c r="A24" s="1061" t="s">
        <v>351</v>
      </c>
      <c r="B24" s="1062"/>
      <c r="C24" s="1062"/>
      <c r="D24" s="1062"/>
      <c r="E24" s="1062"/>
      <c r="F24" s="1063"/>
      <c r="G24" s="1064" t="s">
        <v>352</v>
      </c>
      <c r="H24" s="1065"/>
      <c r="I24" s="1065"/>
      <c r="J24" s="1065"/>
      <c r="K24" s="1065"/>
      <c r="L24" s="1065"/>
      <c r="M24" s="1065"/>
      <c r="N24" s="1065"/>
      <c r="O24" s="1065"/>
      <c r="P24" s="1065"/>
      <c r="Q24" s="1065"/>
      <c r="R24" s="1065"/>
      <c r="S24" s="1065"/>
      <c r="T24" s="1065"/>
      <c r="U24" s="1066"/>
      <c r="V24" s="1052">
        <v>0</v>
      </c>
      <c r="W24" s="1050"/>
      <c r="X24" s="1050"/>
      <c r="Y24" s="1050"/>
      <c r="Z24" s="1050"/>
      <c r="AA24" s="1050"/>
      <c r="AB24" s="1050"/>
      <c r="AC24" s="1050"/>
      <c r="AD24" s="1050"/>
      <c r="AE24" s="1050">
        <v>0</v>
      </c>
      <c r="AF24" s="1050"/>
      <c r="AG24" s="1050"/>
      <c r="AH24" s="1050"/>
      <c r="AI24" s="1050"/>
      <c r="AJ24" s="1050"/>
      <c r="AK24" s="1050"/>
      <c r="AL24" s="1050"/>
      <c r="AM24" s="1050"/>
      <c r="AN24" s="1050">
        <v>0</v>
      </c>
      <c r="AO24" s="1050"/>
      <c r="AP24" s="1050"/>
      <c r="AQ24" s="1050"/>
      <c r="AR24" s="1050"/>
      <c r="AS24" s="1050"/>
      <c r="AT24" s="1050"/>
      <c r="AU24" s="1050"/>
      <c r="AV24" s="1067"/>
      <c r="AW24" s="1053">
        <v>0</v>
      </c>
      <c r="AX24" s="1050"/>
      <c r="AY24" s="1050"/>
      <c r="AZ24" s="1050"/>
      <c r="BA24" s="1050"/>
      <c r="BB24" s="1050"/>
      <c r="BC24" s="1050"/>
      <c r="BD24" s="1050"/>
      <c r="BE24" s="1050"/>
      <c r="BF24" s="1050">
        <v>0</v>
      </c>
      <c r="BG24" s="1050"/>
      <c r="BH24" s="1050"/>
      <c r="BI24" s="1050"/>
      <c r="BJ24" s="1050"/>
      <c r="BK24" s="1050"/>
      <c r="BL24" s="1050"/>
      <c r="BM24" s="1050"/>
      <c r="BN24" s="1050"/>
      <c r="BO24" s="1050">
        <v>0</v>
      </c>
      <c r="BP24" s="1050"/>
      <c r="BQ24" s="1050"/>
      <c r="BR24" s="1050"/>
      <c r="BS24" s="1050"/>
      <c r="BT24" s="1050"/>
      <c r="BU24" s="1050"/>
      <c r="BV24" s="1050"/>
      <c r="BW24" s="1051"/>
      <c r="BX24" s="1052">
        <v>0</v>
      </c>
      <c r="BY24" s="1050"/>
      <c r="BZ24" s="1050"/>
      <c r="CA24" s="1050"/>
      <c r="CB24" s="1050"/>
      <c r="CC24" s="1050"/>
      <c r="CD24" s="1050"/>
      <c r="CE24" s="1050"/>
      <c r="CF24" s="1050"/>
      <c r="CG24" s="1050">
        <v>0</v>
      </c>
      <c r="CH24" s="1050"/>
      <c r="CI24" s="1050"/>
      <c r="CJ24" s="1050"/>
      <c r="CK24" s="1050"/>
      <c r="CL24" s="1050"/>
      <c r="CM24" s="1050"/>
      <c r="CN24" s="1050"/>
      <c r="CO24" s="1050"/>
      <c r="CP24" s="1050">
        <v>0</v>
      </c>
      <c r="CQ24" s="1050"/>
      <c r="CR24" s="1050"/>
      <c r="CS24" s="1050"/>
      <c r="CT24" s="1050"/>
      <c r="CU24" s="1050"/>
      <c r="CV24" s="1050"/>
      <c r="CW24" s="1050"/>
      <c r="CX24" s="1051"/>
    </row>
    <row r="25" spans="1:102" s="280" customFormat="1" ht="19.5" customHeight="1">
      <c r="A25" s="1054"/>
      <c r="B25" s="1055"/>
      <c r="C25" s="1055"/>
      <c r="D25" s="1055"/>
      <c r="E25" s="1055"/>
      <c r="F25" s="1056"/>
      <c r="G25" s="1057" t="s">
        <v>344</v>
      </c>
      <c r="H25" s="1058"/>
      <c r="I25" s="1058"/>
      <c r="J25" s="1058"/>
      <c r="K25" s="1058"/>
      <c r="L25" s="1058"/>
      <c r="M25" s="1058"/>
      <c r="N25" s="1058"/>
      <c r="O25" s="1058"/>
      <c r="P25" s="1058"/>
      <c r="Q25" s="1058"/>
      <c r="R25" s="1058"/>
      <c r="S25" s="1058"/>
      <c r="T25" s="1058"/>
      <c r="U25" s="1059"/>
      <c r="V25" s="1049"/>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60"/>
      <c r="AW25" s="1046"/>
      <c r="AX25" s="1047"/>
      <c r="AY25" s="1047"/>
      <c r="AZ25" s="1047"/>
      <c r="BA25" s="1047"/>
      <c r="BB25" s="1047"/>
      <c r="BC25" s="1047"/>
      <c r="BD25" s="1047"/>
      <c r="BE25" s="1047"/>
      <c r="BF25" s="1047"/>
      <c r="BG25" s="1047"/>
      <c r="BH25" s="1047"/>
      <c r="BI25" s="1047"/>
      <c r="BJ25" s="1047"/>
      <c r="BK25" s="1047"/>
      <c r="BL25" s="1047"/>
      <c r="BM25" s="1047"/>
      <c r="BN25" s="1047"/>
      <c r="BO25" s="1047"/>
      <c r="BP25" s="1047"/>
      <c r="BQ25" s="1047"/>
      <c r="BR25" s="1047"/>
      <c r="BS25" s="1047"/>
      <c r="BT25" s="1047"/>
      <c r="BU25" s="1047"/>
      <c r="BV25" s="1047"/>
      <c r="BW25" s="1048"/>
      <c r="BX25" s="1049"/>
      <c r="BY25" s="1047"/>
      <c r="BZ25" s="1047"/>
      <c r="CA25" s="1047"/>
      <c r="CB25" s="1047"/>
      <c r="CC25" s="1047"/>
      <c r="CD25" s="1047"/>
      <c r="CE25" s="1047"/>
      <c r="CF25" s="1047"/>
      <c r="CG25" s="1047"/>
      <c r="CH25" s="1047"/>
      <c r="CI25" s="1047"/>
      <c r="CJ25" s="1047"/>
      <c r="CK25" s="1047"/>
      <c r="CL25" s="1047"/>
      <c r="CM25" s="1047"/>
      <c r="CN25" s="1047"/>
      <c r="CO25" s="1047"/>
      <c r="CP25" s="1047"/>
      <c r="CQ25" s="1047"/>
      <c r="CR25" s="1047"/>
      <c r="CS25" s="1047"/>
      <c r="CT25" s="1047"/>
      <c r="CU25" s="1047"/>
      <c r="CV25" s="1047"/>
      <c r="CW25" s="1047"/>
      <c r="CX25" s="1048"/>
    </row>
    <row r="26" spans="1:102" s="280" customFormat="1" ht="45" customHeight="1">
      <c r="A26" s="1038"/>
      <c r="B26" s="1039"/>
      <c r="C26" s="1039"/>
      <c r="D26" s="1039"/>
      <c r="E26" s="1039"/>
      <c r="F26" s="1040"/>
      <c r="G26" s="1041" t="s">
        <v>349</v>
      </c>
      <c r="H26" s="1042"/>
      <c r="I26" s="1042"/>
      <c r="J26" s="1042"/>
      <c r="K26" s="1042"/>
      <c r="L26" s="1042"/>
      <c r="M26" s="1042"/>
      <c r="N26" s="1042"/>
      <c r="O26" s="1042"/>
      <c r="P26" s="1042"/>
      <c r="Q26" s="1042"/>
      <c r="R26" s="1042"/>
      <c r="S26" s="1042"/>
      <c r="T26" s="1042"/>
      <c r="U26" s="1043"/>
      <c r="V26" s="1030">
        <v>0</v>
      </c>
      <c r="W26" s="1028"/>
      <c r="X26" s="1028"/>
      <c r="Y26" s="1028"/>
      <c r="Z26" s="1028"/>
      <c r="AA26" s="1028"/>
      <c r="AB26" s="1028"/>
      <c r="AC26" s="1028"/>
      <c r="AD26" s="1028"/>
      <c r="AE26" s="1028">
        <v>0</v>
      </c>
      <c r="AF26" s="1028"/>
      <c r="AG26" s="1028"/>
      <c r="AH26" s="1028"/>
      <c r="AI26" s="1028"/>
      <c r="AJ26" s="1028"/>
      <c r="AK26" s="1028"/>
      <c r="AL26" s="1028"/>
      <c r="AM26" s="1028"/>
      <c r="AN26" s="1028">
        <v>0</v>
      </c>
      <c r="AO26" s="1028"/>
      <c r="AP26" s="1028"/>
      <c r="AQ26" s="1028"/>
      <c r="AR26" s="1028"/>
      <c r="AS26" s="1028"/>
      <c r="AT26" s="1028"/>
      <c r="AU26" s="1028"/>
      <c r="AV26" s="1044"/>
      <c r="AW26" s="1045">
        <v>0</v>
      </c>
      <c r="AX26" s="1028"/>
      <c r="AY26" s="1028"/>
      <c r="AZ26" s="1028"/>
      <c r="BA26" s="1028"/>
      <c r="BB26" s="1028"/>
      <c r="BC26" s="1028"/>
      <c r="BD26" s="1028"/>
      <c r="BE26" s="1028"/>
      <c r="BF26" s="1028">
        <v>0</v>
      </c>
      <c r="BG26" s="1028"/>
      <c r="BH26" s="1028"/>
      <c r="BI26" s="1028"/>
      <c r="BJ26" s="1028"/>
      <c r="BK26" s="1028"/>
      <c r="BL26" s="1028"/>
      <c r="BM26" s="1028"/>
      <c r="BN26" s="1028"/>
      <c r="BO26" s="1028">
        <v>0</v>
      </c>
      <c r="BP26" s="1028"/>
      <c r="BQ26" s="1028"/>
      <c r="BR26" s="1028"/>
      <c r="BS26" s="1028"/>
      <c r="BT26" s="1028"/>
      <c r="BU26" s="1028"/>
      <c r="BV26" s="1028"/>
      <c r="BW26" s="1029"/>
      <c r="BX26" s="1030">
        <v>0</v>
      </c>
      <c r="BY26" s="1028"/>
      <c r="BZ26" s="1028"/>
      <c r="CA26" s="1028"/>
      <c r="CB26" s="1028"/>
      <c r="CC26" s="1028"/>
      <c r="CD26" s="1028"/>
      <c r="CE26" s="1028"/>
      <c r="CF26" s="1028"/>
      <c r="CG26" s="1028">
        <v>0</v>
      </c>
      <c r="CH26" s="1028"/>
      <c r="CI26" s="1028"/>
      <c r="CJ26" s="1028"/>
      <c r="CK26" s="1028"/>
      <c r="CL26" s="1028"/>
      <c r="CM26" s="1028"/>
      <c r="CN26" s="1028"/>
      <c r="CO26" s="1028"/>
      <c r="CP26" s="1028">
        <v>0</v>
      </c>
      <c r="CQ26" s="1028"/>
      <c r="CR26" s="1028"/>
      <c r="CS26" s="1028"/>
      <c r="CT26" s="1028"/>
      <c r="CU26" s="1028"/>
      <c r="CV26" s="1028"/>
      <c r="CW26" s="1028"/>
      <c r="CX26" s="1029"/>
    </row>
    <row r="27" spans="1:102" s="280" customFormat="1" ht="33" customHeight="1" thickBot="1">
      <c r="A27" s="1031" t="s">
        <v>353</v>
      </c>
      <c r="B27" s="1032"/>
      <c r="C27" s="1032"/>
      <c r="D27" s="1032"/>
      <c r="E27" s="1032"/>
      <c r="F27" s="1033"/>
      <c r="G27" s="1034" t="s">
        <v>354</v>
      </c>
      <c r="H27" s="1035"/>
      <c r="I27" s="1035"/>
      <c r="J27" s="1035"/>
      <c r="K27" s="1035"/>
      <c r="L27" s="1035"/>
      <c r="M27" s="1035"/>
      <c r="N27" s="1035"/>
      <c r="O27" s="1035"/>
      <c r="P27" s="1035"/>
      <c r="Q27" s="1035"/>
      <c r="R27" s="1035"/>
      <c r="S27" s="1035"/>
      <c r="T27" s="1035"/>
      <c r="U27" s="1036"/>
      <c r="V27" s="1027"/>
      <c r="W27" s="1025"/>
      <c r="X27" s="1025"/>
      <c r="Y27" s="1025"/>
      <c r="Z27" s="1025"/>
      <c r="AA27" s="1025"/>
      <c r="AB27" s="1025"/>
      <c r="AC27" s="1025"/>
      <c r="AD27" s="1025"/>
      <c r="AE27" s="1025"/>
      <c r="AF27" s="1025"/>
      <c r="AG27" s="1025"/>
      <c r="AH27" s="1025"/>
      <c r="AI27" s="1025"/>
      <c r="AJ27" s="1025"/>
      <c r="AK27" s="1025"/>
      <c r="AL27" s="1025"/>
      <c r="AM27" s="1025"/>
      <c r="AN27" s="1025"/>
      <c r="AO27" s="1025"/>
      <c r="AP27" s="1025"/>
      <c r="AQ27" s="1025"/>
      <c r="AR27" s="1025"/>
      <c r="AS27" s="1025"/>
      <c r="AT27" s="1025"/>
      <c r="AU27" s="1025"/>
      <c r="AV27" s="1037"/>
      <c r="AW27" s="1024"/>
      <c r="AX27" s="1025"/>
      <c r="AY27" s="1025"/>
      <c r="AZ27" s="1025"/>
      <c r="BA27" s="1025"/>
      <c r="BB27" s="1025"/>
      <c r="BC27" s="1025"/>
      <c r="BD27" s="1025"/>
      <c r="BE27" s="1025"/>
      <c r="BF27" s="1025"/>
      <c r="BG27" s="1025"/>
      <c r="BH27" s="1025"/>
      <c r="BI27" s="1025"/>
      <c r="BJ27" s="1025"/>
      <c r="BK27" s="1025"/>
      <c r="BL27" s="1025"/>
      <c r="BM27" s="1025"/>
      <c r="BN27" s="1025"/>
      <c r="BO27" s="1025"/>
      <c r="BP27" s="1025"/>
      <c r="BQ27" s="1025"/>
      <c r="BR27" s="1025"/>
      <c r="BS27" s="1025"/>
      <c r="BT27" s="1025"/>
      <c r="BU27" s="1025"/>
      <c r="BV27" s="1025"/>
      <c r="BW27" s="1026"/>
      <c r="BX27" s="1027"/>
      <c r="BY27" s="1025"/>
      <c r="BZ27" s="1025"/>
      <c r="CA27" s="1025"/>
      <c r="CB27" s="1025"/>
      <c r="CC27" s="1025"/>
      <c r="CD27" s="1025"/>
      <c r="CE27" s="1025"/>
      <c r="CF27" s="1025"/>
      <c r="CG27" s="1025"/>
      <c r="CH27" s="1025"/>
      <c r="CI27" s="1025"/>
      <c r="CJ27" s="1025"/>
      <c r="CK27" s="1025"/>
      <c r="CL27" s="1025"/>
      <c r="CM27" s="1025"/>
      <c r="CN27" s="1025"/>
      <c r="CO27" s="1025"/>
      <c r="CP27" s="1025"/>
      <c r="CQ27" s="1025"/>
      <c r="CR27" s="1025"/>
      <c r="CS27" s="1025"/>
      <c r="CT27" s="1025"/>
      <c r="CU27" s="1025"/>
      <c r="CV27" s="1025"/>
      <c r="CW27" s="1025"/>
      <c r="CX27" s="1026"/>
    </row>
    <row r="28" spans="1:102" ht="4.5" customHeight="1"/>
    <row r="29" spans="1:102" ht="30" customHeight="1">
      <c r="A29" s="1022" t="s">
        <v>355</v>
      </c>
      <c r="B29" s="1022"/>
      <c r="C29" s="1022"/>
      <c r="D29" s="1022"/>
      <c r="E29" s="1022"/>
      <c r="F29" s="1022"/>
      <c r="G29" s="1022"/>
      <c r="H29" s="1022"/>
      <c r="I29" s="1022"/>
      <c r="J29" s="1022"/>
      <c r="K29" s="1022"/>
      <c r="L29" s="1022"/>
      <c r="M29" s="1022"/>
      <c r="N29" s="1022"/>
      <c r="O29" s="1022"/>
      <c r="P29" s="1022"/>
      <c r="Q29" s="1022"/>
      <c r="R29" s="1022"/>
      <c r="S29" s="1022"/>
      <c r="T29" s="1022"/>
      <c r="U29" s="1022"/>
      <c r="V29" s="1022"/>
      <c r="W29" s="1022"/>
      <c r="X29" s="1022"/>
      <c r="Y29" s="1022"/>
      <c r="Z29" s="1022"/>
      <c r="AA29" s="1022"/>
      <c r="AB29" s="1022"/>
      <c r="AC29" s="1022"/>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2"/>
      <c r="AY29" s="1022"/>
      <c r="AZ29" s="1022"/>
      <c r="BA29" s="1022"/>
      <c r="BB29" s="1022"/>
      <c r="BC29" s="1022"/>
      <c r="BD29" s="1022"/>
      <c r="BE29" s="1022"/>
      <c r="BF29" s="1022"/>
      <c r="BG29" s="1022"/>
      <c r="BH29" s="1022"/>
      <c r="BI29" s="1022"/>
      <c r="BJ29" s="1022"/>
      <c r="BK29" s="1022"/>
      <c r="BL29" s="1022"/>
      <c r="BM29" s="1022"/>
      <c r="BN29" s="1022"/>
      <c r="BO29" s="1022"/>
      <c r="BP29" s="1022"/>
      <c r="BQ29" s="1022"/>
      <c r="BR29" s="1022"/>
      <c r="BS29" s="1022"/>
      <c r="BT29" s="1022"/>
      <c r="BU29" s="1022"/>
      <c r="BV29" s="1022"/>
      <c r="BW29" s="1022"/>
      <c r="BX29" s="1022"/>
      <c r="BY29" s="1022"/>
      <c r="BZ29" s="1022"/>
      <c r="CA29" s="1022"/>
      <c r="CB29" s="1022"/>
      <c r="CC29" s="1022"/>
      <c r="CD29" s="1022"/>
      <c r="CE29" s="1022"/>
      <c r="CF29" s="1022"/>
      <c r="CG29" s="1022"/>
      <c r="CH29" s="1022"/>
      <c r="CI29" s="1022"/>
      <c r="CJ29" s="1022"/>
      <c r="CK29" s="1022"/>
      <c r="CL29" s="1022"/>
      <c r="CM29" s="1022"/>
      <c r="CN29" s="1022"/>
      <c r="CO29" s="1022"/>
      <c r="CP29" s="1022"/>
      <c r="CQ29" s="1022"/>
      <c r="CR29" s="1022"/>
      <c r="CS29" s="1022"/>
      <c r="CT29" s="1022"/>
      <c r="CU29" s="1022"/>
      <c r="CV29" s="1022"/>
      <c r="CW29" s="1022"/>
      <c r="CX29" s="1022"/>
    </row>
    <row r="30" spans="1:102" ht="106.5" customHeight="1">
      <c r="A30" s="1023" t="s">
        <v>356</v>
      </c>
      <c r="B30" s="1023"/>
      <c r="C30" s="1023"/>
      <c r="D30" s="1023"/>
      <c r="E30" s="1023"/>
      <c r="F30" s="1023"/>
      <c r="G30" s="1023"/>
      <c r="H30" s="1023"/>
      <c r="I30" s="1023"/>
      <c r="J30" s="1023"/>
      <c r="K30" s="1023"/>
      <c r="L30" s="1023"/>
      <c r="M30" s="1023"/>
      <c r="N30" s="1023"/>
      <c r="O30" s="1023"/>
      <c r="P30" s="1023"/>
      <c r="Q30" s="1023"/>
      <c r="R30" s="1023"/>
      <c r="S30" s="1023"/>
      <c r="T30" s="1023"/>
      <c r="U30" s="1023"/>
      <c r="V30" s="1023"/>
      <c r="W30" s="1023"/>
      <c r="X30" s="1023"/>
      <c r="Y30" s="1023"/>
      <c r="Z30" s="1023"/>
      <c r="AA30" s="1023"/>
      <c r="AB30" s="1023"/>
      <c r="AC30" s="1023"/>
      <c r="AD30" s="1023"/>
      <c r="AE30" s="1023"/>
      <c r="AF30" s="1023"/>
      <c r="AG30" s="1023"/>
      <c r="AH30" s="1023"/>
      <c r="AI30" s="1023"/>
      <c r="AJ30" s="1023"/>
      <c r="AK30" s="1023"/>
      <c r="AL30" s="1023"/>
      <c r="AM30" s="1023"/>
      <c r="AN30" s="1023"/>
      <c r="AO30" s="1023"/>
      <c r="AP30" s="1023"/>
      <c r="AQ30" s="1023"/>
      <c r="AR30" s="1023"/>
      <c r="AS30" s="1023"/>
      <c r="AT30" s="1023"/>
      <c r="AU30" s="1023"/>
      <c r="AV30" s="1023"/>
      <c r="AW30" s="1023"/>
      <c r="AX30" s="1023"/>
      <c r="AY30" s="1023"/>
      <c r="AZ30" s="1023"/>
      <c r="BA30" s="1023"/>
      <c r="BB30" s="1023"/>
      <c r="BC30" s="1023"/>
      <c r="BD30" s="1023"/>
      <c r="BE30" s="1023"/>
      <c r="BF30" s="1023"/>
      <c r="BG30" s="1023"/>
      <c r="BH30" s="1023"/>
      <c r="BI30" s="1023"/>
      <c r="BJ30" s="1023"/>
      <c r="BK30" s="1023"/>
      <c r="BL30" s="1023"/>
      <c r="BM30" s="1023"/>
      <c r="BN30" s="1023"/>
      <c r="BO30" s="1023"/>
      <c r="BP30" s="1023"/>
      <c r="BQ30" s="1023"/>
      <c r="BR30" s="1023"/>
      <c r="BS30" s="1023"/>
      <c r="BT30" s="1023"/>
      <c r="BU30" s="1023"/>
      <c r="BV30" s="1023"/>
      <c r="BW30" s="1023"/>
      <c r="BX30" s="1023"/>
      <c r="BY30" s="1023"/>
      <c r="BZ30" s="1023"/>
      <c r="CA30" s="1023"/>
      <c r="CB30" s="1023"/>
      <c r="CC30" s="1023"/>
      <c r="CD30" s="1023"/>
      <c r="CE30" s="1023"/>
      <c r="CF30" s="1023"/>
      <c r="CG30" s="1023"/>
      <c r="CH30" s="1023"/>
      <c r="CI30" s="1023"/>
      <c r="CJ30" s="1023"/>
      <c r="CK30" s="1023"/>
      <c r="CL30" s="1023"/>
      <c r="CM30" s="1023"/>
      <c r="CN30" s="1023"/>
      <c r="CO30" s="1023"/>
      <c r="CP30" s="1023"/>
      <c r="CQ30" s="1023"/>
      <c r="CR30" s="1023"/>
      <c r="CS30" s="1023"/>
      <c r="CT30" s="1023"/>
      <c r="CU30" s="1023"/>
      <c r="CV30" s="1023"/>
      <c r="CW30" s="1023"/>
      <c r="CX30" s="1023"/>
    </row>
    <row r="31" spans="1:102" ht="3" customHeight="1"/>
    <row r="32" spans="1:102">
      <c r="C32" s="1021"/>
      <c r="D32" s="1021"/>
      <c r="E32" s="1021"/>
      <c r="F32" s="1021"/>
      <c r="G32" s="1021"/>
      <c r="H32" s="1021"/>
      <c r="I32" s="1021"/>
      <c r="J32" s="1021"/>
      <c r="K32" s="1021"/>
      <c r="L32" s="1021"/>
      <c r="M32" s="1021"/>
      <c r="N32" s="1021"/>
      <c r="O32" s="1021"/>
      <c r="P32" s="1021"/>
      <c r="Q32" s="1021"/>
      <c r="R32" s="1021"/>
      <c r="S32" s="1021"/>
      <c r="T32" s="1021"/>
      <c r="U32" s="1021"/>
      <c r="V32" s="1021"/>
      <c r="W32" s="1021"/>
      <c r="X32" s="1021"/>
      <c r="Y32" s="1021"/>
      <c r="Z32" s="1021"/>
      <c r="AA32" s="1021"/>
      <c r="AB32" s="1021"/>
      <c r="AC32" s="1021"/>
      <c r="AD32" s="1021"/>
      <c r="AE32" s="1021"/>
      <c r="AF32" s="1021"/>
      <c r="AG32" s="1021"/>
      <c r="AH32" s="1021"/>
      <c r="AI32" s="1021"/>
      <c r="AJ32" s="1021"/>
      <c r="AK32" s="1021"/>
      <c r="AL32" s="1021"/>
      <c r="AM32" s="1021"/>
      <c r="AN32" s="1021"/>
      <c r="AO32" s="1021"/>
      <c r="AP32" s="1021"/>
      <c r="AQ32" s="1021"/>
      <c r="AR32" s="1021"/>
      <c r="AS32" s="1021"/>
      <c r="AT32" s="1021"/>
      <c r="AU32" s="1021"/>
      <c r="AV32" s="1021"/>
      <c r="AW32" s="1021"/>
      <c r="AX32" s="1021"/>
      <c r="AY32" s="1021"/>
      <c r="AZ32" s="1021"/>
      <c r="BA32" s="1021"/>
      <c r="BB32" s="1021"/>
      <c r="BC32" s="1021"/>
      <c r="BD32" s="1021"/>
      <c r="BE32" s="1021"/>
      <c r="BF32" s="1021"/>
      <c r="BG32" s="1021"/>
      <c r="BH32" s="1021"/>
      <c r="BI32" s="1021"/>
      <c r="BJ32" s="1021"/>
      <c r="BK32" s="1021"/>
      <c r="BL32" s="1021"/>
      <c r="BM32" s="1021"/>
      <c r="BN32" s="1021"/>
      <c r="BO32" s="1021"/>
      <c r="BP32" s="1021"/>
      <c r="BQ32" s="1021"/>
      <c r="BR32" s="1021"/>
      <c r="BS32" s="1021"/>
      <c r="BT32" s="1021"/>
      <c r="BU32" s="1021"/>
      <c r="BV32" s="1021"/>
      <c r="BW32" s="1021"/>
      <c r="BX32" s="1021"/>
      <c r="BY32" s="1021"/>
      <c r="BZ32" s="1021"/>
      <c r="CA32" s="1021"/>
      <c r="CB32" s="1021"/>
      <c r="CC32" s="1021"/>
      <c r="CD32" s="1021"/>
      <c r="CE32" s="1021"/>
      <c r="CF32" s="1021"/>
      <c r="CG32" s="1021"/>
      <c r="CH32" s="1021"/>
      <c r="CI32" s="1021"/>
      <c r="CJ32" s="1021"/>
      <c r="CK32" s="1021"/>
      <c r="CL32" s="1021"/>
      <c r="CM32" s="1021"/>
      <c r="CN32" s="1021"/>
      <c r="CO32" s="1021"/>
      <c r="CP32" s="1021"/>
      <c r="CQ32" s="1021"/>
      <c r="CR32" s="1021"/>
      <c r="CS32" s="1021"/>
      <c r="CT32" s="1021"/>
      <c r="CU32" s="1021"/>
      <c r="CV32" s="1021"/>
    </row>
  </sheetData>
  <mergeCells count="195">
    <mergeCell ref="AW11:BE11"/>
    <mergeCell ref="BF11:BN11"/>
    <mergeCell ref="BO11:BW11"/>
    <mergeCell ref="BX11:CF11"/>
    <mergeCell ref="CG11:CO11"/>
    <mergeCell ref="CP11:CX11"/>
    <mergeCell ref="BN2:CX2"/>
    <mergeCell ref="A7:CX7"/>
    <mergeCell ref="A8:CX8"/>
    <mergeCell ref="A10:U11"/>
    <mergeCell ref="V10:AV10"/>
    <mergeCell ref="AW10:BW10"/>
    <mergeCell ref="BX10:CX10"/>
    <mergeCell ref="V11:AD11"/>
    <mergeCell ref="AE11:AM11"/>
    <mergeCell ref="AN11:AV11"/>
    <mergeCell ref="A13:F13"/>
    <mergeCell ref="G13:U13"/>
    <mergeCell ref="V13:AD13"/>
    <mergeCell ref="AE13:AM13"/>
    <mergeCell ref="AN13:AV13"/>
    <mergeCell ref="A12:F12"/>
    <mergeCell ref="G12:U12"/>
    <mergeCell ref="V12:AD12"/>
    <mergeCell ref="AE12:AM12"/>
    <mergeCell ref="AN12:AV12"/>
    <mergeCell ref="AW13:BE13"/>
    <mergeCell ref="BF13:BN13"/>
    <mergeCell ref="BO13:BW13"/>
    <mergeCell ref="BX13:CF13"/>
    <mergeCell ref="CG13:CO13"/>
    <mergeCell ref="CP13:CX13"/>
    <mergeCell ref="BF12:BN12"/>
    <mergeCell ref="BO12:BW12"/>
    <mergeCell ref="BX12:CF12"/>
    <mergeCell ref="CG12:CO12"/>
    <mergeCell ref="CP12:CX12"/>
    <mergeCell ref="AW12:BE12"/>
    <mergeCell ref="A15:F15"/>
    <mergeCell ref="G15:U15"/>
    <mergeCell ref="V15:AD15"/>
    <mergeCell ref="AE15:AM15"/>
    <mergeCell ref="AN15:AV15"/>
    <mergeCell ref="A14:F14"/>
    <mergeCell ref="G14:U14"/>
    <mergeCell ref="V14:AD14"/>
    <mergeCell ref="AE14:AM14"/>
    <mergeCell ref="AN14:AV14"/>
    <mergeCell ref="AW15:BE15"/>
    <mergeCell ref="BF15:BN15"/>
    <mergeCell ref="BO15:BW15"/>
    <mergeCell ref="BX15:CF15"/>
    <mergeCell ref="CG15:CO15"/>
    <mergeCell ref="CP15:CX15"/>
    <mergeCell ref="BF14:BN14"/>
    <mergeCell ref="BO14:BW14"/>
    <mergeCell ref="BX14:CF14"/>
    <mergeCell ref="CG14:CO14"/>
    <mergeCell ref="CP14:CX14"/>
    <mergeCell ref="AW14:BE14"/>
    <mergeCell ref="A17:F17"/>
    <mergeCell ref="G17:U17"/>
    <mergeCell ref="V17:AD17"/>
    <mergeCell ref="AE17:AM17"/>
    <mergeCell ref="AN17:AV17"/>
    <mergeCell ref="A16:F16"/>
    <mergeCell ref="G16:U16"/>
    <mergeCell ref="V16:AD16"/>
    <mergeCell ref="AE16:AM16"/>
    <mergeCell ref="AN16:AV16"/>
    <mergeCell ref="AW17:BE17"/>
    <mergeCell ref="BF17:BN17"/>
    <mergeCell ref="BO17:BW17"/>
    <mergeCell ref="BX17:CF17"/>
    <mergeCell ref="CG17:CO17"/>
    <mergeCell ref="CP17:CX17"/>
    <mergeCell ref="BF16:BN16"/>
    <mergeCell ref="BO16:BW16"/>
    <mergeCell ref="BX16:CF16"/>
    <mergeCell ref="CG16:CO16"/>
    <mergeCell ref="CP16:CX16"/>
    <mergeCell ref="AW16:BE16"/>
    <mergeCell ref="A19:F19"/>
    <mergeCell ref="G19:U19"/>
    <mergeCell ref="V19:AD19"/>
    <mergeCell ref="AE19:AM19"/>
    <mergeCell ref="AN19:AV19"/>
    <mergeCell ref="A18:F18"/>
    <mergeCell ref="G18:U18"/>
    <mergeCell ref="V18:AD18"/>
    <mergeCell ref="AE18:AM18"/>
    <mergeCell ref="AN18:AV18"/>
    <mergeCell ref="AW19:BE19"/>
    <mergeCell ref="BF19:BN19"/>
    <mergeCell ref="BO19:BW19"/>
    <mergeCell ref="BX19:CF19"/>
    <mergeCell ref="CG19:CO19"/>
    <mergeCell ref="CP19:CX19"/>
    <mergeCell ref="BF18:BN18"/>
    <mergeCell ref="BO18:BW18"/>
    <mergeCell ref="BX18:CF18"/>
    <mergeCell ref="CG18:CO18"/>
    <mergeCell ref="CP18:CX18"/>
    <mergeCell ref="AW18:BE18"/>
    <mergeCell ref="A21:F21"/>
    <mergeCell ref="G21:U21"/>
    <mergeCell ref="V21:AD21"/>
    <mergeCell ref="AE21:AM21"/>
    <mergeCell ref="AN21:AV21"/>
    <mergeCell ref="A20:F20"/>
    <mergeCell ref="G20:U20"/>
    <mergeCell ref="V20:AD20"/>
    <mergeCell ref="AE20:AM20"/>
    <mergeCell ref="AN20:AV20"/>
    <mergeCell ref="AW21:BE21"/>
    <mergeCell ref="BF21:BN21"/>
    <mergeCell ref="BO21:BW21"/>
    <mergeCell ref="BX21:CF21"/>
    <mergeCell ref="CG21:CO21"/>
    <mergeCell ref="CP21:CX21"/>
    <mergeCell ref="BF20:BN20"/>
    <mergeCell ref="BO20:BW20"/>
    <mergeCell ref="BX20:CF20"/>
    <mergeCell ref="CG20:CO20"/>
    <mergeCell ref="CP20:CX20"/>
    <mergeCell ref="AW20:BE20"/>
    <mergeCell ref="A23:F23"/>
    <mergeCell ref="G23:U23"/>
    <mergeCell ref="V23:AD23"/>
    <mergeCell ref="AE23:AM23"/>
    <mergeCell ref="AN23:AV23"/>
    <mergeCell ref="A22:F22"/>
    <mergeCell ref="G22:U22"/>
    <mergeCell ref="V22:AD22"/>
    <mergeCell ref="AE22:AM22"/>
    <mergeCell ref="AN22:AV22"/>
    <mergeCell ref="AW23:BE23"/>
    <mergeCell ref="BF23:BN23"/>
    <mergeCell ref="BO23:BW23"/>
    <mergeCell ref="BX23:CF23"/>
    <mergeCell ref="CG23:CO23"/>
    <mergeCell ref="CP23:CX23"/>
    <mergeCell ref="BF22:BN22"/>
    <mergeCell ref="BO22:BW22"/>
    <mergeCell ref="BX22:CF22"/>
    <mergeCell ref="CG22:CO22"/>
    <mergeCell ref="CP22:CX22"/>
    <mergeCell ref="AW22:BE22"/>
    <mergeCell ref="A25:F25"/>
    <mergeCell ref="G25:U25"/>
    <mergeCell ref="V25:AD25"/>
    <mergeCell ref="AE25:AM25"/>
    <mergeCell ref="AN25:AV25"/>
    <mergeCell ref="A24:F24"/>
    <mergeCell ref="G24:U24"/>
    <mergeCell ref="V24:AD24"/>
    <mergeCell ref="AE24:AM24"/>
    <mergeCell ref="AN24:AV24"/>
    <mergeCell ref="AW25:BE25"/>
    <mergeCell ref="BF25:BN25"/>
    <mergeCell ref="BO25:BW25"/>
    <mergeCell ref="BX25:CF25"/>
    <mergeCell ref="CG25:CO25"/>
    <mergeCell ref="CP25:CX25"/>
    <mergeCell ref="BF24:BN24"/>
    <mergeCell ref="BO24:BW24"/>
    <mergeCell ref="BX24:CF24"/>
    <mergeCell ref="CG24:CO24"/>
    <mergeCell ref="CP24:CX24"/>
    <mergeCell ref="AW24:BE24"/>
    <mergeCell ref="BF26:BN26"/>
    <mergeCell ref="BO26:BW26"/>
    <mergeCell ref="BX26:CF26"/>
    <mergeCell ref="CG26:CO26"/>
    <mergeCell ref="CP26:CX26"/>
    <mergeCell ref="A27:F27"/>
    <mergeCell ref="G27:U27"/>
    <mergeCell ref="V27:AD27"/>
    <mergeCell ref="AE27:AM27"/>
    <mergeCell ref="AN27:AV27"/>
    <mergeCell ref="A26:F26"/>
    <mergeCell ref="G26:U26"/>
    <mergeCell ref="V26:AD26"/>
    <mergeCell ref="AE26:AM26"/>
    <mergeCell ref="AN26:AV26"/>
    <mergeCell ref="AW26:BE26"/>
    <mergeCell ref="C32:CV32"/>
    <mergeCell ref="A29:CX29"/>
    <mergeCell ref="A30:CX30"/>
    <mergeCell ref="AW27:BE27"/>
    <mergeCell ref="BF27:BN27"/>
    <mergeCell ref="BO27:BW27"/>
    <mergeCell ref="BX27:CF27"/>
    <mergeCell ref="CG27:CO27"/>
    <mergeCell ref="CP27:CX2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X32"/>
  <sheetViews>
    <sheetView topLeftCell="A4" workbookViewId="0">
      <selection activeCell="A323" sqref="A323:G323"/>
    </sheetView>
  </sheetViews>
  <sheetFormatPr defaultColWidth="0.85546875" defaultRowHeight="15"/>
  <cols>
    <col min="1" max="16384" width="0.85546875" style="278"/>
  </cols>
  <sheetData>
    <row r="1" spans="1:102" s="271" customFormat="1" ht="12.75">
      <c r="BO1" s="271" t="s">
        <v>357</v>
      </c>
    </row>
    <row r="2" spans="1:102" s="271" customFormat="1" ht="39.950000000000003" customHeight="1">
      <c r="BO2" s="995" t="s">
        <v>281</v>
      </c>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row>
    <row r="3" spans="1:102" s="271" customFormat="1" ht="5.25" customHeight="1"/>
    <row r="4" spans="1:102" s="272" customFormat="1" ht="12">
      <c r="BO4" s="272" t="s">
        <v>315</v>
      </c>
    </row>
    <row r="5" spans="1:102" s="272" customFormat="1" ht="12">
      <c r="BO5" s="272" t="s">
        <v>316</v>
      </c>
    </row>
    <row r="6" spans="1:102" s="271" customFormat="1" ht="12.75"/>
    <row r="7" spans="1:102" s="275" customFormat="1" ht="16.5">
      <c r="CX7" s="281"/>
    </row>
    <row r="8" spans="1:102" s="273" customFormat="1" ht="18.95" customHeight="1">
      <c r="A8" s="1126" t="s">
        <v>336</v>
      </c>
      <c r="B8" s="1126"/>
      <c r="C8" s="1126"/>
      <c r="D8" s="1126"/>
      <c r="E8" s="1126"/>
      <c r="F8" s="1126"/>
      <c r="G8" s="1126"/>
      <c r="H8" s="1126"/>
      <c r="I8" s="1126"/>
      <c r="J8" s="1126"/>
      <c r="K8" s="1126"/>
      <c r="L8" s="1126"/>
      <c r="M8" s="1126"/>
      <c r="N8" s="1126"/>
      <c r="O8" s="1126"/>
      <c r="P8" s="1126"/>
      <c r="Q8" s="1126"/>
      <c r="R8" s="1126"/>
      <c r="S8" s="1126"/>
      <c r="T8" s="1126"/>
      <c r="U8" s="1126"/>
      <c r="V8" s="1126"/>
      <c r="W8" s="1126"/>
      <c r="X8" s="1126"/>
      <c r="Y8" s="1126"/>
      <c r="Z8" s="1126"/>
      <c r="AA8" s="1126"/>
      <c r="AB8" s="1126"/>
      <c r="AC8" s="1126"/>
      <c r="AD8" s="1126"/>
      <c r="AE8" s="1126"/>
      <c r="AF8" s="1126"/>
      <c r="AG8" s="1126"/>
      <c r="AH8" s="1126"/>
      <c r="AI8" s="1126"/>
      <c r="AJ8" s="1126"/>
      <c r="AK8" s="1126"/>
      <c r="AL8" s="1126"/>
      <c r="AM8" s="1126"/>
      <c r="AN8" s="1126"/>
      <c r="AO8" s="1126"/>
      <c r="AP8" s="1126"/>
      <c r="AQ8" s="1126"/>
      <c r="AR8" s="1126"/>
      <c r="AS8" s="1126"/>
      <c r="AT8" s="1126"/>
      <c r="AU8" s="1126"/>
      <c r="AV8" s="1126"/>
      <c r="AW8" s="1126"/>
      <c r="AX8" s="1126"/>
      <c r="AY8" s="1126"/>
      <c r="AZ8" s="1126"/>
      <c r="BA8" s="1126"/>
      <c r="BB8" s="1126"/>
      <c r="BC8" s="1126"/>
      <c r="BD8" s="1126"/>
      <c r="BE8" s="1126"/>
      <c r="BF8" s="1126"/>
      <c r="BG8" s="1126"/>
      <c r="BH8" s="1126"/>
      <c r="BI8" s="1126"/>
      <c r="BJ8" s="1126"/>
      <c r="BK8" s="1126"/>
      <c r="BL8" s="1126"/>
      <c r="BM8" s="1126"/>
      <c r="BN8" s="1126"/>
      <c r="BO8" s="1126"/>
      <c r="BP8" s="1126"/>
      <c r="BQ8" s="1126"/>
      <c r="BR8" s="1126"/>
      <c r="BS8" s="1126"/>
      <c r="BT8" s="1126"/>
      <c r="BU8" s="1126"/>
      <c r="BV8" s="1126"/>
      <c r="BW8" s="1126"/>
      <c r="BX8" s="1126"/>
      <c r="BY8" s="1126"/>
      <c r="BZ8" s="1126"/>
      <c r="CA8" s="1126"/>
      <c r="CB8" s="1126"/>
      <c r="CC8" s="1126"/>
      <c r="CD8" s="1126"/>
      <c r="CE8" s="1126"/>
      <c r="CF8" s="1126"/>
      <c r="CG8" s="1126"/>
      <c r="CH8" s="1126"/>
      <c r="CI8" s="1126"/>
      <c r="CJ8" s="1126"/>
      <c r="CK8" s="1126"/>
      <c r="CL8" s="1126"/>
      <c r="CM8" s="1126"/>
      <c r="CN8" s="1126"/>
      <c r="CO8" s="1126"/>
      <c r="CP8" s="1126"/>
      <c r="CQ8" s="1126"/>
      <c r="CR8" s="1126"/>
      <c r="CS8" s="1126"/>
      <c r="CT8" s="1126"/>
      <c r="CU8" s="1126"/>
      <c r="CV8" s="1126"/>
      <c r="CW8" s="1126"/>
      <c r="CX8" s="1126"/>
    </row>
    <row r="9" spans="1:102" s="274" customFormat="1" ht="36.75" customHeight="1">
      <c r="A9" s="1127" t="s">
        <v>358</v>
      </c>
      <c r="B9" s="1127"/>
      <c r="C9" s="1127"/>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127"/>
      <c r="AY9" s="1127"/>
      <c r="AZ9" s="1127"/>
      <c r="BA9" s="1127"/>
      <c r="BB9" s="1127"/>
      <c r="BC9" s="1127"/>
      <c r="BD9" s="1127"/>
      <c r="BE9" s="1127"/>
      <c r="BF9" s="1127"/>
      <c r="BG9" s="1127"/>
      <c r="BH9" s="1127"/>
      <c r="BI9" s="1127"/>
      <c r="BJ9" s="1127"/>
      <c r="BK9" s="1127"/>
      <c r="BL9" s="1127"/>
      <c r="BM9" s="1127"/>
      <c r="BN9" s="1127"/>
      <c r="BO9" s="1127"/>
      <c r="BP9" s="1127"/>
      <c r="BQ9" s="1127"/>
      <c r="BR9" s="1127"/>
      <c r="BS9" s="1127"/>
      <c r="BT9" s="1127"/>
      <c r="BU9" s="1127"/>
      <c r="BV9" s="1127"/>
      <c r="BW9" s="1127"/>
      <c r="BX9" s="1127"/>
      <c r="BY9" s="1127"/>
      <c r="BZ9" s="1127"/>
      <c r="CA9" s="1127"/>
      <c r="CB9" s="1127"/>
      <c r="CC9" s="1127"/>
      <c r="CD9" s="1127"/>
      <c r="CE9" s="1127"/>
      <c r="CF9" s="1127"/>
      <c r="CG9" s="1127"/>
      <c r="CH9" s="1127"/>
      <c r="CI9" s="1127"/>
      <c r="CJ9" s="1127"/>
      <c r="CK9" s="1127"/>
      <c r="CL9" s="1127"/>
      <c r="CM9" s="1127"/>
      <c r="CN9" s="1127"/>
      <c r="CO9" s="1127"/>
      <c r="CP9" s="1127"/>
      <c r="CQ9" s="1127"/>
      <c r="CR9" s="1127"/>
      <c r="CS9" s="1127"/>
      <c r="CT9" s="1127"/>
      <c r="CU9" s="1127"/>
      <c r="CV9" s="1127"/>
      <c r="CW9" s="1127"/>
      <c r="CX9" s="1127"/>
    </row>
    <row r="10" spans="1:102" ht="12" customHeight="1" thickBot="1"/>
    <row r="11" spans="1:102" s="276" customFormat="1" ht="33.75" customHeight="1">
      <c r="A11" s="1128" t="s">
        <v>359</v>
      </c>
      <c r="B11" s="1129"/>
      <c r="C11" s="1129"/>
      <c r="D11" s="1129"/>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30"/>
      <c r="AI11" s="1001" t="s">
        <v>360</v>
      </c>
      <c r="AJ11" s="1002"/>
      <c r="AK11" s="1002"/>
      <c r="AL11" s="1002"/>
      <c r="AM11" s="1002"/>
      <c r="AN11" s="1002"/>
      <c r="AO11" s="1002"/>
      <c r="AP11" s="1002"/>
      <c r="AQ11" s="1002"/>
      <c r="AR11" s="1002"/>
      <c r="AS11" s="1002"/>
      <c r="AT11" s="1002"/>
      <c r="AU11" s="1002"/>
      <c r="AV11" s="1002"/>
      <c r="AW11" s="1002"/>
      <c r="AX11" s="1002"/>
      <c r="AY11" s="1002"/>
      <c r="AZ11" s="1002"/>
      <c r="BA11" s="1002"/>
      <c r="BB11" s="1002"/>
      <c r="BC11" s="1002"/>
      <c r="BD11" s="1002"/>
      <c r="BE11" s="1002"/>
      <c r="BF11" s="1002"/>
      <c r="BG11" s="1002"/>
      <c r="BH11" s="1002"/>
      <c r="BI11" s="1002"/>
      <c r="BJ11" s="1002"/>
      <c r="BK11" s="1002"/>
      <c r="BL11" s="1002"/>
      <c r="BM11" s="1002"/>
      <c r="BN11" s="1002"/>
      <c r="BO11" s="1002"/>
      <c r="BP11" s="1004"/>
      <c r="BQ11" s="1002" t="s">
        <v>340</v>
      </c>
      <c r="BR11" s="1002"/>
      <c r="BS11" s="1002"/>
      <c r="BT11" s="1002"/>
      <c r="BU11" s="1002"/>
      <c r="BV11" s="1002"/>
      <c r="BW11" s="1002"/>
      <c r="BX11" s="1002"/>
      <c r="BY11" s="1002"/>
      <c r="BZ11" s="1002"/>
      <c r="CA11" s="1002"/>
      <c r="CB11" s="1002"/>
      <c r="CC11" s="1002"/>
      <c r="CD11" s="1002"/>
      <c r="CE11" s="1002"/>
      <c r="CF11" s="1002"/>
      <c r="CG11" s="1002"/>
      <c r="CH11" s="1002"/>
      <c r="CI11" s="1002"/>
      <c r="CJ11" s="1002"/>
      <c r="CK11" s="1002"/>
      <c r="CL11" s="1002"/>
      <c r="CM11" s="1002"/>
      <c r="CN11" s="1002"/>
      <c r="CO11" s="1002"/>
      <c r="CP11" s="1002"/>
      <c r="CQ11" s="1002"/>
      <c r="CR11" s="1002"/>
      <c r="CS11" s="1002"/>
      <c r="CT11" s="1002"/>
      <c r="CU11" s="1002"/>
      <c r="CV11" s="1002"/>
      <c r="CW11" s="1002"/>
      <c r="CX11" s="1004"/>
    </row>
    <row r="12" spans="1:102" s="276" customFormat="1" ht="33.75" customHeight="1" thickBot="1">
      <c r="A12" s="1131"/>
      <c r="B12" s="1132"/>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2"/>
      <c r="AF12" s="1132"/>
      <c r="AG12" s="1132"/>
      <c r="AH12" s="1133"/>
      <c r="AI12" s="1134" t="s">
        <v>331</v>
      </c>
      <c r="AJ12" s="1135"/>
      <c r="AK12" s="1135"/>
      <c r="AL12" s="1135"/>
      <c r="AM12" s="1135"/>
      <c r="AN12" s="1135"/>
      <c r="AO12" s="1135"/>
      <c r="AP12" s="1135"/>
      <c r="AQ12" s="1135"/>
      <c r="AR12" s="1135"/>
      <c r="AS12" s="1135"/>
      <c r="AT12" s="1135" t="s">
        <v>332</v>
      </c>
      <c r="AU12" s="1135"/>
      <c r="AV12" s="1135"/>
      <c r="AW12" s="1135"/>
      <c r="AX12" s="1135"/>
      <c r="AY12" s="1135"/>
      <c r="AZ12" s="1135"/>
      <c r="BA12" s="1135"/>
      <c r="BB12" s="1135"/>
      <c r="BC12" s="1135"/>
      <c r="BD12" s="1135"/>
      <c r="BE12" s="1135" t="s">
        <v>342</v>
      </c>
      <c r="BF12" s="1135"/>
      <c r="BG12" s="1135"/>
      <c r="BH12" s="1135"/>
      <c r="BI12" s="1135"/>
      <c r="BJ12" s="1135"/>
      <c r="BK12" s="1135"/>
      <c r="BL12" s="1135"/>
      <c r="BM12" s="1135"/>
      <c r="BN12" s="1135"/>
      <c r="BO12" s="1135"/>
      <c r="BP12" s="1136"/>
      <c r="BQ12" s="1137" t="s">
        <v>331</v>
      </c>
      <c r="BR12" s="1135"/>
      <c r="BS12" s="1135"/>
      <c r="BT12" s="1135"/>
      <c r="BU12" s="1135"/>
      <c r="BV12" s="1135"/>
      <c r="BW12" s="1135"/>
      <c r="BX12" s="1135"/>
      <c r="BY12" s="1135"/>
      <c r="BZ12" s="1135"/>
      <c r="CA12" s="1135"/>
      <c r="CB12" s="1135" t="s">
        <v>332</v>
      </c>
      <c r="CC12" s="1135"/>
      <c r="CD12" s="1135"/>
      <c r="CE12" s="1135"/>
      <c r="CF12" s="1135"/>
      <c r="CG12" s="1135"/>
      <c r="CH12" s="1135"/>
      <c r="CI12" s="1135"/>
      <c r="CJ12" s="1135"/>
      <c r="CK12" s="1135"/>
      <c r="CL12" s="1135"/>
      <c r="CM12" s="1135" t="s">
        <v>342</v>
      </c>
      <c r="CN12" s="1135"/>
      <c r="CO12" s="1135"/>
      <c r="CP12" s="1135"/>
      <c r="CQ12" s="1135"/>
      <c r="CR12" s="1135"/>
      <c r="CS12" s="1135"/>
      <c r="CT12" s="1135"/>
      <c r="CU12" s="1135"/>
      <c r="CV12" s="1135"/>
      <c r="CW12" s="1135"/>
      <c r="CX12" s="1136"/>
    </row>
    <row r="13" spans="1:102" s="277" customFormat="1" ht="17.100000000000001" customHeight="1">
      <c r="A13" s="1107" t="s">
        <v>14</v>
      </c>
      <c r="B13" s="1005"/>
      <c r="C13" s="1005"/>
      <c r="D13" s="1005"/>
      <c r="E13" s="1005"/>
      <c r="F13" s="1005"/>
      <c r="G13" s="1014" t="s">
        <v>343</v>
      </c>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5"/>
      <c r="AI13" s="1111">
        <v>3351</v>
      </c>
      <c r="AJ13" s="1098"/>
      <c r="AK13" s="1098"/>
      <c r="AL13" s="1098"/>
      <c r="AM13" s="1098"/>
      <c r="AN13" s="1098"/>
      <c r="AO13" s="1098"/>
      <c r="AP13" s="1098"/>
      <c r="AQ13" s="1098"/>
      <c r="AR13" s="1098"/>
      <c r="AS13" s="1098"/>
      <c r="AT13" s="1098">
        <v>23</v>
      </c>
      <c r="AU13" s="1098"/>
      <c r="AV13" s="1098"/>
      <c r="AW13" s="1098"/>
      <c r="AX13" s="1098"/>
      <c r="AY13" s="1098"/>
      <c r="AZ13" s="1098"/>
      <c r="BA13" s="1098"/>
      <c r="BB13" s="1098"/>
      <c r="BC13" s="1098"/>
      <c r="BD13" s="1098"/>
      <c r="BE13" s="1098">
        <v>0</v>
      </c>
      <c r="BF13" s="1098"/>
      <c r="BG13" s="1098"/>
      <c r="BH13" s="1098"/>
      <c r="BI13" s="1098"/>
      <c r="BJ13" s="1098"/>
      <c r="BK13" s="1098"/>
      <c r="BL13" s="1098"/>
      <c r="BM13" s="1098"/>
      <c r="BN13" s="1098"/>
      <c r="BO13" s="1098"/>
      <c r="BP13" s="1099"/>
      <c r="BQ13" s="1112">
        <v>41199</v>
      </c>
      <c r="BR13" s="1098"/>
      <c r="BS13" s="1098"/>
      <c r="BT13" s="1098"/>
      <c r="BU13" s="1098"/>
      <c r="BV13" s="1098"/>
      <c r="BW13" s="1098"/>
      <c r="BX13" s="1098"/>
      <c r="BY13" s="1098"/>
      <c r="BZ13" s="1098"/>
      <c r="CA13" s="1098"/>
      <c r="CB13" s="1098">
        <v>301</v>
      </c>
      <c r="CC13" s="1098"/>
      <c r="CD13" s="1098"/>
      <c r="CE13" s="1098"/>
      <c r="CF13" s="1098"/>
      <c r="CG13" s="1098"/>
      <c r="CH13" s="1098"/>
      <c r="CI13" s="1098"/>
      <c r="CJ13" s="1098"/>
      <c r="CK13" s="1098"/>
      <c r="CL13" s="1098"/>
      <c r="CM13" s="1098">
        <v>0</v>
      </c>
      <c r="CN13" s="1098"/>
      <c r="CO13" s="1098"/>
      <c r="CP13" s="1098"/>
      <c r="CQ13" s="1098"/>
      <c r="CR13" s="1098"/>
      <c r="CS13" s="1098"/>
      <c r="CT13" s="1098"/>
      <c r="CU13" s="1098"/>
      <c r="CV13" s="1098"/>
      <c r="CW13" s="1098"/>
      <c r="CX13" s="1099"/>
    </row>
    <row r="14" spans="1:102" s="277" customFormat="1" ht="17.100000000000001" customHeight="1">
      <c r="A14" s="1107"/>
      <c r="B14" s="1005"/>
      <c r="C14" s="1005"/>
      <c r="D14" s="1005"/>
      <c r="E14" s="1005"/>
      <c r="F14" s="1005"/>
      <c r="G14" s="1108" t="s">
        <v>344</v>
      </c>
      <c r="H14" s="1109"/>
      <c r="I14" s="1109"/>
      <c r="J14" s="1109"/>
      <c r="K14" s="1109"/>
      <c r="L14" s="1109"/>
      <c r="M14" s="1109"/>
      <c r="N14" s="1109"/>
      <c r="O14" s="1109"/>
      <c r="P14" s="1109"/>
      <c r="Q14" s="1109"/>
      <c r="R14" s="1109"/>
      <c r="S14" s="1109"/>
      <c r="T14" s="1109"/>
      <c r="U14" s="1109"/>
      <c r="V14" s="1109"/>
      <c r="W14" s="1109"/>
      <c r="X14" s="1109"/>
      <c r="Y14" s="1109"/>
      <c r="Z14" s="1109"/>
      <c r="AA14" s="1109"/>
      <c r="AB14" s="1109"/>
      <c r="AC14" s="1109"/>
      <c r="AD14" s="1109"/>
      <c r="AE14" s="1109"/>
      <c r="AF14" s="1109"/>
      <c r="AG14" s="1109"/>
      <c r="AH14" s="1110"/>
      <c r="AI14" s="1111"/>
      <c r="AJ14" s="1098"/>
      <c r="AK14" s="1098"/>
      <c r="AL14" s="1098"/>
      <c r="AM14" s="1098"/>
      <c r="AN14" s="1098"/>
      <c r="AO14" s="1098"/>
      <c r="AP14" s="1098"/>
      <c r="AQ14" s="1098"/>
      <c r="AR14" s="1098"/>
      <c r="AS14" s="1098"/>
      <c r="AT14" s="1098"/>
      <c r="AU14" s="1098"/>
      <c r="AV14" s="1098"/>
      <c r="AW14" s="1098"/>
      <c r="AX14" s="1098"/>
      <c r="AY14" s="1098"/>
      <c r="AZ14" s="1098"/>
      <c r="BA14" s="1098"/>
      <c r="BB14" s="1098"/>
      <c r="BC14" s="1098"/>
      <c r="BD14" s="1098"/>
      <c r="BE14" s="1098"/>
      <c r="BF14" s="1098"/>
      <c r="BG14" s="1098"/>
      <c r="BH14" s="1098"/>
      <c r="BI14" s="1098"/>
      <c r="BJ14" s="1098"/>
      <c r="BK14" s="1098"/>
      <c r="BL14" s="1098"/>
      <c r="BM14" s="1098"/>
      <c r="BN14" s="1098"/>
      <c r="BO14" s="1098"/>
      <c r="BP14" s="1099"/>
      <c r="BQ14" s="1112"/>
      <c r="BR14" s="1098"/>
      <c r="BS14" s="1098"/>
      <c r="BT14" s="1098"/>
      <c r="BU14" s="1098"/>
      <c r="BV14" s="1098"/>
      <c r="BW14" s="1098"/>
      <c r="BX14" s="1098"/>
      <c r="BY14" s="1098"/>
      <c r="BZ14" s="1098"/>
      <c r="CA14" s="1098"/>
      <c r="CB14" s="1098"/>
      <c r="CC14" s="1098"/>
      <c r="CD14" s="1098"/>
      <c r="CE14" s="1098"/>
      <c r="CF14" s="1098"/>
      <c r="CG14" s="1098"/>
      <c r="CH14" s="1098"/>
      <c r="CI14" s="1098"/>
      <c r="CJ14" s="1098"/>
      <c r="CK14" s="1098"/>
      <c r="CL14" s="1098"/>
      <c r="CM14" s="1098"/>
      <c r="CN14" s="1098"/>
      <c r="CO14" s="1098"/>
      <c r="CP14" s="1098"/>
      <c r="CQ14" s="1098"/>
      <c r="CR14" s="1098"/>
      <c r="CS14" s="1098"/>
      <c r="CT14" s="1098"/>
      <c r="CU14" s="1098"/>
      <c r="CV14" s="1098"/>
      <c r="CW14" s="1098"/>
      <c r="CX14" s="1099"/>
    </row>
    <row r="15" spans="1:102" s="277" customFormat="1" ht="17.100000000000001" customHeight="1">
      <c r="A15" s="981"/>
      <c r="B15" s="982"/>
      <c r="C15" s="982"/>
      <c r="D15" s="982"/>
      <c r="E15" s="982"/>
      <c r="F15" s="982"/>
      <c r="G15" s="1100" t="s">
        <v>345</v>
      </c>
      <c r="H15" s="1101"/>
      <c r="I15" s="1101"/>
      <c r="J15" s="1101"/>
      <c r="K15" s="1101"/>
      <c r="L15" s="1101"/>
      <c r="M15" s="1101"/>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2"/>
      <c r="AI15" s="1103">
        <v>2531</v>
      </c>
      <c r="AJ15" s="1104"/>
      <c r="AK15" s="1104"/>
      <c r="AL15" s="1104"/>
      <c r="AM15" s="1104"/>
      <c r="AN15" s="1104"/>
      <c r="AO15" s="1104"/>
      <c r="AP15" s="1104"/>
      <c r="AQ15" s="1104"/>
      <c r="AR15" s="1104"/>
      <c r="AS15" s="1104"/>
      <c r="AT15" s="1104">
        <v>10</v>
      </c>
      <c r="AU15" s="1104"/>
      <c r="AV15" s="1104"/>
      <c r="AW15" s="1104"/>
      <c r="AX15" s="1104"/>
      <c r="AY15" s="1104"/>
      <c r="AZ15" s="1104"/>
      <c r="BA15" s="1104"/>
      <c r="BB15" s="1104"/>
      <c r="BC15" s="1104"/>
      <c r="BD15" s="1104"/>
      <c r="BE15" s="1104">
        <v>0</v>
      </c>
      <c r="BF15" s="1104"/>
      <c r="BG15" s="1104"/>
      <c r="BH15" s="1104"/>
      <c r="BI15" s="1104"/>
      <c r="BJ15" s="1104"/>
      <c r="BK15" s="1104"/>
      <c r="BL15" s="1104"/>
      <c r="BM15" s="1104"/>
      <c r="BN15" s="1104"/>
      <c r="BO15" s="1104"/>
      <c r="BP15" s="1105"/>
      <c r="BQ15" s="1122">
        <v>31013</v>
      </c>
      <c r="BR15" s="1123"/>
      <c r="BS15" s="1123"/>
      <c r="BT15" s="1123"/>
      <c r="BU15" s="1123"/>
      <c r="BV15" s="1123"/>
      <c r="BW15" s="1123"/>
      <c r="BX15" s="1123"/>
      <c r="BY15" s="1123"/>
      <c r="BZ15" s="1123"/>
      <c r="CA15" s="1123"/>
      <c r="CB15" s="1123">
        <v>139</v>
      </c>
      <c r="CC15" s="1123"/>
      <c r="CD15" s="1123"/>
      <c r="CE15" s="1123"/>
      <c r="CF15" s="1123"/>
      <c r="CG15" s="1123"/>
      <c r="CH15" s="1123"/>
      <c r="CI15" s="1123"/>
      <c r="CJ15" s="1123"/>
      <c r="CK15" s="1123"/>
      <c r="CL15" s="1123"/>
      <c r="CM15" s="1104">
        <v>0</v>
      </c>
      <c r="CN15" s="1104"/>
      <c r="CO15" s="1104"/>
      <c r="CP15" s="1104"/>
      <c r="CQ15" s="1104"/>
      <c r="CR15" s="1104"/>
      <c r="CS15" s="1104"/>
      <c r="CT15" s="1104"/>
      <c r="CU15" s="1104"/>
      <c r="CV15" s="1104"/>
      <c r="CW15" s="1104"/>
      <c r="CX15" s="1105"/>
    </row>
    <row r="16" spans="1:102" s="277" customFormat="1" ht="33.950000000000003" customHeight="1">
      <c r="A16" s="1113" t="s">
        <v>135</v>
      </c>
      <c r="B16" s="1114"/>
      <c r="C16" s="1114"/>
      <c r="D16" s="1114"/>
      <c r="E16" s="1114"/>
      <c r="F16" s="1114"/>
      <c r="G16" s="1115" t="s">
        <v>361</v>
      </c>
      <c r="H16" s="1116"/>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7"/>
      <c r="AI16" s="1118">
        <v>267</v>
      </c>
      <c r="AJ16" s="1119"/>
      <c r="AK16" s="1119"/>
      <c r="AL16" s="1119"/>
      <c r="AM16" s="1119"/>
      <c r="AN16" s="1119"/>
      <c r="AO16" s="1119"/>
      <c r="AP16" s="1119"/>
      <c r="AQ16" s="1119"/>
      <c r="AR16" s="1119"/>
      <c r="AS16" s="1119"/>
      <c r="AT16" s="1119">
        <v>43</v>
      </c>
      <c r="AU16" s="1119"/>
      <c r="AV16" s="1119"/>
      <c r="AW16" s="1119"/>
      <c r="AX16" s="1119"/>
      <c r="AY16" s="1119"/>
      <c r="AZ16" s="1119"/>
      <c r="BA16" s="1119"/>
      <c r="BB16" s="1119"/>
      <c r="BC16" s="1119"/>
      <c r="BD16" s="1119"/>
      <c r="BE16" s="1119">
        <v>0</v>
      </c>
      <c r="BF16" s="1119"/>
      <c r="BG16" s="1119"/>
      <c r="BH16" s="1119"/>
      <c r="BI16" s="1119"/>
      <c r="BJ16" s="1119"/>
      <c r="BK16" s="1119"/>
      <c r="BL16" s="1119"/>
      <c r="BM16" s="1119"/>
      <c r="BN16" s="1119"/>
      <c r="BO16" s="1119"/>
      <c r="BP16" s="1120"/>
      <c r="BQ16" s="1121">
        <v>13512</v>
      </c>
      <c r="BR16" s="1119"/>
      <c r="BS16" s="1119"/>
      <c r="BT16" s="1119"/>
      <c r="BU16" s="1119"/>
      <c r="BV16" s="1119"/>
      <c r="BW16" s="1119"/>
      <c r="BX16" s="1119"/>
      <c r="BY16" s="1119"/>
      <c r="BZ16" s="1119"/>
      <c r="CA16" s="1119"/>
      <c r="CB16" s="1119">
        <v>4823</v>
      </c>
      <c r="CC16" s="1119"/>
      <c r="CD16" s="1119"/>
      <c r="CE16" s="1119"/>
      <c r="CF16" s="1119"/>
      <c r="CG16" s="1119"/>
      <c r="CH16" s="1119"/>
      <c r="CI16" s="1119"/>
      <c r="CJ16" s="1119"/>
      <c r="CK16" s="1119"/>
      <c r="CL16" s="1119"/>
      <c r="CM16" s="1119">
        <v>0</v>
      </c>
      <c r="CN16" s="1119"/>
      <c r="CO16" s="1119"/>
      <c r="CP16" s="1119"/>
      <c r="CQ16" s="1119"/>
      <c r="CR16" s="1119"/>
      <c r="CS16" s="1119"/>
      <c r="CT16" s="1119"/>
      <c r="CU16" s="1119"/>
      <c r="CV16" s="1119"/>
      <c r="CW16" s="1119"/>
      <c r="CX16" s="1120"/>
    </row>
    <row r="17" spans="1:102" s="277" customFormat="1" ht="17.100000000000001" customHeight="1">
      <c r="A17" s="1107"/>
      <c r="B17" s="1005"/>
      <c r="C17" s="1005"/>
      <c r="D17" s="1005"/>
      <c r="E17" s="1005"/>
      <c r="F17" s="1005"/>
      <c r="G17" s="1108" t="s">
        <v>344</v>
      </c>
      <c r="H17" s="1109"/>
      <c r="I17" s="1109"/>
      <c r="J17" s="1109"/>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09"/>
      <c r="AH17" s="1110"/>
      <c r="AI17" s="1111"/>
      <c r="AJ17" s="1098"/>
      <c r="AK17" s="1098"/>
      <c r="AL17" s="1098"/>
      <c r="AM17" s="1098"/>
      <c r="AN17" s="1098"/>
      <c r="AO17" s="1098"/>
      <c r="AP17" s="1098"/>
      <c r="AQ17" s="1098"/>
      <c r="AR17" s="1098"/>
      <c r="AS17" s="1098"/>
      <c r="AT17" s="1098"/>
      <c r="AU17" s="1098"/>
      <c r="AV17" s="1098"/>
      <c r="AW17" s="1098"/>
      <c r="AX17" s="1098"/>
      <c r="AY17" s="1098"/>
      <c r="AZ17" s="1098"/>
      <c r="BA17" s="1098"/>
      <c r="BB17" s="1098"/>
      <c r="BC17" s="1098"/>
      <c r="BD17" s="1098"/>
      <c r="BE17" s="1098"/>
      <c r="BF17" s="1098"/>
      <c r="BG17" s="1098"/>
      <c r="BH17" s="1098"/>
      <c r="BI17" s="1098"/>
      <c r="BJ17" s="1098"/>
      <c r="BK17" s="1098"/>
      <c r="BL17" s="1098"/>
      <c r="BM17" s="1098"/>
      <c r="BN17" s="1098"/>
      <c r="BO17" s="1098"/>
      <c r="BP17" s="1099"/>
      <c r="BQ17" s="1112"/>
      <c r="BR17" s="1098"/>
      <c r="BS17" s="1098"/>
      <c r="BT17" s="1098"/>
      <c r="BU17" s="1098"/>
      <c r="BV17" s="1098"/>
      <c r="BW17" s="1098"/>
      <c r="BX17" s="1098"/>
      <c r="BY17" s="1098"/>
      <c r="BZ17" s="1098"/>
      <c r="CA17" s="1098"/>
      <c r="CB17" s="1098"/>
      <c r="CC17" s="1098"/>
      <c r="CD17" s="1098"/>
      <c r="CE17" s="1098"/>
      <c r="CF17" s="1098"/>
      <c r="CG17" s="1098"/>
      <c r="CH17" s="1098"/>
      <c r="CI17" s="1098"/>
      <c r="CJ17" s="1098"/>
      <c r="CK17" s="1098"/>
      <c r="CL17" s="1098"/>
      <c r="CM17" s="1098"/>
      <c r="CN17" s="1098"/>
      <c r="CO17" s="1098"/>
      <c r="CP17" s="1098"/>
      <c r="CQ17" s="1098"/>
      <c r="CR17" s="1098"/>
      <c r="CS17" s="1098"/>
      <c r="CT17" s="1098"/>
      <c r="CU17" s="1098"/>
      <c r="CV17" s="1098"/>
      <c r="CW17" s="1098"/>
      <c r="CX17" s="1099"/>
    </row>
    <row r="18" spans="1:102" s="277" customFormat="1" ht="17.100000000000001" customHeight="1">
      <c r="A18" s="981"/>
      <c r="B18" s="982"/>
      <c r="C18" s="982"/>
      <c r="D18" s="982"/>
      <c r="E18" s="982"/>
      <c r="F18" s="982"/>
      <c r="G18" s="1100" t="s">
        <v>347</v>
      </c>
      <c r="H18" s="1101"/>
      <c r="I18" s="1101"/>
      <c r="J18" s="1101"/>
      <c r="K18" s="1101"/>
      <c r="L18" s="1101"/>
      <c r="M18" s="1101"/>
      <c r="N18" s="1101"/>
      <c r="O18" s="1101"/>
      <c r="P18" s="1101"/>
      <c r="Q18" s="1101"/>
      <c r="R18" s="1101"/>
      <c r="S18" s="1101"/>
      <c r="T18" s="1101"/>
      <c r="U18" s="1101"/>
      <c r="V18" s="1101"/>
      <c r="W18" s="1101"/>
      <c r="X18" s="1101"/>
      <c r="Y18" s="1101"/>
      <c r="Z18" s="1101"/>
      <c r="AA18" s="1101"/>
      <c r="AB18" s="1101"/>
      <c r="AC18" s="1101"/>
      <c r="AD18" s="1101"/>
      <c r="AE18" s="1101"/>
      <c r="AF18" s="1101"/>
      <c r="AG18" s="1101"/>
      <c r="AH18" s="1102"/>
      <c r="AI18" s="1103">
        <f>AI16</f>
        <v>267</v>
      </c>
      <c r="AJ18" s="1104"/>
      <c r="AK18" s="1104"/>
      <c r="AL18" s="1104"/>
      <c r="AM18" s="1104"/>
      <c r="AN18" s="1104"/>
      <c r="AO18" s="1104"/>
      <c r="AP18" s="1104"/>
      <c r="AQ18" s="1104"/>
      <c r="AR18" s="1104"/>
      <c r="AS18" s="1104"/>
      <c r="AT18" s="1104">
        <v>43</v>
      </c>
      <c r="AU18" s="1104"/>
      <c r="AV18" s="1104"/>
      <c r="AW18" s="1104"/>
      <c r="AX18" s="1104"/>
      <c r="AY18" s="1104"/>
      <c r="AZ18" s="1104"/>
      <c r="BA18" s="1104"/>
      <c r="BB18" s="1104"/>
      <c r="BC18" s="1104"/>
      <c r="BD18" s="1104"/>
      <c r="BE18" s="1104">
        <v>0</v>
      </c>
      <c r="BF18" s="1104"/>
      <c r="BG18" s="1104"/>
      <c r="BH18" s="1104"/>
      <c r="BI18" s="1104"/>
      <c r="BJ18" s="1104"/>
      <c r="BK18" s="1104"/>
      <c r="BL18" s="1104"/>
      <c r="BM18" s="1104"/>
      <c r="BN18" s="1104"/>
      <c r="BO18" s="1104"/>
      <c r="BP18" s="1105"/>
      <c r="BQ18" s="1106">
        <v>13512</v>
      </c>
      <c r="BR18" s="1104"/>
      <c r="BS18" s="1104"/>
      <c r="BT18" s="1104"/>
      <c r="BU18" s="1104"/>
      <c r="BV18" s="1104"/>
      <c r="BW18" s="1104"/>
      <c r="BX18" s="1104"/>
      <c r="BY18" s="1104"/>
      <c r="BZ18" s="1104"/>
      <c r="CA18" s="1104"/>
      <c r="CB18" s="1104">
        <v>4823</v>
      </c>
      <c r="CC18" s="1104"/>
      <c r="CD18" s="1104"/>
      <c r="CE18" s="1104"/>
      <c r="CF18" s="1104"/>
      <c r="CG18" s="1104"/>
      <c r="CH18" s="1104"/>
      <c r="CI18" s="1104"/>
      <c r="CJ18" s="1104"/>
      <c r="CK18" s="1104"/>
      <c r="CL18" s="1104"/>
      <c r="CM18" s="1104">
        <v>0</v>
      </c>
      <c r="CN18" s="1104"/>
      <c r="CO18" s="1104"/>
      <c r="CP18" s="1104"/>
      <c r="CQ18" s="1104"/>
      <c r="CR18" s="1104"/>
      <c r="CS18" s="1104"/>
      <c r="CT18" s="1104"/>
      <c r="CU18" s="1104"/>
      <c r="CV18" s="1104"/>
      <c r="CW18" s="1104"/>
      <c r="CX18" s="1105"/>
    </row>
    <row r="19" spans="1:102" s="277" customFormat="1" ht="33.950000000000003" customHeight="1">
      <c r="A19" s="1113" t="s">
        <v>191</v>
      </c>
      <c r="B19" s="1114"/>
      <c r="C19" s="1114"/>
      <c r="D19" s="1114"/>
      <c r="E19" s="1114"/>
      <c r="F19" s="1114"/>
      <c r="G19" s="1115" t="s">
        <v>348</v>
      </c>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7"/>
      <c r="AI19" s="1118">
        <v>24</v>
      </c>
      <c r="AJ19" s="1119"/>
      <c r="AK19" s="1119"/>
      <c r="AL19" s="1119"/>
      <c r="AM19" s="1119"/>
      <c r="AN19" s="1119"/>
      <c r="AO19" s="1119"/>
      <c r="AP19" s="1119"/>
      <c r="AQ19" s="1119"/>
      <c r="AR19" s="1119"/>
      <c r="AS19" s="1119"/>
      <c r="AT19" s="1119">
        <v>43</v>
      </c>
      <c r="AU19" s="1119"/>
      <c r="AV19" s="1119"/>
      <c r="AW19" s="1119"/>
      <c r="AX19" s="1119"/>
      <c r="AY19" s="1119"/>
      <c r="AZ19" s="1119"/>
      <c r="BA19" s="1119"/>
      <c r="BB19" s="1119"/>
      <c r="BC19" s="1119"/>
      <c r="BD19" s="1119"/>
      <c r="BE19" s="1119">
        <v>0</v>
      </c>
      <c r="BF19" s="1119"/>
      <c r="BG19" s="1119"/>
      <c r="BH19" s="1119"/>
      <c r="BI19" s="1119"/>
      <c r="BJ19" s="1119"/>
      <c r="BK19" s="1119"/>
      <c r="BL19" s="1119"/>
      <c r="BM19" s="1119"/>
      <c r="BN19" s="1119"/>
      <c r="BO19" s="1119"/>
      <c r="BP19" s="1120"/>
      <c r="BQ19" s="1121">
        <v>6640</v>
      </c>
      <c r="BR19" s="1119"/>
      <c r="BS19" s="1119"/>
      <c r="BT19" s="1119"/>
      <c r="BU19" s="1119"/>
      <c r="BV19" s="1119"/>
      <c r="BW19" s="1119"/>
      <c r="BX19" s="1119"/>
      <c r="BY19" s="1119"/>
      <c r="BZ19" s="1119"/>
      <c r="CA19" s="1119"/>
      <c r="CB19" s="1119">
        <v>15969</v>
      </c>
      <c r="CC19" s="1119"/>
      <c r="CD19" s="1119"/>
      <c r="CE19" s="1119"/>
      <c r="CF19" s="1119"/>
      <c r="CG19" s="1119"/>
      <c r="CH19" s="1119"/>
      <c r="CI19" s="1119"/>
      <c r="CJ19" s="1119"/>
      <c r="CK19" s="1119"/>
      <c r="CL19" s="1119"/>
      <c r="CM19" s="1119">
        <v>0</v>
      </c>
      <c r="CN19" s="1119"/>
      <c r="CO19" s="1119"/>
      <c r="CP19" s="1119"/>
      <c r="CQ19" s="1119"/>
      <c r="CR19" s="1119"/>
      <c r="CS19" s="1119"/>
      <c r="CT19" s="1119"/>
      <c r="CU19" s="1119"/>
      <c r="CV19" s="1119"/>
      <c r="CW19" s="1119"/>
      <c r="CX19" s="1120"/>
    </row>
    <row r="20" spans="1:102" s="277" customFormat="1" ht="17.100000000000001" customHeight="1">
      <c r="A20" s="1107"/>
      <c r="B20" s="1005"/>
      <c r="C20" s="1005"/>
      <c r="D20" s="1005"/>
      <c r="E20" s="1005"/>
      <c r="F20" s="1005"/>
      <c r="G20" s="1108" t="s">
        <v>344</v>
      </c>
      <c r="H20" s="1109"/>
      <c r="I20" s="1109"/>
      <c r="J20" s="1109"/>
      <c r="K20" s="1109"/>
      <c r="L20" s="1109"/>
      <c r="M20" s="1109"/>
      <c r="N20" s="1109"/>
      <c r="O20" s="1109"/>
      <c r="P20" s="1109"/>
      <c r="Q20" s="1109"/>
      <c r="R20" s="1109"/>
      <c r="S20" s="1109"/>
      <c r="T20" s="1109"/>
      <c r="U20" s="1109"/>
      <c r="V20" s="1109"/>
      <c r="W20" s="1109"/>
      <c r="X20" s="1109"/>
      <c r="Y20" s="1109"/>
      <c r="Z20" s="1109"/>
      <c r="AA20" s="1109"/>
      <c r="AB20" s="1109"/>
      <c r="AC20" s="1109"/>
      <c r="AD20" s="1109"/>
      <c r="AE20" s="1109"/>
      <c r="AF20" s="1109"/>
      <c r="AG20" s="1109"/>
      <c r="AH20" s="1110"/>
      <c r="AI20" s="1111"/>
      <c r="AJ20" s="1098"/>
      <c r="AK20" s="1098"/>
      <c r="AL20" s="1098"/>
      <c r="AM20" s="1098"/>
      <c r="AN20" s="1098"/>
      <c r="AO20" s="1098"/>
      <c r="AP20" s="1098"/>
      <c r="AQ20" s="1098"/>
      <c r="AR20" s="1098"/>
      <c r="AS20" s="1098"/>
      <c r="AT20" s="1098"/>
      <c r="AU20" s="1098"/>
      <c r="AV20" s="1098"/>
      <c r="AW20" s="1098"/>
      <c r="AX20" s="1098"/>
      <c r="AY20" s="1098"/>
      <c r="AZ20" s="1098"/>
      <c r="BA20" s="1098"/>
      <c r="BB20" s="1098"/>
      <c r="BC20" s="1098"/>
      <c r="BD20" s="1098"/>
      <c r="BE20" s="1098"/>
      <c r="BF20" s="1098"/>
      <c r="BG20" s="1098"/>
      <c r="BH20" s="1098"/>
      <c r="BI20" s="1098"/>
      <c r="BJ20" s="1098"/>
      <c r="BK20" s="1098"/>
      <c r="BL20" s="1098"/>
      <c r="BM20" s="1098"/>
      <c r="BN20" s="1098"/>
      <c r="BO20" s="1098"/>
      <c r="BP20" s="1099"/>
      <c r="BQ20" s="1112"/>
      <c r="BR20" s="1098"/>
      <c r="BS20" s="1098"/>
      <c r="BT20" s="1098"/>
      <c r="BU20" s="1098"/>
      <c r="BV20" s="1098"/>
      <c r="BW20" s="1098"/>
      <c r="BX20" s="1098"/>
      <c r="BY20" s="1098"/>
      <c r="BZ20" s="1098"/>
      <c r="CA20" s="1098"/>
      <c r="CB20" s="1098"/>
      <c r="CC20" s="1098"/>
      <c r="CD20" s="1098"/>
      <c r="CE20" s="1098"/>
      <c r="CF20" s="1098"/>
      <c r="CG20" s="1098"/>
      <c r="CH20" s="1098"/>
      <c r="CI20" s="1098"/>
      <c r="CJ20" s="1098"/>
      <c r="CK20" s="1098"/>
      <c r="CL20" s="1098"/>
      <c r="CM20" s="1098"/>
      <c r="CN20" s="1098"/>
      <c r="CO20" s="1098"/>
      <c r="CP20" s="1098"/>
      <c r="CQ20" s="1098"/>
      <c r="CR20" s="1098"/>
      <c r="CS20" s="1098"/>
      <c r="CT20" s="1098"/>
      <c r="CU20" s="1098"/>
      <c r="CV20" s="1098"/>
      <c r="CW20" s="1098"/>
      <c r="CX20" s="1099"/>
    </row>
    <row r="21" spans="1:102" s="277" customFormat="1" ht="33.950000000000003" customHeight="1">
      <c r="A21" s="981"/>
      <c r="B21" s="982"/>
      <c r="C21" s="982"/>
      <c r="D21" s="982"/>
      <c r="E21" s="982"/>
      <c r="F21" s="982"/>
      <c r="G21" s="1100" t="s">
        <v>362</v>
      </c>
      <c r="H21" s="1101"/>
      <c r="I21" s="1101"/>
      <c r="J21" s="1101"/>
      <c r="K21" s="1101"/>
      <c r="L21" s="1101"/>
      <c r="M21" s="1101"/>
      <c r="N21" s="1101"/>
      <c r="O21" s="1101"/>
      <c r="P21" s="1101"/>
      <c r="Q21" s="1101"/>
      <c r="R21" s="1101"/>
      <c r="S21" s="1101"/>
      <c r="T21" s="1101"/>
      <c r="U21" s="1101"/>
      <c r="V21" s="1101"/>
      <c r="W21" s="1101"/>
      <c r="X21" s="1101"/>
      <c r="Y21" s="1101"/>
      <c r="Z21" s="1101"/>
      <c r="AA21" s="1101"/>
      <c r="AB21" s="1101"/>
      <c r="AC21" s="1101"/>
      <c r="AD21" s="1101"/>
      <c r="AE21" s="1101"/>
      <c r="AF21" s="1101"/>
      <c r="AG21" s="1101"/>
      <c r="AH21" s="1102"/>
      <c r="AI21" s="1103">
        <v>0</v>
      </c>
      <c r="AJ21" s="1104"/>
      <c r="AK21" s="1104"/>
      <c r="AL21" s="1104"/>
      <c r="AM21" s="1104"/>
      <c r="AN21" s="1104"/>
      <c r="AO21" s="1104"/>
      <c r="AP21" s="1104"/>
      <c r="AQ21" s="1104"/>
      <c r="AR21" s="1104"/>
      <c r="AS21" s="1104"/>
      <c r="AT21" s="1104">
        <v>0</v>
      </c>
      <c r="AU21" s="1104"/>
      <c r="AV21" s="1104"/>
      <c r="AW21" s="1104"/>
      <c r="AX21" s="1104"/>
      <c r="AY21" s="1104"/>
      <c r="AZ21" s="1104"/>
      <c r="BA21" s="1104"/>
      <c r="BB21" s="1104"/>
      <c r="BC21" s="1104"/>
      <c r="BD21" s="1104"/>
      <c r="BE21" s="1104">
        <v>0</v>
      </c>
      <c r="BF21" s="1104"/>
      <c r="BG21" s="1104"/>
      <c r="BH21" s="1104"/>
      <c r="BI21" s="1104"/>
      <c r="BJ21" s="1104"/>
      <c r="BK21" s="1104"/>
      <c r="BL21" s="1104"/>
      <c r="BM21" s="1104"/>
      <c r="BN21" s="1104"/>
      <c r="BO21" s="1104"/>
      <c r="BP21" s="1105"/>
      <c r="BQ21" s="1106">
        <v>0</v>
      </c>
      <c r="BR21" s="1104"/>
      <c r="BS21" s="1104"/>
      <c r="BT21" s="1104"/>
      <c r="BU21" s="1104"/>
      <c r="BV21" s="1104"/>
      <c r="BW21" s="1104"/>
      <c r="BX21" s="1104"/>
      <c r="BY21" s="1104"/>
      <c r="BZ21" s="1104"/>
      <c r="CA21" s="1104"/>
      <c r="CB21" s="1104">
        <v>0</v>
      </c>
      <c r="CC21" s="1104"/>
      <c r="CD21" s="1104"/>
      <c r="CE21" s="1104"/>
      <c r="CF21" s="1104"/>
      <c r="CG21" s="1104"/>
      <c r="CH21" s="1104"/>
      <c r="CI21" s="1104"/>
      <c r="CJ21" s="1104"/>
      <c r="CK21" s="1104"/>
      <c r="CL21" s="1104"/>
      <c r="CM21" s="1104">
        <v>0</v>
      </c>
      <c r="CN21" s="1104"/>
      <c r="CO21" s="1104"/>
      <c r="CP21" s="1104"/>
      <c r="CQ21" s="1104"/>
      <c r="CR21" s="1104"/>
      <c r="CS21" s="1104"/>
      <c r="CT21" s="1104"/>
      <c r="CU21" s="1104"/>
      <c r="CV21" s="1104"/>
      <c r="CW21" s="1104"/>
      <c r="CX21" s="1105"/>
    </row>
    <row r="22" spans="1:102" s="277" customFormat="1" ht="33.950000000000003" customHeight="1">
      <c r="A22" s="1113" t="s">
        <v>198</v>
      </c>
      <c r="B22" s="1114"/>
      <c r="C22" s="1114"/>
      <c r="D22" s="1114"/>
      <c r="E22" s="1114"/>
      <c r="F22" s="1114"/>
      <c r="G22" s="1115" t="s">
        <v>350</v>
      </c>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16"/>
      <c r="AG22" s="1116"/>
      <c r="AH22" s="1117"/>
      <c r="AI22" s="1118">
        <v>4</v>
      </c>
      <c r="AJ22" s="1119"/>
      <c r="AK22" s="1119"/>
      <c r="AL22" s="1119"/>
      <c r="AM22" s="1119"/>
      <c r="AN22" s="1119"/>
      <c r="AO22" s="1119"/>
      <c r="AP22" s="1119"/>
      <c r="AQ22" s="1119"/>
      <c r="AR22" s="1119"/>
      <c r="AS22" s="1119"/>
      <c r="AT22" s="1119">
        <v>81</v>
      </c>
      <c r="AU22" s="1119"/>
      <c r="AV22" s="1119"/>
      <c r="AW22" s="1119"/>
      <c r="AX22" s="1119"/>
      <c r="AY22" s="1119"/>
      <c r="AZ22" s="1119"/>
      <c r="BA22" s="1119"/>
      <c r="BB22" s="1119"/>
      <c r="BC22" s="1119"/>
      <c r="BD22" s="1119"/>
      <c r="BE22" s="1119">
        <v>3</v>
      </c>
      <c r="BF22" s="1119"/>
      <c r="BG22" s="1119"/>
      <c r="BH22" s="1119"/>
      <c r="BI22" s="1119"/>
      <c r="BJ22" s="1119"/>
      <c r="BK22" s="1119"/>
      <c r="BL22" s="1119"/>
      <c r="BM22" s="1119"/>
      <c r="BN22" s="1119"/>
      <c r="BO22" s="1119"/>
      <c r="BP22" s="1120"/>
      <c r="BQ22" s="1121">
        <v>3510</v>
      </c>
      <c r="BR22" s="1119"/>
      <c r="BS22" s="1119"/>
      <c r="BT22" s="1119"/>
      <c r="BU22" s="1119"/>
      <c r="BV22" s="1119"/>
      <c r="BW22" s="1119"/>
      <c r="BX22" s="1119"/>
      <c r="BY22" s="1119"/>
      <c r="BZ22" s="1119"/>
      <c r="CA22" s="1119"/>
      <c r="CB22" s="1119">
        <v>170168</v>
      </c>
      <c r="CC22" s="1119"/>
      <c r="CD22" s="1119"/>
      <c r="CE22" s="1119"/>
      <c r="CF22" s="1119"/>
      <c r="CG22" s="1119"/>
      <c r="CH22" s="1119"/>
      <c r="CI22" s="1119"/>
      <c r="CJ22" s="1119"/>
      <c r="CK22" s="1119"/>
      <c r="CL22" s="1119"/>
      <c r="CM22" s="1119">
        <v>10986</v>
      </c>
      <c r="CN22" s="1119"/>
      <c r="CO22" s="1119"/>
      <c r="CP22" s="1119"/>
      <c r="CQ22" s="1119"/>
      <c r="CR22" s="1119"/>
      <c r="CS22" s="1119"/>
      <c r="CT22" s="1119"/>
      <c r="CU22" s="1119"/>
      <c r="CV22" s="1119"/>
      <c r="CW22" s="1119"/>
      <c r="CX22" s="1120"/>
    </row>
    <row r="23" spans="1:102" s="277" customFormat="1" ht="17.100000000000001" customHeight="1">
      <c r="A23" s="1107"/>
      <c r="B23" s="1005"/>
      <c r="C23" s="1005"/>
      <c r="D23" s="1005"/>
      <c r="E23" s="1005"/>
      <c r="F23" s="1005"/>
      <c r="G23" s="1108" t="s">
        <v>344</v>
      </c>
      <c r="H23" s="1109"/>
      <c r="I23" s="1109"/>
      <c r="J23" s="1109"/>
      <c r="K23" s="1109"/>
      <c r="L23" s="1109"/>
      <c r="M23" s="1109"/>
      <c r="N23" s="1109"/>
      <c r="O23" s="1109"/>
      <c r="P23" s="1109"/>
      <c r="Q23" s="1109"/>
      <c r="R23" s="1109"/>
      <c r="S23" s="1109"/>
      <c r="T23" s="1109"/>
      <c r="U23" s="1109"/>
      <c r="V23" s="1109"/>
      <c r="W23" s="1109"/>
      <c r="X23" s="1109"/>
      <c r="Y23" s="1109"/>
      <c r="Z23" s="1109"/>
      <c r="AA23" s="1109"/>
      <c r="AB23" s="1109"/>
      <c r="AC23" s="1109"/>
      <c r="AD23" s="1109"/>
      <c r="AE23" s="1109"/>
      <c r="AF23" s="1109"/>
      <c r="AG23" s="1109"/>
      <c r="AH23" s="1110"/>
      <c r="AI23" s="1111"/>
      <c r="AJ23" s="1098"/>
      <c r="AK23" s="1098"/>
      <c r="AL23" s="1098"/>
      <c r="AM23" s="1098"/>
      <c r="AN23" s="1098"/>
      <c r="AO23" s="1098"/>
      <c r="AP23" s="1098"/>
      <c r="AQ23" s="1098"/>
      <c r="AR23" s="1098"/>
      <c r="AS23" s="1098"/>
      <c r="AT23" s="1098"/>
      <c r="AU23" s="1098"/>
      <c r="AV23" s="1098"/>
      <c r="AW23" s="1098"/>
      <c r="AX23" s="1098"/>
      <c r="AY23" s="1098"/>
      <c r="AZ23" s="1098"/>
      <c r="BA23" s="1098"/>
      <c r="BB23" s="1098"/>
      <c r="BC23" s="1098"/>
      <c r="BD23" s="1098"/>
      <c r="BE23" s="1098"/>
      <c r="BF23" s="1098"/>
      <c r="BG23" s="1098"/>
      <c r="BH23" s="1098"/>
      <c r="BI23" s="1098"/>
      <c r="BJ23" s="1098"/>
      <c r="BK23" s="1098"/>
      <c r="BL23" s="1098"/>
      <c r="BM23" s="1098"/>
      <c r="BN23" s="1098"/>
      <c r="BO23" s="1098"/>
      <c r="BP23" s="1099"/>
      <c r="BQ23" s="1112"/>
      <c r="BR23" s="1098"/>
      <c r="BS23" s="1098"/>
      <c r="BT23" s="1098"/>
      <c r="BU23" s="1098"/>
      <c r="BV23" s="1098"/>
      <c r="BW23" s="1098"/>
      <c r="BX23" s="1098"/>
      <c r="BY23" s="1098"/>
      <c r="BZ23" s="1098"/>
      <c r="CA23" s="1098"/>
      <c r="CB23" s="1098"/>
      <c r="CC23" s="1098"/>
      <c r="CD23" s="1098"/>
      <c r="CE23" s="1098"/>
      <c r="CF23" s="1098"/>
      <c r="CG23" s="1098"/>
      <c r="CH23" s="1098"/>
      <c r="CI23" s="1098"/>
      <c r="CJ23" s="1098"/>
      <c r="CK23" s="1098"/>
      <c r="CL23" s="1098"/>
      <c r="CM23" s="1098"/>
      <c r="CN23" s="1098"/>
      <c r="CO23" s="1098"/>
      <c r="CP23" s="1098"/>
      <c r="CQ23" s="1098"/>
      <c r="CR23" s="1098"/>
      <c r="CS23" s="1098"/>
      <c r="CT23" s="1098"/>
      <c r="CU23" s="1098"/>
      <c r="CV23" s="1098"/>
      <c r="CW23" s="1098"/>
      <c r="CX23" s="1099"/>
    </row>
    <row r="24" spans="1:102" s="277" customFormat="1" ht="33.950000000000003" customHeight="1">
      <c r="A24" s="981"/>
      <c r="B24" s="982"/>
      <c r="C24" s="982"/>
      <c r="D24" s="982"/>
      <c r="E24" s="982"/>
      <c r="F24" s="982"/>
      <c r="G24" s="1100" t="s">
        <v>362</v>
      </c>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2"/>
      <c r="AI24" s="1103">
        <v>0</v>
      </c>
      <c r="AJ24" s="1104"/>
      <c r="AK24" s="1104"/>
      <c r="AL24" s="1104"/>
      <c r="AM24" s="1104"/>
      <c r="AN24" s="1104"/>
      <c r="AO24" s="1104"/>
      <c r="AP24" s="1104"/>
      <c r="AQ24" s="1104"/>
      <c r="AR24" s="1104"/>
      <c r="AS24" s="1104"/>
      <c r="AT24" s="1104">
        <v>0</v>
      </c>
      <c r="AU24" s="1104"/>
      <c r="AV24" s="1104"/>
      <c r="AW24" s="1104"/>
      <c r="AX24" s="1104"/>
      <c r="AY24" s="1104"/>
      <c r="AZ24" s="1104"/>
      <c r="BA24" s="1104"/>
      <c r="BB24" s="1104"/>
      <c r="BC24" s="1104"/>
      <c r="BD24" s="1104"/>
      <c r="BE24" s="1104">
        <v>0</v>
      </c>
      <c r="BF24" s="1104"/>
      <c r="BG24" s="1104"/>
      <c r="BH24" s="1104"/>
      <c r="BI24" s="1104"/>
      <c r="BJ24" s="1104"/>
      <c r="BK24" s="1104"/>
      <c r="BL24" s="1104"/>
      <c r="BM24" s="1104"/>
      <c r="BN24" s="1104"/>
      <c r="BO24" s="1104"/>
      <c r="BP24" s="1105"/>
      <c r="BQ24" s="1106">
        <v>0</v>
      </c>
      <c r="BR24" s="1104"/>
      <c r="BS24" s="1104"/>
      <c r="BT24" s="1104"/>
      <c r="BU24" s="1104"/>
      <c r="BV24" s="1104"/>
      <c r="BW24" s="1104"/>
      <c r="BX24" s="1104"/>
      <c r="BY24" s="1104"/>
      <c r="BZ24" s="1104"/>
      <c r="CA24" s="1104"/>
      <c r="CB24" s="1104">
        <v>0</v>
      </c>
      <c r="CC24" s="1104"/>
      <c r="CD24" s="1104"/>
      <c r="CE24" s="1104"/>
      <c r="CF24" s="1104"/>
      <c r="CG24" s="1104"/>
      <c r="CH24" s="1104"/>
      <c r="CI24" s="1104"/>
      <c r="CJ24" s="1104"/>
      <c r="CK24" s="1104"/>
      <c r="CL24" s="1104"/>
      <c r="CM24" s="1104">
        <v>0</v>
      </c>
      <c r="CN24" s="1104"/>
      <c r="CO24" s="1104"/>
      <c r="CP24" s="1104"/>
      <c r="CQ24" s="1104"/>
      <c r="CR24" s="1104"/>
      <c r="CS24" s="1104"/>
      <c r="CT24" s="1104"/>
      <c r="CU24" s="1104"/>
      <c r="CV24" s="1104"/>
      <c r="CW24" s="1104"/>
      <c r="CX24" s="1105"/>
    </row>
    <row r="25" spans="1:102" s="277" customFormat="1" ht="17.100000000000001" customHeight="1">
      <c r="A25" s="1113" t="s">
        <v>351</v>
      </c>
      <c r="B25" s="1114"/>
      <c r="C25" s="1114"/>
      <c r="D25" s="1114"/>
      <c r="E25" s="1114"/>
      <c r="F25" s="1114"/>
      <c r="G25" s="1115" t="s">
        <v>352</v>
      </c>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7"/>
      <c r="AI25" s="1118">
        <v>0</v>
      </c>
      <c r="AJ25" s="1119"/>
      <c r="AK25" s="1119"/>
      <c r="AL25" s="1119"/>
      <c r="AM25" s="1119"/>
      <c r="AN25" s="1119"/>
      <c r="AO25" s="1119"/>
      <c r="AP25" s="1119"/>
      <c r="AQ25" s="1119"/>
      <c r="AR25" s="1119"/>
      <c r="AS25" s="1119"/>
      <c r="AT25" s="1119">
        <v>1</v>
      </c>
      <c r="AU25" s="1119"/>
      <c r="AV25" s="1119"/>
      <c r="AW25" s="1119"/>
      <c r="AX25" s="1119"/>
      <c r="AY25" s="1119"/>
      <c r="AZ25" s="1119"/>
      <c r="BA25" s="1119"/>
      <c r="BB25" s="1119"/>
      <c r="BC25" s="1119"/>
      <c r="BD25" s="1119"/>
      <c r="BE25" s="1119">
        <v>2</v>
      </c>
      <c r="BF25" s="1119"/>
      <c r="BG25" s="1119"/>
      <c r="BH25" s="1119"/>
      <c r="BI25" s="1119"/>
      <c r="BJ25" s="1119"/>
      <c r="BK25" s="1119"/>
      <c r="BL25" s="1119"/>
      <c r="BM25" s="1119"/>
      <c r="BN25" s="1119"/>
      <c r="BO25" s="1119"/>
      <c r="BP25" s="1120"/>
      <c r="BQ25" s="1121">
        <v>0</v>
      </c>
      <c r="BR25" s="1119"/>
      <c r="BS25" s="1119"/>
      <c r="BT25" s="1119"/>
      <c r="BU25" s="1119"/>
      <c r="BV25" s="1119"/>
      <c r="BW25" s="1119"/>
      <c r="BX25" s="1119"/>
      <c r="BY25" s="1119"/>
      <c r="BZ25" s="1119"/>
      <c r="CA25" s="1119"/>
      <c r="CB25" s="1119">
        <v>41400</v>
      </c>
      <c r="CC25" s="1119"/>
      <c r="CD25" s="1119"/>
      <c r="CE25" s="1119"/>
      <c r="CF25" s="1119"/>
      <c r="CG25" s="1119"/>
      <c r="CH25" s="1119"/>
      <c r="CI25" s="1119"/>
      <c r="CJ25" s="1119"/>
      <c r="CK25" s="1119"/>
      <c r="CL25" s="1119"/>
      <c r="CM25" s="1119">
        <v>19638</v>
      </c>
      <c r="CN25" s="1119"/>
      <c r="CO25" s="1119"/>
      <c r="CP25" s="1119"/>
      <c r="CQ25" s="1119"/>
      <c r="CR25" s="1119"/>
      <c r="CS25" s="1119"/>
      <c r="CT25" s="1119"/>
      <c r="CU25" s="1119"/>
      <c r="CV25" s="1119"/>
      <c r="CW25" s="1119"/>
      <c r="CX25" s="1120"/>
    </row>
    <row r="26" spans="1:102" s="277" customFormat="1" ht="17.100000000000001" customHeight="1">
      <c r="A26" s="1107"/>
      <c r="B26" s="1005"/>
      <c r="C26" s="1005"/>
      <c r="D26" s="1005"/>
      <c r="E26" s="1005"/>
      <c r="F26" s="1005"/>
      <c r="G26" s="1108" t="s">
        <v>344</v>
      </c>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10"/>
      <c r="AI26" s="1111"/>
      <c r="AJ26" s="1098"/>
      <c r="AK26" s="1098"/>
      <c r="AL26" s="1098"/>
      <c r="AM26" s="1098"/>
      <c r="AN26" s="1098"/>
      <c r="AO26" s="1098"/>
      <c r="AP26" s="1098"/>
      <c r="AQ26" s="1098"/>
      <c r="AR26" s="1098"/>
      <c r="AS26" s="1098"/>
      <c r="AT26" s="1098"/>
      <c r="AU26" s="1098"/>
      <c r="AV26" s="1098"/>
      <c r="AW26" s="1098"/>
      <c r="AX26" s="1098"/>
      <c r="AY26" s="1098"/>
      <c r="AZ26" s="1098"/>
      <c r="BA26" s="1098"/>
      <c r="BB26" s="1098"/>
      <c r="BC26" s="1098"/>
      <c r="BD26" s="1098"/>
      <c r="BE26" s="1098"/>
      <c r="BF26" s="1098"/>
      <c r="BG26" s="1098"/>
      <c r="BH26" s="1098"/>
      <c r="BI26" s="1098"/>
      <c r="BJ26" s="1098"/>
      <c r="BK26" s="1098"/>
      <c r="BL26" s="1098"/>
      <c r="BM26" s="1098"/>
      <c r="BN26" s="1098"/>
      <c r="BO26" s="1098"/>
      <c r="BP26" s="1099"/>
      <c r="BQ26" s="1112"/>
      <c r="BR26" s="1098"/>
      <c r="BS26" s="1098"/>
      <c r="BT26" s="1098"/>
      <c r="BU26" s="1098"/>
      <c r="BV26" s="1098"/>
      <c r="BW26" s="1098"/>
      <c r="BX26" s="1098"/>
      <c r="BY26" s="1098"/>
      <c r="BZ26" s="1098"/>
      <c r="CA26" s="1098"/>
      <c r="CB26" s="1098"/>
      <c r="CC26" s="1098"/>
      <c r="CD26" s="1098"/>
      <c r="CE26" s="1098"/>
      <c r="CF26" s="1098"/>
      <c r="CG26" s="1098"/>
      <c r="CH26" s="1098"/>
      <c r="CI26" s="1098"/>
      <c r="CJ26" s="1098"/>
      <c r="CK26" s="1098"/>
      <c r="CL26" s="1098"/>
      <c r="CM26" s="1098"/>
      <c r="CN26" s="1098"/>
      <c r="CO26" s="1098"/>
      <c r="CP26" s="1098"/>
      <c r="CQ26" s="1098"/>
      <c r="CR26" s="1098"/>
      <c r="CS26" s="1098"/>
      <c r="CT26" s="1098"/>
      <c r="CU26" s="1098"/>
      <c r="CV26" s="1098"/>
      <c r="CW26" s="1098"/>
      <c r="CX26" s="1099"/>
    </row>
    <row r="27" spans="1:102" s="277" customFormat="1" ht="33.950000000000003" customHeight="1">
      <c r="A27" s="981"/>
      <c r="B27" s="982"/>
      <c r="C27" s="982"/>
      <c r="D27" s="982"/>
      <c r="E27" s="982"/>
      <c r="F27" s="982"/>
      <c r="G27" s="1100" t="s">
        <v>362</v>
      </c>
      <c r="H27" s="1101"/>
      <c r="I27" s="1101"/>
      <c r="J27" s="1101"/>
      <c r="K27" s="1101"/>
      <c r="L27" s="1101"/>
      <c r="M27" s="1101"/>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2"/>
      <c r="AI27" s="1103">
        <v>0</v>
      </c>
      <c r="AJ27" s="1104"/>
      <c r="AK27" s="1104"/>
      <c r="AL27" s="1104"/>
      <c r="AM27" s="1104"/>
      <c r="AN27" s="1104"/>
      <c r="AO27" s="1104"/>
      <c r="AP27" s="1104"/>
      <c r="AQ27" s="1104"/>
      <c r="AR27" s="1104"/>
      <c r="AS27" s="1104"/>
      <c r="AT27" s="1104">
        <v>0</v>
      </c>
      <c r="AU27" s="1104"/>
      <c r="AV27" s="1104"/>
      <c r="AW27" s="1104"/>
      <c r="AX27" s="1104"/>
      <c r="AY27" s="1104"/>
      <c r="AZ27" s="1104"/>
      <c r="BA27" s="1104"/>
      <c r="BB27" s="1104"/>
      <c r="BC27" s="1104"/>
      <c r="BD27" s="1104"/>
      <c r="BE27" s="1104">
        <v>0</v>
      </c>
      <c r="BF27" s="1104"/>
      <c r="BG27" s="1104"/>
      <c r="BH27" s="1104"/>
      <c r="BI27" s="1104"/>
      <c r="BJ27" s="1104"/>
      <c r="BK27" s="1104"/>
      <c r="BL27" s="1104"/>
      <c r="BM27" s="1104"/>
      <c r="BN27" s="1104"/>
      <c r="BO27" s="1104"/>
      <c r="BP27" s="1105"/>
      <c r="BQ27" s="1106">
        <v>0</v>
      </c>
      <c r="BR27" s="1104"/>
      <c r="BS27" s="1104"/>
      <c r="BT27" s="1104"/>
      <c r="BU27" s="1104"/>
      <c r="BV27" s="1104"/>
      <c r="BW27" s="1104"/>
      <c r="BX27" s="1104"/>
      <c r="BY27" s="1104"/>
      <c r="BZ27" s="1104"/>
      <c r="CA27" s="1104"/>
      <c r="CB27" s="1104">
        <v>0</v>
      </c>
      <c r="CC27" s="1104"/>
      <c r="CD27" s="1104"/>
      <c r="CE27" s="1104"/>
      <c r="CF27" s="1104"/>
      <c r="CG27" s="1104"/>
      <c r="CH27" s="1104"/>
      <c r="CI27" s="1104"/>
      <c r="CJ27" s="1104"/>
      <c r="CK27" s="1104"/>
      <c r="CL27" s="1104"/>
      <c r="CM27" s="1104">
        <v>0</v>
      </c>
      <c r="CN27" s="1104"/>
      <c r="CO27" s="1104"/>
      <c r="CP27" s="1104"/>
      <c r="CQ27" s="1104"/>
      <c r="CR27" s="1104"/>
      <c r="CS27" s="1104"/>
      <c r="CT27" s="1104"/>
      <c r="CU27" s="1104"/>
      <c r="CV27" s="1104"/>
      <c r="CW27" s="1104"/>
      <c r="CX27" s="1105"/>
    </row>
    <row r="28" spans="1:102" s="277" customFormat="1" ht="37.5" customHeight="1" thickBot="1">
      <c r="A28" s="974" t="s">
        <v>353</v>
      </c>
      <c r="B28" s="975"/>
      <c r="C28" s="975"/>
      <c r="D28" s="975"/>
      <c r="E28" s="975"/>
      <c r="F28" s="975"/>
      <c r="G28" s="1093" t="s">
        <v>363</v>
      </c>
      <c r="H28" s="1094"/>
      <c r="I28" s="1094"/>
      <c r="J28" s="1094"/>
      <c r="K28" s="1094"/>
      <c r="L28" s="1094"/>
      <c r="M28" s="1094"/>
      <c r="N28" s="1094"/>
      <c r="O28" s="1094"/>
      <c r="P28" s="1094"/>
      <c r="Q28" s="1094"/>
      <c r="R28" s="1094"/>
      <c r="S28" s="1094"/>
      <c r="T28" s="1094"/>
      <c r="U28" s="1094"/>
      <c r="V28" s="1094"/>
      <c r="W28" s="1094"/>
      <c r="X28" s="1094"/>
      <c r="Y28" s="1094"/>
      <c r="Z28" s="1094"/>
      <c r="AA28" s="1094"/>
      <c r="AB28" s="1094"/>
      <c r="AC28" s="1094"/>
      <c r="AD28" s="1094"/>
      <c r="AE28" s="1094"/>
      <c r="AF28" s="1094"/>
      <c r="AG28" s="1094"/>
      <c r="AH28" s="1095"/>
      <c r="AI28" s="1096">
        <v>0</v>
      </c>
      <c r="AJ28" s="1091"/>
      <c r="AK28" s="1091"/>
      <c r="AL28" s="1091"/>
      <c r="AM28" s="1091"/>
      <c r="AN28" s="1091"/>
      <c r="AO28" s="1091"/>
      <c r="AP28" s="1091"/>
      <c r="AQ28" s="1091"/>
      <c r="AR28" s="1091"/>
      <c r="AS28" s="1091"/>
      <c r="AT28" s="1091">
        <v>0</v>
      </c>
      <c r="AU28" s="1091"/>
      <c r="AV28" s="1091"/>
      <c r="AW28" s="1091"/>
      <c r="AX28" s="1091"/>
      <c r="AY28" s="1091"/>
      <c r="AZ28" s="1091"/>
      <c r="BA28" s="1091"/>
      <c r="BB28" s="1091"/>
      <c r="BC28" s="1091"/>
      <c r="BD28" s="1091"/>
      <c r="BE28" s="1091">
        <v>0</v>
      </c>
      <c r="BF28" s="1091"/>
      <c r="BG28" s="1091"/>
      <c r="BH28" s="1091"/>
      <c r="BI28" s="1091"/>
      <c r="BJ28" s="1091"/>
      <c r="BK28" s="1091"/>
      <c r="BL28" s="1091"/>
      <c r="BM28" s="1091"/>
      <c r="BN28" s="1091"/>
      <c r="BO28" s="1091"/>
      <c r="BP28" s="1092"/>
      <c r="BQ28" s="1097">
        <v>0</v>
      </c>
      <c r="BR28" s="1091"/>
      <c r="BS28" s="1091"/>
      <c r="BT28" s="1091"/>
      <c r="BU28" s="1091"/>
      <c r="BV28" s="1091"/>
      <c r="BW28" s="1091"/>
      <c r="BX28" s="1091"/>
      <c r="BY28" s="1091"/>
      <c r="BZ28" s="1091"/>
      <c r="CA28" s="1091"/>
      <c r="CB28" s="1091">
        <v>0</v>
      </c>
      <c r="CC28" s="1091"/>
      <c r="CD28" s="1091"/>
      <c r="CE28" s="1091"/>
      <c r="CF28" s="1091"/>
      <c r="CG28" s="1091"/>
      <c r="CH28" s="1091"/>
      <c r="CI28" s="1091"/>
      <c r="CJ28" s="1091"/>
      <c r="CK28" s="1091"/>
      <c r="CL28" s="1091"/>
      <c r="CM28" s="1091">
        <v>0</v>
      </c>
      <c r="CN28" s="1091"/>
      <c r="CO28" s="1091"/>
      <c r="CP28" s="1091"/>
      <c r="CQ28" s="1091"/>
      <c r="CR28" s="1091"/>
      <c r="CS28" s="1091"/>
      <c r="CT28" s="1091"/>
      <c r="CU28" s="1091"/>
      <c r="CV28" s="1091"/>
      <c r="CW28" s="1091"/>
      <c r="CX28" s="1092"/>
    </row>
    <row r="29" spans="1:102" ht="4.5" customHeight="1"/>
    <row r="30" spans="1:102" s="271" customFormat="1" ht="28.5" customHeight="1">
      <c r="A30" s="1022" t="s">
        <v>355</v>
      </c>
      <c r="B30" s="1022"/>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022"/>
      <c r="Z30" s="1022"/>
      <c r="AA30" s="1022"/>
      <c r="AB30" s="1022"/>
      <c r="AC30" s="1022"/>
      <c r="AD30" s="1022"/>
      <c r="AE30" s="1022"/>
      <c r="AF30" s="1022"/>
      <c r="AG30" s="1022"/>
      <c r="AH30" s="1022"/>
      <c r="AI30" s="1022"/>
      <c r="AJ30" s="1022"/>
      <c r="AK30" s="1022"/>
      <c r="AL30" s="1022"/>
      <c r="AM30" s="1022"/>
      <c r="AN30" s="1022"/>
      <c r="AO30" s="1022"/>
      <c r="AP30" s="1022"/>
      <c r="AQ30" s="1022"/>
      <c r="AR30" s="1022"/>
      <c r="AS30" s="1022"/>
      <c r="AT30" s="1022"/>
      <c r="AU30" s="1022"/>
      <c r="AV30" s="1022"/>
      <c r="AW30" s="1022"/>
      <c r="AX30" s="1022"/>
      <c r="AY30" s="1022"/>
      <c r="AZ30" s="1022"/>
      <c r="BA30" s="1022"/>
      <c r="BB30" s="1022"/>
      <c r="BC30" s="1022"/>
      <c r="BD30" s="1022"/>
      <c r="BE30" s="1022"/>
      <c r="BF30" s="1022"/>
      <c r="BG30" s="1022"/>
      <c r="BH30" s="1022"/>
      <c r="BI30" s="1022"/>
      <c r="BJ30" s="1022"/>
      <c r="BK30" s="1022"/>
      <c r="BL30" s="1022"/>
      <c r="BM30" s="1022"/>
      <c r="BN30" s="1022"/>
      <c r="BO30" s="1022"/>
      <c r="BP30" s="1022"/>
      <c r="BQ30" s="1022"/>
      <c r="BR30" s="1022"/>
      <c r="BS30" s="1022"/>
      <c r="BT30" s="1022"/>
      <c r="BU30" s="1022"/>
      <c r="BV30" s="1022"/>
      <c r="BW30" s="1022"/>
      <c r="BX30" s="1022"/>
      <c r="BY30" s="1022"/>
      <c r="BZ30" s="1022"/>
      <c r="CA30" s="1022"/>
      <c r="CB30" s="1022"/>
      <c r="CC30" s="1022"/>
      <c r="CD30" s="1022"/>
      <c r="CE30" s="1022"/>
      <c r="CF30" s="1022"/>
      <c r="CG30" s="1022"/>
      <c r="CH30" s="1022"/>
      <c r="CI30" s="1022"/>
      <c r="CJ30" s="1022"/>
      <c r="CK30" s="1022"/>
      <c r="CL30" s="1022"/>
      <c r="CM30" s="1022"/>
      <c r="CN30" s="1022"/>
      <c r="CO30" s="1022"/>
      <c r="CP30" s="1022"/>
      <c r="CQ30" s="1022"/>
      <c r="CR30" s="1022"/>
      <c r="CS30" s="1022"/>
      <c r="CT30" s="1022"/>
      <c r="CU30" s="1022"/>
      <c r="CV30" s="1022"/>
      <c r="CW30" s="1022"/>
      <c r="CX30" s="1022"/>
    </row>
    <row r="31" spans="1:102" s="271" customFormat="1" ht="105.95" customHeight="1">
      <c r="A31" s="1023" t="s">
        <v>356</v>
      </c>
      <c r="B31" s="1023"/>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c r="AH31" s="1023"/>
      <c r="AI31" s="1023"/>
      <c r="AJ31" s="1023"/>
      <c r="AK31" s="1023"/>
      <c r="AL31" s="1023"/>
      <c r="AM31" s="1023"/>
      <c r="AN31" s="1023"/>
      <c r="AO31" s="1023"/>
      <c r="AP31" s="1023"/>
      <c r="AQ31" s="1023"/>
      <c r="AR31" s="1023"/>
      <c r="AS31" s="1023"/>
      <c r="AT31" s="1023"/>
      <c r="AU31" s="1023"/>
      <c r="AV31" s="1023"/>
      <c r="AW31" s="1023"/>
      <c r="AX31" s="1023"/>
      <c r="AY31" s="1023"/>
      <c r="AZ31" s="1023"/>
      <c r="BA31" s="1023"/>
      <c r="BB31" s="1023"/>
      <c r="BC31" s="1023"/>
      <c r="BD31" s="1023"/>
      <c r="BE31" s="1023"/>
      <c r="BF31" s="1023"/>
      <c r="BG31" s="1023"/>
      <c r="BH31" s="1023"/>
      <c r="BI31" s="1023"/>
      <c r="BJ31" s="1023"/>
      <c r="BK31" s="1023"/>
      <c r="BL31" s="1023"/>
      <c r="BM31" s="1023"/>
      <c r="BN31" s="1023"/>
      <c r="BO31" s="1023"/>
      <c r="BP31" s="1023"/>
      <c r="BQ31" s="1023"/>
      <c r="BR31" s="1023"/>
      <c r="BS31" s="1023"/>
      <c r="BT31" s="1023"/>
      <c r="BU31" s="1023"/>
      <c r="BV31" s="1023"/>
      <c r="BW31" s="1023"/>
      <c r="BX31" s="1023"/>
      <c r="BY31" s="1023"/>
      <c r="BZ31" s="1023"/>
      <c r="CA31" s="1023"/>
      <c r="CB31" s="1023"/>
      <c r="CC31" s="1023"/>
      <c r="CD31" s="1023"/>
      <c r="CE31" s="1023"/>
      <c r="CF31" s="1023"/>
      <c r="CG31" s="1023"/>
      <c r="CH31" s="1023"/>
      <c r="CI31" s="1023"/>
      <c r="CJ31" s="1023"/>
      <c r="CK31" s="1023"/>
      <c r="CL31" s="1023"/>
      <c r="CM31" s="1023"/>
      <c r="CN31" s="1023"/>
      <c r="CO31" s="1023"/>
      <c r="CP31" s="1023"/>
      <c r="CQ31" s="1023"/>
      <c r="CR31" s="1023"/>
      <c r="CS31" s="1023"/>
      <c r="CT31" s="1023"/>
      <c r="CU31" s="1023"/>
      <c r="CV31" s="1023"/>
      <c r="CW31" s="1023"/>
      <c r="CX31" s="1023"/>
    </row>
    <row r="32" spans="1:102" ht="3" customHeight="1"/>
  </sheetData>
  <mergeCells count="142">
    <mergeCell ref="BO2:CX2"/>
    <mergeCell ref="A8:CX8"/>
    <mergeCell ref="A9:CX9"/>
    <mergeCell ref="A11:AH12"/>
    <mergeCell ref="AI11:BP11"/>
    <mergeCell ref="BQ11:CX11"/>
    <mergeCell ref="AI12:AS12"/>
    <mergeCell ref="AT12:BD12"/>
    <mergeCell ref="BE12:BP12"/>
    <mergeCell ref="BQ12:CA12"/>
    <mergeCell ref="CB12:CL12"/>
    <mergeCell ref="CM12:CX12"/>
    <mergeCell ref="A13:F13"/>
    <mergeCell ref="G13:AH13"/>
    <mergeCell ref="AI13:AS13"/>
    <mergeCell ref="AT13:BD13"/>
    <mergeCell ref="BE13:BP13"/>
    <mergeCell ref="BQ13:CA13"/>
    <mergeCell ref="CB13:CL13"/>
    <mergeCell ref="CM13:CX13"/>
    <mergeCell ref="CB14:CL14"/>
    <mergeCell ref="CM14:CX14"/>
    <mergeCell ref="A15:F15"/>
    <mergeCell ref="G15:AH15"/>
    <mergeCell ref="AI15:AS15"/>
    <mergeCell ref="AT15:BD15"/>
    <mergeCell ref="BE15:BP15"/>
    <mergeCell ref="BQ15:CA15"/>
    <mergeCell ref="CB15:CL15"/>
    <mergeCell ref="CM15:CX15"/>
    <mergeCell ref="A14:F14"/>
    <mergeCell ref="G14:AH14"/>
    <mergeCell ref="AI14:AS14"/>
    <mergeCell ref="AT14:BD14"/>
    <mergeCell ref="BE14:BP14"/>
    <mergeCell ref="BQ14:CA14"/>
    <mergeCell ref="CB16:CL16"/>
    <mergeCell ref="CM16:CX16"/>
    <mergeCell ref="A17:F17"/>
    <mergeCell ref="G17:AH17"/>
    <mergeCell ref="AI17:AS17"/>
    <mergeCell ref="AT17:BD17"/>
    <mergeCell ref="BE17:BP17"/>
    <mergeCell ref="BQ17:CA17"/>
    <mergeCell ref="CB17:CL17"/>
    <mergeCell ref="CM17:CX17"/>
    <mergeCell ref="A16:F16"/>
    <mergeCell ref="G16:AH16"/>
    <mergeCell ref="AI16:AS16"/>
    <mergeCell ref="AT16:BD16"/>
    <mergeCell ref="BE16:BP16"/>
    <mergeCell ref="BQ16:CA16"/>
    <mergeCell ref="CB18:CL18"/>
    <mergeCell ref="CM18:CX18"/>
    <mergeCell ref="A19:F19"/>
    <mergeCell ref="G19:AH19"/>
    <mergeCell ref="AI19:AS19"/>
    <mergeCell ref="AT19:BD19"/>
    <mergeCell ref="BE19:BP19"/>
    <mergeCell ref="BQ19:CA19"/>
    <mergeCell ref="CB19:CL19"/>
    <mergeCell ref="CM19:CX19"/>
    <mergeCell ref="A18:F18"/>
    <mergeCell ref="G18:AH18"/>
    <mergeCell ref="AI18:AS18"/>
    <mergeCell ref="AT18:BD18"/>
    <mergeCell ref="BE18:BP18"/>
    <mergeCell ref="BQ18:CA18"/>
    <mergeCell ref="CB20:CL20"/>
    <mergeCell ref="CM20:CX20"/>
    <mergeCell ref="A21:F21"/>
    <mergeCell ref="G21:AH21"/>
    <mergeCell ref="AI21:AS21"/>
    <mergeCell ref="AT21:BD21"/>
    <mergeCell ref="BE21:BP21"/>
    <mergeCell ref="BQ21:CA21"/>
    <mergeCell ref="CB21:CL21"/>
    <mergeCell ref="CM21:CX21"/>
    <mergeCell ref="A20:F20"/>
    <mergeCell ref="G20:AH20"/>
    <mergeCell ref="AI20:AS20"/>
    <mergeCell ref="AT20:BD20"/>
    <mergeCell ref="BE20:BP20"/>
    <mergeCell ref="BQ20:CA20"/>
    <mergeCell ref="CB22:CL22"/>
    <mergeCell ref="CM22:CX22"/>
    <mergeCell ref="A23:F23"/>
    <mergeCell ref="G23:AH23"/>
    <mergeCell ref="AI23:AS23"/>
    <mergeCell ref="AT23:BD23"/>
    <mergeCell ref="BE23:BP23"/>
    <mergeCell ref="BQ23:CA23"/>
    <mergeCell ref="CB23:CL23"/>
    <mergeCell ref="CM23:CX23"/>
    <mergeCell ref="A22:F22"/>
    <mergeCell ref="G22:AH22"/>
    <mergeCell ref="AI22:AS22"/>
    <mergeCell ref="AT22:BD22"/>
    <mergeCell ref="BE22:BP22"/>
    <mergeCell ref="BQ22:CA22"/>
    <mergeCell ref="CB24:CL24"/>
    <mergeCell ref="CM24:CX24"/>
    <mergeCell ref="A25:F25"/>
    <mergeCell ref="G25:AH25"/>
    <mergeCell ref="AI25:AS25"/>
    <mergeCell ref="AT25:BD25"/>
    <mergeCell ref="BE25:BP25"/>
    <mergeCell ref="BQ25:CA25"/>
    <mergeCell ref="CB25:CL25"/>
    <mergeCell ref="CM25:CX25"/>
    <mergeCell ref="A24:F24"/>
    <mergeCell ref="G24:AH24"/>
    <mergeCell ref="AI24:AS24"/>
    <mergeCell ref="AT24:BD24"/>
    <mergeCell ref="BE24:BP24"/>
    <mergeCell ref="BQ24:CA24"/>
    <mergeCell ref="CB26:CL26"/>
    <mergeCell ref="CM26:CX26"/>
    <mergeCell ref="A27:F27"/>
    <mergeCell ref="G27:AH27"/>
    <mergeCell ref="AI27:AS27"/>
    <mergeCell ref="AT27:BD27"/>
    <mergeCell ref="BE27:BP27"/>
    <mergeCell ref="BQ27:CA27"/>
    <mergeCell ref="CB27:CL27"/>
    <mergeCell ref="CM27:CX27"/>
    <mergeCell ref="A26:F26"/>
    <mergeCell ref="G26:AH26"/>
    <mergeCell ref="AI26:AS26"/>
    <mergeCell ref="AT26:BD26"/>
    <mergeCell ref="BE26:BP26"/>
    <mergeCell ref="BQ26:CA26"/>
    <mergeCell ref="CB28:CL28"/>
    <mergeCell ref="CM28:CX28"/>
    <mergeCell ref="A30:CX30"/>
    <mergeCell ref="A31:CX31"/>
    <mergeCell ref="A28:F28"/>
    <mergeCell ref="G28:AH28"/>
    <mergeCell ref="AI28:AS28"/>
    <mergeCell ref="AT28:BD28"/>
    <mergeCell ref="BE28:BP28"/>
    <mergeCell ref="BQ28:CA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L107"/>
  <sheetViews>
    <sheetView topLeftCell="A4" workbookViewId="0">
      <selection activeCell="A90" sqref="A90:XFD90"/>
    </sheetView>
  </sheetViews>
  <sheetFormatPr defaultRowHeight="15" outlineLevelRow="1" outlineLevelCol="1"/>
  <cols>
    <col min="1" max="1" width="17.7109375" customWidth="1"/>
    <col min="2" max="2" width="38.7109375" customWidth="1"/>
    <col min="3" max="3" width="13.7109375" customWidth="1"/>
    <col min="4" max="5" width="17.7109375" customWidth="1"/>
    <col min="6" max="6" width="14.5703125" customWidth="1"/>
    <col min="7" max="7" width="17.28515625" hidden="1" customWidth="1" outlineLevel="1"/>
    <col min="8" max="8" width="3.28515625" customWidth="1" collapsed="1"/>
  </cols>
  <sheetData>
    <row r="2" spans="1:12">
      <c r="E2" s="6" t="s">
        <v>250</v>
      </c>
      <c r="H2" s="6"/>
    </row>
    <row r="3" spans="1:12" ht="150" hidden="1" customHeight="1">
      <c r="D3" s="6" t="s">
        <v>7</v>
      </c>
      <c r="E3" s="6" t="s">
        <v>7</v>
      </c>
      <c r="H3" s="6"/>
    </row>
    <row r="4" spans="1:12" ht="40.5" customHeight="1">
      <c r="A4" s="1138" t="s">
        <v>258</v>
      </c>
      <c r="B4" s="1138"/>
      <c r="C4" s="1138"/>
      <c r="D4" s="1138"/>
      <c r="E4" s="1138"/>
      <c r="F4" s="1138"/>
      <c r="G4" s="118"/>
    </row>
    <row r="5" spans="1:12" ht="15.75" thickBot="1"/>
    <row r="6" spans="1:12" ht="30.75" thickBot="1">
      <c r="A6" s="178" t="s">
        <v>8</v>
      </c>
      <c r="B6" s="167" t="s">
        <v>9</v>
      </c>
      <c r="C6" s="167" t="s">
        <v>10</v>
      </c>
      <c r="D6" s="156" t="s">
        <v>253</v>
      </c>
      <c r="E6" s="35" t="s">
        <v>13</v>
      </c>
      <c r="F6" s="35" t="s">
        <v>12</v>
      </c>
      <c r="G6" s="144" t="s">
        <v>11</v>
      </c>
      <c r="H6" s="126"/>
    </row>
    <row r="7" spans="1:12" ht="15.75" thickBot="1">
      <c r="A7" s="178">
        <v>1</v>
      </c>
      <c r="B7" s="167">
        <v>2</v>
      </c>
      <c r="C7" s="167">
        <v>3</v>
      </c>
      <c r="D7" s="156">
        <v>4</v>
      </c>
      <c r="E7" s="35">
        <v>5</v>
      </c>
      <c r="F7" s="35">
        <v>6</v>
      </c>
      <c r="G7" s="144">
        <v>4</v>
      </c>
      <c r="H7" s="126"/>
    </row>
    <row r="8" spans="1:12" ht="45">
      <c r="A8" s="179" t="s">
        <v>14</v>
      </c>
      <c r="B8" s="168" t="s">
        <v>15</v>
      </c>
      <c r="C8" s="168" t="s">
        <v>16</v>
      </c>
      <c r="D8" s="157">
        <f>D9+D15+D16+D17+D18+D73</f>
        <v>84180.515724731405</v>
      </c>
      <c r="E8" s="113">
        <f>E9+E15+E16+E17+E18+E73</f>
        <v>84809.238694640619</v>
      </c>
      <c r="F8" s="113">
        <f>F9+F15+F16+F17+F18+F73</f>
        <v>81154.434563357907</v>
      </c>
      <c r="G8" s="145">
        <f>G9+G15+G16+G17+G18+G73</f>
        <v>43279.010318697212</v>
      </c>
      <c r="H8" s="127"/>
      <c r="J8">
        <v>79827.318064731429</v>
      </c>
      <c r="K8" s="138">
        <f>D8-D73</f>
        <v>79827.317354731407</v>
      </c>
      <c r="L8" t="s">
        <v>257</v>
      </c>
    </row>
    <row r="9" spans="1:12">
      <c r="A9" s="180" t="s">
        <v>17</v>
      </c>
      <c r="B9" s="169" t="s">
        <v>18</v>
      </c>
      <c r="C9" s="169" t="s">
        <v>16</v>
      </c>
      <c r="D9" s="158">
        <f>D10</f>
        <v>1882.0714700000001</v>
      </c>
      <c r="E9" s="37">
        <f>E10</f>
        <v>1799.0458799999999</v>
      </c>
      <c r="F9" s="37">
        <f>F10</f>
        <v>2081.3873600000002</v>
      </c>
      <c r="G9" s="146">
        <f>G10</f>
        <v>617.94366000000002</v>
      </c>
      <c r="H9" s="128"/>
    </row>
    <row r="10" spans="1:12" ht="15" hidden="1" customHeight="1" outlineLevel="1">
      <c r="A10" s="181"/>
      <c r="B10" s="170" t="s">
        <v>222</v>
      </c>
      <c r="C10" s="170"/>
      <c r="D10" s="159">
        <f>SUM(D11:D14)</f>
        <v>1882.0714700000001</v>
      </c>
      <c r="E10" s="3">
        <f t="shared" ref="E10" si="0">SUM(E11:E14)</f>
        <v>1799.0458799999999</v>
      </c>
      <c r="F10" s="3">
        <f>SUM(F11:F14)</f>
        <v>2081.3873600000002</v>
      </c>
      <c r="G10" s="147">
        <f t="shared" ref="G10" si="1">SUM(G11:G14)</f>
        <v>617.94366000000002</v>
      </c>
      <c r="H10" s="129"/>
    </row>
    <row r="11" spans="1:12" ht="15" hidden="1" customHeight="1" outlineLevel="1">
      <c r="A11" s="181"/>
      <c r="B11" s="170" t="s">
        <v>223</v>
      </c>
      <c r="C11" s="170"/>
      <c r="D11" s="159"/>
      <c r="E11" s="3">
        <v>0</v>
      </c>
      <c r="F11" s="3">
        <v>0</v>
      </c>
      <c r="G11" s="147"/>
      <c r="H11" s="129"/>
    </row>
    <row r="12" spans="1:12" ht="15" hidden="1" customHeight="1" outlineLevel="1">
      <c r="A12" s="181"/>
      <c r="B12" s="170" t="s">
        <v>224</v>
      </c>
      <c r="C12" s="170"/>
      <c r="D12" s="159"/>
      <c r="E12" s="3">
        <v>0</v>
      </c>
      <c r="F12" s="3">
        <v>0</v>
      </c>
      <c r="G12" s="147"/>
      <c r="H12" s="129"/>
    </row>
    <row r="13" spans="1:12" ht="15" hidden="1" customHeight="1" outlineLevel="1">
      <c r="A13" s="181"/>
      <c r="B13" s="170" t="s">
        <v>225</v>
      </c>
      <c r="C13" s="170"/>
      <c r="D13" s="159">
        <v>809.65719000000013</v>
      </c>
      <c r="E13" s="3">
        <v>690.04860999999983</v>
      </c>
      <c r="F13" s="3">
        <v>796.66760000000022</v>
      </c>
      <c r="G13" s="147">
        <v>56.625680000000031</v>
      </c>
      <c r="H13" s="129"/>
    </row>
    <row r="14" spans="1:12" ht="15" hidden="1" customHeight="1" outlineLevel="1">
      <c r="A14" s="181"/>
      <c r="B14" s="170" t="s">
        <v>226</v>
      </c>
      <c r="C14" s="170"/>
      <c r="D14" s="159">
        <v>1072.41428</v>
      </c>
      <c r="E14" s="3">
        <v>1108.9972700000001</v>
      </c>
      <c r="F14" s="3">
        <v>1284.71976</v>
      </c>
      <c r="G14" s="147">
        <v>561.31798000000003</v>
      </c>
      <c r="H14" s="129"/>
    </row>
    <row r="15" spans="1:12" collapsed="1">
      <c r="A15" s="180" t="s">
        <v>19</v>
      </c>
      <c r="B15" s="169" t="s">
        <v>20</v>
      </c>
      <c r="C15" s="169" t="s">
        <v>16</v>
      </c>
      <c r="D15" s="158">
        <v>4928.8598099999999</v>
      </c>
      <c r="E15" s="37">
        <v>5397.8607199999997</v>
      </c>
      <c r="F15" s="37">
        <v>3251.2034199999998</v>
      </c>
      <c r="G15" s="146">
        <v>377.52260999999999</v>
      </c>
      <c r="H15" s="128"/>
    </row>
    <row r="16" spans="1:12">
      <c r="A16" s="180" t="s">
        <v>21</v>
      </c>
      <c r="B16" s="169" t="s">
        <v>22</v>
      </c>
      <c r="C16" s="169" t="s">
        <v>16</v>
      </c>
      <c r="D16" s="158">
        <v>47805.249659999987</v>
      </c>
      <c r="E16" s="37">
        <v>47858.688609999997</v>
      </c>
      <c r="F16" s="37">
        <v>46176.953390000002</v>
      </c>
      <c r="G16" s="146">
        <v>28290.543859999998</v>
      </c>
      <c r="H16" s="128"/>
    </row>
    <row r="17" spans="1:8">
      <c r="A17" s="180" t="s">
        <v>23</v>
      </c>
      <c r="B17" s="169" t="s">
        <v>24</v>
      </c>
      <c r="C17" s="169" t="s">
        <v>16</v>
      </c>
      <c r="D17" s="158">
        <v>13695.47568</v>
      </c>
      <c r="E17" s="37">
        <v>13855.21147</v>
      </c>
      <c r="F17" s="37">
        <v>13083.69773</v>
      </c>
      <c r="G17" s="146">
        <v>7946.4054700000006</v>
      </c>
      <c r="H17" s="128"/>
    </row>
    <row r="18" spans="1:8">
      <c r="A18" s="182" t="s">
        <v>25</v>
      </c>
      <c r="B18" s="171" t="s">
        <v>26</v>
      </c>
      <c r="C18" s="171" t="s">
        <v>16</v>
      </c>
      <c r="D18" s="160">
        <f t="shared" ref="D18" si="2">D19+D37+D43</f>
        <v>11515.660734731426</v>
      </c>
      <c r="E18" s="36">
        <f>E19+E37+E43</f>
        <v>13779.752014640633</v>
      </c>
      <c r="F18" s="36">
        <f t="shared" ref="F18" si="3">F19+F37+F43</f>
        <v>13321.512663357909</v>
      </c>
      <c r="G18" s="148">
        <f>G19+G37+G43</f>
        <v>3779.9607186972148</v>
      </c>
      <c r="H18" s="130"/>
    </row>
    <row r="19" spans="1:8" ht="30">
      <c r="A19" s="183" t="s">
        <v>27</v>
      </c>
      <c r="B19" s="172" t="s">
        <v>28</v>
      </c>
      <c r="C19" s="172" t="s">
        <v>16</v>
      </c>
      <c r="D19" s="161">
        <f>D20</f>
        <v>426.48215000000005</v>
      </c>
      <c r="E19" s="38">
        <f>E20</f>
        <v>471.17457011482895</v>
      </c>
      <c r="F19" s="38">
        <f t="shared" ref="F19" si="4">F20</f>
        <v>591.19535999999994</v>
      </c>
      <c r="G19" s="149">
        <f>G20</f>
        <v>57.988970000000002</v>
      </c>
      <c r="H19" s="131"/>
    </row>
    <row r="20" spans="1:8" ht="30" hidden="1" customHeight="1" outlineLevel="1">
      <c r="A20" s="181" t="s">
        <v>29</v>
      </c>
      <c r="B20" s="170" t="s">
        <v>227</v>
      </c>
      <c r="C20" s="170"/>
      <c r="D20" s="159">
        <f t="shared" ref="D20" si="5">SUM(D21:D36)</f>
        <v>426.48215000000005</v>
      </c>
      <c r="E20" s="3">
        <f>SUM(E21:E36)</f>
        <v>471.17457011482895</v>
      </c>
      <c r="F20" s="3">
        <f t="shared" ref="F20" si="6">SUM(F21:F36)</f>
        <v>591.19535999999994</v>
      </c>
      <c r="G20" s="147">
        <f>SUM(G21:G36)</f>
        <v>57.988970000000002</v>
      </c>
      <c r="H20" s="129"/>
    </row>
    <row r="21" spans="1:8" ht="15" hidden="1" customHeight="1" outlineLevel="1">
      <c r="A21" s="181" t="s">
        <v>30</v>
      </c>
      <c r="B21" s="170" t="s">
        <v>228</v>
      </c>
      <c r="C21" s="170"/>
      <c r="D21" s="159">
        <v>0</v>
      </c>
      <c r="E21" s="3">
        <v>0</v>
      </c>
      <c r="F21" s="3">
        <v>0</v>
      </c>
      <c r="G21" s="147">
        <v>0</v>
      </c>
      <c r="H21" s="129"/>
    </row>
    <row r="22" spans="1:8" ht="30" hidden="1" customHeight="1" outlineLevel="1">
      <c r="A22" s="181" t="s">
        <v>31</v>
      </c>
      <c r="B22" s="170" t="s">
        <v>229</v>
      </c>
      <c r="C22" s="170"/>
      <c r="D22" s="159">
        <v>3.38836</v>
      </c>
      <c r="E22" s="3">
        <v>73.753929999999997</v>
      </c>
      <c r="F22" s="3">
        <v>103.40089</v>
      </c>
      <c r="G22" s="147">
        <v>9.8800000000000008</v>
      </c>
      <c r="H22" s="129"/>
    </row>
    <row r="23" spans="1:8" ht="15" hidden="1" customHeight="1" outlineLevel="1">
      <c r="A23" s="181" t="s">
        <v>32</v>
      </c>
      <c r="B23" s="170" t="s">
        <v>230</v>
      </c>
      <c r="C23" s="170"/>
      <c r="D23" s="159">
        <v>0</v>
      </c>
      <c r="E23" s="3">
        <v>0</v>
      </c>
      <c r="F23" s="3">
        <v>0</v>
      </c>
      <c r="G23" s="147">
        <v>0</v>
      </c>
      <c r="H23" s="129"/>
    </row>
    <row r="24" spans="1:8" ht="45" hidden="1" customHeight="1" outlineLevel="1">
      <c r="A24" s="181" t="s">
        <v>33</v>
      </c>
      <c r="B24" s="170" t="s">
        <v>231</v>
      </c>
      <c r="C24" s="170"/>
      <c r="D24" s="159">
        <v>48.46264</v>
      </c>
      <c r="E24" s="3">
        <v>76.477490000000003</v>
      </c>
      <c r="F24" s="3">
        <v>53.395540000000004</v>
      </c>
      <c r="G24" s="147">
        <v>5.3070000000000004</v>
      </c>
      <c r="H24" s="129"/>
    </row>
    <row r="25" spans="1:8" ht="30" hidden="1" customHeight="1" outlineLevel="1">
      <c r="A25" s="181" t="s">
        <v>34</v>
      </c>
      <c r="B25" s="170" t="s">
        <v>232</v>
      </c>
      <c r="C25" s="170"/>
      <c r="D25" s="159">
        <v>12.01458</v>
      </c>
      <c r="E25" s="3">
        <v>14.22133</v>
      </c>
      <c r="F25" s="3">
        <v>11.32605</v>
      </c>
      <c r="G25" s="147">
        <v>2.0977000000000001</v>
      </c>
      <c r="H25" s="129"/>
    </row>
    <row r="26" spans="1:8" ht="15" hidden="1" customHeight="1" outlineLevel="1">
      <c r="A26" s="181" t="s">
        <v>35</v>
      </c>
      <c r="B26" s="170" t="s">
        <v>233</v>
      </c>
      <c r="C26" s="170"/>
      <c r="D26" s="159">
        <v>2.0612300000000001</v>
      </c>
      <c r="E26" s="3">
        <v>17.084419999999998</v>
      </c>
      <c r="F26" s="3">
        <v>4.7870049816581099</v>
      </c>
      <c r="G26" s="147">
        <v>0.1951</v>
      </c>
      <c r="H26" s="129"/>
    </row>
    <row r="27" spans="1:8" ht="15" hidden="1" customHeight="1" outlineLevel="1">
      <c r="A27" s="181" t="s">
        <v>36</v>
      </c>
      <c r="B27" s="170" t="s">
        <v>234</v>
      </c>
      <c r="C27" s="170"/>
      <c r="D27" s="159">
        <v>0</v>
      </c>
      <c r="E27" s="3">
        <v>0</v>
      </c>
      <c r="F27" s="3">
        <v>0</v>
      </c>
      <c r="G27" s="147">
        <v>0</v>
      </c>
      <c r="H27" s="129"/>
    </row>
    <row r="28" spans="1:8" ht="30" hidden="1" customHeight="1" outlineLevel="1">
      <c r="A28" s="181" t="s">
        <v>37</v>
      </c>
      <c r="B28" s="170" t="s">
        <v>235</v>
      </c>
      <c r="C28" s="170"/>
      <c r="D28" s="159">
        <v>1.9825599999999999</v>
      </c>
      <c r="E28" s="3">
        <v>2.5148800000000002</v>
      </c>
      <c r="F28" s="3">
        <v>0.90393000000000001</v>
      </c>
      <c r="G28" s="147">
        <v>0.27760000000000001</v>
      </c>
      <c r="H28" s="129"/>
    </row>
    <row r="29" spans="1:8" ht="15" hidden="1" customHeight="1" outlineLevel="1">
      <c r="A29" s="181" t="s">
        <v>38</v>
      </c>
      <c r="B29" s="170" t="s">
        <v>236</v>
      </c>
      <c r="C29" s="170"/>
      <c r="D29" s="159">
        <v>5.5823299999999998</v>
      </c>
      <c r="E29" s="3">
        <v>6.8122100000000003</v>
      </c>
      <c r="F29" s="3">
        <v>9.4122800000000009</v>
      </c>
      <c r="G29" s="147">
        <v>0.28140999999999999</v>
      </c>
      <c r="H29" s="129"/>
    </row>
    <row r="30" spans="1:8" ht="15" hidden="1" customHeight="1" outlineLevel="1">
      <c r="A30" s="181" t="s">
        <v>39</v>
      </c>
      <c r="B30" s="170" t="s">
        <v>237</v>
      </c>
      <c r="C30" s="170"/>
      <c r="D30" s="159">
        <v>0</v>
      </c>
      <c r="E30" s="3">
        <v>0</v>
      </c>
      <c r="F30" s="3">
        <v>0</v>
      </c>
      <c r="G30" s="147">
        <v>0</v>
      </c>
      <c r="H30" s="129"/>
    </row>
    <row r="31" spans="1:8" ht="15" hidden="1" customHeight="1" outlineLevel="1">
      <c r="A31" s="181" t="s">
        <v>40</v>
      </c>
      <c r="B31" s="170" t="s">
        <v>238</v>
      </c>
      <c r="C31" s="170"/>
      <c r="D31" s="159">
        <v>58.972580000000001</v>
      </c>
      <c r="E31" s="3">
        <v>53.619410000000002</v>
      </c>
      <c r="F31" s="3">
        <v>51.84738999999999</v>
      </c>
      <c r="G31" s="147">
        <v>4.6674499999999997</v>
      </c>
      <c r="H31" s="129"/>
    </row>
    <row r="32" spans="1:8" ht="45" hidden="1" customHeight="1" outlineLevel="1">
      <c r="A32" s="181" t="s">
        <v>41</v>
      </c>
      <c r="B32" s="170" t="s">
        <v>239</v>
      </c>
      <c r="C32" s="170"/>
      <c r="D32" s="159">
        <v>2.4533800000000001</v>
      </c>
      <c r="E32" s="3">
        <v>2.2502900000000001</v>
      </c>
      <c r="F32" s="3">
        <v>2.20689</v>
      </c>
      <c r="G32" s="147">
        <v>0.82965</v>
      </c>
      <c r="H32" s="129"/>
    </row>
    <row r="33" spans="1:8" ht="30" hidden="1" customHeight="1" outlineLevel="1">
      <c r="A33" s="181" t="s">
        <v>42</v>
      </c>
      <c r="B33" s="170" t="s">
        <v>240</v>
      </c>
      <c r="C33" s="170"/>
      <c r="D33" s="159">
        <v>0.27750000000000002</v>
      </c>
      <c r="E33" s="3">
        <v>0</v>
      </c>
      <c r="F33" s="3">
        <v>2.68445</v>
      </c>
      <c r="G33" s="147">
        <v>0</v>
      </c>
      <c r="H33" s="129"/>
    </row>
    <row r="34" spans="1:8" ht="15" hidden="1" customHeight="1" outlineLevel="1">
      <c r="A34" s="181" t="s">
        <v>43</v>
      </c>
      <c r="B34" s="170" t="s">
        <v>241</v>
      </c>
      <c r="C34" s="170"/>
      <c r="D34" s="159">
        <v>19.024910000000002</v>
      </c>
      <c r="E34" s="3">
        <v>21.580200000000001</v>
      </c>
      <c r="F34" s="3">
        <v>22.677869999999999</v>
      </c>
      <c r="G34" s="147">
        <v>4.0884099999999997</v>
      </c>
      <c r="H34" s="129"/>
    </row>
    <row r="35" spans="1:8" ht="15" hidden="1" customHeight="1" outlineLevel="1">
      <c r="A35" s="181" t="s">
        <v>44</v>
      </c>
      <c r="B35" s="170" t="s">
        <v>242</v>
      </c>
      <c r="C35" s="170"/>
      <c r="D35" s="159">
        <v>0</v>
      </c>
      <c r="E35" s="3">
        <v>0</v>
      </c>
      <c r="F35" s="3">
        <v>0</v>
      </c>
      <c r="G35" s="147">
        <v>0</v>
      </c>
      <c r="H35" s="129"/>
    </row>
    <row r="36" spans="1:8" ht="15" hidden="1" customHeight="1" outlineLevel="1">
      <c r="A36" s="181" t="s">
        <v>45</v>
      </c>
      <c r="B36" s="170" t="s">
        <v>243</v>
      </c>
      <c r="C36" s="170"/>
      <c r="D36" s="159">
        <v>272.26208000000003</v>
      </c>
      <c r="E36" s="3">
        <v>202.86041011482894</v>
      </c>
      <c r="F36" s="3">
        <v>328.5530650183419</v>
      </c>
      <c r="G36" s="147">
        <v>30.364650000000001</v>
      </c>
      <c r="H36" s="129"/>
    </row>
    <row r="37" spans="1:8" ht="45" collapsed="1">
      <c r="A37" s="183" t="s">
        <v>46</v>
      </c>
      <c r="B37" s="172" t="s">
        <v>47</v>
      </c>
      <c r="C37" s="172" t="s">
        <v>16</v>
      </c>
      <c r="D37" s="161">
        <f>SUM(D38:D42)</f>
        <v>1145.1416199999999</v>
      </c>
      <c r="E37" s="38">
        <f>SUM(E38:E42)</f>
        <v>952.39929999999993</v>
      </c>
      <c r="F37" s="38">
        <f>SUM(F38:F42)</f>
        <v>774.29130000000021</v>
      </c>
      <c r="G37" s="149">
        <f>SUM(G38:G42)</f>
        <v>109.56904</v>
      </c>
      <c r="H37" s="131"/>
    </row>
    <row r="38" spans="1:8" ht="15" hidden="1" customHeight="1" outlineLevel="1">
      <c r="A38" s="183"/>
      <c r="B38" s="173" t="s">
        <v>0</v>
      </c>
      <c r="C38" s="173"/>
      <c r="D38" s="162">
        <v>1.7362300000000002</v>
      </c>
      <c r="E38" s="39">
        <v>1.99241</v>
      </c>
      <c r="F38" s="39">
        <v>1.9534800000000001</v>
      </c>
      <c r="G38" s="150">
        <v>0.30397000000000002</v>
      </c>
      <c r="H38" s="132"/>
    </row>
    <row r="39" spans="1:8" ht="15" hidden="1" customHeight="1" outlineLevel="1">
      <c r="A39" s="183"/>
      <c r="B39" s="173" t="s">
        <v>1</v>
      </c>
      <c r="C39" s="173"/>
      <c r="D39" s="162">
        <v>93.266929999999988</v>
      </c>
      <c r="E39" s="39">
        <v>97.812719999999999</v>
      </c>
      <c r="F39" s="39">
        <v>109.68375</v>
      </c>
      <c r="G39" s="150">
        <v>5.29671</v>
      </c>
      <c r="H39" s="132"/>
    </row>
    <row r="40" spans="1:8" ht="15" hidden="1" customHeight="1" outlineLevel="1">
      <c r="A40" s="183"/>
      <c r="B40" s="173" t="s">
        <v>2</v>
      </c>
      <c r="C40" s="173"/>
      <c r="D40" s="162">
        <v>1050.07457</v>
      </c>
      <c r="E40" s="39">
        <v>852.52760999999998</v>
      </c>
      <c r="F40" s="39">
        <v>662.57880000000011</v>
      </c>
      <c r="G40" s="150">
        <v>103.9637</v>
      </c>
      <c r="H40" s="132"/>
    </row>
    <row r="41" spans="1:8" ht="15" hidden="1" customHeight="1" outlineLevel="1">
      <c r="A41" s="183"/>
      <c r="B41" s="173" t="s">
        <v>3</v>
      </c>
      <c r="C41" s="173"/>
      <c r="D41" s="162">
        <v>0</v>
      </c>
      <c r="E41" s="39">
        <v>0</v>
      </c>
      <c r="F41" s="39">
        <v>0</v>
      </c>
      <c r="G41" s="150">
        <v>0</v>
      </c>
      <c r="H41" s="132"/>
    </row>
    <row r="42" spans="1:8" ht="30" hidden="1" customHeight="1" outlineLevel="1">
      <c r="A42" s="183" t="s">
        <v>48</v>
      </c>
      <c r="B42" s="173" t="s">
        <v>4</v>
      </c>
      <c r="C42" s="173"/>
      <c r="D42" s="162">
        <v>6.3890000000000002E-2</v>
      </c>
      <c r="E42" s="39">
        <v>6.6560000000000008E-2</v>
      </c>
      <c r="F42" s="39">
        <v>7.5270000000000004E-2</v>
      </c>
      <c r="G42" s="150">
        <v>4.6600000000000001E-3</v>
      </c>
      <c r="H42" s="132"/>
    </row>
    <row r="43" spans="1:8" ht="45" collapsed="1">
      <c r="A43" s="183" t="s">
        <v>49</v>
      </c>
      <c r="B43" s="172" t="s">
        <v>50</v>
      </c>
      <c r="C43" s="172" t="s">
        <v>16</v>
      </c>
      <c r="D43" s="161">
        <f>D44+D45+D46+D47+D48+D62+D63+D64+D66+D72</f>
        <v>9944.0369647314255</v>
      </c>
      <c r="E43" s="38">
        <f>E44+E45+E46+E47+E48+E62+E63+E64+E66+E72</f>
        <v>12356.178144525804</v>
      </c>
      <c r="F43" s="38">
        <f>F44+F45+F46+F47+F48+F62+F63+F64+F66+F72</f>
        <v>11956.026003357909</v>
      </c>
      <c r="G43" s="149">
        <f>SUM(G44:G48)+G62+G63+G64+G66+G72</f>
        <v>3612.4027086972146</v>
      </c>
      <c r="H43" s="131"/>
    </row>
    <row r="44" spans="1:8">
      <c r="A44" s="181" t="s">
        <v>51</v>
      </c>
      <c r="B44" s="174" t="s">
        <v>52</v>
      </c>
      <c r="C44" s="174" t="s">
        <v>16</v>
      </c>
      <c r="D44" s="163">
        <v>292.24079</v>
      </c>
      <c r="E44" s="1">
        <v>306.68698000000001</v>
      </c>
      <c r="F44" s="1">
        <v>255.30389000000002</v>
      </c>
      <c r="G44" s="151">
        <v>26.942970000000003</v>
      </c>
      <c r="H44" s="133"/>
    </row>
    <row r="45" spans="1:8" ht="30">
      <c r="A45" s="181" t="s">
        <v>53</v>
      </c>
      <c r="B45" s="174" t="s">
        <v>54</v>
      </c>
      <c r="C45" s="174" t="s">
        <v>16</v>
      </c>
      <c r="D45" s="163">
        <v>675.37126000000001</v>
      </c>
      <c r="E45" s="1">
        <v>357.35617999999999</v>
      </c>
      <c r="F45" s="1">
        <v>337.79331999999999</v>
      </c>
      <c r="G45" s="151">
        <v>96.196250000000006</v>
      </c>
      <c r="H45" s="133"/>
    </row>
    <row r="46" spans="1:8" ht="45">
      <c r="A46" s="181" t="s">
        <v>55</v>
      </c>
      <c r="B46" s="174" t="s">
        <v>56</v>
      </c>
      <c r="C46" s="174" t="s">
        <v>16</v>
      </c>
      <c r="D46" s="163">
        <v>0.22794</v>
      </c>
      <c r="E46" s="1">
        <v>0.21163999999999999</v>
      </c>
      <c r="F46" s="1">
        <v>0.25318000000000002</v>
      </c>
      <c r="G46" s="151">
        <v>2.8050000000000002E-2</v>
      </c>
      <c r="H46" s="133"/>
    </row>
    <row r="47" spans="1:8">
      <c r="A47" s="181" t="s">
        <v>57</v>
      </c>
      <c r="B47" s="174" t="s">
        <v>58</v>
      </c>
      <c r="C47" s="174" t="s">
        <v>16</v>
      </c>
      <c r="D47" s="163">
        <v>254.18001999999998</v>
      </c>
      <c r="E47" s="1">
        <v>326.29156</v>
      </c>
      <c r="F47" s="1">
        <v>306.52033</v>
      </c>
      <c r="G47" s="151">
        <v>368.76909000000012</v>
      </c>
      <c r="H47" s="133"/>
    </row>
    <row r="48" spans="1:8" ht="30">
      <c r="A48" s="181" t="s">
        <v>59</v>
      </c>
      <c r="B48" s="174" t="s">
        <v>60</v>
      </c>
      <c r="C48" s="174" t="s">
        <v>16</v>
      </c>
      <c r="D48" s="163">
        <f t="shared" ref="D48" si="7">D49+D50+D51+D52+D53</f>
        <v>948.49804999999992</v>
      </c>
      <c r="E48" s="1">
        <f>E49+E50+E51+E52+E53</f>
        <v>1366.4225974640572</v>
      </c>
      <c r="F48" s="1">
        <f t="shared" ref="F48" si="8">F49+F50+F51+F52+F53</f>
        <v>1331.63003</v>
      </c>
      <c r="G48" s="151">
        <f>G49+G50+G51+G52+G53</f>
        <v>95.049520000000001</v>
      </c>
      <c r="H48" s="133"/>
    </row>
    <row r="49" spans="1:8">
      <c r="A49" s="181" t="s">
        <v>61</v>
      </c>
      <c r="B49" s="174" t="s">
        <v>122</v>
      </c>
      <c r="C49" s="174"/>
      <c r="D49" s="163">
        <v>321.39664000000005</v>
      </c>
      <c r="E49" s="1">
        <v>599.74890000000005</v>
      </c>
      <c r="F49" s="1">
        <v>556.98468000000003</v>
      </c>
      <c r="G49" s="151">
        <v>40.864909999999995</v>
      </c>
      <c r="H49" s="133"/>
    </row>
    <row r="50" spans="1:8">
      <c r="A50" s="181" t="s">
        <v>62</v>
      </c>
      <c r="B50" s="174" t="s">
        <v>123</v>
      </c>
      <c r="C50" s="174"/>
      <c r="D50" s="163">
        <v>64.070970000000003</v>
      </c>
      <c r="E50" s="1">
        <v>54.707000000000001</v>
      </c>
      <c r="F50" s="1">
        <v>49.670809999999996</v>
      </c>
      <c r="G50" s="151">
        <v>4.6070700000000002</v>
      </c>
      <c r="H50" s="133"/>
    </row>
    <row r="51" spans="1:8" ht="30">
      <c r="A51" s="181" t="s">
        <v>63</v>
      </c>
      <c r="B51" s="174" t="s">
        <v>124</v>
      </c>
      <c r="C51" s="174"/>
      <c r="D51" s="163">
        <v>94.018180000000001</v>
      </c>
      <c r="E51" s="1">
        <v>98.473780000000005</v>
      </c>
      <c r="F51" s="1">
        <v>57.038309999999996</v>
      </c>
      <c r="G51" s="151">
        <v>6.1124999999999998</v>
      </c>
      <c r="H51" s="133"/>
    </row>
    <row r="52" spans="1:8">
      <c r="A52" s="181" t="s">
        <v>64</v>
      </c>
      <c r="B52" s="174" t="s">
        <v>125</v>
      </c>
      <c r="C52" s="174"/>
      <c r="D52" s="163">
        <v>38.535050000000005</v>
      </c>
      <c r="E52" s="1">
        <v>36.43009</v>
      </c>
      <c r="F52" s="1">
        <v>45.95628</v>
      </c>
      <c r="G52" s="151">
        <v>5.2260400000000002</v>
      </c>
      <c r="H52" s="133"/>
    </row>
    <row r="53" spans="1:8" ht="30">
      <c r="A53" s="181" t="s">
        <v>65</v>
      </c>
      <c r="B53" s="174" t="s">
        <v>126</v>
      </c>
      <c r="C53" s="174"/>
      <c r="D53" s="163">
        <f>SUM(D54:D61)</f>
        <v>430.47720999999996</v>
      </c>
      <c r="E53" s="1">
        <f>SUM(E54:E61)</f>
        <v>577.06282746405714</v>
      </c>
      <c r="F53" s="1">
        <f>SUM(F54:F61)</f>
        <v>621.97995000000003</v>
      </c>
      <c r="G53" s="151">
        <f>SUM(G54:G61)</f>
        <v>38.239000000000004</v>
      </c>
      <c r="H53" s="133"/>
    </row>
    <row r="54" spans="1:8" ht="15" hidden="1" customHeight="1" outlineLevel="1">
      <c r="A54" s="181" t="s">
        <v>66</v>
      </c>
      <c r="B54" s="170" t="s">
        <v>210</v>
      </c>
      <c r="C54" s="170"/>
      <c r="D54" s="159">
        <v>0</v>
      </c>
      <c r="E54" s="3">
        <v>0</v>
      </c>
      <c r="F54" s="3">
        <v>0</v>
      </c>
      <c r="G54" s="147">
        <v>0</v>
      </c>
      <c r="H54" s="129"/>
    </row>
    <row r="55" spans="1:8" ht="15" hidden="1" customHeight="1" outlineLevel="1">
      <c r="A55" s="181" t="s">
        <v>67</v>
      </c>
      <c r="B55" s="170" t="s">
        <v>211</v>
      </c>
      <c r="C55" s="170"/>
      <c r="D55" s="159">
        <v>7.2511700000000001</v>
      </c>
      <c r="E55" s="3">
        <v>4.85297</v>
      </c>
      <c r="F55" s="3">
        <v>4.5768999999999984</v>
      </c>
      <c r="G55" s="147">
        <v>1.171</v>
      </c>
      <c r="H55" s="129"/>
    </row>
    <row r="56" spans="1:8" ht="15" hidden="1" customHeight="1" outlineLevel="1">
      <c r="A56" s="181" t="s">
        <v>68</v>
      </c>
      <c r="B56" s="170" t="s">
        <v>212</v>
      </c>
      <c r="C56" s="170"/>
      <c r="D56" s="159">
        <v>81.420760000000001</v>
      </c>
      <c r="E56" s="3">
        <v>114.21594</v>
      </c>
      <c r="F56" s="3">
        <v>156.65792999999999</v>
      </c>
      <c r="G56" s="147">
        <v>8.7248999999999999</v>
      </c>
      <c r="H56" s="129"/>
    </row>
    <row r="57" spans="1:8" ht="45" hidden="1" customHeight="1" outlineLevel="1">
      <c r="A57" s="181" t="s">
        <v>218</v>
      </c>
      <c r="B57" s="170" t="s">
        <v>213</v>
      </c>
      <c r="C57" s="170"/>
      <c r="D57" s="159">
        <v>87.936689999999999</v>
      </c>
      <c r="E57" s="3">
        <v>88.139559151996309</v>
      </c>
      <c r="F57" s="3">
        <v>186.80860000000001</v>
      </c>
      <c r="G57" s="147">
        <v>-2.0000000000000018E-3</v>
      </c>
      <c r="H57" s="129"/>
    </row>
    <row r="58" spans="1:8" ht="15" hidden="1" customHeight="1" outlineLevel="1">
      <c r="A58" s="181" t="s">
        <v>219</v>
      </c>
      <c r="B58" s="170" t="s">
        <v>214</v>
      </c>
      <c r="C58" s="170"/>
      <c r="D58" s="159">
        <v>233.34010999999998</v>
      </c>
      <c r="E58" s="3">
        <v>266.46876000000003</v>
      </c>
      <c r="F58" s="3">
        <v>249.95454000000001</v>
      </c>
      <c r="G58" s="147">
        <v>13.105</v>
      </c>
      <c r="H58" s="129"/>
    </row>
    <row r="59" spans="1:8" ht="15" hidden="1" customHeight="1" outlineLevel="1">
      <c r="A59" s="181" t="s">
        <v>220</v>
      </c>
      <c r="B59" s="170" t="s">
        <v>215</v>
      </c>
      <c r="C59" s="170"/>
      <c r="D59" s="159">
        <v>0</v>
      </c>
      <c r="E59" s="3">
        <v>0</v>
      </c>
      <c r="F59" s="3">
        <v>0</v>
      </c>
      <c r="G59" s="147">
        <v>0</v>
      </c>
      <c r="H59" s="129"/>
    </row>
    <row r="60" spans="1:8" ht="15" hidden="1" customHeight="1" outlineLevel="1">
      <c r="A60" s="181" t="s">
        <v>221</v>
      </c>
      <c r="B60" s="170" t="s">
        <v>216</v>
      </c>
      <c r="C60" s="170"/>
      <c r="D60" s="159">
        <v>10.610370000000001</v>
      </c>
      <c r="E60" s="3">
        <v>11.38091</v>
      </c>
      <c r="F60" s="3">
        <v>15.216690000000002</v>
      </c>
      <c r="G60" s="147">
        <v>2.9052000000000002</v>
      </c>
      <c r="H60" s="129"/>
    </row>
    <row r="61" spans="1:8" ht="15" hidden="1" customHeight="1" outlineLevel="1">
      <c r="A61" s="181" t="s">
        <v>69</v>
      </c>
      <c r="B61" s="170" t="s">
        <v>217</v>
      </c>
      <c r="C61" s="170"/>
      <c r="D61" s="159">
        <v>9.9181099999999986</v>
      </c>
      <c r="E61" s="3">
        <v>92.004688312060807</v>
      </c>
      <c r="F61" s="3">
        <v>8.7652900000000002</v>
      </c>
      <c r="G61" s="147">
        <v>12.334900000000001</v>
      </c>
      <c r="H61" s="129"/>
    </row>
    <row r="62" spans="1:8" ht="30" collapsed="1">
      <c r="A62" s="184" t="s">
        <v>70</v>
      </c>
      <c r="B62" s="175" t="s">
        <v>127</v>
      </c>
      <c r="C62" s="175"/>
      <c r="D62" s="164">
        <v>322.40595000000002</v>
      </c>
      <c r="E62" s="4">
        <v>191.87949</v>
      </c>
      <c r="F62" s="4">
        <v>207.37115</v>
      </c>
      <c r="G62" s="152">
        <v>22.381119999999999</v>
      </c>
      <c r="H62" s="134"/>
    </row>
    <row r="63" spans="1:8" ht="30">
      <c r="A63" s="181" t="s">
        <v>71</v>
      </c>
      <c r="B63" s="174" t="s">
        <v>128</v>
      </c>
      <c r="C63" s="174"/>
      <c r="D63" s="163">
        <v>111.75456</v>
      </c>
      <c r="E63" s="1">
        <v>106.57686999999999</v>
      </c>
      <c r="F63" s="1">
        <v>102.47545</v>
      </c>
      <c r="G63" s="151">
        <v>25.03424</v>
      </c>
      <c r="H63" s="133"/>
    </row>
    <row r="64" spans="1:8">
      <c r="A64" s="181" t="s">
        <v>132</v>
      </c>
      <c r="B64" s="174" t="s">
        <v>129</v>
      </c>
      <c r="C64" s="174"/>
      <c r="D64" s="163">
        <v>1635.47828</v>
      </c>
      <c r="E64" s="1">
        <v>3826.7744200000002</v>
      </c>
      <c r="F64" s="1">
        <v>5013.1706399999994</v>
      </c>
      <c r="G64" s="151">
        <v>647.07925999999998</v>
      </c>
      <c r="H64" s="133"/>
    </row>
    <row r="65" spans="1:10" ht="30">
      <c r="A65" s="181" t="s">
        <v>131</v>
      </c>
      <c r="B65" s="174" t="s">
        <v>130</v>
      </c>
      <c r="C65" s="174"/>
      <c r="D65" s="163">
        <v>1575.7146299999999</v>
      </c>
      <c r="E65" s="1">
        <v>3763.4017400000002</v>
      </c>
      <c r="F65" s="1">
        <v>4955.8934000000008</v>
      </c>
      <c r="G65" s="151">
        <v>641.43381999999986</v>
      </c>
      <c r="H65" s="133"/>
    </row>
    <row r="66" spans="1:10">
      <c r="A66" s="181" t="s">
        <v>72</v>
      </c>
      <c r="B66" s="174" t="s">
        <v>6</v>
      </c>
      <c r="C66" s="174"/>
      <c r="D66" s="163">
        <f>SUM(D67:D71)</f>
        <v>18.275460000000002</v>
      </c>
      <c r="E66" s="1">
        <f>SUM(E67:E71)</f>
        <v>52.819449885171096</v>
      </c>
      <c r="F66" s="1">
        <f>SUM(F67:F71)</f>
        <v>59.418740000000014</v>
      </c>
      <c r="G66" s="151">
        <f>SUM(G67:G71)</f>
        <v>5.3218699999999997</v>
      </c>
      <c r="H66" s="133"/>
    </row>
    <row r="67" spans="1:10" ht="15" hidden="1" customHeight="1" outlineLevel="1">
      <c r="A67" s="181" t="s">
        <v>115</v>
      </c>
      <c r="B67" s="170" t="s">
        <v>6</v>
      </c>
      <c r="C67" s="170"/>
      <c r="D67" s="159">
        <v>0.77049999999999985</v>
      </c>
      <c r="E67" s="3">
        <v>1.393E-2</v>
      </c>
      <c r="F67" s="3">
        <v>-6.0919600000000003</v>
      </c>
      <c r="G67" s="147">
        <v>-7.9720299999999993</v>
      </c>
      <c r="H67" s="129"/>
    </row>
    <row r="68" spans="1:10" ht="15" hidden="1" customHeight="1" outlineLevel="1">
      <c r="A68" s="181" t="s">
        <v>116</v>
      </c>
      <c r="B68" s="170" t="s">
        <v>244</v>
      </c>
      <c r="C68" s="170"/>
      <c r="D68" s="159">
        <v>11.500719999999999</v>
      </c>
      <c r="E68" s="3">
        <v>27.123730000000002</v>
      </c>
      <c r="F68" s="3">
        <v>21.314130000000006</v>
      </c>
      <c r="G68" s="147">
        <v>1.9452</v>
      </c>
      <c r="H68" s="129"/>
    </row>
    <row r="69" spans="1:10" ht="45" hidden="1" customHeight="1" outlineLevel="1">
      <c r="A69" s="181" t="s">
        <v>117</v>
      </c>
      <c r="B69" s="170" t="s">
        <v>245</v>
      </c>
      <c r="C69" s="170"/>
      <c r="D69" s="159">
        <v>0</v>
      </c>
      <c r="E69" s="3">
        <v>0.57293988517108718</v>
      </c>
      <c r="F69" s="3">
        <v>0</v>
      </c>
      <c r="G69" s="147">
        <v>0</v>
      </c>
      <c r="H69" s="129"/>
    </row>
    <row r="70" spans="1:10" ht="30" hidden="1" customHeight="1" outlineLevel="1">
      <c r="A70" s="181" t="s">
        <v>118</v>
      </c>
      <c r="B70" s="170" t="s">
        <v>246</v>
      </c>
      <c r="C70" s="170"/>
      <c r="D70" s="159">
        <v>0</v>
      </c>
      <c r="E70" s="3">
        <v>3.2237</v>
      </c>
      <c r="F70" s="3">
        <v>0</v>
      </c>
      <c r="G70" s="147">
        <v>0</v>
      </c>
      <c r="H70" s="129"/>
    </row>
    <row r="71" spans="1:10" ht="30" hidden="1" customHeight="1" outlineLevel="1">
      <c r="A71" s="181" t="s">
        <v>119</v>
      </c>
      <c r="B71" s="170" t="s">
        <v>247</v>
      </c>
      <c r="C71" s="170"/>
      <c r="D71" s="159">
        <v>6.0042400000000011</v>
      </c>
      <c r="E71" s="3">
        <v>21.885150000000003</v>
      </c>
      <c r="F71" s="3">
        <v>44.196570000000008</v>
      </c>
      <c r="G71" s="147">
        <v>11.348699999999999</v>
      </c>
      <c r="H71" s="129"/>
    </row>
    <row r="72" spans="1:10" collapsed="1">
      <c r="A72" s="181" t="s">
        <v>73</v>
      </c>
      <c r="B72" s="174" t="s">
        <v>5</v>
      </c>
      <c r="C72" s="174"/>
      <c r="D72" s="163">
        <v>5685.6046547314254</v>
      </c>
      <c r="E72" s="1">
        <v>5821.1589571765762</v>
      </c>
      <c r="F72" s="1">
        <v>4342.0892733579094</v>
      </c>
      <c r="G72" s="151">
        <v>2325.6003386972147</v>
      </c>
      <c r="H72" s="133"/>
    </row>
    <row r="73" spans="1:10">
      <c r="A73" s="182" t="s">
        <v>74</v>
      </c>
      <c r="B73" s="171" t="s">
        <v>75</v>
      </c>
      <c r="C73" s="171" t="s">
        <v>16</v>
      </c>
      <c r="D73" s="160">
        <f>D74+D75+D76+D82</f>
        <v>4353.1983700000001</v>
      </c>
      <c r="E73" s="36">
        <f>E74+E75+E76+E82</f>
        <v>2118.6799999999998</v>
      </c>
      <c r="F73" s="36">
        <f>F74+F75+F76+F82</f>
        <v>3239.6800000000003</v>
      </c>
      <c r="G73" s="148">
        <f>G74+G75+G76+G82</f>
        <v>2266.634</v>
      </c>
      <c r="H73" s="130"/>
      <c r="I73" s="140">
        <f>2718.4936</f>
        <v>2718.4935999999998</v>
      </c>
      <c r="J73" t="s">
        <v>254</v>
      </c>
    </row>
    <row r="74" spans="1:10">
      <c r="A74" s="181" t="s">
        <v>76</v>
      </c>
      <c r="B74" s="174" t="s">
        <v>77</v>
      </c>
      <c r="C74" s="174" t="s">
        <v>16</v>
      </c>
      <c r="D74" s="163"/>
      <c r="E74" s="1"/>
      <c r="F74" s="1"/>
      <c r="G74" s="151"/>
      <c r="H74" s="133"/>
      <c r="I74" s="138">
        <f>I73+D82</f>
        <v>4353.1983700000001</v>
      </c>
    </row>
    <row r="75" spans="1:10">
      <c r="A75" s="181" t="s">
        <v>78</v>
      </c>
      <c r="B75" s="174" t="s">
        <v>79</v>
      </c>
      <c r="C75" s="174" t="s">
        <v>16</v>
      </c>
      <c r="D75" s="163">
        <v>0</v>
      </c>
      <c r="E75" s="1">
        <v>0</v>
      </c>
      <c r="F75" s="1">
        <v>1347.75</v>
      </c>
      <c r="G75" s="151">
        <v>1499.87</v>
      </c>
      <c r="H75" s="133"/>
    </row>
    <row r="76" spans="1:10">
      <c r="A76" s="184" t="s">
        <v>80</v>
      </c>
      <c r="B76" s="175" t="s">
        <v>81</v>
      </c>
      <c r="C76" s="175" t="s">
        <v>16</v>
      </c>
      <c r="D76" s="164">
        <v>2718.4935999999998</v>
      </c>
      <c r="E76" s="4">
        <f>150.89</f>
        <v>150.88999999999999</v>
      </c>
      <c r="F76" s="4">
        <f>106.93</f>
        <v>106.93</v>
      </c>
      <c r="G76" s="152">
        <f>157.294</f>
        <v>157.29400000000001</v>
      </c>
      <c r="H76" s="134"/>
    </row>
    <row r="77" spans="1:10" ht="30" hidden="1" customHeight="1" outlineLevel="1">
      <c r="A77" s="185" t="s">
        <v>82</v>
      </c>
      <c r="B77" s="176" t="s">
        <v>204</v>
      </c>
      <c r="C77" s="176"/>
      <c r="D77" s="165">
        <v>79.449392884890671</v>
      </c>
      <c r="E77" s="83">
        <v>97.44</v>
      </c>
      <c r="F77" s="83">
        <v>89.57</v>
      </c>
      <c r="G77" s="153">
        <v>34.424719698917279</v>
      </c>
      <c r="H77" s="135"/>
    </row>
    <row r="78" spans="1:10" ht="30" hidden="1" customHeight="1" outlineLevel="1">
      <c r="A78" s="185" t="s">
        <v>84</v>
      </c>
      <c r="B78" s="176" t="s">
        <v>205</v>
      </c>
      <c r="C78" s="176"/>
      <c r="D78" s="165"/>
      <c r="E78" s="83">
        <v>0</v>
      </c>
      <c r="F78" s="83">
        <v>0.23</v>
      </c>
      <c r="G78" s="153">
        <v>1.2141382517589638</v>
      </c>
      <c r="H78" s="135"/>
    </row>
    <row r="79" spans="1:10" ht="15" hidden="1" customHeight="1" outlineLevel="1">
      <c r="A79" s="185" t="s">
        <v>203</v>
      </c>
      <c r="B79" s="176" t="s">
        <v>206</v>
      </c>
      <c r="C79" s="176"/>
      <c r="D79" s="165">
        <v>10.421227933385069</v>
      </c>
      <c r="E79" s="83">
        <v>17.510000000000002</v>
      </c>
      <c r="F79" s="83">
        <v>17.13</v>
      </c>
      <c r="G79" s="153">
        <v>9.2993358241729478</v>
      </c>
      <c r="H79" s="135"/>
    </row>
    <row r="80" spans="1:10" ht="60" hidden="1" customHeight="1" outlineLevel="1">
      <c r="A80" s="185"/>
      <c r="B80" s="176" t="s">
        <v>209</v>
      </c>
      <c r="C80" s="176"/>
      <c r="D80" s="165">
        <v>2627.6230099999998</v>
      </c>
      <c r="E80" s="83">
        <v>35.939999999999984</v>
      </c>
      <c r="F80" s="83"/>
      <c r="G80" s="154">
        <f>G76-G77-G78-G79</f>
        <v>112.35580622515083</v>
      </c>
      <c r="H80" s="135"/>
      <c r="I80" t="s">
        <v>255</v>
      </c>
    </row>
    <row r="81" spans="1:8" ht="45" hidden="1" customHeight="1" outlineLevel="1">
      <c r="A81" s="185"/>
      <c r="B81" s="176" t="s">
        <v>256</v>
      </c>
      <c r="C81" s="176"/>
      <c r="D81" s="165">
        <v>1</v>
      </c>
      <c r="E81" s="83"/>
      <c r="F81" s="83"/>
      <c r="G81" s="153"/>
      <c r="H81" s="135"/>
    </row>
    <row r="82" spans="1:8" ht="45" collapsed="1">
      <c r="A82" s="181" t="s">
        <v>85</v>
      </c>
      <c r="B82" s="174" t="s">
        <v>86</v>
      </c>
      <c r="C82" s="174" t="s">
        <v>16</v>
      </c>
      <c r="D82" s="164">
        <v>1634.7047700000001</v>
      </c>
      <c r="E82" s="1">
        <v>1967.79</v>
      </c>
      <c r="F82" s="1">
        <v>1785</v>
      </c>
      <c r="G82" s="151">
        <v>609.47</v>
      </c>
      <c r="H82" s="133"/>
    </row>
    <row r="83" spans="1:8" ht="15.75" thickBot="1">
      <c r="A83" s="186"/>
      <c r="B83" s="177"/>
      <c r="C83" s="177"/>
      <c r="D83" s="166"/>
      <c r="E83" s="2"/>
      <c r="F83" s="2"/>
      <c r="G83" s="155"/>
      <c r="H83" s="133"/>
    </row>
    <row r="84" spans="1:8" s="103" customFormat="1" ht="15" hidden="1" customHeight="1" outlineLevel="1">
      <c r="A84" s="105" t="s">
        <v>202</v>
      </c>
      <c r="B84" s="106"/>
      <c r="C84" s="106"/>
      <c r="D84" s="108"/>
      <c r="E84" s="108"/>
      <c r="F84" s="107"/>
      <c r="G84" s="107"/>
      <c r="H84" s="136"/>
    </row>
    <row r="85" spans="1:8" ht="30" hidden="1" customHeight="1" outlineLevel="1">
      <c r="A85" s="109"/>
      <c r="B85" s="110" t="s">
        <v>83</v>
      </c>
      <c r="C85" s="110"/>
      <c r="D85" s="112">
        <v>15236.945074698007</v>
      </c>
      <c r="E85" s="112">
        <v>145180.35999999999</v>
      </c>
      <c r="F85" s="111">
        <v>4677.92</v>
      </c>
      <c r="G85" s="111">
        <v>-5328.88</v>
      </c>
      <c r="H85" s="137"/>
    </row>
    <row r="86" spans="1:8" ht="42" hidden="1" customHeight="1" outlineLevel="1" thickBot="1">
      <c r="A86" s="119" t="s">
        <v>208</v>
      </c>
      <c r="B86" s="120"/>
      <c r="C86" s="120"/>
      <c r="D86" s="104" t="s">
        <v>207</v>
      </c>
      <c r="E86" s="121"/>
      <c r="F86" s="120"/>
      <c r="G86" s="120"/>
      <c r="H86" s="104"/>
    </row>
    <row r="87" spans="1:8" collapsed="1"/>
    <row r="90" spans="1:8" s="729" customFormat="1" ht="15.75">
      <c r="A90" s="729" t="s">
        <v>845</v>
      </c>
      <c r="F90" s="729" t="s">
        <v>847</v>
      </c>
    </row>
    <row r="91" spans="1:8" s="34" customFormat="1" ht="15.75"/>
    <row r="92" spans="1:8">
      <c r="A92" s="114" t="s">
        <v>89</v>
      </c>
    </row>
    <row r="93" spans="1:8">
      <c r="A93" s="115" t="s">
        <v>90</v>
      </c>
    </row>
    <row r="94" spans="1:8">
      <c r="A94" s="115" t="s">
        <v>91</v>
      </c>
    </row>
    <row r="95" spans="1:8">
      <c r="A95" s="115"/>
    </row>
    <row r="96" spans="1:8" s="209" customFormat="1">
      <c r="D96" s="209">
        <v>79827.318064731415</v>
      </c>
      <c r="E96" s="209">
        <v>82690.558694640582</v>
      </c>
      <c r="F96" s="209">
        <v>77914.754563357899</v>
      </c>
      <c r="G96" s="209">
        <v>82690.558694640582</v>
      </c>
    </row>
    <row r="97" spans="2:7" s="209" customFormat="1">
      <c r="D97" s="210">
        <f>D8-D73-D96</f>
        <v>-7.1000000752974302E-4</v>
      </c>
      <c r="E97" s="210">
        <f>E8-E73-E96</f>
        <v>0</v>
      </c>
      <c r="F97" s="210">
        <f>F8-F73-F96</f>
        <v>0</v>
      </c>
    </row>
    <row r="99" spans="2:7" ht="15" hidden="1" customHeight="1" outlineLevel="1">
      <c r="B99" t="s">
        <v>92</v>
      </c>
      <c r="D99">
        <v>787099.89437999995</v>
      </c>
      <c r="E99">
        <v>787099.89437999995</v>
      </c>
      <c r="F99">
        <v>86784.499710000004</v>
      </c>
      <c r="G99">
        <v>22310.290576271189</v>
      </c>
    </row>
    <row r="100" spans="2:7" ht="15" hidden="1" customHeight="1" outlineLevel="1">
      <c r="B100" t="s">
        <v>93</v>
      </c>
      <c r="D100">
        <v>4695.2911399999994</v>
      </c>
      <c r="E100">
        <v>4695.2911399999994</v>
      </c>
      <c r="F100">
        <v>405.70549999999997</v>
      </c>
      <c r="G100">
        <v>0</v>
      </c>
    </row>
    <row r="101" spans="2:7" ht="15" hidden="1" customHeight="1" outlineLevel="1">
      <c r="B101" t="s">
        <v>94</v>
      </c>
      <c r="D101">
        <f>D99-D8+D100</f>
        <v>707614.66979526856</v>
      </c>
      <c r="E101">
        <f>E99-E8+E100</f>
        <v>706985.94682535937</v>
      </c>
      <c r="F101">
        <f>F99-F8+F100</f>
        <v>6035.7706466420968</v>
      </c>
      <c r="G101">
        <f>G99-G8+G100</f>
        <v>-20968.719742426023</v>
      </c>
    </row>
    <row r="102" spans="2:7" ht="15" hidden="1" customHeight="1" outlineLevel="1">
      <c r="B102" t="s">
        <v>95</v>
      </c>
      <c r="D102">
        <v>561805.58259459934</v>
      </c>
      <c r="E102">
        <v>561805.58259459934</v>
      </c>
      <c r="F102">
        <v>1357.8475581885141</v>
      </c>
      <c r="G102">
        <v>-15639.845696949757</v>
      </c>
    </row>
    <row r="103" spans="2:7" ht="15" hidden="1" customHeight="1" outlineLevel="1">
      <c r="D103">
        <f>D101-D102</f>
        <v>145809.08720066922</v>
      </c>
      <c r="E103">
        <f>E101-E102</f>
        <v>145180.36423076002</v>
      </c>
      <c r="F103">
        <f>F101-F102</f>
        <v>4677.9230884535827</v>
      </c>
      <c r="G103">
        <f>G101-G102</f>
        <v>-5328.8740454762665</v>
      </c>
    </row>
    <row r="104" spans="2:7" ht="15" hidden="1" customHeight="1" outlineLevel="1"/>
    <row r="105" spans="2:7" ht="15" hidden="1" customHeight="1" outlineLevel="1">
      <c r="B105" t="s">
        <v>133</v>
      </c>
      <c r="D105">
        <v>145180.35999999999</v>
      </c>
      <c r="E105">
        <v>145180.35999999999</v>
      </c>
      <c r="F105">
        <v>4677.9191496814701</v>
      </c>
      <c r="G105">
        <v>-5328.8789765096799</v>
      </c>
    </row>
    <row r="106" spans="2:7" ht="15" hidden="1" customHeight="1" outlineLevel="1"/>
    <row r="107" spans="2:7" collapsed="1"/>
  </sheetData>
  <mergeCells count="1">
    <mergeCell ref="A4:F4"/>
  </mergeCells>
  <pageMargins left="0.7" right="0.7" top="0.75" bottom="0.75" header="0.3" footer="0.3"/>
  <pageSetup paperSize="9" scale="5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L89"/>
  <sheetViews>
    <sheetView topLeftCell="A7" workbookViewId="0">
      <selection activeCell="F10" sqref="F10"/>
    </sheetView>
  </sheetViews>
  <sheetFormatPr defaultRowHeight="15" outlineLevelRow="1" outlineLevelCol="1"/>
  <cols>
    <col min="1" max="2" width="9.140625" style="7"/>
    <col min="3" max="3" width="51.42578125" style="7" customWidth="1"/>
    <col min="4" max="5" width="21.5703125" style="7" hidden="1" customWidth="1" outlineLevel="1"/>
    <col min="6" max="6" width="21" style="7" customWidth="1" collapsed="1"/>
    <col min="7" max="7" width="21" style="7" customWidth="1"/>
    <col min="8" max="8" width="20.140625" style="7" customWidth="1"/>
    <col min="9" max="9" width="27.7109375" style="7" customWidth="1"/>
    <col min="10" max="16384" width="9.140625" style="7"/>
  </cols>
  <sheetData>
    <row r="1" spans="2:12">
      <c r="I1" s="117" t="s">
        <v>592</v>
      </c>
    </row>
    <row r="2" spans="2:12" ht="105" hidden="1">
      <c r="I2" s="8" t="s">
        <v>7</v>
      </c>
    </row>
    <row r="3" spans="2:12" ht="52.5" customHeight="1">
      <c r="B3" s="942" t="s">
        <v>260</v>
      </c>
      <c r="C3" s="942"/>
      <c r="D3" s="942"/>
      <c r="E3" s="942"/>
      <c r="F3" s="942"/>
      <c r="G3" s="942"/>
      <c r="H3" s="942"/>
      <c r="I3" s="942"/>
    </row>
    <row r="4" spans="2:12">
      <c r="I4" s="8"/>
    </row>
    <row r="5" spans="2:12" ht="15.75" thickBot="1"/>
    <row r="6" spans="2:12" ht="75" customHeight="1" thickBot="1">
      <c r="B6" s="943" t="s">
        <v>8</v>
      </c>
      <c r="C6" s="945" t="s">
        <v>96</v>
      </c>
      <c r="D6" s="1139" t="s">
        <v>163</v>
      </c>
      <c r="E6" s="1143" t="s">
        <v>134</v>
      </c>
      <c r="F6" s="939" t="s">
        <v>97</v>
      </c>
      <c r="G6" s="940"/>
      <c r="H6" s="941"/>
      <c r="I6" s="1141" t="s">
        <v>98</v>
      </c>
      <c r="L6" s="9"/>
    </row>
    <row r="7" spans="2:12" ht="86.25" thickBot="1">
      <c r="B7" s="944"/>
      <c r="C7" s="946"/>
      <c r="D7" s="1140"/>
      <c r="E7" s="1144"/>
      <c r="F7" s="10" t="s">
        <v>99</v>
      </c>
      <c r="G7" s="11" t="s">
        <v>100</v>
      </c>
      <c r="H7" s="12" t="s">
        <v>101</v>
      </c>
      <c r="I7" s="1142"/>
    </row>
    <row r="8" spans="2:12" ht="23.25" customHeight="1" thickBot="1">
      <c r="B8" s="480">
        <v>1</v>
      </c>
      <c r="C8" s="13">
        <v>2</v>
      </c>
      <c r="D8" s="72"/>
      <c r="E8" s="73"/>
      <c r="F8" s="14">
        <v>3</v>
      </c>
      <c r="G8" s="14">
        <v>4</v>
      </c>
      <c r="H8" s="15">
        <v>5</v>
      </c>
      <c r="I8" s="16">
        <v>6</v>
      </c>
    </row>
    <row r="9" spans="2:12" ht="54.75" customHeight="1" thickBot="1">
      <c r="B9" s="67" t="s">
        <v>14</v>
      </c>
      <c r="C9" s="68" t="s">
        <v>120</v>
      </c>
      <c r="D9" s="74">
        <f>D21</f>
        <v>40203250.843333334</v>
      </c>
      <c r="E9" s="73">
        <f>D9/D20</f>
        <v>0.45401835504426308</v>
      </c>
      <c r="F9" s="69">
        <f>E20*E9*1000</f>
        <v>38219499.276120275</v>
      </c>
      <c r="G9" s="81">
        <f>SUM(G10:G13)</f>
        <v>3120</v>
      </c>
      <c r="H9" s="82">
        <f>SUM(H10:H13)</f>
        <v>132931</v>
      </c>
      <c r="I9" s="70">
        <f t="shared" ref="I9:I14" si="0">F9/G9</f>
        <v>12249.839511577011</v>
      </c>
    </row>
    <row r="10" spans="2:12" s="88" customFormat="1" ht="54.75" customHeight="1" thickBot="1">
      <c r="B10" s="98"/>
      <c r="C10" s="90" t="s">
        <v>139</v>
      </c>
      <c r="D10" s="99"/>
      <c r="E10" s="100"/>
      <c r="F10" s="93">
        <f t="shared" ref="F10:F13" si="1">G10*I10</f>
        <v>34030054.163160935</v>
      </c>
      <c r="G10" s="94">
        <v>2778</v>
      </c>
      <c r="H10" s="95">
        <v>34096</v>
      </c>
      <c r="I10" s="96">
        <f>I9</f>
        <v>12249.839511577011</v>
      </c>
    </row>
    <row r="11" spans="2:12" s="88" customFormat="1" ht="54.75" customHeight="1" thickBot="1">
      <c r="B11" s="98"/>
      <c r="C11" s="90" t="s">
        <v>164</v>
      </c>
      <c r="D11" s="99"/>
      <c r="E11" s="100"/>
      <c r="F11" s="93">
        <f t="shared" si="1"/>
        <v>2168221.593549131</v>
      </c>
      <c r="G11" s="94">
        <v>177</v>
      </c>
      <c r="H11" s="95">
        <v>8059</v>
      </c>
      <c r="I11" s="96">
        <f t="shared" ref="I11:I13" si="2">I10</f>
        <v>12249.839511577011</v>
      </c>
    </row>
    <row r="12" spans="2:12" s="88" customFormat="1" ht="54.75" customHeight="1" thickBot="1">
      <c r="B12" s="98"/>
      <c r="C12" s="90" t="s">
        <v>165</v>
      </c>
      <c r="D12" s="99"/>
      <c r="E12" s="100"/>
      <c r="F12" s="93">
        <f t="shared" si="1"/>
        <v>808489.40776408277</v>
      </c>
      <c r="G12" s="94">
        <v>66</v>
      </c>
      <c r="H12" s="95">
        <v>16027</v>
      </c>
      <c r="I12" s="96">
        <f t="shared" si="2"/>
        <v>12249.839511577011</v>
      </c>
    </row>
    <row r="13" spans="2:12" s="88" customFormat="1" ht="54.75" customHeight="1" thickBot="1">
      <c r="B13" s="98"/>
      <c r="C13" s="90" t="s">
        <v>166</v>
      </c>
      <c r="D13" s="99"/>
      <c r="E13" s="100"/>
      <c r="F13" s="93">
        <f t="shared" si="1"/>
        <v>1212734.1116461242</v>
      </c>
      <c r="G13" s="94">
        <v>99</v>
      </c>
      <c r="H13" s="95">
        <v>74749</v>
      </c>
      <c r="I13" s="96">
        <f t="shared" si="2"/>
        <v>12249.839511577011</v>
      </c>
    </row>
    <row r="14" spans="2:12" ht="57" customHeight="1" thickBot="1">
      <c r="B14" s="67" t="s">
        <v>135</v>
      </c>
      <c r="C14" s="68" t="s">
        <v>121</v>
      </c>
      <c r="D14" s="74">
        <f>D22</f>
        <v>48346585.075555548</v>
      </c>
      <c r="E14" s="73">
        <f>D14/D20</f>
        <v>0.54598164495573687</v>
      </c>
      <c r="F14" s="69">
        <f>E14*E20*1000</f>
        <v>45961016.448611125</v>
      </c>
      <c r="G14" s="81">
        <f>SUM(G15:G18)</f>
        <v>3120</v>
      </c>
      <c r="H14" s="82">
        <f>SUM(H15:H18)</f>
        <v>132931</v>
      </c>
      <c r="I14" s="70">
        <f t="shared" si="0"/>
        <v>14731.095015580489</v>
      </c>
    </row>
    <row r="15" spans="2:12" ht="57" customHeight="1" thickBot="1">
      <c r="B15" s="89"/>
      <c r="C15" s="90" t="s">
        <v>139</v>
      </c>
      <c r="D15" s="91"/>
      <c r="E15" s="92"/>
      <c r="F15" s="93">
        <f>G15*I15</f>
        <v>40922981.953282602</v>
      </c>
      <c r="G15" s="94">
        <f t="shared" ref="G15:H18" si="3">G10</f>
        <v>2778</v>
      </c>
      <c r="H15" s="95">
        <f t="shared" si="3"/>
        <v>34096</v>
      </c>
      <c r="I15" s="96">
        <f>I14</f>
        <v>14731.095015580489</v>
      </c>
    </row>
    <row r="16" spans="2:12" ht="57" customHeight="1" thickBot="1">
      <c r="B16" s="89"/>
      <c r="C16" s="90" t="s">
        <v>164</v>
      </c>
      <c r="D16" s="91"/>
      <c r="E16" s="92"/>
      <c r="F16" s="93">
        <f t="shared" ref="F16:F18" si="4">G16*I16</f>
        <v>2607403.8177577467</v>
      </c>
      <c r="G16" s="94">
        <f t="shared" si="3"/>
        <v>177</v>
      </c>
      <c r="H16" s="95">
        <f t="shared" si="3"/>
        <v>8059</v>
      </c>
      <c r="I16" s="96">
        <f t="shared" ref="I16:I18" si="5">I15</f>
        <v>14731.095015580489</v>
      </c>
    </row>
    <row r="17" spans="2:9" ht="57" customHeight="1" thickBot="1">
      <c r="B17" s="89"/>
      <c r="C17" s="90" t="s">
        <v>165</v>
      </c>
      <c r="D17" s="91"/>
      <c r="E17" s="92"/>
      <c r="F17" s="93">
        <f t="shared" si="4"/>
        <v>972252.27102831227</v>
      </c>
      <c r="G17" s="94">
        <f t="shared" si="3"/>
        <v>66</v>
      </c>
      <c r="H17" s="95">
        <f t="shared" si="3"/>
        <v>16027</v>
      </c>
      <c r="I17" s="96">
        <f t="shared" si="5"/>
        <v>14731.095015580489</v>
      </c>
    </row>
    <row r="18" spans="2:9" ht="57" customHeight="1" thickBot="1">
      <c r="B18" s="89"/>
      <c r="C18" s="90" t="s">
        <v>166</v>
      </c>
      <c r="D18" s="91"/>
      <c r="E18" s="92"/>
      <c r="F18" s="93">
        <f t="shared" si="4"/>
        <v>1458378.4065424684</v>
      </c>
      <c r="G18" s="94">
        <f t="shared" si="3"/>
        <v>99</v>
      </c>
      <c r="H18" s="95">
        <f t="shared" si="3"/>
        <v>74749</v>
      </c>
      <c r="I18" s="96">
        <f t="shared" si="5"/>
        <v>14731.095015580489</v>
      </c>
    </row>
    <row r="19" spans="2:9" ht="42.75" customHeight="1" thickBot="1">
      <c r="B19" s="67" t="s">
        <v>191</v>
      </c>
      <c r="C19" s="68" t="s">
        <v>201</v>
      </c>
      <c r="D19" s="74"/>
      <c r="E19" s="73"/>
      <c r="F19" s="69">
        <f>F9+F14</f>
        <v>84180515.724731401</v>
      </c>
      <c r="G19" s="81">
        <f>G9</f>
        <v>3120</v>
      </c>
      <c r="H19" s="82">
        <f>H9</f>
        <v>132931</v>
      </c>
      <c r="I19" s="70">
        <f t="shared" ref="I19" si="6">F19/G19</f>
        <v>26980.9345271575</v>
      </c>
    </row>
    <row r="20" spans="2:9" ht="34.5" hidden="1" customHeight="1" outlineLevel="1" thickBot="1">
      <c r="B20" s="480"/>
      <c r="C20" s="13"/>
      <c r="D20" s="74">
        <f>D9+D14</f>
        <v>88549835.918888882</v>
      </c>
      <c r="E20" s="75">
        <v>84180.515724731405</v>
      </c>
      <c r="F20" s="40">
        <f>F9+F14</f>
        <v>84180515.724731401</v>
      </c>
      <c r="G20" s="188">
        <f>G9</f>
        <v>3120</v>
      </c>
      <c r="H20" s="16">
        <v>116892</v>
      </c>
      <c r="I20" s="71">
        <f>F20/G20</f>
        <v>26980.9345271575</v>
      </c>
    </row>
    <row r="21" spans="2:9" ht="61.5" hidden="1" customHeight="1" outlineLevel="1">
      <c r="B21" s="17" t="s">
        <v>102</v>
      </c>
      <c r="C21" s="18" t="s">
        <v>103</v>
      </c>
      <c r="D21" s="76">
        <v>40203250.843333334</v>
      </c>
      <c r="E21" s="77"/>
      <c r="F21" s="19"/>
      <c r="G21" s="189"/>
      <c r="H21" s="21"/>
      <c r="I21" s="22"/>
    </row>
    <row r="22" spans="2:9" ht="30" hidden="1" outlineLevel="1">
      <c r="B22" s="23" t="s">
        <v>104</v>
      </c>
      <c r="C22" s="24" t="s">
        <v>105</v>
      </c>
      <c r="D22" s="76">
        <v>48346585.075555548</v>
      </c>
      <c r="E22" s="78"/>
      <c r="F22" s="25"/>
      <c r="G22" s="483"/>
      <c r="H22" s="26"/>
      <c r="I22" s="484"/>
    </row>
    <row r="23" spans="2:9" ht="45" hidden="1" outlineLevel="1">
      <c r="B23" s="23" t="s">
        <v>106</v>
      </c>
      <c r="C23" s="24" t="s">
        <v>107</v>
      </c>
      <c r="D23" s="76"/>
      <c r="E23" s="78"/>
      <c r="F23" s="25"/>
      <c r="G23" s="483"/>
      <c r="H23" s="26"/>
      <c r="I23" s="484"/>
    </row>
    <row r="24" spans="2:9" ht="30" hidden="1" outlineLevel="1">
      <c r="B24" s="23" t="s">
        <v>108</v>
      </c>
      <c r="C24" s="24" t="s">
        <v>109</v>
      </c>
      <c r="D24" s="76"/>
      <c r="E24" s="78"/>
      <c r="F24" s="25"/>
      <c r="G24" s="483"/>
      <c r="H24" s="26"/>
      <c r="I24" s="484"/>
    </row>
    <row r="25" spans="2:9" ht="45" hidden="1" outlineLevel="1">
      <c r="B25" s="23" t="s">
        <v>110</v>
      </c>
      <c r="C25" s="24" t="s">
        <v>111</v>
      </c>
      <c r="D25" s="76"/>
      <c r="E25" s="78"/>
      <c r="F25" s="25"/>
      <c r="G25" s="483"/>
      <c r="H25" s="26"/>
      <c r="I25" s="484"/>
    </row>
    <row r="26" spans="2:9" ht="45" hidden="1" outlineLevel="1">
      <c r="B26" s="485" t="s">
        <v>112</v>
      </c>
      <c r="C26" s="486" t="s">
        <v>113</v>
      </c>
      <c r="D26" s="76"/>
      <c r="E26" s="487"/>
      <c r="F26" s="488"/>
      <c r="G26" s="489"/>
      <c r="H26" s="490"/>
      <c r="I26" s="491"/>
    </row>
    <row r="27" spans="2:9" ht="30.75" hidden="1" customHeight="1" outlineLevel="1" thickBot="1">
      <c r="B27" s="27"/>
      <c r="C27" s="28" t="s">
        <v>114</v>
      </c>
      <c r="D27" s="80">
        <f>SUM(D21:D26)</f>
        <v>88549835.918888882</v>
      </c>
      <c r="E27" s="79"/>
      <c r="F27" s="29"/>
      <c r="G27" s="30"/>
      <c r="H27" s="31"/>
      <c r="I27" s="32"/>
    </row>
    <row r="28" spans="2:9" collapsed="1"/>
    <row r="30" spans="2:9" ht="15.75">
      <c r="B30" s="33"/>
      <c r="C30" s="34"/>
      <c r="D30" s="34"/>
      <c r="E30" s="34"/>
      <c r="F30" s="34"/>
      <c r="G30" s="34"/>
    </row>
    <row r="31" spans="2:9" s="731" customFormat="1" ht="19.5" customHeight="1">
      <c r="B31" s="732" t="s">
        <v>200</v>
      </c>
      <c r="C31" s="732"/>
      <c r="E31" s="726"/>
      <c r="G31" s="726"/>
      <c r="H31" s="733"/>
      <c r="I31" s="732" t="s">
        <v>706</v>
      </c>
    </row>
    <row r="32" spans="2:9" s="730" customFormat="1" ht="19.5"/>
    <row r="33" spans="2:9" s="729" customFormat="1" ht="15.75">
      <c r="B33" s="729" t="s">
        <v>845</v>
      </c>
      <c r="I33" s="729" t="s">
        <v>847</v>
      </c>
    </row>
    <row r="34" spans="2:9" ht="15.75">
      <c r="B34" s="34"/>
      <c r="C34" s="34"/>
      <c r="D34" s="34"/>
      <c r="E34" s="34"/>
      <c r="F34" s="34"/>
      <c r="G34" s="34"/>
      <c r="I34" s="34"/>
    </row>
    <row r="35" spans="2:9">
      <c r="B35"/>
      <c r="C35"/>
      <c r="D35"/>
      <c r="E35"/>
      <c r="F35"/>
      <c r="G35"/>
    </row>
    <row r="36" spans="2:9">
      <c r="B36" t="s">
        <v>89</v>
      </c>
      <c r="C36"/>
      <c r="D36"/>
      <c r="E36"/>
      <c r="F36"/>
      <c r="G36"/>
    </row>
    <row r="37" spans="2:9">
      <c r="B37" s="5" t="s">
        <v>90</v>
      </c>
      <c r="C37"/>
      <c r="D37"/>
      <c r="E37"/>
      <c r="F37"/>
      <c r="G37"/>
    </row>
    <row r="38" spans="2:9">
      <c r="B38" s="5" t="s">
        <v>91</v>
      </c>
      <c r="C38"/>
      <c r="D38"/>
      <c r="E38"/>
      <c r="F38"/>
      <c r="G38"/>
    </row>
    <row r="39" spans="2:9">
      <c r="B39"/>
      <c r="C39"/>
      <c r="D39"/>
      <c r="E39"/>
      <c r="F39"/>
      <c r="G39"/>
    </row>
    <row r="82" spans="4:7">
      <c r="G82" s="139">
        <v>1634</v>
      </c>
    </row>
    <row r="83" spans="4:7">
      <c r="G83" s="7">
        <v>1634.7047713702759</v>
      </c>
    </row>
    <row r="85" spans="4:7">
      <c r="G85" s="7">
        <v>0</v>
      </c>
    </row>
    <row r="89" spans="4:7">
      <c r="D89" s="7">
        <v>1634.7047713702759</v>
      </c>
    </row>
  </sheetData>
  <mergeCells count="7">
    <mergeCell ref="B3:I3"/>
    <mergeCell ref="B6:B7"/>
    <mergeCell ref="C6:C7"/>
    <mergeCell ref="D6:D7"/>
    <mergeCell ref="F6:H6"/>
    <mergeCell ref="I6:I7"/>
    <mergeCell ref="E6:E7"/>
  </mergeCells>
  <pageMargins left="0.7" right="0.7" top="0.75" bottom="0.75" header="0.3" footer="0.3"/>
  <pageSetup paperSize="9" scale="2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L40"/>
  <sheetViews>
    <sheetView topLeftCell="C17" workbookViewId="0">
      <selection activeCell="E20" sqref="E20"/>
    </sheetView>
  </sheetViews>
  <sheetFormatPr defaultRowHeight="15" outlineLevelRow="1" outlineLevelCol="1"/>
  <cols>
    <col min="1" max="2" width="9.140625" style="7"/>
    <col min="3" max="3" width="50.140625" style="7" customWidth="1"/>
    <col min="4" max="5" width="21.5703125" style="7" hidden="1" customWidth="1" outlineLevel="1"/>
    <col min="6" max="6" width="21" style="7" customWidth="1" collapsed="1"/>
    <col min="7" max="7" width="21" style="7" customWidth="1"/>
    <col min="8" max="8" width="20.140625" style="7" customWidth="1"/>
    <col min="9" max="9" width="29.28515625" style="7" customWidth="1"/>
    <col min="10" max="16384" width="9.140625" style="7"/>
  </cols>
  <sheetData>
    <row r="1" spans="2:12">
      <c r="I1" s="117" t="s">
        <v>593</v>
      </c>
    </row>
    <row r="2" spans="2:12" ht="105" hidden="1">
      <c r="I2" s="8" t="s">
        <v>7</v>
      </c>
    </row>
    <row r="3" spans="2:12" ht="54" customHeight="1">
      <c r="B3" s="942" t="s">
        <v>248</v>
      </c>
      <c r="C3" s="942"/>
      <c r="D3" s="942"/>
      <c r="E3" s="942"/>
      <c r="F3" s="942"/>
      <c r="G3" s="942"/>
      <c r="H3" s="942"/>
      <c r="I3" s="942"/>
    </row>
    <row r="4" spans="2:12">
      <c r="I4" s="8"/>
    </row>
    <row r="5" spans="2:12" ht="15.75" thickBot="1"/>
    <row r="6" spans="2:12" ht="75" customHeight="1" thickBot="1">
      <c r="B6" s="943" t="s">
        <v>8</v>
      </c>
      <c r="C6" s="945" t="s">
        <v>96</v>
      </c>
      <c r="D6" s="1139" t="s">
        <v>163</v>
      </c>
      <c r="E6" s="1143" t="s">
        <v>134</v>
      </c>
      <c r="F6" s="939" t="s">
        <v>97</v>
      </c>
      <c r="G6" s="940"/>
      <c r="H6" s="941"/>
      <c r="I6" s="1141" t="s">
        <v>98</v>
      </c>
      <c r="L6" s="9"/>
    </row>
    <row r="7" spans="2:12" ht="86.25" thickBot="1">
      <c r="B7" s="944"/>
      <c r="C7" s="946"/>
      <c r="D7" s="1140"/>
      <c r="E7" s="1144"/>
      <c r="F7" s="10" t="s">
        <v>99</v>
      </c>
      <c r="G7" s="11" t="s">
        <v>100</v>
      </c>
      <c r="H7" s="12" t="s">
        <v>101</v>
      </c>
      <c r="I7" s="1142"/>
    </row>
    <row r="8" spans="2:12" ht="23.25" customHeight="1" thickBot="1">
      <c r="B8" s="480">
        <v>1</v>
      </c>
      <c r="C8" s="13">
        <v>2</v>
      </c>
      <c r="D8" s="72"/>
      <c r="E8" s="73"/>
      <c r="F8" s="14">
        <v>3</v>
      </c>
      <c r="G8" s="14">
        <v>4</v>
      </c>
      <c r="H8" s="15">
        <v>5</v>
      </c>
      <c r="I8" s="16">
        <v>6</v>
      </c>
    </row>
    <row r="9" spans="2:12" ht="54.75" customHeight="1" thickBot="1">
      <c r="B9" s="67"/>
      <c r="C9" s="68" t="s">
        <v>120</v>
      </c>
      <c r="D9" s="74">
        <f>D21</f>
        <v>26564927.749999996</v>
      </c>
      <c r="E9" s="73">
        <f>D9/D20</f>
        <v>0.53880879662165215</v>
      </c>
      <c r="F9" s="69">
        <f>E20*E9*1000</f>
        <v>45695963.843457773</v>
      </c>
      <c r="G9" s="81">
        <f>SUM(G10:G13)</f>
        <v>3293</v>
      </c>
      <c r="H9" s="82">
        <v>117839</v>
      </c>
      <c r="I9" s="70">
        <f t="shared" ref="I9:I14" si="0">F9/G9</f>
        <v>13876.69718902453</v>
      </c>
    </row>
    <row r="10" spans="2:12" s="88" customFormat="1" ht="54.75" customHeight="1" outlineLevel="1" thickBot="1">
      <c r="B10" s="98"/>
      <c r="C10" s="90" t="s">
        <v>139</v>
      </c>
      <c r="D10" s="99"/>
      <c r="E10" s="100"/>
      <c r="F10" s="93">
        <f>G10*I10</f>
        <v>40630969.369463824</v>
      </c>
      <c r="G10" s="94">
        <v>2928</v>
      </c>
      <c r="H10" s="95">
        <v>35262</v>
      </c>
      <c r="I10" s="96">
        <f>I9</f>
        <v>13876.69718902453</v>
      </c>
    </row>
    <row r="11" spans="2:12" s="88" customFormat="1" ht="54.75" customHeight="1" outlineLevel="1" thickBot="1">
      <c r="B11" s="98"/>
      <c r="C11" s="90" t="s">
        <v>164</v>
      </c>
      <c r="D11" s="99"/>
      <c r="E11" s="100"/>
      <c r="F11" s="93">
        <f t="shared" ref="F11:F13" si="1">G11*I11</f>
        <v>2553312.2827805136</v>
      </c>
      <c r="G11" s="94">
        <v>184</v>
      </c>
      <c r="H11" s="95">
        <v>7918</v>
      </c>
      <c r="I11" s="96">
        <f>I10</f>
        <v>13876.69718902453</v>
      </c>
    </row>
    <row r="12" spans="2:12" s="88" customFormat="1" ht="54.75" customHeight="1" outlineLevel="1" thickBot="1">
      <c r="B12" s="98"/>
      <c r="C12" s="90" t="s">
        <v>165</v>
      </c>
      <c r="D12" s="99"/>
      <c r="E12" s="100"/>
      <c r="F12" s="93">
        <f t="shared" si="1"/>
        <v>1387669.7189024528</v>
      </c>
      <c r="G12" s="94">
        <v>100</v>
      </c>
      <c r="H12" s="95">
        <v>17968</v>
      </c>
      <c r="I12" s="96">
        <f>I11</f>
        <v>13876.69718902453</v>
      </c>
    </row>
    <row r="13" spans="2:12" s="88" customFormat="1" ht="54.75" customHeight="1" outlineLevel="1" thickBot="1">
      <c r="B13" s="98"/>
      <c r="C13" s="90" t="s">
        <v>166</v>
      </c>
      <c r="D13" s="99"/>
      <c r="E13" s="100"/>
      <c r="F13" s="93">
        <f t="shared" si="1"/>
        <v>1124012.4723109868</v>
      </c>
      <c r="G13" s="94">
        <v>81</v>
      </c>
      <c r="H13" s="95">
        <v>56691</v>
      </c>
      <c r="I13" s="96">
        <f>I12</f>
        <v>13876.69718902453</v>
      </c>
    </row>
    <row r="14" spans="2:12" ht="57" customHeight="1" thickBot="1">
      <c r="B14" s="67"/>
      <c r="C14" s="68" t="s">
        <v>121</v>
      </c>
      <c r="D14" s="74">
        <f>D24+D26</f>
        <v>22738142.126666669</v>
      </c>
      <c r="E14" s="73">
        <f>D14/D20</f>
        <v>0.46119120337834779</v>
      </c>
      <c r="F14" s="69">
        <f>E14*E20*1000</f>
        <v>39113274.851182848</v>
      </c>
      <c r="G14" s="81">
        <f>SUM(G15:G18)</f>
        <v>3293</v>
      </c>
      <c r="H14" s="82">
        <f>SUM(H15:H18)</f>
        <v>117839</v>
      </c>
      <c r="I14" s="70">
        <f t="shared" si="0"/>
        <v>11877.702657510734</v>
      </c>
    </row>
    <row r="15" spans="2:12" s="88" customFormat="1" ht="54.75" customHeight="1" thickBot="1">
      <c r="B15" s="98"/>
      <c r="C15" s="90" t="s">
        <v>139</v>
      </c>
      <c r="D15" s="99"/>
      <c r="E15" s="100"/>
      <c r="F15" s="93">
        <f>G15*I15</f>
        <v>34777913.381191425</v>
      </c>
      <c r="G15" s="94">
        <f>G10</f>
        <v>2928</v>
      </c>
      <c r="H15" s="95">
        <f t="shared" ref="H15:H18" si="2">H10</f>
        <v>35262</v>
      </c>
      <c r="I15" s="96">
        <f>I14</f>
        <v>11877.702657510734</v>
      </c>
    </row>
    <row r="16" spans="2:12" s="88" customFormat="1" ht="54.75" customHeight="1" thickBot="1">
      <c r="B16" s="98"/>
      <c r="C16" s="90" t="s">
        <v>164</v>
      </c>
      <c r="D16" s="99"/>
      <c r="E16" s="100"/>
      <c r="F16" s="93">
        <f t="shared" ref="F16:F18" si="3">G16*I16</f>
        <v>2185497.2889819751</v>
      </c>
      <c r="G16" s="94">
        <f t="shared" ref="G16:G18" si="4">G11</f>
        <v>184</v>
      </c>
      <c r="H16" s="95">
        <f t="shared" si="2"/>
        <v>7918</v>
      </c>
      <c r="I16" s="96">
        <f t="shared" ref="I16:I18" si="5">I15</f>
        <v>11877.702657510734</v>
      </c>
    </row>
    <row r="17" spans="2:9" s="88" customFormat="1" ht="54.75" customHeight="1" thickBot="1">
      <c r="B17" s="98"/>
      <c r="C17" s="90" t="s">
        <v>165</v>
      </c>
      <c r="D17" s="99"/>
      <c r="E17" s="100"/>
      <c r="F17" s="93">
        <f t="shared" si="3"/>
        <v>1187770.2657510734</v>
      </c>
      <c r="G17" s="94">
        <f t="shared" si="4"/>
        <v>100</v>
      </c>
      <c r="H17" s="95">
        <f t="shared" si="2"/>
        <v>17968</v>
      </c>
      <c r="I17" s="96">
        <f t="shared" si="5"/>
        <v>11877.702657510734</v>
      </c>
    </row>
    <row r="18" spans="2:9" s="88" customFormat="1" ht="54.75" customHeight="1" thickBot="1">
      <c r="B18" s="98"/>
      <c r="C18" s="90" t="s">
        <v>166</v>
      </c>
      <c r="D18" s="99"/>
      <c r="E18" s="100"/>
      <c r="F18" s="93">
        <f t="shared" si="3"/>
        <v>962093.91525836941</v>
      </c>
      <c r="G18" s="94">
        <f t="shared" si="4"/>
        <v>81</v>
      </c>
      <c r="H18" s="95">
        <f t="shared" si="2"/>
        <v>56691</v>
      </c>
      <c r="I18" s="96">
        <f t="shared" si="5"/>
        <v>11877.702657510734</v>
      </c>
    </row>
    <row r="19" spans="2:9" s="88" customFormat="1" ht="54.75" customHeight="1" thickBot="1">
      <c r="B19" s="67" t="s">
        <v>191</v>
      </c>
      <c r="C19" s="68" t="s">
        <v>201</v>
      </c>
      <c r="D19" s="74"/>
      <c r="E19" s="73"/>
      <c r="F19" s="69">
        <f>F9+F14</f>
        <v>84809238.694640622</v>
      </c>
      <c r="G19" s="81">
        <f>G9</f>
        <v>3293</v>
      </c>
      <c r="H19" s="82">
        <f>H9</f>
        <v>117839</v>
      </c>
      <c r="I19" s="70">
        <f t="shared" ref="I19" si="6">F19/G19</f>
        <v>25754.399846535263</v>
      </c>
    </row>
    <row r="20" spans="2:9" ht="34.5" customHeight="1" outlineLevel="1" thickBot="1">
      <c r="B20" s="480"/>
      <c r="C20" s="13"/>
      <c r="D20" s="74">
        <f>D9+D14</f>
        <v>49303069.876666665</v>
      </c>
      <c r="E20" s="75">
        <v>84809.238694640619</v>
      </c>
      <c r="F20" s="40">
        <f>F9+F14</f>
        <v>84809238.694640622</v>
      </c>
      <c r="G20" s="15">
        <v>2462</v>
      </c>
      <c r="H20" s="16">
        <v>117839</v>
      </c>
      <c r="I20" s="481">
        <f>F20/G20</f>
        <v>34447.294352006749</v>
      </c>
    </row>
    <row r="21" spans="2:9" ht="61.5" customHeight="1" outlineLevel="1">
      <c r="B21" s="17" t="s">
        <v>102</v>
      </c>
      <c r="C21" s="18" t="s">
        <v>103</v>
      </c>
      <c r="D21" s="76">
        <v>26564927.749999996</v>
      </c>
      <c r="E21" s="77"/>
      <c r="F21" s="19"/>
      <c r="G21" s="20"/>
      <c r="H21" s="21"/>
      <c r="I21" s="22"/>
    </row>
    <row r="22" spans="2:9" ht="30" outlineLevel="1">
      <c r="B22" s="23" t="s">
        <v>104</v>
      </c>
      <c r="C22" s="24" t="s">
        <v>105</v>
      </c>
      <c r="D22" s="492"/>
      <c r="E22" s="78"/>
      <c r="F22" s="25"/>
      <c r="G22" s="483"/>
      <c r="H22" s="26"/>
      <c r="I22" s="484"/>
    </row>
    <row r="23" spans="2:9" ht="45" outlineLevel="1">
      <c r="B23" s="23" t="s">
        <v>106</v>
      </c>
      <c r="C23" s="24" t="s">
        <v>107</v>
      </c>
      <c r="D23" s="492"/>
      <c r="E23" s="78"/>
      <c r="F23" s="25"/>
      <c r="G23" s="483"/>
      <c r="H23" s="26"/>
      <c r="I23" s="484"/>
    </row>
    <row r="24" spans="2:9" ht="30" outlineLevel="1">
      <c r="B24" s="23" t="s">
        <v>108</v>
      </c>
      <c r="C24" s="24" t="s">
        <v>109</v>
      </c>
      <c r="D24" s="493">
        <v>14481662.376666667</v>
      </c>
      <c r="E24" s="78"/>
      <c r="F24" s="25"/>
      <c r="G24" s="483"/>
      <c r="H24" s="26"/>
      <c r="I24" s="484"/>
    </row>
    <row r="25" spans="2:9" ht="45" outlineLevel="1">
      <c r="B25" s="23" t="s">
        <v>110</v>
      </c>
      <c r="C25" s="24" t="s">
        <v>111</v>
      </c>
      <c r="D25" s="493">
        <v>128616.15999999999</v>
      </c>
      <c r="E25" s="78"/>
      <c r="F25" s="25"/>
      <c r="G25" s="483"/>
      <c r="H25" s="26"/>
      <c r="I25" s="484"/>
    </row>
    <row r="26" spans="2:9" ht="45.75" outlineLevel="1" thickBot="1">
      <c r="B26" s="485" t="s">
        <v>112</v>
      </c>
      <c r="C26" s="486" t="s">
        <v>113</v>
      </c>
      <c r="D26" s="494">
        <v>8256479.7500000009</v>
      </c>
      <c r="E26" s="487"/>
      <c r="F26" s="488"/>
      <c r="G26" s="489"/>
      <c r="H26" s="490"/>
      <c r="I26" s="491"/>
    </row>
    <row r="27" spans="2:9" ht="30.75" customHeight="1" outlineLevel="1" thickBot="1">
      <c r="B27" s="27"/>
      <c r="C27" s="28" t="s">
        <v>114</v>
      </c>
      <c r="D27" s="74">
        <f>D21+D24+D25+D26</f>
        <v>49431686.036666662</v>
      </c>
      <c r="E27" s="79"/>
      <c r="F27" s="29"/>
      <c r="G27" s="30"/>
      <c r="H27" s="31"/>
      <c r="I27" s="32"/>
    </row>
    <row r="30" spans="2:9" s="731" customFormat="1" ht="19.5" customHeight="1">
      <c r="B30" s="732" t="s">
        <v>200</v>
      </c>
      <c r="C30" s="732"/>
      <c r="E30" s="726"/>
      <c r="G30" s="726"/>
      <c r="H30" s="733"/>
      <c r="I30" s="732" t="s">
        <v>706</v>
      </c>
    </row>
    <row r="31" spans="2:9" s="730" customFormat="1" ht="19.5"/>
    <row r="32" spans="2:9" s="729" customFormat="1" ht="15.75">
      <c r="B32" s="729" t="s">
        <v>845</v>
      </c>
      <c r="I32" s="729" t="s">
        <v>847</v>
      </c>
    </row>
    <row r="33" spans="2:9" ht="15.75" hidden="1">
      <c r="B33" s="33" t="s">
        <v>87</v>
      </c>
      <c r="C33" s="34"/>
      <c r="D33" s="34"/>
      <c r="E33" s="34"/>
      <c r="F33" s="34"/>
      <c r="G33" s="34"/>
    </row>
    <row r="34" spans="2:9" ht="15.75" hidden="1">
      <c r="B34" s="34" t="s">
        <v>88</v>
      </c>
      <c r="C34" s="34"/>
      <c r="D34" s="34"/>
      <c r="E34" s="34"/>
      <c r="F34" s="34"/>
      <c r="G34" s="34"/>
      <c r="I34" s="116" t="s">
        <v>252</v>
      </c>
    </row>
    <row r="35" spans="2:9" ht="15.75">
      <c r="B35" s="34"/>
      <c r="C35" s="34"/>
      <c r="D35" s="34"/>
      <c r="E35" s="34"/>
      <c r="F35" s="34"/>
      <c r="G35" s="34"/>
      <c r="I35" s="34"/>
    </row>
    <row r="36" spans="2:9">
      <c r="B36"/>
      <c r="C36"/>
      <c r="D36"/>
      <c r="E36"/>
      <c r="F36"/>
      <c r="G36"/>
    </row>
    <row r="37" spans="2:9">
      <c r="B37" t="s">
        <v>89</v>
      </c>
      <c r="C37"/>
      <c r="D37"/>
      <c r="E37"/>
      <c r="F37"/>
      <c r="G37"/>
    </row>
    <row r="38" spans="2:9">
      <c r="B38" s="5" t="s">
        <v>90</v>
      </c>
      <c r="C38"/>
      <c r="D38"/>
      <c r="E38"/>
      <c r="F38"/>
      <c r="G38"/>
    </row>
    <row r="39" spans="2:9">
      <c r="B39" s="5" t="s">
        <v>91</v>
      </c>
      <c r="C39"/>
      <c r="D39"/>
      <c r="E39"/>
      <c r="F39"/>
      <c r="G39"/>
    </row>
    <row r="40" spans="2:9">
      <c r="B40"/>
      <c r="C40"/>
      <c r="D40"/>
      <c r="E40"/>
      <c r="F40"/>
      <c r="G40"/>
    </row>
  </sheetData>
  <mergeCells count="7">
    <mergeCell ref="B3:I3"/>
    <mergeCell ref="B6:B7"/>
    <mergeCell ref="C6:C7"/>
    <mergeCell ref="D6:D7"/>
    <mergeCell ref="F6:H6"/>
    <mergeCell ref="I6:I7"/>
    <mergeCell ref="E6:E7"/>
  </mergeCells>
  <pageMargins left="0.7" right="0.7" top="0.75" bottom="0.75" header="0.3" footer="0.3"/>
  <pageSetup paperSize="9" scale="3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O41"/>
  <sheetViews>
    <sheetView topLeftCell="B16" workbookViewId="0">
      <selection activeCell="F9" sqref="F9"/>
    </sheetView>
  </sheetViews>
  <sheetFormatPr defaultRowHeight="15" outlineLevelRow="1" outlineLevelCol="1"/>
  <cols>
    <col min="1" max="2" width="9.140625" style="7"/>
    <col min="3" max="3" width="50.140625" style="7" customWidth="1"/>
    <col min="4" max="5" width="21.5703125" style="7" hidden="1" customWidth="1" outlineLevel="1"/>
    <col min="6" max="6" width="21" style="7" customWidth="1" collapsed="1"/>
    <col min="7" max="7" width="21" style="7" customWidth="1"/>
    <col min="8" max="8" width="20.140625" style="7" customWidth="1"/>
    <col min="9" max="9" width="29.140625" style="7" customWidth="1"/>
    <col min="10" max="11" width="9.140625" style="7"/>
    <col min="12" max="12" width="10.7109375" style="7" bestFit="1" customWidth="1"/>
    <col min="13" max="13" width="15.7109375" style="7" customWidth="1"/>
    <col min="14" max="14" width="12.140625" style="7" bestFit="1" customWidth="1"/>
    <col min="15" max="15" width="14.28515625" style="7" bestFit="1" customWidth="1"/>
    <col min="16" max="16384" width="9.140625" style="7"/>
  </cols>
  <sheetData>
    <row r="1" spans="2:15">
      <c r="I1" s="117" t="s">
        <v>594</v>
      </c>
    </row>
    <row r="2" spans="2:15" ht="105" hidden="1">
      <c r="I2" s="8" t="s">
        <v>7</v>
      </c>
    </row>
    <row r="3" spans="2:15" ht="75.75" customHeight="1">
      <c r="B3" s="942" t="s">
        <v>249</v>
      </c>
      <c r="C3" s="942"/>
      <c r="D3" s="942"/>
      <c r="E3" s="942"/>
      <c r="F3" s="942"/>
      <c r="G3" s="942"/>
      <c r="H3" s="942"/>
      <c r="I3" s="942"/>
    </row>
    <row r="4" spans="2:15">
      <c r="B4" s="482"/>
      <c r="C4" s="482"/>
      <c r="D4" s="482"/>
      <c r="E4" s="482"/>
      <c r="F4" s="482"/>
      <c r="G4" s="482"/>
      <c r="H4" s="482"/>
      <c r="I4" s="482"/>
    </row>
    <row r="5" spans="2:15" ht="15.75" thickBot="1">
      <c r="I5" s="8"/>
    </row>
    <row r="6" spans="2:15" ht="75" customHeight="1" thickBot="1">
      <c r="B6" s="943" t="s">
        <v>8</v>
      </c>
      <c r="C6" s="945" t="s">
        <v>96</v>
      </c>
      <c r="D6" s="1139" t="s">
        <v>163</v>
      </c>
      <c r="E6" s="1143" t="s">
        <v>134</v>
      </c>
      <c r="F6" s="939" t="s">
        <v>97</v>
      </c>
      <c r="G6" s="940"/>
      <c r="H6" s="941"/>
      <c r="I6" s="1141" t="s">
        <v>98</v>
      </c>
      <c r="L6" s="9"/>
    </row>
    <row r="7" spans="2:15" ht="86.25" thickBot="1">
      <c r="B7" s="944"/>
      <c r="C7" s="946"/>
      <c r="D7" s="1140"/>
      <c r="E7" s="1144"/>
      <c r="F7" s="10" t="s">
        <v>99</v>
      </c>
      <c r="G7" s="11" t="s">
        <v>100</v>
      </c>
      <c r="H7" s="12" t="s">
        <v>101</v>
      </c>
      <c r="I7" s="1142"/>
    </row>
    <row r="8" spans="2:15" ht="23.25" customHeight="1" thickBot="1">
      <c r="B8" s="480">
        <v>1</v>
      </c>
      <c r="C8" s="13">
        <v>2</v>
      </c>
      <c r="D8" s="72"/>
      <c r="E8" s="73"/>
      <c r="F8" s="14">
        <v>3</v>
      </c>
      <c r="G8" s="14">
        <v>4</v>
      </c>
      <c r="H8" s="15">
        <v>5</v>
      </c>
      <c r="I8" s="16">
        <v>6</v>
      </c>
    </row>
    <row r="9" spans="2:15" ht="54.75" customHeight="1" thickBot="1">
      <c r="B9" s="67" t="s">
        <v>14</v>
      </c>
      <c r="C9" s="68" t="s">
        <v>120</v>
      </c>
      <c r="D9" s="74">
        <f>D21</f>
        <v>18895984.120000001</v>
      </c>
      <c r="E9" s="73">
        <f>D9/D20</f>
        <v>0.48564733192267517</v>
      </c>
      <c r="F9" s="69">
        <f>E20*E9*1000</f>
        <v>39412434.619388096</v>
      </c>
      <c r="G9" s="81">
        <f>SUM(G10:G13)</f>
        <v>3224</v>
      </c>
      <c r="H9" s="82">
        <v>159888</v>
      </c>
      <c r="I9" s="70">
        <f t="shared" ref="I9:I14" si="0">F9/G9</f>
        <v>12224.700564326333</v>
      </c>
      <c r="L9" s="101"/>
      <c r="M9" s="211"/>
      <c r="N9" s="212"/>
      <c r="O9" s="212"/>
    </row>
    <row r="10" spans="2:15" s="88" customFormat="1" ht="54.75" hidden="1" customHeight="1" outlineLevel="1" thickBot="1">
      <c r="B10" s="98"/>
      <c r="C10" s="90" t="s">
        <v>139</v>
      </c>
      <c r="D10" s="99"/>
      <c r="E10" s="100"/>
      <c r="F10" s="93">
        <f>G10*I10</f>
        <v>32542152.902236696</v>
      </c>
      <c r="G10" s="94">
        <v>2662</v>
      </c>
      <c r="H10" s="95">
        <v>31792</v>
      </c>
      <c r="I10" s="96">
        <f>I9</f>
        <v>12224.700564326333</v>
      </c>
      <c r="L10" s="102"/>
    </row>
    <row r="11" spans="2:15" s="88" customFormat="1" ht="54.75" hidden="1" customHeight="1" outlineLevel="1" thickBot="1">
      <c r="B11" s="98"/>
      <c r="C11" s="90" t="s">
        <v>164</v>
      </c>
      <c r="D11" s="99"/>
      <c r="E11" s="100"/>
      <c r="F11" s="93">
        <f t="shared" ref="F11:F13" si="1">G11*I11</f>
        <v>3374017.3557540677</v>
      </c>
      <c r="G11" s="94">
        <v>276</v>
      </c>
      <c r="H11" s="95">
        <v>13498</v>
      </c>
      <c r="I11" s="96">
        <f t="shared" ref="I11:I13" si="2">I10</f>
        <v>12224.700564326333</v>
      </c>
    </row>
    <row r="12" spans="2:15" s="88" customFormat="1" ht="54.75" hidden="1" customHeight="1" outlineLevel="1" thickBot="1">
      <c r="B12" s="98"/>
      <c r="C12" s="90" t="s">
        <v>165</v>
      </c>
      <c r="D12" s="99"/>
      <c r="E12" s="100"/>
      <c r="F12" s="93">
        <f t="shared" si="1"/>
        <v>2017075.593113845</v>
      </c>
      <c r="G12" s="94">
        <v>165</v>
      </c>
      <c r="H12" s="95">
        <v>30316</v>
      </c>
      <c r="I12" s="96">
        <f t="shared" si="2"/>
        <v>12224.700564326333</v>
      </c>
      <c r="L12" s="102"/>
    </row>
    <row r="13" spans="2:15" s="88" customFormat="1" ht="54.75" hidden="1" customHeight="1" outlineLevel="1" thickBot="1">
      <c r="B13" s="98"/>
      <c r="C13" s="90" t="s">
        <v>166</v>
      </c>
      <c r="D13" s="99"/>
      <c r="E13" s="100"/>
      <c r="F13" s="93">
        <f t="shared" si="1"/>
        <v>1479188.7682834864</v>
      </c>
      <c r="G13" s="94">
        <v>121</v>
      </c>
      <c r="H13" s="95">
        <v>84282</v>
      </c>
      <c r="I13" s="96">
        <f t="shared" si="2"/>
        <v>12224.700564326333</v>
      </c>
      <c r="L13" s="102"/>
    </row>
    <row r="14" spans="2:15" ht="57" customHeight="1" collapsed="1" thickBot="1">
      <c r="B14" s="67" t="s">
        <v>135</v>
      </c>
      <c r="C14" s="68" t="s">
        <v>121</v>
      </c>
      <c r="D14" s="74">
        <f>D24+D26</f>
        <v>20012876.030000001</v>
      </c>
      <c r="E14" s="73">
        <f>D14/D20</f>
        <v>0.51435266807732472</v>
      </c>
      <c r="F14" s="69">
        <f>E14*E20*1000</f>
        <v>41741999.943969801</v>
      </c>
      <c r="G14" s="81">
        <f>SUM(G15:G18)</f>
        <v>3224</v>
      </c>
      <c r="H14" s="82">
        <f>SUM(H15:H18)</f>
        <v>159888</v>
      </c>
      <c r="I14" s="70">
        <f t="shared" si="0"/>
        <v>12947.270454084926</v>
      </c>
    </row>
    <row r="15" spans="2:15" s="88" customFormat="1" ht="54.75" customHeight="1" thickBot="1">
      <c r="B15" s="98"/>
      <c r="C15" s="90" t="s">
        <v>139</v>
      </c>
      <c r="D15" s="99"/>
      <c r="E15" s="100"/>
      <c r="F15" s="93">
        <f>G15*I15</f>
        <v>34465633.948774077</v>
      </c>
      <c r="G15" s="94">
        <f t="shared" ref="G15:H18" si="3">G10</f>
        <v>2662</v>
      </c>
      <c r="H15" s="95">
        <f t="shared" si="3"/>
        <v>31792</v>
      </c>
      <c r="I15" s="96">
        <f>I14</f>
        <v>12947.270454084926</v>
      </c>
    </row>
    <row r="16" spans="2:15" s="88" customFormat="1" ht="54.75" customHeight="1" thickBot="1">
      <c r="B16" s="98"/>
      <c r="C16" s="90" t="s">
        <v>164</v>
      </c>
      <c r="D16" s="99"/>
      <c r="E16" s="100"/>
      <c r="F16" s="93">
        <f t="shared" ref="F16:F18" si="4">G16*I16</f>
        <v>3573446.6453274395</v>
      </c>
      <c r="G16" s="94">
        <f t="shared" si="3"/>
        <v>276</v>
      </c>
      <c r="H16" s="95">
        <f t="shared" si="3"/>
        <v>13498</v>
      </c>
      <c r="I16" s="96">
        <f t="shared" ref="I16:I18" si="5">I15</f>
        <v>12947.270454084926</v>
      </c>
    </row>
    <row r="17" spans="2:9" s="88" customFormat="1" ht="54.75" customHeight="1" thickBot="1">
      <c r="B17" s="98"/>
      <c r="C17" s="90" t="s">
        <v>165</v>
      </c>
      <c r="D17" s="99"/>
      <c r="E17" s="100"/>
      <c r="F17" s="93">
        <f t="shared" si="4"/>
        <v>2136299.6249240129</v>
      </c>
      <c r="G17" s="94">
        <f t="shared" si="3"/>
        <v>165</v>
      </c>
      <c r="H17" s="95">
        <f t="shared" si="3"/>
        <v>30316</v>
      </c>
      <c r="I17" s="96">
        <f t="shared" si="5"/>
        <v>12947.270454084926</v>
      </c>
    </row>
    <row r="18" spans="2:9" s="88" customFormat="1" ht="54.75" customHeight="1" thickBot="1">
      <c r="B18" s="98"/>
      <c r="C18" s="90" t="s">
        <v>166</v>
      </c>
      <c r="D18" s="99"/>
      <c r="E18" s="100"/>
      <c r="F18" s="93">
        <f t="shared" si="4"/>
        <v>1566619.724944276</v>
      </c>
      <c r="G18" s="94">
        <f t="shared" si="3"/>
        <v>121</v>
      </c>
      <c r="H18" s="95">
        <f t="shared" si="3"/>
        <v>84282</v>
      </c>
      <c r="I18" s="96">
        <f t="shared" si="5"/>
        <v>12947.270454084926</v>
      </c>
    </row>
    <row r="19" spans="2:9" ht="57" customHeight="1" thickBot="1">
      <c r="B19" s="67" t="s">
        <v>191</v>
      </c>
      <c r="C19" s="68" t="s">
        <v>201</v>
      </c>
      <c r="D19" s="74"/>
      <c r="E19" s="73"/>
      <c r="F19" s="69">
        <f>F9+F14</f>
        <v>81154434.56335789</v>
      </c>
      <c r="G19" s="81">
        <f>G9</f>
        <v>3224</v>
      </c>
      <c r="H19" s="82">
        <f>H9</f>
        <v>159888</v>
      </c>
      <c r="I19" s="70">
        <f t="shared" ref="I19" si="6">F19/G19</f>
        <v>25171.971018411255</v>
      </c>
    </row>
    <row r="20" spans="2:9" ht="34.5" hidden="1" customHeight="1" outlineLevel="1" thickBot="1">
      <c r="B20" s="480"/>
      <c r="C20" s="13"/>
      <c r="D20" s="74">
        <f>D9+D14</f>
        <v>38908860.150000006</v>
      </c>
      <c r="E20" s="75">
        <v>81154.434563357907</v>
      </c>
      <c r="F20" s="40">
        <f>F9+F14</f>
        <v>81154434.56335789</v>
      </c>
      <c r="G20" s="15">
        <v>3541</v>
      </c>
      <c r="H20" s="16">
        <v>159888</v>
      </c>
      <c r="I20" s="481">
        <f>F20/G20</f>
        <v>22918.507360451254</v>
      </c>
    </row>
    <row r="21" spans="2:9" ht="61.5" hidden="1" customHeight="1" outlineLevel="1">
      <c r="B21" s="17" t="s">
        <v>102</v>
      </c>
      <c r="C21" s="18" t="s">
        <v>103</v>
      </c>
      <c r="D21" s="76">
        <v>18895984.120000001</v>
      </c>
      <c r="E21" s="77"/>
      <c r="F21" s="19"/>
      <c r="G21" s="20"/>
      <c r="H21" s="21"/>
      <c r="I21" s="22"/>
    </row>
    <row r="22" spans="2:9" ht="30" hidden="1" outlineLevel="1">
      <c r="B22" s="23" t="s">
        <v>104</v>
      </c>
      <c r="C22" s="24" t="s">
        <v>105</v>
      </c>
      <c r="D22" s="492"/>
      <c r="E22" s="78"/>
      <c r="F22" s="25"/>
      <c r="G22" s="483"/>
      <c r="H22" s="26"/>
      <c r="I22" s="484"/>
    </row>
    <row r="23" spans="2:9" ht="45" hidden="1" outlineLevel="1">
      <c r="B23" s="23" t="s">
        <v>106</v>
      </c>
      <c r="C23" s="24" t="s">
        <v>107</v>
      </c>
      <c r="D23" s="492"/>
      <c r="E23" s="78"/>
      <c r="F23" s="25"/>
      <c r="G23" s="483"/>
      <c r="H23" s="26"/>
      <c r="I23" s="484"/>
    </row>
    <row r="24" spans="2:9" ht="30" hidden="1" outlineLevel="1">
      <c r="B24" s="23" t="s">
        <v>108</v>
      </c>
      <c r="C24" s="24" t="s">
        <v>109</v>
      </c>
      <c r="D24" s="493">
        <v>13355248.760000002</v>
      </c>
      <c r="E24" s="78"/>
      <c r="F24" s="25"/>
      <c r="G24" s="483"/>
      <c r="H24" s="26"/>
      <c r="I24" s="484"/>
    </row>
    <row r="25" spans="2:9" ht="45" hidden="1" outlineLevel="1">
      <c r="B25" s="23" t="s">
        <v>110</v>
      </c>
      <c r="C25" s="24" t="s">
        <v>111</v>
      </c>
      <c r="D25" s="493">
        <v>171923.52000000002</v>
      </c>
      <c r="E25" s="78"/>
      <c r="F25" s="25"/>
      <c r="G25" s="483"/>
      <c r="H25" s="26"/>
      <c r="I25" s="484"/>
    </row>
    <row r="26" spans="2:9" ht="45.75" hidden="1" outlineLevel="1" thickBot="1">
      <c r="B26" s="485" t="s">
        <v>112</v>
      </c>
      <c r="C26" s="486" t="s">
        <v>113</v>
      </c>
      <c r="D26" s="494">
        <v>6657627.2700000014</v>
      </c>
      <c r="E26" s="487"/>
      <c r="F26" s="488"/>
      <c r="G26" s="489"/>
      <c r="H26" s="490"/>
      <c r="I26" s="491"/>
    </row>
    <row r="27" spans="2:9" ht="30.75" hidden="1" customHeight="1" outlineLevel="1" thickBot="1">
      <c r="B27" s="27"/>
      <c r="C27" s="28" t="s">
        <v>114</v>
      </c>
      <c r="D27" s="74">
        <f>D21+D24+D25+D26</f>
        <v>39080783.670000002</v>
      </c>
      <c r="E27" s="79"/>
      <c r="F27" s="29"/>
      <c r="G27" s="30"/>
      <c r="H27" s="31"/>
      <c r="I27" s="32"/>
    </row>
    <row r="28" spans="2:9" collapsed="1"/>
    <row r="30" spans="2:9" s="731" customFormat="1" ht="19.5" customHeight="1">
      <c r="B30" s="732" t="s">
        <v>200</v>
      </c>
      <c r="C30" s="732"/>
      <c r="E30" s="726"/>
      <c r="G30" s="726"/>
      <c r="H30" s="733"/>
      <c r="I30" s="732" t="s">
        <v>706</v>
      </c>
    </row>
    <row r="31" spans="2:9" s="730" customFormat="1" ht="19.5"/>
    <row r="32" spans="2:9" s="729" customFormat="1" ht="15.75">
      <c r="B32" s="729" t="s">
        <v>845</v>
      </c>
      <c r="I32" s="729" t="s">
        <v>847</v>
      </c>
    </row>
    <row r="33" spans="2:9" ht="15.75" hidden="1">
      <c r="B33" s="33" t="s">
        <v>87</v>
      </c>
      <c r="C33" s="34"/>
      <c r="D33" s="34"/>
      <c r="E33" s="34"/>
      <c r="F33" s="34"/>
      <c r="G33" s="34"/>
    </row>
    <row r="34" spans="2:9" ht="15.75" hidden="1">
      <c r="B34" s="34" t="s">
        <v>88</v>
      </c>
      <c r="C34" s="34"/>
      <c r="D34" s="34"/>
      <c r="E34" s="34"/>
      <c r="F34" s="34"/>
      <c r="G34" s="34"/>
      <c r="I34" s="34" t="s">
        <v>252</v>
      </c>
    </row>
    <row r="35" spans="2:9" ht="15.75">
      <c r="B35" s="34"/>
      <c r="C35" s="34"/>
      <c r="D35" s="34"/>
      <c r="E35" s="34"/>
      <c r="F35" s="34"/>
      <c r="G35" s="34"/>
      <c r="I35" s="34"/>
    </row>
    <row r="36" spans="2:9" ht="15.75">
      <c r="B36" s="34"/>
      <c r="C36" s="34"/>
      <c r="D36" s="34"/>
      <c r="E36" s="34"/>
      <c r="F36" s="34"/>
      <c r="G36" s="34"/>
      <c r="I36" s="34"/>
    </row>
    <row r="37" spans="2:9">
      <c r="B37"/>
      <c r="C37"/>
      <c r="D37"/>
      <c r="E37"/>
      <c r="F37"/>
      <c r="G37"/>
    </row>
    <row r="38" spans="2:9">
      <c r="B38" s="114" t="s">
        <v>89</v>
      </c>
      <c r="C38"/>
      <c r="D38"/>
      <c r="E38"/>
      <c r="F38"/>
      <c r="G38"/>
    </row>
    <row r="39" spans="2:9">
      <c r="B39" s="115" t="s">
        <v>90</v>
      </c>
      <c r="C39"/>
      <c r="D39"/>
      <c r="E39"/>
      <c r="F39"/>
      <c r="G39"/>
    </row>
    <row r="40" spans="2:9">
      <c r="B40" s="115" t="s">
        <v>91</v>
      </c>
      <c r="C40"/>
      <c r="D40"/>
      <c r="E40"/>
      <c r="F40"/>
      <c r="G40"/>
    </row>
    <row r="41" spans="2:9">
      <c r="B41"/>
      <c r="C41"/>
      <c r="D41"/>
      <c r="E41"/>
      <c r="F41"/>
      <c r="G41"/>
    </row>
  </sheetData>
  <mergeCells count="7">
    <mergeCell ref="B3:I3"/>
    <mergeCell ref="B6:B7"/>
    <mergeCell ref="C6:C7"/>
    <mergeCell ref="D6:D7"/>
    <mergeCell ref="F6:H6"/>
    <mergeCell ref="I6:I7"/>
    <mergeCell ref="E6:E7"/>
  </mergeCells>
  <pageMargins left="0.7" right="0.7" top="0.75" bottom="0.75" header="0.3" footer="0.3"/>
  <pageSetup paperSize="9" scale="5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28"/>
  <sheetViews>
    <sheetView topLeftCell="G1" workbookViewId="0">
      <selection activeCell="R9" sqref="R9"/>
    </sheetView>
  </sheetViews>
  <sheetFormatPr defaultRowHeight="15"/>
  <cols>
    <col min="2" max="2" width="45.42578125" customWidth="1"/>
    <col min="3" max="3" width="12.7109375" customWidth="1"/>
    <col min="4" max="4" width="16.140625" customWidth="1"/>
    <col min="5" max="5" width="14.42578125" customWidth="1"/>
    <col min="6" max="6" width="13" customWidth="1"/>
    <col min="7" max="7" width="14.85546875" customWidth="1"/>
    <col min="8" max="8" width="15.5703125" customWidth="1"/>
    <col min="9" max="9" width="14.28515625" customWidth="1"/>
    <col min="10" max="10" width="15.140625" customWidth="1"/>
    <col min="11" max="11" width="13.85546875" customWidth="1"/>
    <col min="12" max="12" width="17" customWidth="1"/>
    <col min="13" max="13" width="15.5703125" customWidth="1"/>
    <col min="14" max="14" width="14" customWidth="1"/>
    <col min="15" max="15" width="15.140625" customWidth="1"/>
    <col min="16" max="16" width="13.85546875" customWidth="1"/>
    <col min="17" max="17" width="17" customWidth="1"/>
    <col min="18" max="18" width="15.5703125" customWidth="1"/>
    <col min="19" max="19" width="17.7109375" customWidth="1"/>
    <col min="20" max="20" width="17" customWidth="1"/>
    <col min="21" max="21" width="13.85546875" customWidth="1"/>
  </cols>
  <sheetData>
    <row r="4" spans="1:21" ht="15.75" thickBot="1"/>
    <row r="5" spans="1:21" ht="39" customHeight="1" thickBot="1">
      <c r="A5" s="41"/>
      <c r="B5" s="42" t="s">
        <v>136</v>
      </c>
      <c r="C5" s="1154" t="s">
        <v>137</v>
      </c>
      <c r="D5" s="48"/>
      <c r="E5" s="1157" t="s">
        <v>162</v>
      </c>
      <c r="F5" s="1158"/>
      <c r="G5" s="1158"/>
      <c r="H5" s="1158"/>
      <c r="I5" s="1158"/>
      <c r="J5" s="1158"/>
      <c r="K5" s="1158"/>
      <c r="L5" s="1158"/>
      <c r="M5" s="1158"/>
      <c r="N5" s="1158"/>
      <c r="O5" s="1158"/>
      <c r="P5" s="1159"/>
      <c r="Q5" s="141"/>
    </row>
    <row r="6" spans="1:21" ht="24.75" customHeight="1" thickBot="1">
      <c r="A6" s="41"/>
      <c r="B6" s="43"/>
      <c r="C6" s="1155"/>
      <c r="D6" s="49"/>
      <c r="E6" s="1145">
        <v>2014</v>
      </c>
      <c r="F6" s="1146"/>
      <c r="G6" s="62"/>
      <c r="H6" s="1145">
        <v>2015</v>
      </c>
      <c r="I6" s="1146"/>
      <c r="J6" s="1146"/>
      <c r="K6" s="1147"/>
      <c r="L6" s="62"/>
      <c r="M6" s="1145">
        <v>2016</v>
      </c>
      <c r="N6" s="1146"/>
      <c r="O6" s="1146"/>
      <c r="P6" s="1147"/>
      <c r="Q6" s="125"/>
      <c r="R6" s="1145" t="s">
        <v>263</v>
      </c>
      <c r="S6" s="1146"/>
      <c r="T6" s="1146"/>
      <c r="U6" s="1147"/>
    </row>
    <row r="7" spans="1:21" ht="45.75" thickBot="1">
      <c r="A7" s="41"/>
      <c r="B7" s="44" t="s">
        <v>138</v>
      </c>
      <c r="C7" s="1156"/>
      <c r="D7" s="52">
        <v>2014</v>
      </c>
      <c r="E7" s="45" t="s">
        <v>139</v>
      </c>
      <c r="F7" s="45" t="s">
        <v>151</v>
      </c>
      <c r="G7" s="52">
        <v>2015</v>
      </c>
      <c r="H7" s="45" t="s">
        <v>139</v>
      </c>
      <c r="I7" s="45" t="s">
        <v>140</v>
      </c>
      <c r="J7" s="45" t="s">
        <v>141</v>
      </c>
      <c r="K7" s="45" t="s">
        <v>142</v>
      </c>
      <c r="L7" s="52">
        <v>2016</v>
      </c>
      <c r="M7" s="45" t="s">
        <v>139</v>
      </c>
      <c r="N7" s="45" t="s">
        <v>140</v>
      </c>
      <c r="O7" s="45" t="s">
        <v>141</v>
      </c>
      <c r="P7" s="45" t="s">
        <v>142</v>
      </c>
      <c r="Q7" s="52">
        <v>2017</v>
      </c>
      <c r="R7" s="45" t="s">
        <v>139</v>
      </c>
      <c r="S7" s="45" t="s">
        <v>140</v>
      </c>
      <c r="T7" s="45" t="s">
        <v>259</v>
      </c>
      <c r="U7" s="45" t="s">
        <v>142</v>
      </c>
    </row>
    <row r="8" spans="1:21" s="56" customFormat="1" ht="75.75" thickBot="1">
      <c r="A8" s="53"/>
      <c r="B8" s="63" t="s">
        <v>143</v>
      </c>
      <c r="C8" s="54" t="s">
        <v>144</v>
      </c>
      <c r="D8" s="65">
        <f>SUM(D9:D12)</f>
        <v>425.55851634871169</v>
      </c>
      <c r="E8" s="64">
        <f>SUM(E9:E12)</f>
        <v>1941.98</v>
      </c>
      <c r="F8" s="64">
        <f t="shared" ref="F8:P8" si="0">SUM(F9:F12)</f>
        <v>82.1</v>
      </c>
      <c r="G8" s="65">
        <f>SUM(G9:G12)</f>
        <v>667.2619154341287</v>
      </c>
      <c r="H8" s="64">
        <f t="shared" si="0"/>
        <v>1820.0900000000001</v>
      </c>
      <c r="I8" s="64">
        <f t="shared" si="0"/>
        <v>507.65000000000003</v>
      </c>
      <c r="J8" s="64">
        <f t="shared" si="0"/>
        <v>105.24</v>
      </c>
      <c r="K8" s="64">
        <f t="shared" si="0"/>
        <v>43.919999999999995</v>
      </c>
      <c r="L8" s="65">
        <f>SUM(L9:L12)</f>
        <v>770.18389524526719</v>
      </c>
      <c r="M8" s="55">
        <f t="shared" si="0"/>
        <v>1782.25</v>
      </c>
      <c r="N8" s="55">
        <f t="shared" si="0"/>
        <v>527.42999999999995</v>
      </c>
      <c r="O8" s="55">
        <f t="shared" si="0"/>
        <v>94.03</v>
      </c>
      <c r="P8" s="55">
        <f t="shared" si="0"/>
        <v>39.680000000000007</v>
      </c>
      <c r="Q8" s="65"/>
      <c r="R8" s="55">
        <f t="shared" ref="R8:U8" si="1">SUM(R9:R12)</f>
        <v>14329.61</v>
      </c>
      <c r="S8" s="55">
        <f t="shared" si="1"/>
        <v>44750.48</v>
      </c>
      <c r="T8" s="55">
        <f t="shared" si="1"/>
        <v>75338.989999999991</v>
      </c>
      <c r="U8" s="55">
        <f t="shared" si="1"/>
        <v>0</v>
      </c>
    </row>
    <row r="9" spans="1:21" ht="45.75" thickBot="1">
      <c r="A9" s="41"/>
      <c r="B9" s="46" t="s">
        <v>145</v>
      </c>
      <c r="C9" s="45" t="s">
        <v>144</v>
      </c>
      <c r="D9" s="66">
        <f>D22/D14</f>
        <v>188.91049563978285</v>
      </c>
      <c r="E9" s="50">
        <v>881.65</v>
      </c>
      <c r="F9" s="50">
        <v>32.01</v>
      </c>
      <c r="G9" s="66">
        <f>G22/G14</f>
        <v>352.67563439988777</v>
      </c>
      <c r="H9" s="50">
        <v>958.36</v>
      </c>
      <c r="I9" s="50">
        <v>283.3</v>
      </c>
      <c r="J9" s="50">
        <v>57.17</v>
      </c>
      <c r="K9" s="50">
        <v>19.149999999999999</v>
      </c>
      <c r="L9" s="66">
        <f>L22/L14</f>
        <v>413.90211768677443</v>
      </c>
      <c r="M9" s="47">
        <v>956.11</v>
      </c>
      <c r="N9" s="47">
        <v>290.49</v>
      </c>
      <c r="O9" s="47">
        <v>52.91</v>
      </c>
      <c r="P9" s="47">
        <v>18.48</v>
      </c>
      <c r="Q9" s="66">
        <f>Q22/Q15</f>
        <v>12493.672787196576</v>
      </c>
      <c r="R9" s="47">
        <v>6519.54</v>
      </c>
      <c r="S9" s="47">
        <v>19773.900000000001</v>
      </c>
      <c r="T9" s="47">
        <v>34302.39</v>
      </c>
      <c r="U9" s="47"/>
    </row>
    <row r="10" spans="1:21" ht="30.75" thickBot="1">
      <c r="A10" s="41"/>
      <c r="B10" s="46" t="s">
        <v>146</v>
      </c>
      <c r="C10" s="45" t="s">
        <v>144</v>
      </c>
      <c r="D10" s="66">
        <f>D23/D14</f>
        <v>129.72767217991634</v>
      </c>
      <c r="E10" s="50">
        <v>605.45000000000005</v>
      </c>
      <c r="F10" s="50">
        <v>21.98</v>
      </c>
      <c r="G10" s="66">
        <f>G23/G14</f>
        <v>208.14564094571639</v>
      </c>
      <c r="H10" s="50">
        <v>574.32000000000005</v>
      </c>
      <c r="I10" s="50">
        <v>151.80000000000001</v>
      </c>
      <c r="J10" s="50">
        <v>32.299999999999997</v>
      </c>
      <c r="K10" s="50">
        <v>10.53</v>
      </c>
      <c r="L10" s="66">
        <f>L23/L14</f>
        <v>225.63549887039392</v>
      </c>
      <c r="M10" s="47">
        <v>522.85</v>
      </c>
      <c r="N10" s="47">
        <v>156.88999999999999</v>
      </c>
      <c r="O10" s="47">
        <v>27.87</v>
      </c>
      <c r="P10" s="47">
        <v>9.33</v>
      </c>
      <c r="Q10" s="66">
        <f>Q23/Q28</f>
        <v>15024.317726597837</v>
      </c>
      <c r="R10" s="47">
        <v>7810.07</v>
      </c>
      <c r="S10" s="47">
        <v>24976.58</v>
      </c>
      <c r="T10" s="47">
        <v>41036.6</v>
      </c>
      <c r="U10" s="47"/>
    </row>
    <row r="11" spans="1:21" ht="75.75" thickBot="1">
      <c r="A11" s="41"/>
      <c r="B11" s="46" t="s">
        <v>147</v>
      </c>
      <c r="C11" s="45" t="s">
        <v>144</v>
      </c>
      <c r="D11" s="66">
        <f>D24/D27</f>
        <v>9.4578624483057752</v>
      </c>
      <c r="E11" s="50">
        <v>0</v>
      </c>
      <c r="F11" s="50">
        <v>11.6</v>
      </c>
      <c r="G11" s="66">
        <f>G24/G27</f>
        <v>2.6794806975983048</v>
      </c>
      <c r="H11" s="50">
        <v>0</v>
      </c>
      <c r="I11" s="50">
        <v>0</v>
      </c>
      <c r="J11" s="50">
        <v>0</v>
      </c>
      <c r="K11" s="50">
        <v>8.48</v>
      </c>
      <c r="L11" s="66">
        <f>L24/L27</f>
        <v>2.0039392349840295</v>
      </c>
      <c r="M11" s="47">
        <v>0</v>
      </c>
      <c r="N11" s="47">
        <v>0</v>
      </c>
      <c r="O11" s="47">
        <v>0</v>
      </c>
      <c r="P11" s="47">
        <v>6.96</v>
      </c>
      <c r="Q11" s="66"/>
      <c r="R11" s="47"/>
      <c r="S11" s="47"/>
      <c r="T11" s="47"/>
      <c r="U11" s="47"/>
    </row>
    <row r="12" spans="1:21" ht="30.75" thickBot="1">
      <c r="A12" s="41"/>
      <c r="B12" s="46" t="s">
        <v>148</v>
      </c>
      <c r="C12" s="45" t="s">
        <v>144</v>
      </c>
      <c r="D12" s="66">
        <f>D25/D14</f>
        <v>97.462486080706668</v>
      </c>
      <c r="E12" s="50">
        <v>454.88</v>
      </c>
      <c r="F12" s="50">
        <v>16.510000000000002</v>
      </c>
      <c r="G12" s="66">
        <f>G25/G14</f>
        <v>103.76115939092625</v>
      </c>
      <c r="H12" s="50">
        <v>287.41000000000003</v>
      </c>
      <c r="I12" s="50">
        <v>72.55</v>
      </c>
      <c r="J12" s="50">
        <v>15.77</v>
      </c>
      <c r="K12" s="50">
        <v>5.76</v>
      </c>
      <c r="L12" s="66">
        <f>L25/L14</f>
        <v>128.64233945311486</v>
      </c>
      <c r="M12" s="47">
        <v>303.29000000000002</v>
      </c>
      <c r="N12" s="47">
        <v>80.05</v>
      </c>
      <c r="O12" s="47">
        <v>13.25</v>
      </c>
      <c r="P12" s="47">
        <v>4.91</v>
      </c>
      <c r="Q12" s="66"/>
      <c r="R12" s="47"/>
      <c r="S12" s="47"/>
      <c r="T12" s="47"/>
      <c r="U12" s="47"/>
    </row>
    <row r="13" spans="1:21" ht="15.75" thickBot="1">
      <c r="A13" s="41"/>
      <c r="B13" s="46"/>
      <c r="C13" s="45"/>
      <c r="D13" s="58"/>
      <c r="E13" s="47"/>
      <c r="F13" s="47"/>
      <c r="G13" s="58"/>
      <c r="H13" s="47"/>
      <c r="I13" s="47"/>
      <c r="J13" s="47"/>
      <c r="K13" s="47"/>
      <c r="L13" s="58"/>
      <c r="M13" s="47"/>
      <c r="N13" s="47"/>
      <c r="O13" s="47"/>
      <c r="P13" s="47"/>
      <c r="Q13" s="58"/>
      <c r="R13" s="47"/>
      <c r="S13" s="47"/>
      <c r="T13" s="47"/>
      <c r="U13" s="47"/>
    </row>
    <row r="14" spans="1:21" s="56" customFormat="1" ht="15.75" thickBot="1">
      <c r="A14" s="53"/>
      <c r="B14" s="51" t="s">
        <v>149</v>
      </c>
      <c r="C14" s="54" t="s">
        <v>160</v>
      </c>
      <c r="D14" s="57">
        <f>SUM(E14:F14)</f>
        <v>70745.33</v>
      </c>
      <c r="E14" s="59">
        <v>13064.33</v>
      </c>
      <c r="F14" s="59">
        <v>57681</v>
      </c>
      <c r="G14" s="57">
        <f>SUM(H14:K14)</f>
        <v>64163</v>
      </c>
      <c r="H14" s="59">
        <v>19717</v>
      </c>
      <c r="I14" s="59">
        <v>8679</v>
      </c>
      <c r="J14" s="59">
        <v>15493</v>
      </c>
      <c r="K14" s="59">
        <v>20274</v>
      </c>
      <c r="L14" s="57">
        <f>SUM(M14:P14)</f>
        <v>64181.666666666672</v>
      </c>
      <c r="M14" s="59">
        <v>24021</v>
      </c>
      <c r="N14" s="59">
        <v>8879.3333333333339</v>
      </c>
      <c r="O14" s="59">
        <v>12802</v>
      </c>
      <c r="P14" s="59">
        <v>18479.333333333332</v>
      </c>
      <c r="Q14" s="57">
        <f>SUM(R14:U14)</f>
        <v>94323.33222222222</v>
      </c>
      <c r="R14" s="59">
        <f>(H14+E14+M14)/3</f>
        <v>18934.11</v>
      </c>
      <c r="S14" s="59">
        <f t="shared" ref="S14:U14" si="2">(I14+F14+N14)/3</f>
        <v>25079.777777777777</v>
      </c>
      <c r="T14" s="59">
        <f t="shared" si="2"/>
        <v>30819.333333333332</v>
      </c>
      <c r="U14" s="59">
        <f t="shared" si="2"/>
        <v>19490.111111111109</v>
      </c>
    </row>
    <row r="15" spans="1:21" s="56" customFormat="1" ht="15.75" thickBot="1">
      <c r="A15" s="53"/>
      <c r="B15" s="51" t="s">
        <v>150</v>
      </c>
      <c r="C15" s="54" t="s">
        <v>161</v>
      </c>
      <c r="D15" s="57">
        <f>SUM(E15:F15)</f>
        <v>1303</v>
      </c>
      <c r="E15" s="59">
        <v>1123</v>
      </c>
      <c r="F15" s="59">
        <v>180</v>
      </c>
      <c r="G15" s="57">
        <f>SUM(H15:K15)</f>
        <v>2171</v>
      </c>
      <c r="H15" s="59">
        <v>1757</v>
      </c>
      <c r="I15" s="59">
        <v>179</v>
      </c>
      <c r="J15" s="59">
        <v>68</v>
      </c>
      <c r="K15" s="59">
        <v>167</v>
      </c>
      <c r="L15" s="57">
        <f>SUM(M15:P15)</f>
        <v>2251.6666666666665</v>
      </c>
      <c r="M15" s="59">
        <v>2021.3333333333333</v>
      </c>
      <c r="N15" s="59">
        <v>171</v>
      </c>
      <c r="O15" s="59">
        <v>40</v>
      </c>
      <c r="P15" s="59">
        <v>19.333333333333332</v>
      </c>
      <c r="Q15" s="57">
        <f>SUM(R15:U15)</f>
        <v>3217.8888888888887</v>
      </c>
      <c r="R15" s="59">
        <f>(H15+E15+M15)/3</f>
        <v>1633.7777777777776</v>
      </c>
      <c r="S15" s="59">
        <f t="shared" ref="S15" si="3">(I15+F15+N15)/3</f>
        <v>176.66666666666666</v>
      </c>
      <c r="T15" s="59">
        <f t="shared" ref="T15" si="4">(J15+G15+O15)/3</f>
        <v>759.66666666666663</v>
      </c>
      <c r="U15" s="59">
        <f t="shared" ref="U15" si="5">(K15+H15+P15)/3</f>
        <v>647.77777777777771</v>
      </c>
    </row>
    <row r="17" spans="1:21" ht="15.75" thickBot="1"/>
    <row r="18" spans="1:21" ht="41.25" customHeight="1" thickBot="1">
      <c r="A18" s="41"/>
      <c r="B18" s="42" t="s">
        <v>158</v>
      </c>
      <c r="C18" s="1148" t="s">
        <v>137</v>
      </c>
      <c r="D18" s="60"/>
      <c r="E18" s="1151" t="s">
        <v>157</v>
      </c>
      <c r="F18" s="1152"/>
      <c r="G18" s="1152"/>
      <c r="H18" s="1152"/>
      <c r="I18" s="1152"/>
      <c r="J18" s="1152"/>
      <c r="K18" s="1152"/>
      <c r="L18" s="1152"/>
      <c r="M18" s="1152"/>
      <c r="N18" s="1152"/>
      <c r="O18" s="1152"/>
      <c r="P18" s="1153"/>
      <c r="Q18" s="142"/>
      <c r="R18" s="143"/>
      <c r="S18" s="143"/>
      <c r="T18" s="143"/>
      <c r="U18" s="143"/>
    </row>
    <row r="19" spans="1:21" ht="15.75" thickBot="1">
      <c r="A19" s="41"/>
      <c r="B19" s="43"/>
      <c r="C19" s="1149"/>
      <c r="D19" s="61"/>
      <c r="E19" s="1145">
        <v>2014</v>
      </c>
      <c r="F19" s="1146"/>
      <c r="G19" s="62"/>
      <c r="H19" s="1145">
        <v>2015</v>
      </c>
      <c r="I19" s="1146"/>
      <c r="J19" s="1146"/>
      <c r="K19" s="1147"/>
      <c r="L19" s="62"/>
      <c r="M19" s="1145">
        <v>2016</v>
      </c>
      <c r="N19" s="1146"/>
      <c r="O19" s="1146"/>
      <c r="P19" s="1147"/>
      <c r="Q19" s="125"/>
      <c r="R19" s="1145">
        <v>2017</v>
      </c>
      <c r="S19" s="1146"/>
      <c r="T19" s="1146"/>
      <c r="U19" s="1147"/>
    </row>
    <row r="20" spans="1:21" ht="43.5" thickBot="1">
      <c r="A20" s="41"/>
      <c r="B20" s="44" t="s">
        <v>138</v>
      </c>
      <c r="C20" s="1150"/>
      <c r="D20" s="52">
        <v>2014</v>
      </c>
      <c r="E20" s="52" t="s">
        <v>139</v>
      </c>
      <c r="F20" s="52" t="s">
        <v>140</v>
      </c>
      <c r="G20" s="52">
        <v>2015</v>
      </c>
      <c r="H20" s="52" t="s">
        <v>139</v>
      </c>
      <c r="I20" s="52" t="s">
        <v>140</v>
      </c>
      <c r="J20" s="52" t="s">
        <v>141</v>
      </c>
      <c r="K20" s="52" t="s">
        <v>142</v>
      </c>
      <c r="L20" s="52">
        <v>2016</v>
      </c>
      <c r="M20" s="52" t="s">
        <v>139</v>
      </c>
      <c r="N20" s="52" t="s">
        <v>140</v>
      </c>
      <c r="O20" s="52" t="s">
        <v>141</v>
      </c>
      <c r="P20" s="52" t="s">
        <v>142</v>
      </c>
      <c r="Q20" s="52">
        <v>2017</v>
      </c>
      <c r="R20" s="52" t="s">
        <v>139</v>
      </c>
      <c r="S20" s="52" t="s">
        <v>140</v>
      </c>
      <c r="T20" s="52" t="s">
        <v>141</v>
      </c>
      <c r="U20" s="52" t="s">
        <v>142</v>
      </c>
    </row>
    <row r="21" spans="1:21" ht="75.75" thickBot="1">
      <c r="A21" s="41"/>
      <c r="B21" s="63" t="s">
        <v>152</v>
      </c>
      <c r="C21" s="54" t="s">
        <v>159</v>
      </c>
      <c r="D21" s="65">
        <f t="shared" ref="D21:E21" si="6">SUM(D22:D25)</f>
        <v>30106277.6734</v>
      </c>
      <c r="E21" s="64">
        <f t="shared" si="6"/>
        <v>25370667.573399998</v>
      </c>
      <c r="F21" s="64">
        <f t="shared" ref="F21" si="7">SUM(F22:F25)</f>
        <v>4735610.0999999996</v>
      </c>
      <c r="G21" s="64">
        <f t="shared" ref="G21" si="8">SUM(G22:G25)</f>
        <v>42813526.280000009</v>
      </c>
      <c r="H21" s="64">
        <f t="shared" ref="H21" si="9">SUM(H22:H25)</f>
        <v>35886714.530000001</v>
      </c>
      <c r="I21" s="64">
        <f t="shared" ref="I21" si="10">SUM(I22:I25)</f>
        <v>4405894.3500000006</v>
      </c>
      <c r="J21" s="64">
        <f t="shared" ref="J21" si="11">SUM(J22:J25)</f>
        <v>1630483.3199999998</v>
      </c>
      <c r="K21" s="64">
        <f t="shared" ref="K21" si="12">SUM(K22:K25)</f>
        <v>890434.08</v>
      </c>
      <c r="L21" s="64">
        <f t="shared" ref="L21" si="13">SUM(L22:L25)</f>
        <v>49431686.036666662</v>
      </c>
      <c r="M21" s="64">
        <f t="shared" ref="M21" si="14">SUM(M22:M25)</f>
        <v>42811427.25</v>
      </c>
      <c r="N21" s="64">
        <f t="shared" ref="N21" si="15">SUM(N22:N25)</f>
        <v>4683226.7799999993</v>
      </c>
      <c r="O21" s="64">
        <f t="shared" ref="O21" si="16">SUM(O22:O25)</f>
        <v>1203772.06</v>
      </c>
      <c r="P21" s="64">
        <f t="shared" ref="P21:T21" si="17">SUM(P22:P25)</f>
        <v>733259.94666666654</v>
      </c>
      <c r="Q21" s="64">
        <f t="shared" si="17"/>
        <v>88549835.918888882</v>
      </c>
      <c r="R21" s="64">
        <f t="shared" si="17"/>
        <v>23411398.38222222</v>
      </c>
      <c r="S21" s="64">
        <f t="shared" si="17"/>
        <v>7905918.1333333338</v>
      </c>
      <c r="T21" s="64">
        <f t="shared" si="17"/>
        <v>57232519.403333329</v>
      </c>
      <c r="U21" s="64"/>
    </row>
    <row r="22" spans="1:21" ht="30.75" thickBot="1">
      <c r="A22" s="41"/>
      <c r="B22" s="46" t="s">
        <v>156</v>
      </c>
      <c r="C22" s="45" t="s">
        <v>159</v>
      </c>
      <c r="D22" s="66">
        <f>SUM(E22:F22)</f>
        <v>13364535.354499999</v>
      </c>
      <c r="E22" s="50">
        <f>E9*E14</f>
        <v>11518166.544499999</v>
      </c>
      <c r="F22" s="50">
        <f t="shared" ref="F22" si="18">F9*F14</f>
        <v>1846368.8099999998</v>
      </c>
      <c r="G22" s="50">
        <f>SUM(H22:K22)</f>
        <v>22628726.73</v>
      </c>
      <c r="H22" s="50">
        <f>H9*H14</f>
        <v>18895984.120000001</v>
      </c>
      <c r="I22" s="50">
        <f t="shared" ref="I22:K22" si="19">I9*I14</f>
        <v>2458760.7000000002</v>
      </c>
      <c r="J22" s="50">
        <f t="shared" si="19"/>
        <v>885734.81</v>
      </c>
      <c r="K22" s="50">
        <f t="shared" si="19"/>
        <v>388247.1</v>
      </c>
      <c r="L22" s="50">
        <f>SUM(M22:P22)</f>
        <v>26564927.749999996</v>
      </c>
      <c r="M22" s="50">
        <f>M9*M14</f>
        <v>22966718.309999999</v>
      </c>
      <c r="N22" s="50">
        <f t="shared" ref="N22:P22" si="20">N9*N14</f>
        <v>2579357.54</v>
      </c>
      <c r="O22" s="50">
        <f t="shared" si="20"/>
        <v>677353.82</v>
      </c>
      <c r="P22" s="50">
        <f t="shared" si="20"/>
        <v>341498.07999999996</v>
      </c>
      <c r="Q22" s="50">
        <f>SUM(R22:U22)</f>
        <v>40203250.843333334</v>
      </c>
      <c r="R22" s="50">
        <f>R9*R15</f>
        <v>10651479.573333332</v>
      </c>
      <c r="S22" s="50">
        <f t="shared" ref="S22:T22" si="21">S9*S15</f>
        <v>3493389</v>
      </c>
      <c r="T22" s="50">
        <f t="shared" si="21"/>
        <v>26058382.27</v>
      </c>
      <c r="U22" s="50"/>
    </row>
    <row r="23" spans="1:21" ht="30.75" thickBot="1">
      <c r="A23" s="41"/>
      <c r="B23" s="46" t="s">
        <v>153</v>
      </c>
      <c r="C23" s="45" t="s">
        <v>159</v>
      </c>
      <c r="D23" s="66">
        <f>SUM(E23:F23)</f>
        <v>9177626.9785000011</v>
      </c>
      <c r="E23" s="50">
        <f>E10*E14</f>
        <v>7909798.5985000003</v>
      </c>
      <c r="F23" s="50">
        <f t="shared" ref="F23" si="22">F10*F14</f>
        <v>1267828.3800000001</v>
      </c>
      <c r="G23" s="50">
        <f t="shared" ref="G23:G25" si="23">SUM(H23:K23)</f>
        <v>13355248.760000002</v>
      </c>
      <c r="H23" s="50">
        <f>H10*H14</f>
        <v>11323867.440000001</v>
      </c>
      <c r="I23" s="50">
        <f t="shared" ref="I23:K23" si="24">I10*I14</f>
        <v>1317472.2000000002</v>
      </c>
      <c r="J23" s="50">
        <f t="shared" si="24"/>
        <v>500423.89999999997</v>
      </c>
      <c r="K23" s="50">
        <f t="shared" si="24"/>
        <v>213485.22</v>
      </c>
      <c r="L23" s="50">
        <f t="shared" ref="L23:L25" si="25">SUM(M23:P23)</f>
        <v>14481662.376666667</v>
      </c>
      <c r="M23" s="50">
        <f>M10*M14</f>
        <v>12559379.85</v>
      </c>
      <c r="N23" s="50">
        <f t="shared" ref="N23:P23" si="26">N10*N14</f>
        <v>1393078.6066666667</v>
      </c>
      <c r="O23" s="50">
        <f t="shared" si="26"/>
        <v>356791.74</v>
      </c>
      <c r="P23" s="50">
        <f t="shared" si="26"/>
        <v>172412.18</v>
      </c>
      <c r="Q23" s="50">
        <f t="shared" ref="Q23:Q25" si="27">SUM(R23:U23)</f>
        <v>48346585.075555548</v>
      </c>
      <c r="R23" s="50">
        <f>R10*R15</f>
        <v>12759918.808888886</v>
      </c>
      <c r="S23" s="50">
        <f t="shared" ref="S23:T23" si="28">S10*S15</f>
        <v>4412529.1333333338</v>
      </c>
      <c r="T23" s="50">
        <f t="shared" si="28"/>
        <v>31174137.133333329</v>
      </c>
      <c r="U23" s="50"/>
    </row>
    <row r="24" spans="1:21" ht="75.75" thickBot="1">
      <c r="A24" s="41"/>
      <c r="B24" s="84" t="s">
        <v>154</v>
      </c>
      <c r="C24" s="85" t="s">
        <v>159</v>
      </c>
      <c r="D24" s="86">
        <f>SUM(E24:F24)</f>
        <v>669099.6</v>
      </c>
      <c r="E24" s="87">
        <f>E11*E14</f>
        <v>0</v>
      </c>
      <c r="F24" s="87">
        <f t="shared" ref="F24" si="29">F11*F14</f>
        <v>669099.6</v>
      </c>
      <c r="G24" s="87">
        <f t="shared" si="23"/>
        <v>171923.52000000002</v>
      </c>
      <c r="H24" s="87">
        <f>H11*H14</f>
        <v>0</v>
      </c>
      <c r="I24" s="87">
        <f t="shared" ref="I24:K24" si="30">I11*I14</f>
        <v>0</v>
      </c>
      <c r="J24" s="87">
        <f t="shared" si="30"/>
        <v>0</v>
      </c>
      <c r="K24" s="87">
        <f t="shared" si="30"/>
        <v>171923.52000000002</v>
      </c>
      <c r="L24" s="87">
        <f t="shared" si="25"/>
        <v>128616.15999999999</v>
      </c>
      <c r="M24" s="87">
        <f>M11*M14</f>
        <v>0</v>
      </c>
      <c r="N24" s="87">
        <f t="shared" ref="N24:P24" si="31">N11*N14</f>
        <v>0</v>
      </c>
      <c r="O24" s="87">
        <f t="shared" si="31"/>
        <v>0</v>
      </c>
      <c r="P24" s="87">
        <f t="shared" si="31"/>
        <v>128616.15999999999</v>
      </c>
      <c r="Q24" s="87">
        <f t="shared" si="27"/>
        <v>0</v>
      </c>
      <c r="R24" s="87">
        <f>R11*R14</f>
        <v>0</v>
      </c>
      <c r="S24" s="87">
        <f t="shared" ref="S24:T24" si="32">S11*S14</f>
        <v>0</v>
      </c>
      <c r="T24" s="87">
        <f t="shared" si="32"/>
        <v>0</v>
      </c>
      <c r="U24" s="87"/>
    </row>
    <row r="25" spans="1:21" ht="15.75" thickBot="1">
      <c r="A25" s="41"/>
      <c r="B25" s="46" t="s">
        <v>155</v>
      </c>
      <c r="C25" s="45" t="s">
        <v>159</v>
      </c>
      <c r="D25" s="66">
        <f>SUM(E25:F25)</f>
        <v>6895015.7403999995</v>
      </c>
      <c r="E25" s="50">
        <f>E12*E14</f>
        <v>5942702.4304</v>
      </c>
      <c r="F25" s="50">
        <f t="shared" ref="F25" si="33">F12*F14</f>
        <v>952313.31</v>
      </c>
      <c r="G25" s="50">
        <f t="shared" si="23"/>
        <v>6657627.2700000014</v>
      </c>
      <c r="H25" s="50">
        <f>H12*H14</f>
        <v>5666862.9700000007</v>
      </c>
      <c r="I25" s="50">
        <f t="shared" ref="I25:K25" si="34">I12*I14</f>
        <v>629661.44999999995</v>
      </c>
      <c r="J25" s="50">
        <f t="shared" si="34"/>
        <v>244324.61</v>
      </c>
      <c r="K25" s="50">
        <f t="shared" si="34"/>
        <v>116778.23999999999</v>
      </c>
      <c r="L25" s="50">
        <f t="shared" si="25"/>
        <v>8256479.7500000009</v>
      </c>
      <c r="M25" s="50">
        <f>M12*M14</f>
        <v>7285329.0900000008</v>
      </c>
      <c r="N25" s="50">
        <f t="shared" ref="N25:P25" si="35">N12*N14</f>
        <v>710790.6333333333</v>
      </c>
      <c r="O25" s="50">
        <f t="shared" si="35"/>
        <v>169626.5</v>
      </c>
      <c r="P25" s="50">
        <f t="shared" si="35"/>
        <v>90733.526666666658</v>
      </c>
      <c r="Q25" s="50">
        <f t="shared" si="27"/>
        <v>0</v>
      </c>
      <c r="R25" s="50">
        <f>R12*R14</f>
        <v>0</v>
      </c>
      <c r="S25" s="50">
        <f t="shared" ref="S25:T25" si="36">S12*S14</f>
        <v>0</v>
      </c>
      <c r="T25" s="50">
        <f t="shared" si="36"/>
        <v>0</v>
      </c>
      <c r="U25" s="50"/>
    </row>
    <row r="26" spans="1:21" ht="15.75" thickBot="1">
      <c r="A26" s="41"/>
      <c r="B26" s="46"/>
      <c r="C26" s="45"/>
      <c r="D26" s="58"/>
      <c r="E26" s="47"/>
      <c r="F26" s="47"/>
      <c r="G26" s="47"/>
      <c r="H26" s="47"/>
      <c r="I26" s="47"/>
      <c r="J26" s="47"/>
      <c r="K26" s="47"/>
      <c r="L26" s="47"/>
      <c r="M26" s="47"/>
      <c r="N26" s="47"/>
      <c r="O26" s="47"/>
      <c r="P26" s="47"/>
      <c r="Q26" s="47"/>
      <c r="R26" s="47"/>
      <c r="S26" s="47"/>
      <c r="T26" s="47"/>
      <c r="U26" s="47"/>
    </row>
    <row r="27" spans="1:21" s="56" customFormat="1" ht="15.75" thickBot="1">
      <c r="A27" s="53"/>
      <c r="B27" s="51" t="s">
        <v>149</v>
      </c>
      <c r="C27" s="54" t="s">
        <v>160</v>
      </c>
      <c r="D27" s="57">
        <f>SUM(E27:F27)</f>
        <v>70745.33</v>
      </c>
      <c r="E27" s="59">
        <v>13064.33</v>
      </c>
      <c r="F27" s="59">
        <v>57681</v>
      </c>
      <c r="G27" s="57">
        <f>SUM(H27:K27)</f>
        <v>64163</v>
      </c>
      <c r="H27" s="59">
        <v>19717</v>
      </c>
      <c r="I27" s="59">
        <v>8679</v>
      </c>
      <c r="J27" s="59">
        <v>15493</v>
      </c>
      <c r="K27" s="59">
        <v>20274</v>
      </c>
      <c r="L27" s="57">
        <f>SUM(M27:P27)</f>
        <v>64181.666666666672</v>
      </c>
      <c r="M27" s="59">
        <v>24021</v>
      </c>
      <c r="N27" s="59">
        <v>8879.3333333333339</v>
      </c>
      <c r="O27" s="59">
        <v>12802</v>
      </c>
      <c r="P27" s="59">
        <v>18479.333333333332</v>
      </c>
      <c r="Q27" s="57">
        <f>SUM(R27:U27)</f>
        <v>94323.33222222222</v>
      </c>
      <c r="R27" s="59">
        <f>R14</f>
        <v>18934.11</v>
      </c>
      <c r="S27" s="59">
        <f>S14</f>
        <v>25079.777777777777</v>
      </c>
      <c r="T27" s="59">
        <f>T14+U14</f>
        <v>50309.444444444438</v>
      </c>
      <c r="U27" s="59"/>
    </row>
    <row r="28" spans="1:21" s="56" customFormat="1" ht="15.75" thickBot="1">
      <c r="A28" s="53"/>
      <c r="B28" s="51" t="s">
        <v>150</v>
      </c>
      <c r="C28" s="54" t="s">
        <v>161</v>
      </c>
      <c r="D28" s="57">
        <f>SUM(E28:F28)</f>
        <v>1303</v>
      </c>
      <c r="E28" s="59">
        <v>1123</v>
      </c>
      <c r="F28" s="59">
        <v>180</v>
      </c>
      <c r="G28" s="55">
        <f>SUM(H28:K28)</f>
        <v>2171</v>
      </c>
      <c r="H28" s="59">
        <v>1757</v>
      </c>
      <c r="I28" s="59">
        <v>179</v>
      </c>
      <c r="J28" s="59">
        <v>68</v>
      </c>
      <c r="K28" s="59">
        <v>167</v>
      </c>
      <c r="L28" s="55">
        <f>SUM(M28:P28)</f>
        <v>2251.6666666666665</v>
      </c>
      <c r="M28" s="59">
        <v>2021.3333333333333</v>
      </c>
      <c r="N28" s="59">
        <v>171</v>
      </c>
      <c r="O28" s="59">
        <v>40</v>
      </c>
      <c r="P28" s="59">
        <v>19.333333333333332</v>
      </c>
      <c r="Q28" s="55">
        <f>SUM(R28:U28)</f>
        <v>3217.8888888888887</v>
      </c>
      <c r="R28" s="59">
        <f>R15</f>
        <v>1633.7777777777776</v>
      </c>
      <c r="S28" s="59">
        <f>S15</f>
        <v>176.66666666666666</v>
      </c>
      <c r="T28" s="59">
        <f>T15+U15</f>
        <v>1407.4444444444443</v>
      </c>
      <c r="U28" s="59"/>
    </row>
  </sheetData>
  <mergeCells count="12">
    <mergeCell ref="R6:U6"/>
    <mergeCell ref="R19:U19"/>
    <mergeCell ref="C18:C20"/>
    <mergeCell ref="E18:P18"/>
    <mergeCell ref="E19:F19"/>
    <mergeCell ref="H19:K19"/>
    <mergeCell ref="M19:P19"/>
    <mergeCell ref="C5:C7"/>
    <mergeCell ref="E5:P5"/>
    <mergeCell ref="E6:F6"/>
    <mergeCell ref="M6:P6"/>
    <mergeCell ref="H6:K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Q73"/>
  <sheetViews>
    <sheetView topLeftCell="A7" workbookViewId="0">
      <selection activeCell="E12" sqref="E12"/>
    </sheetView>
  </sheetViews>
  <sheetFormatPr defaultRowHeight="15" outlineLevelCol="1"/>
  <cols>
    <col min="1" max="2" width="9.140625" style="7"/>
    <col min="3" max="3" width="65" style="7" customWidth="1"/>
    <col min="4" max="5" width="21" style="7" customWidth="1" outlineLevel="1"/>
    <col min="6" max="6" width="20.140625" style="7" customWidth="1" outlineLevel="1"/>
    <col min="7" max="8" width="20.140625" style="7" customWidth="1"/>
    <col min="9" max="14" width="27.7109375" style="7" customWidth="1"/>
    <col min="15" max="16384" width="9.140625" style="7"/>
  </cols>
  <sheetData>
    <row r="1" spans="2:17">
      <c r="N1" s="7" t="s">
        <v>251</v>
      </c>
    </row>
    <row r="2" spans="2:17" hidden="1"/>
    <row r="3" spans="2:17" ht="52.5" customHeight="1">
      <c r="B3" s="942" t="s">
        <v>270</v>
      </c>
      <c r="C3" s="942"/>
      <c r="D3" s="942"/>
      <c r="E3" s="942"/>
      <c r="F3" s="942"/>
      <c r="G3" s="942"/>
      <c r="H3" s="942"/>
      <c r="I3" s="942"/>
      <c r="J3" s="942"/>
      <c r="K3" s="942"/>
      <c r="L3" s="694"/>
      <c r="M3" s="694"/>
      <c r="N3" s="694"/>
    </row>
    <row r="4" spans="2:17">
      <c r="B4" s="942" t="s">
        <v>265</v>
      </c>
      <c r="C4" s="942"/>
      <c r="D4" s="942"/>
      <c r="E4" s="942"/>
      <c r="F4" s="942"/>
      <c r="G4" s="942"/>
      <c r="H4" s="942"/>
      <c r="I4" s="942"/>
      <c r="J4" s="942"/>
      <c r="K4" s="942"/>
      <c r="L4" s="694"/>
      <c r="M4" s="694"/>
      <c r="N4" s="694"/>
    </row>
    <row r="6" spans="2:17" ht="15.75" thickBot="1"/>
    <row r="7" spans="2:17" ht="75" customHeight="1" thickBot="1">
      <c r="B7" s="943" t="s">
        <v>8</v>
      </c>
      <c r="C7" s="945" t="s">
        <v>96</v>
      </c>
      <c r="D7" s="947" t="s">
        <v>97</v>
      </c>
      <c r="E7" s="948"/>
      <c r="F7" s="949"/>
      <c r="G7" s="945" t="s">
        <v>264</v>
      </c>
      <c r="H7" s="945" t="s">
        <v>10</v>
      </c>
      <c r="I7" s="939" t="s">
        <v>276</v>
      </c>
      <c r="J7" s="940"/>
      <c r="K7" s="940"/>
      <c r="L7" s="940"/>
      <c r="M7" s="940"/>
      <c r="N7" s="941"/>
      <c r="Q7" s="9"/>
    </row>
    <row r="8" spans="2:17" ht="75.75" thickBot="1">
      <c r="B8" s="944"/>
      <c r="C8" s="946"/>
      <c r="D8" s="194" t="s">
        <v>99</v>
      </c>
      <c r="E8" s="195" t="s">
        <v>100</v>
      </c>
      <c r="F8" s="196" t="s">
        <v>101</v>
      </c>
      <c r="G8" s="946"/>
      <c r="H8" s="946"/>
      <c r="I8" s="939" t="s">
        <v>262</v>
      </c>
      <c r="J8" s="940"/>
      <c r="K8" s="941"/>
      <c r="L8" s="939" t="s">
        <v>274</v>
      </c>
      <c r="M8" s="940"/>
      <c r="N8" s="941"/>
    </row>
    <row r="9" spans="2:17" ht="23.25" customHeight="1" thickBot="1">
      <c r="B9" s="692">
        <v>1</v>
      </c>
      <c r="C9" s="13">
        <v>2</v>
      </c>
      <c r="D9" s="197"/>
      <c r="E9" s="197"/>
      <c r="F9" s="198"/>
      <c r="G9" s="695"/>
      <c r="H9" s="695"/>
      <c r="I9" s="13" t="s">
        <v>266</v>
      </c>
      <c r="J9" s="693" t="s">
        <v>267</v>
      </c>
      <c r="K9" s="693" t="s">
        <v>268</v>
      </c>
      <c r="L9" s="13" t="s">
        <v>266</v>
      </c>
      <c r="M9" s="693" t="s">
        <v>267</v>
      </c>
      <c r="N9" s="693" t="s">
        <v>268</v>
      </c>
    </row>
    <row r="10" spans="2:17" ht="122.25" customHeight="1" thickBot="1">
      <c r="B10" s="692"/>
      <c r="C10" s="191" t="s">
        <v>261</v>
      </c>
      <c r="D10" s="40">
        <f>D12+D14</f>
        <v>94404190.923761591</v>
      </c>
      <c r="E10" s="40">
        <f>E12</f>
        <v>3212.3333333333335</v>
      </c>
      <c r="F10" s="40">
        <f t="shared" ref="F10" si="0">F12+F14</f>
        <v>273772</v>
      </c>
      <c r="G10" s="40" t="s">
        <v>138</v>
      </c>
      <c r="H10" s="40" t="s">
        <v>280</v>
      </c>
      <c r="I10" s="40">
        <f>I12+I14</f>
        <v>29388.04324699437</v>
      </c>
      <c r="J10" s="40">
        <f t="shared" ref="J10:N10" si="1">J12+J14</f>
        <v>29388.04324699437</v>
      </c>
      <c r="K10" s="40">
        <f t="shared" si="1"/>
        <v>29388.04324699437</v>
      </c>
      <c r="L10" s="40">
        <f t="shared" si="1"/>
        <v>29388.04324699437</v>
      </c>
      <c r="M10" s="40">
        <f t="shared" si="1"/>
        <v>29388.04324699437</v>
      </c>
      <c r="N10" s="40">
        <f t="shared" si="1"/>
        <v>29388.04324699437</v>
      </c>
    </row>
    <row r="11" spans="2:17" ht="15.75" thickBot="1">
      <c r="B11" s="692"/>
      <c r="C11" s="13"/>
      <c r="D11" s="197"/>
      <c r="E11" s="200"/>
      <c r="F11" s="198"/>
      <c r="G11" s="693"/>
      <c r="H11" s="693"/>
      <c r="I11" s="13"/>
      <c r="J11" s="693"/>
      <c r="K11" s="693"/>
      <c r="L11" s="13"/>
      <c r="M11" s="693"/>
      <c r="N11" s="693"/>
    </row>
    <row r="12" spans="2:17" ht="54.75" customHeight="1" thickBot="1">
      <c r="B12" s="67" t="s">
        <v>14</v>
      </c>
      <c r="C12" s="68" t="s">
        <v>120</v>
      </c>
      <c r="D12" s="201">
        <f>('Приложение 2 МУ 2015'!F9*1.071*1.039*1.037+'Приложение 2 МУ 2016'!F9*1.039*1.037+'Приложение 2 МУ 2017'!F9*1.037)/3*1.04</f>
        <v>46573993.853118367</v>
      </c>
      <c r="E12" s="201">
        <f>('Приложение 2 МУ 2017'!G9+'Приложение 2 МУ 2016'!G9+'Приложение 2 МУ 2015'!G9)/3</f>
        <v>3212.3333333333335</v>
      </c>
      <c r="F12" s="201">
        <f>('Приложение 2 МУ 2017'!H9+'Приложение 2 МУ 2016'!H9+'Приложение 2 МУ 2015'!H9)/3</f>
        <v>136886</v>
      </c>
      <c r="G12" s="206" t="s">
        <v>278</v>
      </c>
      <c r="H12" s="206" t="s">
        <v>280</v>
      </c>
      <c r="I12" s="193">
        <f>D12/E12</f>
        <v>14498.493468854944</v>
      </c>
      <c r="J12" s="70">
        <f>I12</f>
        <v>14498.493468854944</v>
      </c>
      <c r="K12" s="70">
        <f>I12</f>
        <v>14498.493468854944</v>
      </c>
      <c r="L12" s="193">
        <f t="shared" ref="L12:N14" si="2">I12</f>
        <v>14498.493468854944</v>
      </c>
      <c r="M12" s="70">
        <f t="shared" si="2"/>
        <v>14498.493468854944</v>
      </c>
      <c r="N12" s="70">
        <f t="shared" si="2"/>
        <v>14498.493468854944</v>
      </c>
    </row>
    <row r="13" spans="2:17" ht="15.75" thickBot="1">
      <c r="B13" s="89"/>
      <c r="C13" s="97"/>
      <c r="D13" s="202"/>
      <c r="E13" s="202"/>
      <c r="F13" s="202"/>
      <c r="G13" s="207"/>
      <c r="H13" s="207"/>
      <c r="I13" s="192"/>
      <c r="J13" s="190"/>
      <c r="K13" s="190"/>
      <c r="L13" s="192"/>
      <c r="M13" s="190"/>
      <c r="N13" s="190"/>
    </row>
    <row r="14" spans="2:17" ht="57" customHeight="1" thickBot="1">
      <c r="B14" s="67" t="s">
        <v>135</v>
      </c>
      <c r="C14" s="68" t="s">
        <v>121</v>
      </c>
      <c r="D14" s="201">
        <f>('Приложение 2 МУ 2015'!F14*1.071*1.039*1.037+'Приложение 2 МУ 2016'!F14*1.039*1.037+'Приложение 2 МУ 2017'!F14*1.037)/3*1.04</f>
        <v>47830197.070643224</v>
      </c>
      <c r="E14" s="201">
        <f>('Приложение 2 МУ 2017'!G14+'Приложение 2 МУ 2016'!G14+'Приложение 2 МУ 2015'!G14)/3</f>
        <v>3212.3333333333335</v>
      </c>
      <c r="F14" s="201">
        <f>('Приложение 2 МУ 2017'!H14+'Приложение 2 МУ 2016'!H14+'Приложение 2 МУ 2015'!H14)/3</f>
        <v>136886</v>
      </c>
      <c r="G14" s="206" t="s">
        <v>279</v>
      </c>
      <c r="H14" s="206" t="s">
        <v>280</v>
      </c>
      <c r="I14" s="193">
        <f>D14/E14</f>
        <v>14889.549778139428</v>
      </c>
      <c r="J14" s="70">
        <f>I14</f>
        <v>14889.549778139428</v>
      </c>
      <c r="K14" s="70">
        <f>I14</f>
        <v>14889.549778139428</v>
      </c>
      <c r="L14" s="193">
        <f t="shared" si="2"/>
        <v>14889.549778139428</v>
      </c>
      <c r="M14" s="70">
        <f t="shared" si="2"/>
        <v>14889.549778139428</v>
      </c>
      <c r="N14" s="70">
        <f t="shared" si="2"/>
        <v>14889.549778139428</v>
      </c>
    </row>
    <row r="16" spans="2:17">
      <c r="B16" s="208" t="s">
        <v>277</v>
      </c>
      <c r="C16" s="7" t="s">
        <v>275</v>
      </c>
    </row>
    <row r="19" spans="2:14" ht="15.75">
      <c r="B19" s="33" t="s">
        <v>87</v>
      </c>
      <c r="C19" s="34"/>
      <c r="D19" s="203"/>
      <c r="E19" s="203"/>
      <c r="N19" s="34" t="s">
        <v>252</v>
      </c>
    </row>
    <row r="20" spans="2:14" ht="15.75">
      <c r="B20" s="34" t="s">
        <v>88</v>
      </c>
      <c r="C20" s="34"/>
      <c r="D20" s="203"/>
      <c r="E20" s="203"/>
    </row>
    <row r="21" spans="2:14" ht="15.75">
      <c r="B21" s="34"/>
      <c r="C21" s="34"/>
      <c r="D21" s="203"/>
      <c r="E21" s="203"/>
    </row>
    <row r="22" spans="2:14" ht="15.75">
      <c r="B22" s="34"/>
      <c r="C22" s="34"/>
      <c r="D22" s="203"/>
      <c r="E22" s="203"/>
    </row>
    <row r="23" spans="2:14">
      <c r="B23"/>
      <c r="C23"/>
      <c r="D23" s="204"/>
      <c r="E23" s="204"/>
    </row>
    <row r="24" spans="2:14">
      <c r="B24" t="s">
        <v>89</v>
      </c>
      <c r="C24"/>
      <c r="D24" s="204"/>
      <c r="E24" s="204"/>
    </row>
    <row r="25" spans="2:14">
      <c r="B25" s="5" t="s">
        <v>90</v>
      </c>
      <c r="C25"/>
      <c r="D25" s="204"/>
      <c r="E25" s="204"/>
    </row>
    <row r="26" spans="2:14">
      <c r="B26" s="5" t="s">
        <v>91</v>
      </c>
      <c r="C26"/>
      <c r="D26" s="204"/>
      <c r="E26" s="204"/>
    </row>
    <row r="27" spans="2:14">
      <c r="B27"/>
      <c r="C27"/>
      <c r="D27" s="204"/>
      <c r="E27" s="204"/>
    </row>
    <row r="70" spans="5:5">
      <c r="E70" s="139">
        <v>1634</v>
      </c>
    </row>
    <row r="71" spans="5:5">
      <c r="E71" s="7">
        <v>1634.7047713702759</v>
      </c>
    </row>
    <row r="73" spans="5:5">
      <c r="E73" s="7">
        <v>0</v>
      </c>
    </row>
  </sheetData>
  <mergeCells count="10">
    <mergeCell ref="B3:K3"/>
    <mergeCell ref="B4:K4"/>
    <mergeCell ref="B7:B8"/>
    <mergeCell ref="C7:C8"/>
    <mergeCell ref="D7:F7"/>
    <mergeCell ref="G7:G8"/>
    <mergeCell ref="H7:H8"/>
    <mergeCell ref="I7:N7"/>
    <mergeCell ref="I8:K8"/>
    <mergeCell ref="L8:N8"/>
  </mergeCells>
  <pageMargins left="0.7" right="0.7" top="0.75" bottom="0.75" header="0.3" footer="0.3"/>
  <pageSetup paperSize="9" scale="8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H291"/>
  <sheetViews>
    <sheetView zoomScale="85" zoomScaleNormal="85" workbookViewId="0">
      <pane ySplit="4" topLeftCell="A183" activePane="bottomLeft" state="frozen"/>
      <selection activeCell="A323" sqref="A323:G323"/>
      <selection pane="bottomLeft" activeCell="N199" sqref="N199"/>
    </sheetView>
  </sheetViews>
  <sheetFormatPr defaultRowHeight="12.75"/>
  <cols>
    <col min="1" max="1" width="11" style="505" customWidth="1"/>
    <col min="2" max="2" width="60.5703125" style="504" customWidth="1"/>
    <col min="3" max="4" width="16.28515625" style="504" customWidth="1"/>
    <col min="5" max="7" width="16.28515625" style="506" customWidth="1"/>
    <col min="8" max="8" width="28.140625" style="503" customWidth="1"/>
    <col min="9" max="16384" width="9.140625" style="504"/>
  </cols>
  <sheetData>
    <row r="1" spans="1:8" ht="67.5" customHeight="1">
      <c r="A1" s="952" t="s">
        <v>595</v>
      </c>
      <c r="B1" s="952"/>
      <c r="C1" s="952"/>
      <c r="D1" s="952"/>
      <c r="E1" s="952"/>
      <c r="F1" s="952"/>
      <c r="G1" s="952"/>
    </row>
    <row r="2" spans="1:8" ht="24.75" customHeight="1">
      <c r="B2" s="1160" t="s">
        <v>596</v>
      </c>
      <c r="C2" s="1160"/>
      <c r="D2" s="1160"/>
      <c r="E2" s="1160"/>
      <c r="F2" s="1160"/>
    </row>
    <row r="3" spans="1:8" ht="13.5" thickBot="1"/>
    <row r="4" spans="1:8" ht="75.75" thickBot="1">
      <c r="A4" s="507" t="s">
        <v>597</v>
      </c>
      <c r="B4" s="508" t="s">
        <v>598</v>
      </c>
      <c r="C4" s="508" t="s">
        <v>599</v>
      </c>
      <c r="D4" s="508" t="s">
        <v>600</v>
      </c>
      <c r="E4" s="509" t="s">
        <v>601</v>
      </c>
      <c r="F4" s="509" t="s">
        <v>602</v>
      </c>
      <c r="G4" s="509" t="s">
        <v>603</v>
      </c>
    </row>
    <row r="5" spans="1:8" ht="15.75" thickBot="1">
      <c r="A5" s="510">
        <v>1</v>
      </c>
      <c r="B5" s="511">
        <v>2</v>
      </c>
      <c r="C5" s="511">
        <v>3</v>
      </c>
      <c r="D5" s="511">
        <v>4</v>
      </c>
      <c r="E5" s="691">
        <v>5</v>
      </c>
      <c r="F5" s="691">
        <v>6</v>
      </c>
      <c r="G5" s="691">
        <v>7</v>
      </c>
    </row>
    <row r="6" spans="1:8" ht="15.75" thickBot="1">
      <c r="A6" s="563" t="s">
        <v>14</v>
      </c>
      <c r="B6" s="564" t="s">
        <v>379</v>
      </c>
      <c r="C6" s="565" t="s">
        <v>380</v>
      </c>
      <c r="D6" s="565" t="s">
        <v>380</v>
      </c>
      <c r="E6" s="566" t="s">
        <v>380</v>
      </c>
      <c r="F6" s="566" t="s">
        <v>380</v>
      </c>
      <c r="G6" s="567" t="s">
        <v>380</v>
      </c>
    </row>
    <row r="7" spans="1:8" s="518" customFormat="1" ht="15">
      <c r="A7" s="512" t="s">
        <v>381</v>
      </c>
      <c r="B7" s="513" t="s">
        <v>382</v>
      </c>
      <c r="C7" s="514" t="s">
        <v>380</v>
      </c>
      <c r="D7" s="514" t="s">
        <v>380</v>
      </c>
      <c r="E7" s="515" t="s">
        <v>380</v>
      </c>
      <c r="F7" s="515" t="s">
        <v>380</v>
      </c>
      <c r="G7" s="516" t="s">
        <v>380</v>
      </c>
      <c r="H7" s="517"/>
    </row>
    <row r="8" spans="1:8" s="518" customFormat="1" ht="15">
      <c r="A8" s="519" t="s">
        <v>383</v>
      </c>
      <c r="B8" s="520" t="s">
        <v>384</v>
      </c>
      <c r="C8" s="521" t="s">
        <v>380</v>
      </c>
      <c r="D8" s="521" t="s">
        <v>380</v>
      </c>
      <c r="E8" s="522" t="s">
        <v>380</v>
      </c>
      <c r="F8" s="522" t="s">
        <v>380</v>
      </c>
      <c r="G8" s="523" t="s">
        <v>380</v>
      </c>
      <c r="H8" s="517"/>
    </row>
    <row r="9" spans="1:8" s="518" customFormat="1" ht="15.75" thickBot="1">
      <c r="A9" s="519" t="s">
        <v>385</v>
      </c>
      <c r="B9" s="520" t="s">
        <v>386</v>
      </c>
      <c r="C9" s="521" t="s">
        <v>380</v>
      </c>
      <c r="D9" s="521" t="s">
        <v>380</v>
      </c>
      <c r="E9" s="522" t="s">
        <v>380</v>
      </c>
      <c r="F9" s="522" t="s">
        <v>380</v>
      </c>
      <c r="G9" s="523" t="s">
        <v>380</v>
      </c>
      <c r="H9" s="517"/>
    </row>
    <row r="10" spans="1:8" ht="15.75" hidden="1" thickBot="1">
      <c r="A10" s="524" t="s">
        <v>579</v>
      </c>
      <c r="B10" s="525" t="s">
        <v>387</v>
      </c>
      <c r="C10" s="526">
        <v>2015</v>
      </c>
      <c r="D10" s="526">
        <v>35</v>
      </c>
      <c r="E10" s="527"/>
      <c r="F10" s="527"/>
      <c r="G10" s="528"/>
    </row>
    <row r="11" spans="1:8" ht="15.75" hidden="1" thickBot="1">
      <c r="A11" s="529" t="s">
        <v>388</v>
      </c>
      <c r="B11" s="530" t="s">
        <v>389</v>
      </c>
      <c r="C11" s="531">
        <v>2015</v>
      </c>
      <c r="D11" s="531">
        <v>35</v>
      </c>
      <c r="E11" s="532"/>
      <c r="F11" s="532"/>
      <c r="G11" s="533"/>
    </row>
    <row r="12" spans="1:8" ht="15.75" hidden="1" thickBot="1">
      <c r="A12" s="529" t="s">
        <v>390</v>
      </c>
      <c r="B12" s="530" t="s">
        <v>389</v>
      </c>
      <c r="C12" s="531">
        <v>2015</v>
      </c>
      <c r="D12" s="531">
        <v>110</v>
      </c>
      <c r="E12" s="532"/>
      <c r="F12" s="532"/>
      <c r="G12" s="533"/>
    </row>
    <row r="13" spans="1:8" ht="15.75" hidden="1" thickBot="1">
      <c r="A13" s="534" t="s">
        <v>391</v>
      </c>
      <c r="B13" s="535" t="s">
        <v>392</v>
      </c>
      <c r="C13" s="536">
        <v>2015</v>
      </c>
      <c r="D13" s="536">
        <v>110</v>
      </c>
      <c r="E13" s="537"/>
      <c r="F13" s="537"/>
      <c r="G13" s="538"/>
    </row>
    <row r="14" spans="1:8" s="518" customFormat="1" ht="15">
      <c r="A14" s="512" t="s">
        <v>393</v>
      </c>
      <c r="B14" s="513" t="s">
        <v>394</v>
      </c>
      <c r="C14" s="514" t="s">
        <v>380</v>
      </c>
      <c r="D14" s="514" t="s">
        <v>380</v>
      </c>
      <c r="E14" s="515" t="s">
        <v>380</v>
      </c>
      <c r="F14" s="515" t="s">
        <v>380</v>
      </c>
      <c r="G14" s="516" t="s">
        <v>380</v>
      </c>
      <c r="H14" s="517"/>
    </row>
    <row r="15" spans="1:8" s="518" customFormat="1" ht="15">
      <c r="A15" s="519" t="s">
        <v>395</v>
      </c>
      <c r="B15" s="520" t="s">
        <v>396</v>
      </c>
      <c r="C15" s="521" t="s">
        <v>380</v>
      </c>
      <c r="D15" s="521" t="s">
        <v>380</v>
      </c>
      <c r="E15" s="522" t="s">
        <v>380</v>
      </c>
      <c r="F15" s="522" t="s">
        <v>380</v>
      </c>
      <c r="G15" s="523" t="s">
        <v>380</v>
      </c>
      <c r="H15" s="517"/>
    </row>
    <row r="16" spans="1:8" s="518" customFormat="1" ht="15">
      <c r="A16" s="519" t="s">
        <v>397</v>
      </c>
      <c r="B16" s="520" t="s">
        <v>386</v>
      </c>
      <c r="C16" s="521" t="s">
        <v>380</v>
      </c>
      <c r="D16" s="521" t="s">
        <v>380</v>
      </c>
      <c r="E16" s="522" t="s">
        <v>380</v>
      </c>
      <c r="F16" s="522" t="s">
        <v>380</v>
      </c>
      <c r="G16" s="523" t="s">
        <v>380</v>
      </c>
      <c r="H16" s="517"/>
    </row>
    <row r="17" spans="1:8" ht="15">
      <c r="A17" s="529" t="s">
        <v>398</v>
      </c>
      <c r="B17" s="530" t="s">
        <v>399</v>
      </c>
      <c r="C17" s="531">
        <v>2015</v>
      </c>
      <c r="D17" s="531">
        <v>0.4</v>
      </c>
      <c r="E17" s="532">
        <v>3100</v>
      </c>
      <c r="F17" s="532">
        <v>398</v>
      </c>
      <c r="G17" s="533">
        <v>4314.22</v>
      </c>
    </row>
    <row r="18" spans="1:8" ht="15">
      <c r="A18" s="529" t="s">
        <v>400</v>
      </c>
      <c r="B18" s="530" t="s">
        <v>399</v>
      </c>
      <c r="C18" s="531">
        <v>2015</v>
      </c>
      <c r="D18" s="531" t="s">
        <v>401</v>
      </c>
      <c r="E18" s="532">
        <v>350</v>
      </c>
      <c r="F18" s="532">
        <v>40</v>
      </c>
      <c r="G18" s="533">
        <v>504.14</v>
      </c>
    </row>
    <row r="19" spans="1:8" ht="15">
      <c r="A19" s="529" t="s">
        <v>402</v>
      </c>
      <c r="B19" s="530" t="s">
        <v>387</v>
      </c>
      <c r="C19" s="531">
        <v>2015</v>
      </c>
      <c r="D19" s="531">
        <v>0.4</v>
      </c>
      <c r="E19" s="532">
        <v>2800</v>
      </c>
      <c r="F19" s="532">
        <v>350</v>
      </c>
      <c r="G19" s="533">
        <v>4154.74</v>
      </c>
    </row>
    <row r="20" spans="1:8" ht="15">
      <c r="A20" s="524" t="s">
        <v>403</v>
      </c>
      <c r="B20" s="525" t="s">
        <v>387</v>
      </c>
      <c r="C20" s="526">
        <v>2015</v>
      </c>
      <c r="D20" s="526" t="s">
        <v>401</v>
      </c>
      <c r="E20" s="527"/>
      <c r="F20" s="527"/>
      <c r="G20" s="528"/>
    </row>
    <row r="21" spans="1:8" ht="15" hidden="1">
      <c r="A21" s="524" t="s">
        <v>404</v>
      </c>
      <c r="B21" s="525" t="s">
        <v>387</v>
      </c>
      <c r="C21" s="526">
        <v>2015</v>
      </c>
      <c r="D21" s="526">
        <v>35</v>
      </c>
      <c r="E21" s="527"/>
      <c r="F21" s="527"/>
      <c r="G21" s="528"/>
    </row>
    <row r="22" spans="1:8" ht="15" hidden="1">
      <c r="A22" s="524" t="s">
        <v>405</v>
      </c>
      <c r="B22" s="525" t="s">
        <v>389</v>
      </c>
      <c r="C22" s="526">
        <v>2015</v>
      </c>
      <c r="D22" s="526">
        <v>0.4</v>
      </c>
      <c r="E22" s="527"/>
      <c r="F22" s="527"/>
      <c r="G22" s="528"/>
    </row>
    <row r="23" spans="1:8" ht="15" hidden="1">
      <c r="A23" s="524" t="s">
        <v>406</v>
      </c>
      <c r="B23" s="525" t="s">
        <v>389</v>
      </c>
      <c r="C23" s="526">
        <v>2015</v>
      </c>
      <c r="D23" s="526" t="s">
        <v>401</v>
      </c>
      <c r="E23" s="527"/>
      <c r="F23" s="527"/>
      <c r="G23" s="528"/>
    </row>
    <row r="24" spans="1:8" ht="15.75" thickBot="1">
      <c r="A24" s="524" t="s">
        <v>407</v>
      </c>
      <c r="B24" s="525" t="s">
        <v>389</v>
      </c>
      <c r="C24" s="526">
        <v>2015</v>
      </c>
      <c r="D24" s="526">
        <v>35</v>
      </c>
      <c r="E24" s="527"/>
      <c r="F24" s="527"/>
      <c r="G24" s="528"/>
    </row>
    <row r="25" spans="1:8" s="518" customFormat="1" ht="15">
      <c r="A25" s="512" t="s">
        <v>408</v>
      </c>
      <c r="B25" s="513" t="s">
        <v>384</v>
      </c>
      <c r="C25" s="514" t="s">
        <v>380</v>
      </c>
      <c r="D25" s="514" t="s">
        <v>380</v>
      </c>
      <c r="E25" s="515" t="s">
        <v>380</v>
      </c>
      <c r="F25" s="515" t="s">
        <v>380</v>
      </c>
      <c r="G25" s="516" t="s">
        <v>380</v>
      </c>
      <c r="H25" s="517"/>
    </row>
    <row r="26" spans="1:8" s="518" customFormat="1" ht="15">
      <c r="A26" s="519" t="s">
        <v>409</v>
      </c>
      <c r="B26" s="520" t="s">
        <v>386</v>
      </c>
      <c r="C26" s="521" t="s">
        <v>380</v>
      </c>
      <c r="D26" s="521" t="s">
        <v>380</v>
      </c>
      <c r="E26" s="522" t="s">
        <v>380</v>
      </c>
      <c r="F26" s="522" t="s">
        <v>380</v>
      </c>
      <c r="G26" s="523" t="s">
        <v>380</v>
      </c>
      <c r="H26" s="517"/>
    </row>
    <row r="27" spans="1:8" ht="15">
      <c r="A27" s="529" t="s">
        <v>410</v>
      </c>
      <c r="B27" s="530" t="s">
        <v>399</v>
      </c>
      <c r="C27" s="531">
        <v>2015</v>
      </c>
      <c r="D27" s="531">
        <v>0.4</v>
      </c>
      <c r="E27" s="532"/>
      <c r="F27" s="532"/>
      <c r="G27" s="533"/>
    </row>
    <row r="28" spans="1:8" ht="15" hidden="1">
      <c r="A28" s="529" t="s">
        <v>411</v>
      </c>
      <c r="B28" s="530" t="s">
        <v>399</v>
      </c>
      <c r="C28" s="531">
        <v>2015</v>
      </c>
      <c r="D28" s="531" t="s">
        <v>401</v>
      </c>
      <c r="E28" s="532"/>
      <c r="F28" s="532"/>
      <c r="G28" s="533"/>
    </row>
    <row r="29" spans="1:8" ht="15" hidden="1">
      <c r="A29" s="524" t="s">
        <v>412</v>
      </c>
      <c r="B29" s="525" t="s">
        <v>387</v>
      </c>
      <c r="C29" s="526">
        <v>2015</v>
      </c>
      <c r="D29" s="526">
        <v>35</v>
      </c>
      <c r="E29" s="527"/>
      <c r="F29" s="527"/>
      <c r="G29" s="528"/>
    </row>
    <row r="30" spans="1:8" ht="15.75" thickBot="1">
      <c r="A30" s="539" t="s">
        <v>413</v>
      </c>
      <c r="B30" s="540" t="s">
        <v>389</v>
      </c>
      <c r="C30" s="541">
        <v>2015</v>
      </c>
      <c r="D30" s="541">
        <v>35</v>
      </c>
      <c r="E30" s="542"/>
      <c r="F30" s="542"/>
      <c r="G30" s="543"/>
    </row>
    <row r="31" spans="1:8" s="518" customFormat="1" ht="15.75" thickBot="1">
      <c r="A31" s="544" t="s">
        <v>21</v>
      </c>
      <c r="B31" s="545" t="s">
        <v>604</v>
      </c>
      <c r="C31" s="546"/>
      <c r="D31" s="546"/>
      <c r="E31" s="547"/>
      <c r="F31" s="547"/>
      <c r="G31" s="548"/>
      <c r="H31" s="517"/>
    </row>
    <row r="32" spans="1:8" ht="15">
      <c r="A32" s="549" t="s">
        <v>605</v>
      </c>
      <c r="B32" s="550" t="s">
        <v>606</v>
      </c>
      <c r="C32" s="551">
        <v>2015</v>
      </c>
      <c r="D32" s="551">
        <v>0.4</v>
      </c>
      <c r="E32" s="552">
        <v>5900</v>
      </c>
      <c r="F32" s="552">
        <v>748</v>
      </c>
      <c r="G32" s="553">
        <v>8468.9599999999991</v>
      </c>
    </row>
    <row r="33" spans="1:8" ht="15.75" thickBot="1">
      <c r="A33" s="529" t="s">
        <v>607</v>
      </c>
      <c r="B33" s="530" t="s">
        <v>608</v>
      </c>
      <c r="C33" s="531">
        <v>2015</v>
      </c>
      <c r="D33" s="531" t="s">
        <v>401</v>
      </c>
      <c r="E33" s="532">
        <v>350</v>
      </c>
      <c r="F33" s="532">
        <v>40</v>
      </c>
      <c r="G33" s="533">
        <v>504.14</v>
      </c>
    </row>
    <row r="34" spans="1:8" ht="15.75" hidden="1" thickBot="1">
      <c r="A34" s="524" t="s">
        <v>609</v>
      </c>
      <c r="B34" s="525"/>
      <c r="C34" s="526"/>
      <c r="D34" s="526"/>
      <c r="E34" s="527"/>
      <c r="F34" s="527"/>
      <c r="G34" s="528"/>
    </row>
    <row r="35" spans="1:8" ht="15.75" hidden="1" thickBot="1">
      <c r="A35" s="529" t="s">
        <v>610</v>
      </c>
      <c r="B35" s="525"/>
      <c r="C35" s="526"/>
      <c r="D35" s="526"/>
      <c r="E35" s="527"/>
      <c r="F35" s="527"/>
      <c r="G35" s="528"/>
    </row>
    <row r="36" spans="1:8" ht="15.75" hidden="1" thickBot="1">
      <c r="A36" s="529" t="s">
        <v>611</v>
      </c>
      <c r="B36" s="525"/>
      <c r="C36" s="526"/>
      <c r="D36" s="526"/>
      <c r="E36" s="527"/>
      <c r="F36" s="527"/>
      <c r="G36" s="528"/>
    </row>
    <row r="37" spans="1:8" ht="15.75" hidden="1" thickBot="1">
      <c r="A37" s="524" t="s">
        <v>612</v>
      </c>
      <c r="B37" s="525"/>
      <c r="C37" s="526"/>
      <c r="D37" s="526"/>
      <c r="E37" s="527"/>
      <c r="F37" s="527"/>
      <c r="G37" s="528"/>
    </row>
    <row r="38" spans="1:8" ht="15.75" hidden="1" thickBot="1">
      <c r="A38" s="529" t="s">
        <v>613</v>
      </c>
      <c r="B38" s="525"/>
      <c r="C38" s="526"/>
      <c r="D38" s="526"/>
      <c r="E38" s="527"/>
      <c r="F38" s="527"/>
      <c r="G38" s="528"/>
    </row>
    <row r="39" spans="1:8" ht="15.75" hidden="1" thickBot="1">
      <c r="A39" s="529" t="s">
        <v>614</v>
      </c>
      <c r="B39" s="525"/>
      <c r="C39" s="526"/>
      <c r="D39" s="526"/>
      <c r="E39" s="527"/>
      <c r="F39" s="527"/>
      <c r="G39" s="528"/>
    </row>
    <row r="40" spans="1:8" ht="15.75" hidden="1" thickBot="1">
      <c r="A40" s="524" t="s">
        <v>615</v>
      </c>
      <c r="B40" s="525"/>
      <c r="C40" s="526"/>
      <c r="D40" s="526"/>
      <c r="E40" s="527"/>
      <c r="F40" s="527"/>
      <c r="G40" s="528"/>
    </row>
    <row r="41" spans="1:8" ht="15.75" hidden="1" thickBot="1">
      <c r="A41" s="529" t="s">
        <v>616</v>
      </c>
      <c r="B41" s="525"/>
      <c r="C41" s="526"/>
      <c r="D41" s="526"/>
      <c r="E41" s="527"/>
      <c r="F41" s="527"/>
      <c r="G41" s="528"/>
    </row>
    <row r="42" spans="1:8" ht="15.75" hidden="1" thickBot="1">
      <c r="A42" s="529" t="s">
        <v>617</v>
      </c>
      <c r="B42" s="525"/>
      <c r="C42" s="526"/>
      <c r="D42" s="526"/>
      <c r="E42" s="527"/>
      <c r="F42" s="527"/>
      <c r="G42" s="528"/>
    </row>
    <row r="43" spans="1:8" ht="15.75" hidden="1" thickBot="1">
      <c r="A43" s="524" t="s">
        <v>618</v>
      </c>
      <c r="B43" s="525"/>
      <c r="C43" s="526"/>
      <c r="D43" s="526"/>
      <c r="E43" s="527"/>
      <c r="F43" s="527"/>
      <c r="G43" s="528"/>
    </row>
    <row r="44" spans="1:8" ht="15.75" hidden="1" thickBot="1">
      <c r="A44" s="529" t="s">
        <v>619</v>
      </c>
      <c r="B44" s="525"/>
      <c r="C44" s="526"/>
      <c r="D44" s="526"/>
      <c r="E44" s="527"/>
      <c r="F44" s="527"/>
      <c r="G44" s="528"/>
    </row>
    <row r="45" spans="1:8" ht="15.75" hidden="1" thickBot="1">
      <c r="A45" s="529" t="s">
        <v>620</v>
      </c>
      <c r="B45" s="525"/>
      <c r="C45" s="526"/>
      <c r="D45" s="526"/>
      <c r="E45" s="527"/>
      <c r="F45" s="527"/>
      <c r="G45" s="528"/>
    </row>
    <row r="46" spans="1:8" ht="15.75" hidden="1" thickBot="1">
      <c r="A46" s="539" t="s">
        <v>621</v>
      </c>
      <c r="B46" s="540"/>
      <c r="C46" s="541"/>
      <c r="D46" s="541"/>
      <c r="E46" s="542"/>
      <c r="F46" s="542"/>
      <c r="G46" s="543"/>
    </row>
    <row r="47" spans="1:8" s="518" customFormat="1" ht="15.75" thickBot="1">
      <c r="A47" s="563" t="s">
        <v>135</v>
      </c>
      <c r="B47" s="564" t="s">
        <v>414</v>
      </c>
      <c r="C47" s="565" t="s">
        <v>380</v>
      </c>
      <c r="D47" s="565" t="s">
        <v>380</v>
      </c>
      <c r="E47" s="566" t="s">
        <v>380</v>
      </c>
      <c r="F47" s="566" t="s">
        <v>380</v>
      </c>
      <c r="G47" s="567" t="s">
        <v>380</v>
      </c>
      <c r="H47" s="517"/>
    </row>
    <row r="48" spans="1:8" s="518" customFormat="1" ht="15">
      <c r="A48" s="512" t="s">
        <v>167</v>
      </c>
      <c r="B48" s="513" t="s">
        <v>415</v>
      </c>
      <c r="C48" s="514" t="s">
        <v>380</v>
      </c>
      <c r="D48" s="514" t="s">
        <v>380</v>
      </c>
      <c r="E48" s="515" t="s">
        <v>380</v>
      </c>
      <c r="F48" s="515" t="s">
        <v>380</v>
      </c>
      <c r="G48" s="516" t="s">
        <v>380</v>
      </c>
      <c r="H48" s="517"/>
    </row>
    <row r="49" spans="1:8" s="518" customFormat="1" ht="15">
      <c r="A49" s="519" t="s">
        <v>168</v>
      </c>
      <c r="B49" s="520" t="s">
        <v>416</v>
      </c>
      <c r="C49" s="521" t="s">
        <v>380</v>
      </c>
      <c r="D49" s="521" t="s">
        <v>380</v>
      </c>
      <c r="E49" s="522" t="s">
        <v>380</v>
      </c>
      <c r="F49" s="522" t="s">
        <v>380</v>
      </c>
      <c r="G49" s="523" t="s">
        <v>380</v>
      </c>
      <c r="H49" s="517"/>
    </row>
    <row r="50" spans="1:8" s="518" customFormat="1" ht="15" hidden="1">
      <c r="A50" s="519" t="s">
        <v>169</v>
      </c>
      <c r="B50" s="520" t="s">
        <v>417</v>
      </c>
      <c r="C50" s="521" t="s">
        <v>380</v>
      </c>
      <c r="D50" s="521" t="s">
        <v>380</v>
      </c>
      <c r="E50" s="522" t="s">
        <v>380</v>
      </c>
      <c r="F50" s="522" t="s">
        <v>380</v>
      </c>
      <c r="G50" s="523" t="s">
        <v>380</v>
      </c>
      <c r="H50" s="517"/>
    </row>
    <row r="51" spans="1:8" ht="15" hidden="1">
      <c r="A51" s="529" t="s">
        <v>418</v>
      </c>
      <c r="B51" s="530" t="s">
        <v>399</v>
      </c>
      <c r="C51" s="531">
        <v>2015</v>
      </c>
      <c r="D51" s="531" t="s">
        <v>401</v>
      </c>
      <c r="E51" s="532"/>
      <c r="F51" s="532"/>
      <c r="G51" s="533"/>
    </row>
    <row r="52" spans="1:8" ht="15" hidden="1">
      <c r="A52" s="529" t="s">
        <v>419</v>
      </c>
      <c r="B52" s="530" t="s">
        <v>399</v>
      </c>
      <c r="C52" s="531">
        <v>2015</v>
      </c>
      <c r="D52" s="531">
        <v>35</v>
      </c>
      <c r="E52" s="532"/>
      <c r="F52" s="532"/>
      <c r="G52" s="533"/>
    </row>
    <row r="53" spans="1:8" ht="15" hidden="1">
      <c r="A53" s="529" t="s">
        <v>420</v>
      </c>
      <c r="B53" s="530" t="s">
        <v>399</v>
      </c>
      <c r="C53" s="531">
        <v>2015</v>
      </c>
      <c r="D53" s="531">
        <v>110</v>
      </c>
      <c r="E53" s="532"/>
      <c r="F53" s="532"/>
      <c r="G53" s="533"/>
    </row>
    <row r="54" spans="1:8" ht="15" hidden="1">
      <c r="A54" s="529" t="s">
        <v>421</v>
      </c>
      <c r="B54" s="530" t="s">
        <v>387</v>
      </c>
      <c r="C54" s="531">
        <v>2015</v>
      </c>
      <c r="D54" s="531" t="s">
        <v>401</v>
      </c>
      <c r="E54" s="532"/>
      <c r="F54" s="532"/>
      <c r="G54" s="533"/>
    </row>
    <row r="55" spans="1:8" ht="15" hidden="1">
      <c r="A55" s="529" t="s">
        <v>422</v>
      </c>
      <c r="B55" s="530" t="s">
        <v>387</v>
      </c>
      <c r="C55" s="531">
        <v>2015</v>
      </c>
      <c r="D55" s="531">
        <v>35</v>
      </c>
      <c r="E55" s="532"/>
      <c r="F55" s="532"/>
      <c r="G55" s="533"/>
    </row>
    <row r="56" spans="1:8" ht="15" hidden="1">
      <c r="A56" s="529" t="s">
        <v>423</v>
      </c>
      <c r="B56" s="530" t="s">
        <v>387</v>
      </c>
      <c r="C56" s="531">
        <v>2015</v>
      </c>
      <c r="D56" s="531">
        <v>110</v>
      </c>
      <c r="E56" s="532"/>
      <c r="F56" s="532"/>
      <c r="G56" s="533"/>
    </row>
    <row r="57" spans="1:8" ht="15" hidden="1">
      <c r="A57" s="529" t="s">
        <v>424</v>
      </c>
      <c r="B57" s="530" t="s">
        <v>389</v>
      </c>
      <c r="C57" s="531">
        <v>2015</v>
      </c>
      <c r="D57" s="531" t="s">
        <v>401</v>
      </c>
      <c r="E57" s="532"/>
      <c r="F57" s="532"/>
      <c r="G57" s="533"/>
    </row>
    <row r="58" spans="1:8" ht="15" hidden="1">
      <c r="A58" s="529" t="s">
        <v>425</v>
      </c>
      <c r="B58" s="530" t="s">
        <v>389</v>
      </c>
      <c r="C58" s="531">
        <v>2015</v>
      </c>
      <c r="D58" s="531">
        <v>35</v>
      </c>
      <c r="E58" s="532"/>
      <c r="F58" s="532"/>
      <c r="G58" s="533"/>
    </row>
    <row r="59" spans="1:8" ht="15" hidden="1">
      <c r="A59" s="529" t="s">
        <v>426</v>
      </c>
      <c r="B59" s="530" t="s">
        <v>389</v>
      </c>
      <c r="C59" s="531">
        <v>2015</v>
      </c>
      <c r="D59" s="531">
        <v>110</v>
      </c>
      <c r="E59" s="532"/>
      <c r="F59" s="532"/>
      <c r="G59" s="533"/>
    </row>
    <row r="60" spans="1:8" ht="15.75" hidden="1" thickBot="1">
      <c r="A60" s="539" t="s">
        <v>427</v>
      </c>
      <c r="B60" s="540" t="s">
        <v>392</v>
      </c>
      <c r="C60" s="541">
        <v>2015</v>
      </c>
      <c r="D60" s="541">
        <v>110</v>
      </c>
      <c r="E60" s="542"/>
      <c r="F60" s="542"/>
      <c r="G60" s="543"/>
    </row>
    <row r="61" spans="1:8" s="518" customFormat="1" ht="15" hidden="1">
      <c r="A61" s="512" t="s">
        <v>428</v>
      </c>
      <c r="B61" s="513" t="s">
        <v>429</v>
      </c>
      <c r="C61" s="514" t="s">
        <v>380</v>
      </c>
      <c r="D61" s="514" t="s">
        <v>380</v>
      </c>
      <c r="E61" s="515" t="s">
        <v>380</v>
      </c>
      <c r="F61" s="515" t="s">
        <v>380</v>
      </c>
      <c r="G61" s="516" t="s">
        <v>380</v>
      </c>
      <c r="H61" s="517"/>
    </row>
    <row r="62" spans="1:8" ht="15" hidden="1">
      <c r="A62" s="529" t="s">
        <v>430</v>
      </c>
      <c r="B62" s="530" t="s">
        <v>399</v>
      </c>
      <c r="C62" s="531">
        <v>2015</v>
      </c>
      <c r="D62" s="531" t="s">
        <v>401</v>
      </c>
      <c r="E62" s="532"/>
      <c r="F62" s="532"/>
      <c r="G62" s="533"/>
    </row>
    <row r="63" spans="1:8" ht="15" hidden="1">
      <c r="A63" s="529" t="s">
        <v>431</v>
      </c>
      <c r="B63" s="530" t="s">
        <v>399</v>
      </c>
      <c r="C63" s="531">
        <v>2015</v>
      </c>
      <c r="D63" s="531">
        <v>35</v>
      </c>
      <c r="E63" s="532"/>
      <c r="F63" s="532"/>
      <c r="G63" s="533"/>
    </row>
    <row r="64" spans="1:8" ht="15" hidden="1">
      <c r="A64" s="529" t="s">
        <v>432</v>
      </c>
      <c r="B64" s="530" t="s">
        <v>399</v>
      </c>
      <c r="C64" s="531">
        <v>2015</v>
      </c>
      <c r="D64" s="531">
        <v>110</v>
      </c>
      <c r="E64" s="532"/>
      <c r="F64" s="532"/>
      <c r="G64" s="533"/>
    </row>
    <row r="65" spans="1:8" ht="15" hidden="1">
      <c r="A65" s="529" t="s">
        <v>433</v>
      </c>
      <c r="B65" s="530" t="s">
        <v>387</v>
      </c>
      <c r="C65" s="531">
        <v>2015</v>
      </c>
      <c r="D65" s="531" t="s">
        <v>401</v>
      </c>
      <c r="E65" s="532"/>
      <c r="F65" s="532"/>
      <c r="G65" s="533"/>
    </row>
    <row r="66" spans="1:8" ht="15" hidden="1">
      <c r="A66" s="529" t="s">
        <v>434</v>
      </c>
      <c r="B66" s="530" t="s">
        <v>387</v>
      </c>
      <c r="C66" s="531">
        <v>2015</v>
      </c>
      <c r="D66" s="531">
        <v>35</v>
      </c>
      <c r="E66" s="532"/>
      <c r="F66" s="532"/>
      <c r="G66" s="533"/>
    </row>
    <row r="67" spans="1:8" ht="15" hidden="1">
      <c r="A67" s="529" t="s">
        <v>435</v>
      </c>
      <c r="B67" s="530" t="s">
        <v>387</v>
      </c>
      <c r="C67" s="531">
        <v>2015</v>
      </c>
      <c r="D67" s="531">
        <v>110</v>
      </c>
      <c r="E67" s="532"/>
      <c r="F67" s="532"/>
      <c r="G67" s="533"/>
    </row>
    <row r="68" spans="1:8" ht="15" hidden="1">
      <c r="A68" s="529" t="s">
        <v>436</v>
      </c>
      <c r="B68" s="530" t="s">
        <v>389</v>
      </c>
      <c r="C68" s="531">
        <v>2015</v>
      </c>
      <c r="D68" s="531" t="s">
        <v>401</v>
      </c>
      <c r="E68" s="532"/>
      <c r="F68" s="532"/>
      <c r="G68" s="533"/>
    </row>
    <row r="69" spans="1:8" ht="15" hidden="1">
      <c r="A69" s="529" t="s">
        <v>437</v>
      </c>
      <c r="B69" s="530" t="s">
        <v>389</v>
      </c>
      <c r="C69" s="531">
        <v>2015</v>
      </c>
      <c r="D69" s="531">
        <v>35</v>
      </c>
      <c r="E69" s="532"/>
      <c r="F69" s="532"/>
      <c r="G69" s="533"/>
    </row>
    <row r="70" spans="1:8" ht="15" hidden="1">
      <c r="A70" s="529" t="s">
        <v>438</v>
      </c>
      <c r="B70" s="530" t="s">
        <v>389</v>
      </c>
      <c r="C70" s="531">
        <v>2015</v>
      </c>
      <c r="D70" s="531">
        <v>110</v>
      </c>
      <c r="E70" s="532"/>
      <c r="F70" s="532"/>
      <c r="G70" s="533"/>
    </row>
    <row r="71" spans="1:8" ht="15.75" hidden="1" thickBot="1">
      <c r="A71" s="539" t="s">
        <v>439</v>
      </c>
      <c r="B71" s="540" t="s">
        <v>392</v>
      </c>
      <c r="C71" s="541">
        <v>2015</v>
      </c>
      <c r="D71" s="541">
        <v>110</v>
      </c>
      <c r="E71" s="542"/>
      <c r="F71" s="542"/>
      <c r="G71" s="543"/>
    </row>
    <row r="72" spans="1:8" s="518" customFormat="1" ht="15">
      <c r="A72" s="519" t="s">
        <v>170</v>
      </c>
      <c r="B72" s="520" t="s">
        <v>440</v>
      </c>
      <c r="C72" s="521" t="s">
        <v>380</v>
      </c>
      <c r="D72" s="521" t="s">
        <v>380</v>
      </c>
      <c r="E72" s="522" t="s">
        <v>380</v>
      </c>
      <c r="F72" s="522" t="s">
        <v>380</v>
      </c>
      <c r="G72" s="523" t="s">
        <v>380</v>
      </c>
      <c r="H72" s="517"/>
    </row>
    <row r="73" spans="1:8" s="518" customFormat="1" ht="15">
      <c r="A73" s="519" t="s">
        <v>171</v>
      </c>
      <c r="B73" s="520" t="s">
        <v>417</v>
      </c>
      <c r="C73" s="521" t="s">
        <v>380</v>
      </c>
      <c r="D73" s="521" t="s">
        <v>380</v>
      </c>
      <c r="E73" s="522" t="s">
        <v>380</v>
      </c>
      <c r="F73" s="522" t="s">
        <v>380</v>
      </c>
      <c r="G73" s="523" t="s">
        <v>380</v>
      </c>
      <c r="H73" s="517"/>
    </row>
    <row r="74" spans="1:8" ht="15">
      <c r="A74" s="529" t="s">
        <v>441</v>
      </c>
      <c r="B74" s="530" t="s">
        <v>399</v>
      </c>
      <c r="C74" s="531">
        <v>2015</v>
      </c>
      <c r="D74" s="531">
        <v>0.4</v>
      </c>
      <c r="E74" s="532">
        <v>200</v>
      </c>
      <c r="F74" s="532">
        <v>79</v>
      </c>
      <c r="G74" s="533">
        <v>598.17999999999995</v>
      </c>
    </row>
    <row r="75" spans="1:8" ht="15">
      <c r="A75" s="529" t="s">
        <v>442</v>
      </c>
      <c r="B75" s="530" t="s">
        <v>399</v>
      </c>
      <c r="C75" s="531">
        <v>2015</v>
      </c>
      <c r="D75" s="531" t="s">
        <v>401</v>
      </c>
      <c r="E75" s="532"/>
      <c r="F75" s="532"/>
      <c r="G75" s="533"/>
    </row>
    <row r="76" spans="1:8" ht="15">
      <c r="A76" s="529" t="s">
        <v>443</v>
      </c>
      <c r="B76" s="530" t="s">
        <v>399</v>
      </c>
      <c r="C76" s="531">
        <v>2015</v>
      </c>
      <c r="D76" s="531">
        <v>35</v>
      </c>
      <c r="E76" s="532"/>
      <c r="F76" s="532"/>
      <c r="G76" s="533"/>
    </row>
    <row r="77" spans="1:8" ht="15">
      <c r="A77" s="529" t="s">
        <v>444</v>
      </c>
      <c r="B77" s="530" t="s">
        <v>399</v>
      </c>
      <c r="C77" s="531">
        <v>2015</v>
      </c>
      <c r="D77" s="531">
        <v>110</v>
      </c>
      <c r="E77" s="532"/>
      <c r="F77" s="532"/>
      <c r="G77" s="533"/>
    </row>
    <row r="78" spans="1:8" ht="15">
      <c r="A78" s="529" t="s">
        <v>445</v>
      </c>
      <c r="B78" s="530" t="s">
        <v>387</v>
      </c>
      <c r="C78" s="531">
        <v>2015</v>
      </c>
      <c r="D78" s="531">
        <v>0.4</v>
      </c>
      <c r="E78" s="532">
        <v>280</v>
      </c>
      <c r="F78" s="532">
        <v>100</v>
      </c>
      <c r="G78" s="533">
        <v>890.24</v>
      </c>
    </row>
    <row r="79" spans="1:8" ht="15">
      <c r="A79" s="529" t="s">
        <v>446</v>
      </c>
      <c r="B79" s="530" t="s">
        <v>387</v>
      </c>
      <c r="C79" s="531">
        <v>2015</v>
      </c>
      <c r="D79" s="531" t="s">
        <v>401</v>
      </c>
      <c r="E79" s="532"/>
      <c r="F79" s="532"/>
      <c r="G79" s="533"/>
    </row>
    <row r="80" spans="1:8" ht="15">
      <c r="A80" s="529" t="s">
        <v>447</v>
      </c>
      <c r="B80" s="530" t="s">
        <v>387</v>
      </c>
      <c r="C80" s="531">
        <v>2015</v>
      </c>
      <c r="D80" s="531">
        <v>35</v>
      </c>
      <c r="E80" s="532"/>
      <c r="F80" s="532"/>
      <c r="G80" s="533"/>
    </row>
    <row r="81" spans="1:8" ht="15">
      <c r="A81" s="529" t="s">
        <v>448</v>
      </c>
      <c r="B81" s="530" t="s">
        <v>387</v>
      </c>
      <c r="C81" s="531">
        <v>2015</v>
      </c>
      <c r="D81" s="531">
        <v>110</v>
      </c>
      <c r="E81" s="532"/>
      <c r="F81" s="532"/>
      <c r="G81" s="533"/>
    </row>
    <row r="82" spans="1:8" ht="15">
      <c r="A82" s="529" t="s">
        <v>449</v>
      </c>
      <c r="B82" s="530" t="s">
        <v>389</v>
      </c>
      <c r="C82" s="531">
        <v>2015</v>
      </c>
      <c r="D82" s="531">
        <v>0.4</v>
      </c>
      <c r="E82" s="532">
        <v>1100</v>
      </c>
      <c r="F82" s="532">
        <v>260</v>
      </c>
      <c r="G82" s="533">
        <v>3282.41</v>
      </c>
    </row>
    <row r="83" spans="1:8" ht="15">
      <c r="A83" s="529" t="s">
        <v>450</v>
      </c>
      <c r="B83" s="530" t="s">
        <v>389</v>
      </c>
      <c r="C83" s="531">
        <v>2015</v>
      </c>
      <c r="D83" s="531" t="s">
        <v>401</v>
      </c>
      <c r="E83" s="532">
        <v>100</v>
      </c>
      <c r="F83" s="532">
        <v>48</v>
      </c>
      <c r="G83" s="533">
        <v>326.86</v>
      </c>
    </row>
    <row r="84" spans="1:8" ht="15">
      <c r="A84" s="529" t="s">
        <v>451</v>
      </c>
      <c r="B84" s="530" t="s">
        <v>389</v>
      </c>
      <c r="C84" s="531">
        <v>2015</v>
      </c>
      <c r="D84" s="531">
        <v>35</v>
      </c>
      <c r="E84" s="532"/>
      <c r="F84" s="532"/>
      <c r="G84" s="533"/>
    </row>
    <row r="85" spans="1:8" ht="15">
      <c r="A85" s="529" t="s">
        <v>452</v>
      </c>
      <c r="B85" s="530" t="s">
        <v>389</v>
      </c>
      <c r="C85" s="531">
        <v>2015</v>
      </c>
      <c r="D85" s="531">
        <v>110</v>
      </c>
      <c r="E85" s="532"/>
      <c r="F85" s="532"/>
      <c r="G85" s="533"/>
    </row>
    <row r="86" spans="1:8" ht="15">
      <c r="A86" s="524" t="s">
        <v>453</v>
      </c>
      <c r="B86" s="525" t="s">
        <v>392</v>
      </c>
      <c r="C86" s="526">
        <v>2015</v>
      </c>
      <c r="D86" s="526">
        <v>6</v>
      </c>
      <c r="E86" s="527">
        <f>E164</f>
        <v>425</v>
      </c>
      <c r="F86" s="527">
        <f>F164</f>
        <v>200</v>
      </c>
      <c r="G86" s="528">
        <f>G164</f>
        <v>747.76</v>
      </c>
    </row>
    <row r="87" spans="1:8" ht="15.75" thickBot="1">
      <c r="A87" s="539" t="s">
        <v>454</v>
      </c>
      <c r="B87" s="540" t="s">
        <v>392</v>
      </c>
      <c r="C87" s="541">
        <v>2015</v>
      </c>
      <c r="D87" s="541">
        <v>110</v>
      </c>
      <c r="E87" s="542"/>
      <c r="F87" s="542"/>
      <c r="G87" s="543"/>
    </row>
    <row r="88" spans="1:8" s="518" customFormat="1" ht="15.75" thickBot="1">
      <c r="A88" s="512" t="s">
        <v>172</v>
      </c>
      <c r="B88" s="513" t="s">
        <v>429</v>
      </c>
      <c r="C88" s="514" t="s">
        <v>380</v>
      </c>
      <c r="D88" s="514" t="s">
        <v>380</v>
      </c>
      <c r="E88" s="515" t="s">
        <v>380</v>
      </c>
      <c r="F88" s="515" t="s">
        <v>380</v>
      </c>
      <c r="G88" s="516" t="s">
        <v>380</v>
      </c>
      <c r="H88" s="517"/>
    </row>
    <row r="89" spans="1:8" ht="15.75" hidden="1" thickBot="1">
      <c r="A89" s="529" t="s">
        <v>455</v>
      </c>
      <c r="B89" s="530" t="s">
        <v>399</v>
      </c>
      <c r="C89" s="531">
        <v>2015</v>
      </c>
      <c r="D89" s="531">
        <v>0.4</v>
      </c>
      <c r="E89" s="532"/>
      <c r="F89" s="532"/>
      <c r="G89" s="533"/>
    </row>
    <row r="90" spans="1:8" ht="15.75" hidden="1" thickBot="1">
      <c r="A90" s="529" t="s">
        <v>456</v>
      </c>
      <c r="B90" s="530" t="s">
        <v>399</v>
      </c>
      <c r="C90" s="531">
        <v>2015</v>
      </c>
      <c r="D90" s="531" t="s">
        <v>401</v>
      </c>
      <c r="E90" s="532"/>
      <c r="F90" s="532"/>
      <c r="G90" s="533"/>
    </row>
    <row r="91" spans="1:8" ht="15.75" hidden="1" thickBot="1">
      <c r="A91" s="529" t="s">
        <v>457</v>
      </c>
      <c r="B91" s="530" t="s">
        <v>399</v>
      </c>
      <c r="C91" s="531">
        <v>2015</v>
      </c>
      <c r="D91" s="531">
        <v>35</v>
      </c>
      <c r="E91" s="532"/>
      <c r="F91" s="532"/>
      <c r="G91" s="533"/>
    </row>
    <row r="92" spans="1:8" ht="15.75" hidden="1" thickBot="1">
      <c r="A92" s="529" t="s">
        <v>458</v>
      </c>
      <c r="B92" s="530" t="s">
        <v>399</v>
      </c>
      <c r="C92" s="531">
        <v>2015</v>
      </c>
      <c r="D92" s="531">
        <v>110</v>
      </c>
      <c r="E92" s="532"/>
      <c r="F92" s="532"/>
      <c r="G92" s="533"/>
    </row>
    <row r="93" spans="1:8" ht="15.75" hidden="1" thickBot="1">
      <c r="A93" s="529" t="s">
        <v>459</v>
      </c>
      <c r="B93" s="530" t="s">
        <v>387</v>
      </c>
      <c r="C93" s="531">
        <v>2015</v>
      </c>
      <c r="D93" s="531">
        <v>0.4</v>
      </c>
      <c r="E93" s="532"/>
      <c r="F93" s="532"/>
      <c r="G93" s="533"/>
    </row>
    <row r="94" spans="1:8" ht="15.75" hidden="1" thickBot="1">
      <c r="A94" s="529" t="s">
        <v>460</v>
      </c>
      <c r="B94" s="530" t="s">
        <v>387</v>
      </c>
      <c r="C94" s="531">
        <v>2015</v>
      </c>
      <c r="D94" s="531" t="s">
        <v>401</v>
      </c>
      <c r="E94" s="532"/>
      <c r="F94" s="532"/>
      <c r="G94" s="533"/>
    </row>
    <row r="95" spans="1:8" ht="15.75" hidden="1" thickBot="1">
      <c r="A95" s="529" t="s">
        <v>461</v>
      </c>
      <c r="B95" s="530" t="s">
        <v>387</v>
      </c>
      <c r="C95" s="531">
        <v>2015</v>
      </c>
      <c r="D95" s="531">
        <v>35</v>
      </c>
      <c r="E95" s="532"/>
      <c r="F95" s="532"/>
      <c r="G95" s="533"/>
    </row>
    <row r="96" spans="1:8" ht="15.75" hidden="1" thickBot="1">
      <c r="A96" s="529" t="s">
        <v>462</v>
      </c>
      <c r="B96" s="530" t="s">
        <v>387</v>
      </c>
      <c r="C96" s="531">
        <v>2015</v>
      </c>
      <c r="D96" s="531">
        <v>110</v>
      </c>
      <c r="E96" s="532"/>
      <c r="F96" s="532"/>
      <c r="G96" s="533"/>
    </row>
    <row r="97" spans="1:8" ht="15.75" hidden="1" thickBot="1">
      <c r="A97" s="529" t="s">
        <v>463</v>
      </c>
      <c r="B97" s="530" t="s">
        <v>389</v>
      </c>
      <c r="C97" s="531">
        <v>2015</v>
      </c>
      <c r="D97" s="531">
        <v>0.4</v>
      </c>
      <c r="E97" s="532"/>
      <c r="F97" s="532"/>
      <c r="G97" s="533"/>
    </row>
    <row r="98" spans="1:8" ht="15.75" hidden="1" thickBot="1">
      <c r="A98" s="529" t="s">
        <v>464</v>
      </c>
      <c r="B98" s="530" t="s">
        <v>389</v>
      </c>
      <c r="C98" s="531">
        <v>2015</v>
      </c>
      <c r="D98" s="531" t="s">
        <v>401</v>
      </c>
      <c r="E98" s="532"/>
      <c r="F98" s="532"/>
      <c r="G98" s="533"/>
    </row>
    <row r="99" spans="1:8" ht="15.75" hidden="1" thickBot="1">
      <c r="A99" s="529" t="s">
        <v>465</v>
      </c>
      <c r="B99" s="530" t="s">
        <v>389</v>
      </c>
      <c r="C99" s="531">
        <v>2015</v>
      </c>
      <c r="D99" s="531">
        <v>35</v>
      </c>
      <c r="E99" s="532"/>
      <c r="F99" s="532"/>
      <c r="G99" s="533"/>
    </row>
    <row r="100" spans="1:8" ht="15.75" hidden="1" thickBot="1">
      <c r="A100" s="529" t="s">
        <v>466</v>
      </c>
      <c r="B100" s="530" t="s">
        <v>389</v>
      </c>
      <c r="C100" s="531">
        <v>2015</v>
      </c>
      <c r="D100" s="531">
        <v>110</v>
      </c>
      <c r="E100" s="532"/>
      <c r="F100" s="532"/>
      <c r="G100" s="533"/>
    </row>
    <row r="101" spans="1:8" ht="15.75" hidden="1" thickBot="1">
      <c r="A101" s="539" t="s">
        <v>467</v>
      </c>
      <c r="B101" s="540" t="s">
        <v>392</v>
      </c>
      <c r="C101" s="541">
        <v>2015</v>
      </c>
      <c r="D101" s="541">
        <v>110</v>
      </c>
      <c r="E101" s="542"/>
      <c r="F101" s="542"/>
      <c r="G101" s="543"/>
    </row>
    <row r="102" spans="1:8" s="518" customFormat="1" ht="15">
      <c r="A102" s="512" t="s">
        <v>173</v>
      </c>
      <c r="B102" s="513" t="s">
        <v>468</v>
      </c>
      <c r="C102" s="514" t="s">
        <v>380</v>
      </c>
      <c r="D102" s="514" t="s">
        <v>380</v>
      </c>
      <c r="E102" s="515" t="s">
        <v>380</v>
      </c>
      <c r="F102" s="515" t="s">
        <v>380</v>
      </c>
      <c r="G102" s="516" t="s">
        <v>380</v>
      </c>
      <c r="H102" s="517"/>
    </row>
    <row r="103" spans="1:8" s="518" customFormat="1" ht="15">
      <c r="A103" s="519" t="s">
        <v>174</v>
      </c>
      <c r="B103" s="520" t="s">
        <v>416</v>
      </c>
      <c r="C103" s="521" t="s">
        <v>380</v>
      </c>
      <c r="D103" s="521" t="s">
        <v>380</v>
      </c>
      <c r="E103" s="522" t="s">
        <v>380</v>
      </c>
      <c r="F103" s="522" t="s">
        <v>380</v>
      </c>
      <c r="G103" s="523" t="s">
        <v>380</v>
      </c>
      <c r="H103" s="517"/>
    </row>
    <row r="104" spans="1:8" s="518" customFormat="1" ht="15">
      <c r="A104" s="519" t="s">
        <v>175</v>
      </c>
      <c r="B104" s="520" t="s">
        <v>417</v>
      </c>
      <c r="C104" s="521" t="s">
        <v>380</v>
      </c>
      <c r="D104" s="521" t="s">
        <v>380</v>
      </c>
      <c r="E104" s="522" t="s">
        <v>380</v>
      </c>
      <c r="F104" s="522" t="s">
        <v>380</v>
      </c>
      <c r="G104" s="523" t="s">
        <v>380</v>
      </c>
      <c r="H104" s="517"/>
    </row>
    <row r="105" spans="1:8" ht="15">
      <c r="A105" s="529" t="s">
        <v>469</v>
      </c>
      <c r="B105" s="530" t="s">
        <v>399</v>
      </c>
      <c r="C105" s="531">
        <v>2015</v>
      </c>
      <c r="D105" s="531" t="s">
        <v>401</v>
      </c>
      <c r="E105" s="532"/>
      <c r="F105" s="532"/>
      <c r="G105" s="533"/>
    </row>
    <row r="106" spans="1:8" ht="15" hidden="1">
      <c r="A106" s="529" t="s">
        <v>470</v>
      </c>
      <c r="B106" s="530" t="s">
        <v>399</v>
      </c>
      <c r="C106" s="531">
        <v>2015</v>
      </c>
      <c r="D106" s="531">
        <v>35</v>
      </c>
      <c r="E106" s="532"/>
      <c r="F106" s="532"/>
      <c r="G106" s="533"/>
    </row>
    <row r="107" spans="1:8" ht="15" hidden="1">
      <c r="A107" s="529" t="s">
        <v>471</v>
      </c>
      <c r="B107" s="530" t="s">
        <v>399</v>
      </c>
      <c r="C107" s="531">
        <v>2015</v>
      </c>
      <c r="D107" s="531">
        <v>110</v>
      </c>
      <c r="E107" s="532"/>
      <c r="F107" s="532"/>
      <c r="G107" s="533"/>
    </row>
    <row r="108" spans="1:8" ht="15" hidden="1">
      <c r="A108" s="529" t="s">
        <v>472</v>
      </c>
      <c r="B108" s="530" t="s">
        <v>387</v>
      </c>
      <c r="C108" s="531">
        <v>2015</v>
      </c>
      <c r="D108" s="531" t="s">
        <v>401</v>
      </c>
      <c r="E108" s="532"/>
      <c r="F108" s="532"/>
      <c r="G108" s="533"/>
    </row>
    <row r="109" spans="1:8" ht="15" hidden="1">
      <c r="A109" s="529" t="s">
        <v>473</v>
      </c>
      <c r="B109" s="530" t="s">
        <v>387</v>
      </c>
      <c r="C109" s="531">
        <v>2015</v>
      </c>
      <c r="D109" s="531">
        <v>35</v>
      </c>
      <c r="E109" s="532"/>
      <c r="F109" s="532"/>
      <c r="G109" s="533"/>
    </row>
    <row r="110" spans="1:8" ht="15" hidden="1">
      <c r="A110" s="529" t="s">
        <v>474</v>
      </c>
      <c r="B110" s="530" t="s">
        <v>387</v>
      </c>
      <c r="C110" s="531">
        <v>2015</v>
      </c>
      <c r="D110" s="531">
        <v>110</v>
      </c>
      <c r="E110" s="532"/>
      <c r="F110" s="532"/>
      <c r="G110" s="533"/>
    </row>
    <row r="111" spans="1:8" ht="15" hidden="1">
      <c r="A111" s="529" t="s">
        <v>475</v>
      </c>
      <c r="B111" s="530" t="s">
        <v>389</v>
      </c>
      <c r="C111" s="531">
        <v>2015</v>
      </c>
      <c r="D111" s="531" t="s">
        <v>401</v>
      </c>
      <c r="E111" s="532"/>
      <c r="F111" s="532"/>
      <c r="G111" s="533"/>
    </row>
    <row r="112" spans="1:8" ht="15" hidden="1">
      <c r="A112" s="529" t="s">
        <v>476</v>
      </c>
      <c r="B112" s="530" t="s">
        <v>389</v>
      </c>
      <c r="C112" s="531">
        <v>2015</v>
      </c>
      <c r="D112" s="531">
        <v>35</v>
      </c>
      <c r="E112" s="532"/>
      <c r="F112" s="532"/>
      <c r="G112" s="533"/>
    </row>
    <row r="113" spans="1:8" ht="15" hidden="1">
      <c r="A113" s="529" t="s">
        <v>477</v>
      </c>
      <c r="B113" s="530" t="s">
        <v>392</v>
      </c>
      <c r="C113" s="531">
        <v>2015</v>
      </c>
      <c r="D113" s="531">
        <v>110</v>
      </c>
      <c r="E113" s="532"/>
      <c r="F113" s="532"/>
      <c r="G113" s="533"/>
    </row>
    <row r="114" spans="1:8" ht="15.75" thickBot="1">
      <c r="A114" s="539" t="s">
        <v>478</v>
      </c>
      <c r="B114" s="540" t="s">
        <v>479</v>
      </c>
      <c r="C114" s="541">
        <v>2015</v>
      </c>
      <c r="D114" s="541">
        <v>110</v>
      </c>
      <c r="E114" s="542">
        <f>E163</f>
        <v>12060</v>
      </c>
      <c r="F114" s="542">
        <f>F163</f>
        <v>18742.8</v>
      </c>
      <c r="G114" s="543">
        <f>G163</f>
        <v>82128.23</v>
      </c>
    </row>
    <row r="115" spans="1:8" s="518" customFormat="1" ht="15">
      <c r="A115" s="512" t="s">
        <v>176</v>
      </c>
      <c r="B115" s="513" t="s">
        <v>429</v>
      </c>
      <c r="C115" s="514" t="s">
        <v>380</v>
      </c>
      <c r="D115" s="514" t="s">
        <v>380</v>
      </c>
      <c r="E115" s="515" t="s">
        <v>380</v>
      </c>
      <c r="F115" s="515" t="s">
        <v>380</v>
      </c>
      <c r="G115" s="516" t="s">
        <v>380</v>
      </c>
      <c r="H115" s="517"/>
    </row>
    <row r="116" spans="1:8" ht="15">
      <c r="A116" s="529" t="s">
        <v>480</v>
      </c>
      <c r="B116" s="530" t="s">
        <v>399</v>
      </c>
      <c r="C116" s="531">
        <v>2015</v>
      </c>
      <c r="D116" s="531" t="s">
        <v>401</v>
      </c>
      <c r="E116" s="532"/>
      <c r="F116" s="532"/>
      <c r="G116" s="533"/>
    </row>
    <row r="117" spans="1:8" ht="15" hidden="1">
      <c r="A117" s="529" t="s">
        <v>481</v>
      </c>
      <c r="B117" s="530" t="s">
        <v>399</v>
      </c>
      <c r="C117" s="531">
        <v>2015</v>
      </c>
      <c r="D117" s="531">
        <v>35</v>
      </c>
      <c r="E117" s="532"/>
      <c r="F117" s="532"/>
      <c r="G117" s="533"/>
    </row>
    <row r="118" spans="1:8" ht="15" hidden="1">
      <c r="A118" s="529" t="s">
        <v>482</v>
      </c>
      <c r="B118" s="530" t="s">
        <v>399</v>
      </c>
      <c r="C118" s="531">
        <v>2015</v>
      </c>
      <c r="D118" s="531">
        <v>110</v>
      </c>
      <c r="E118" s="532"/>
      <c r="F118" s="532"/>
      <c r="G118" s="533"/>
    </row>
    <row r="119" spans="1:8" ht="15" hidden="1">
      <c r="A119" s="529" t="s">
        <v>483</v>
      </c>
      <c r="B119" s="530" t="s">
        <v>387</v>
      </c>
      <c r="C119" s="531">
        <v>2015</v>
      </c>
      <c r="D119" s="531" t="s">
        <v>401</v>
      </c>
      <c r="E119" s="532"/>
      <c r="F119" s="532"/>
      <c r="G119" s="533"/>
    </row>
    <row r="120" spans="1:8" ht="15" hidden="1">
      <c r="A120" s="529" t="s">
        <v>484</v>
      </c>
      <c r="B120" s="530" t="s">
        <v>387</v>
      </c>
      <c r="C120" s="531">
        <v>2015</v>
      </c>
      <c r="D120" s="531">
        <v>35</v>
      </c>
      <c r="E120" s="532"/>
      <c r="F120" s="532"/>
      <c r="G120" s="533"/>
    </row>
    <row r="121" spans="1:8" ht="15" hidden="1">
      <c r="A121" s="529" t="s">
        <v>485</v>
      </c>
      <c r="B121" s="530" t="s">
        <v>387</v>
      </c>
      <c r="C121" s="531">
        <v>2015</v>
      </c>
      <c r="D121" s="531">
        <v>110</v>
      </c>
      <c r="E121" s="532"/>
      <c r="F121" s="532"/>
      <c r="G121" s="533"/>
    </row>
    <row r="122" spans="1:8" ht="15" hidden="1">
      <c r="A122" s="529" t="s">
        <v>486</v>
      </c>
      <c r="B122" s="530" t="s">
        <v>389</v>
      </c>
      <c r="C122" s="531">
        <v>2015</v>
      </c>
      <c r="D122" s="531" t="s">
        <v>401</v>
      </c>
      <c r="E122" s="532"/>
      <c r="F122" s="532"/>
      <c r="G122" s="533"/>
    </row>
    <row r="123" spans="1:8" ht="15" hidden="1">
      <c r="A123" s="529" t="s">
        <v>487</v>
      </c>
      <c r="B123" s="530" t="s">
        <v>389</v>
      </c>
      <c r="C123" s="531">
        <v>2015</v>
      </c>
      <c r="D123" s="531">
        <v>35</v>
      </c>
      <c r="E123" s="532"/>
      <c r="F123" s="532"/>
      <c r="G123" s="533"/>
    </row>
    <row r="124" spans="1:8" ht="15" hidden="1">
      <c r="A124" s="529" t="s">
        <v>488</v>
      </c>
      <c r="B124" s="530" t="s">
        <v>389</v>
      </c>
      <c r="C124" s="531">
        <v>2015</v>
      </c>
      <c r="D124" s="531">
        <v>110</v>
      </c>
      <c r="E124" s="532"/>
      <c r="F124" s="532"/>
      <c r="G124" s="533"/>
    </row>
    <row r="125" spans="1:8" ht="15.75" thickBot="1">
      <c r="A125" s="539" t="s">
        <v>489</v>
      </c>
      <c r="B125" s="540" t="s">
        <v>392</v>
      </c>
      <c r="C125" s="541">
        <v>2015</v>
      </c>
      <c r="D125" s="541">
        <v>110</v>
      </c>
      <c r="E125" s="542"/>
      <c r="F125" s="542"/>
      <c r="G125" s="543"/>
    </row>
    <row r="126" spans="1:8" s="518" customFormat="1" ht="15">
      <c r="A126" s="519" t="s">
        <v>177</v>
      </c>
      <c r="B126" s="520" t="s">
        <v>440</v>
      </c>
      <c r="C126" s="521" t="s">
        <v>380</v>
      </c>
      <c r="D126" s="521" t="s">
        <v>380</v>
      </c>
      <c r="E126" s="522" t="s">
        <v>380</v>
      </c>
      <c r="F126" s="522" t="s">
        <v>380</v>
      </c>
      <c r="G126" s="523" t="s">
        <v>380</v>
      </c>
      <c r="H126" s="517"/>
    </row>
    <row r="127" spans="1:8" s="518" customFormat="1" ht="15.75" thickBot="1">
      <c r="A127" s="519" t="s">
        <v>178</v>
      </c>
      <c r="B127" s="520" t="s">
        <v>417</v>
      </c>
      <c r="C127" s="521" t="s">
        <v>380</v>
      </c>
      <c r="D127" s="521" t="s">
        <v>380</v>
      </c>
      <c r="E127" s="522" t="s">
        <v>380</v>
      </c>
      <c r="F127" s="522" t="s">
        <v>380</v>
      </c>
      <c r="G127" s="523" t="s">
        <v>380</v>
      </c>
      <c r="H127" s="517"/>
    </row>
    <row r="128" spans="1:8" ht="15.75" hidden="1" customHeight="1">
      <c r="A128" s="529" t="s">
        <v>490</v>
      </c>
      <c r="B128" s="530" t="s">
        <v>399</v>
      </c>
      <c r="C128" s="531">
        <v>2015</v>
      </c>
      <c r="D128" s="531" t="s">
        <v>401</v>
      </c>
      <c r="E128" s="532"/>
      <c r="F128" s="532"/>
      <c r="G128" s="533"/>
    </row>
    <row r="129" spans="1:8" ht="15.75" hidden="1" thickBot="1">
      <c r="A129" s="529" t="s">
        <v>491</v>
      </c>
      <c r="B129" s="530" t="s">
        <v>399</v>
      </c>
      <c r="C129" s="531">
        <v>2015</v>
      </c>
      <c r="D129" s="531">
        <v>35</v>
      </c>
      <c r="E129" s="532"/>
      <c r="F129" s="532"/>
      <c r="G129" s="533"/>
    </row>
    <row r="130" spans="1:8" ht="15.75" hidden="1" thickBot="1">
      <c r="A130" s="529" t="s">
        <v>492</v>
      </c>
      <c r="B130" s="530" t="s">
        <v>399</v>
      </c>
      <c r="C130" s="531">
        <v>2015</v>
      </c>
      <c r="D130" s="531">
        <v>110</v>
      </c>
      <c r="E130" s="532"/>
      <c r="F130" s="532"/>
      <c r="G130" s="533"/>
    </row>
    <row r="131" spans="1:8" ht="15.75" hidden="1" thickBot="1">
      <c r="A131" s="529" t="s">
        <v>493</v>
      </c>
      <c r="B131" s="530" t="s">
        <v>387</v>
      </c>
      <c r="C131" s="531">
        <v>2015</v>
      </c>
      <c r="D131" s="531" t="s">
        <v>401</v>
      </c>
      <c r="E131" s="532"/>
      <c r="F131" s="532"/>
      <c r="G131" s="533"/>
    </row>
    <row r="132" spans="1:8" ht="15.75" hidden="1" thickBot="1">
      <c r="A132" s="529" t="s">
        <v>494</v>
      </c>
      <c r="B132" s="530" t="s">
        <v>387</v>
      </c>
      <c r="C132" s="531">
        <v>2015</v>
      </c>
      <c r="D132" s="531">
        <v>35</v>
      </c>
      <c r="E132" s="532"/>
      <c r="F132" s="532"/>
      <c r="G132" s="533"/>
    </row>
    <row r="133" spans="1:8" ht="15.75" hidden="1" thickBot="1">
      <c r="A133" s="529" t="s">
        <v>495</v>
      </c>
      <c r="B133" s="530" t="s">
        <v>387</v>
      </c>
      <c r="C133" s="531">
        <v>2015</v>
      </c>
      <c r="D133" s="531">
        <v>110</v>
      </c>
      <c r="E133" s="532"/>
      <c r="F133" s="532"/>
      <c r="G133" s="533"/>
    </row>
    <row r="134" spans="1:8" ht="15.75" hidden="1" thickBot="1">
      <c r="A134" s="529" t="s">
        <v>496</v>
      </c>
      <c r="B134" s="530" t="s">
        <v>389</v>
      </c>
      <c r="C134" s="531">
        <v>2015</v>
      </c>
      <c r="D134" s="531" t="s">
        <v>401</v>
      </c>
      <c r="E134" s="532"/>
      <c r="F134" s="532"/>
      <c r="G134" s="533"/>
    </row>
    <row r="135" spans="1:8" ht="15.75" hidden="1" thickBot="1">
      <c r="A135" s="529" t="s">
        <v>497</v>
      </c>
      <c r="B135" s="530" t="s">
        <v>389</v>
      </c>
      <c r="C135" s="531">
        <v>2015</v>
      </c>
      <c r="D135" s="531">
        <v>35</v>
      </c>
      <c r="E135" s="532"/>
      <c r="F135" s="532"/>
      <c r="G135" s="533"/>
    </row>
    <row r="136" spans="1:8" ht="15.75" hidden="1" thickBot="1">
      <c r="A136" s="529" t="s">
        <v>498</v>
      </c>
      <c r="B136" s="530" t="s">
        <v>389</v>
      </c>
      <c r="C136" s="531">
        <v>2015</v>
      </c>
      <c r="D136" s="531">
        <v>110</v>
      </c>
      <c r="E136" s="532"/>
      <c r="F136" s="532"/>
      <c r="G136" s="533"/>
    </row>
    <row r="137" spans="1:8" ht="15.75" hidden="1" thickBot="1">
      <c r="A137" s="539" t="s">
        <v>499</v>
      </c>
      <c r="B137" s="540" t="s">
        <v>392</v>
      </c>
      <c r="C137" s="541">
        <v>2015</v>
      </c>
      <c r="D137" s="541">
        <v>110</v>
      </c>
      <c r="E137" s="542"/>
      <c r="F137" s="542"/>
      <c r="G137" s="543"/>
    </row>
    <row r="138" spans="1:8" s="518" customFormat="1" ht="15.75" thickBot="1">
      <c r="A138" s="512" t="s">
        <v>179</v>
      </c>
      <c r="B138" s="513" t="s">
        <v>429</v>
      </c>
      <c r="C138" s="514" t="s">
        <v>380</v>
      </c>
      <c r="D138" s="514" t="s">
        <v>380</v>
      </c>
      <c r="E138" s="515" t="s">
        <v>380</v>
      </c>
      <c r="F138" s="515" t="s">
        <v>380</v>
      </c>
      <c r="G138" s="516" t="s">
        <v>380</v>
      </c>
      <c r="H138" s="517"/>
    </row>
    <row r="139" spans="1:8" ht="15.75" hidden="1" thickBot="1">
      <c r="A139" s="529" t="s">
        <v>500</v>
      </c>
      <c r="B139" s="530" t="s">
        <v>399</v>
      </c>
      <c r="C139" s="531">
        <v>2015</v>
      </c>
      <c r="D139" s="531" t="s">
        <v>401</v>
      </c>
      <c r="E139" s="532"/>
      <c r="F139" s="532"/>
      <c r="G139" s="533"/>
    </row>
    <row r="140" spans="1:8" ht="15.75" hidden="1" thickBot="1">
      <c r="A140" s="529" t="s">
        <v>501</v>
      </c>
      <c r="B140" s="530" t="s">
        <v>399</v>
      </c>
      <c r="C140" s="531">
        <v>2015</v>
      </c>
      <c r="D140" s="531">
        <v>35</v>
      </c>
      <c r="E140" s="532"/>
      <c r="F140" s="532"/>
      <c r="G140" s="533"/>
    </row>
    <row r="141" spans="1:8" ht="15.75" hidden="1" thickBot="1">
      <c r="A141" s="529" t="s">
        <v>502</v>
      </c>
      <c r="B141" s="530" t="s">
        <v>399</v>
      </c>
      <c r="C141" s="531">
        <v>2015</v>
      </c>
      <c r="D141" s="531">
        <v>110</v>
      </c>
      <c r="E141" s="532"/>
      <c r="F141" s="532"/>
      <c r="G141" s="533"/>
    </row>
    <row r="142" spans="1:8" ht="15.75" hidden="1" thickBot="1">
      <c r="A142" s="529" t="s">
        <v>503</v>
      </c>
      <c r="B142" s="530" t="s">
        <v>387</v>
      </c>
      <c r="C142" s="531">
        <v>2015</v>
      </c>
      <c r="D142" s="531" t="s">
        <v>401</v>
      </c>
      <c r="E142" s="532"/>
      <c r="F142" s="532"/>
      <c r="G142" s="533"/>
    </row>
    <row r="143" spans="1:8" ht="15.75" hidden="1" thickBot="1">
      <c r="A143" s="529" t="s">
        <v>504</v>
      </c>
      <c r="B143" s="530" t="s">
        <v>387</v>
      </c>
      <c r="C143" s="531">
        <v>2015</v>
      </c>
      <c r="D143" s="531">
        <v>35</v>
      </c>
      <c r="E143" s="532"/>
      <c r="F143" s="532"/>
      <c r="G143" s="533"/>
    </row>
    <row r="144" spans="1:8" ht="15.75" hidden="1" thickBot="1">
      <c r="A144" s="529" t="s">
        <v>505</v>
      </c>
      <c r="B144" s="530" t="s">
        <v>387</v>
      </c>
      <c r="C144" s="531">
        <v>2015</v>
      </c>
      <c r="D144" s="531">
        <v>110</v>
      </c>
      <c r="E144" s="532"/>
      <c r="F144" s="532"/>
      <c r="G144" s="533"/>
    </row>
    <row r="145" spans="1:8" ht="15.75" hidden="1" thickBot="1">
      <c r="A145" s="529" t="s">
        <v>506</v>
      </c>
      <c r="B145" s="530" t="s">
        <v>389</v>
      </c>
      <c r="C145" s="531">
        <v>2015</v>
      </c>
      <c r="D145" s="531" t="s">
        <v>401</v>
      </c>
      <c r="E145" s="532"/>
      <c r="F145" s="532"/>
      <c r="G145" s="533"/>
    </row>
    <row r="146" spans="1:8" ht="15.75" hidden="1" thickBot="1">
      <c r="A146" s="529" t="s">
        <v>507</v>
      </c>
      <c r="B146" s="530" t="s">
        <v>389</v>
      </c>
      <c r="C146" s="531">
        <v>2015</v>
      </c>
      <c r="D146" s="531">
        <v>35</v>
      </c>
      <c r="E146" s="532"/>
      <c r="F146" s="532"/>
      <c r="G146" s="533"/>
    </row>
    <row r="147" spans="1:8" ht="15.75" hidden="1" thickBot="1">
      <c r="A147" s="529" t="s">
        <v>508</v>
      </c>
      <c r="B147" s="530" t="s">
        <v>389</v>
      </c>
      <c r="C147" s="531">
        <v>2015</v>
      </c>
      <c r="D147" s="531">
        <v>110</v>
      </c>
      <c r="E147" s="532"/>
      <c r="F147" s="532"/>
      <c r="G147" s="533"/>
    </row>
    <row r="148" spans="1:8" ht="15.75" hidden="1" thickBot="1">
      <c r="A148" s="539" t="s">
        <v>509</v>
      </c>
      <c r="B148" s="540" t="s">
        <v>392</v>
      </c>
      <c r="C148" s="541">
        <v>2015</v>
      </c>
      <c r="D148" s="541">
        <v>110</v>
      </c>
      <c r="E148" s="542"/>
      <c r="F148" s="542"/>
      <c r="G148" s="543"/>
    </row>
    <row r="149" spans="1:8" s="518" customFormat="1" ht="30.75" thickBot="1">
      <c r="A149" s="544" t="s">
        <v>180</v>
      </c>
      <c r="B149" s="554" t="s">
        <v>510</v>
      </c>
      <c r="C149" s="555" t="s">
        <v>380</v>
      </c>
      <c r="D149" s="555" t="s">
        <v>380</v>
      </c>
      <c r="E149" s="556" t="s">
        <v>380</v>
      </c>
      <c r="F149" s="556" t="s">
        <v>380</v>
      </c>
      <c r="G149" s="557" t="s">
        <v>380</v>
      </c>
      <c r="H149" s="517"/>
    </row>
    <row r="150" spans="1:8" s="518" customFormat="1" ht="15">
      <c r="A150" s="558" t="s">
        <v>181</v>
      </c>
      <c r="B150" s="559" t="s">
        <v>440</v>
      </c>
      <c r="C150" s="560" t="s">
        <v>380</v>
      </c>
      <c r="D150" s="560" t="s">
        <v>380</v>
      </c>
      <c r="E150" s="561" t="s">
        <v>380</v>
      </c>
      <c r="F150" s="561" t="s">
        <v>380</v>
      </c>
      <c r="G150" s="562" t="s">
        <v>380</v>
      </c>
      <c r="H150" s="517"/>
    </row>
    <row r="151" spans="1:8" s="518" customFormat="1" ht="15">
      <c r="A151" s="519" t="s">
        <v>511</v>
      </c>
      <c r="B151" s="520" t="s">
        <v>417</v>
      </c>
      <c r="C151" s="521" t="s">
        <v>380</v>
      </c>
      <c r="D151" s="521" t="s">
        <v>380</v>
      </c>
      <c r="E151" s="522" t="s">
        <v>380</v>
      </c>
      <c r="F151" s="522" t="s">
        <v>380</v>
      </c>
      <c r="G151" s="523" t="s">
        <v>380</v>
      </c>
      <c r="H151" s="517"/>
    </row>
    <row r="152" spans="1:8" ht="15">
      <c r="A152" s="529" t="s">
        <v>512</v>
      </c>
      <c r="B152" s="530" t="s">
        <v>392</v>
      </c>
      <c r="C152" s="531">
        <v>2015</v>
      </c>
      <c r="D152" s="531" t="s">
        <v>401</v>
      </c>
      <c r="E152" s="532"/>
      <c r="F152" s="532"/>
      <c r="G152" s="533"/>
    </row>
    <row r="153" spans="1:8" ht="15">
      <c r="A153" s="529" t="s">
        <v>513</v>
      </c>
      <c r="B153" s="530" t="s">
        <v>392</v>
      </c>
      <c r="C153" s="531">
        <v>2015</v>
      </c>
      <c r="D153" s="531">
        <v>35</v>
      </c>
      <c r="E153" s="532"/>
      <c r="F153" s="532"/>
      <c r="G153" s="533"/>
    </row>
    <row r="154" spans="1:8" ht="15">
      <c r="A154" s="529" t="s">
        <v>514</v>
      </c>
      <c r="B154" s="530" t="s">
        <v>479</v>
      </c>
      <c r="C154" s="531">
        <v>2015</v>
      </c>
      <c r="D154" s="531">
        <v>110</v>
      </c>
      <c r="E154" s="532">
        <f>E162</f>
        <v>347</v>
      </c>
      <c r="F154" s="532">
        <f>F162</f>
        <v>5111.7</v>
      </c>
      <c r="G154" s="533">
        <f>G162</f>
        <v>17837.14</v>
      </c>
    </row>
    <row r="155" spans="1:8" s="518" customFormat="1" ht="15">
      <c r="A155" s="519" t="s">
        <v>515</v>
      </c>
      <c r="B155" s="520" t="s">
        <v>429</v>
      </c>
      <c r="C155" s="521" t="s">
        <v>380</v>
      </c>
      <c r="D155" s="521" t="s">
        <v>380</v>
      </c>
      <c r="E155" s="522" t="s">
        <v>380</v>
      </c>
      <c r="F155" s="522" t="s">
        <v>380</v>
      </c>
      <c r="G155" s="523" t="s">
        <v>380</v>
      </c>
      <c r="H155" s="517"/>
    </row>
    <row r="156" spans="1:8" ht="15">
      <c r="A156" s="529" t="s">
        <v>516</v>
      </c>
      <c r="B156" s="530" t="s">
        <v>392</v>
      </c>
      <c r="C156" s="531">
        <v>2015</v>
      </c>
      <c r="D156" s="531" t="s">
        <v>401</v>
      </c>
      <c r="E156" s="532"/>
      <c r="F156" s="532"/>
      <c r="G156" s="533"/>
    </row>
    <row r="157" spans="1:8" ht="15">
      <c r="A157" s="529" t="s">
        <v>517</v>
      </c>
      <c r="B157" s="530" t="s">
        <v>392</v>
      </c>
      <c r="C157" s="531">
        <v>2015</v>
      </c>
      <c r="D157" s="531">
        <v>35</v>
      </c>
      <c r="E157" s="532"/>
      <c r="F157" s="532"/>
      <c r="G157" s="533"/>
    </row>
    <row r="158" spans="1:8" ht="15.75" thickBot="1">
      <c r="A158" s="529" t="s">
        <v>518</v>
      </c>
      <c r="B158" s="530" t="s">
        <v>392</v>
      </c>
      <c r="C158" s="531">
        <v>2015</v>
      </c>
      <c r="D158" s="531">
        <v>110</v>
      </c>
      <c r="E158" s="532"/>
      <c r="F158" s="532"/>
      <c r="G158" s="533"/>
    </row>
    <row r="159" spans="1:8" s="518" customFormat="1" ht="15.75" thickBot="1">
      <c r="A159" s="544" t="s">
        <v>182</v>
      </c>
      <c r="B159" s="545" t="s">
        <v>604</v>
      </c>
      <c r="C159" s="546"/>
      <c r="D159" s="546"/>
      <c r="E159" s="547"/>
      <c r="F159" s="547"/>
      <c r="G159" s="548"/>
      <c r="H159" s="517"/>
    </row>
    <row r="160" spans="1:8" ht="15">
      <c r="A160" s="529" t="s">
        <v>183</v>
      </c>
      <c r="B160" s="530" t="s">
        <v>622</v>
      </c>
      <c r="C160" s="531">
        <v>2015</v>
      </c>
      <c r="D160" s="531">
        <v>0.4</v>
      </c>
      <c r="E160" s="532">
        <v>1580</v>
      </c>
      <c r="F160" s="532">
        <v>439</v>
      </c>
      <c r="G160" s="533">
        <v>4770.83</v>
      </c>
    </row>
    <row r="161" spans="1:8" ht="15">
      <c r="A161" s="529" t="s">
        <v>184</v>
      </c>
      <c r="B161" s="530" t="s">
        <v>623</v>
      </c>
      <c r="C161" s="531">
        <v>2015</v>
      </c>
      <c r="D161" s="531" t="s">
        <v>401</v>
      </c>
      <c r="E161" s="532">
        <v>100</v>
      </c>
      <c r="F161" s="532">
        <v>48</v>
      </c>
      <c r="G161" s="533">
        <v>326.86</v>
      </c>
    </row>
    <row r="162" spans="1:8" ht="30">
      <c r="A162" s="524" t="s">
        <v>624</v>
      </c>
      <c r="B162" s="525" t="s">
        <v>625</v>
      </c>
      <c r="C162" s="526">
        <v>2015</v>
      </c>
      <c r="D162" s="526">
        <v>110</v>
      </c>
      <c r="E162" s="527">
        <v>347</v>
      </c>
      <c r="F162" s="527">
        <v>5111.7</v>
      </c>
      <c r="G162" s="528">
        <v>17837.14</v>
      </c>
      <c r="H162" s="503" t="s">
        <v>626</v>
      </c>
    </row>
    <row r="163" spans="1:8" ht="30">
      <c r="A163" s="529" t="s">
        <v>185</v>
      </c>
      <c r="B163" s="525" t="s">
        <v>625</v>
      </c>
      <c r="C163" s="526">
        <v>2015</v>
      </c>
      <c r="D163" s="526">
        <v>110</v>
      </c>
      <c r="E163" s="527">
        <v>12060</v>
      </c>
      <c r="F163" s="527">
        <v>18742.8</v>
      </c>
      <c r="G163" s="528">
        <f>99965.37-17837.14</f>
        <v>82128.23</v>
      </c>
      <c r="H163" s="503" t="s">
        <v>627</v>
      </c>
    </row>
    <row r="164" spans="1:8" ht="15.75" thickBot="1">
      <c r="A164" s="529" t="s">
        <v>628</v>
      </c>
      <c r="B164" s="530" t="s">
        <v>629</v>
      </c>
      <c r="C164" s="531">
        <v>2015</v>
      </c>
      <c r="D164" s="531">
        <v>6</v>
      </c>
      <c r="E164" s="532">
        <v>425</v>
      </c>
      <c r="F164" s="532">
        <v>200</v>
      </c>
      <c r="G164" s="533">
        <f>621.18+126.58</f>
        <v>747.76</v>
      </c>
      <c r="H164" s="503" t="s">
        <v>630</v>
      </c>
    </row>
    <row r="165" spans="1:8" ht="15.75" hidden="1" thickBot="1">
      <c r="A165" s="524" t="s">
        <v>186</v>
      </c>
      <c r="B165" s="525"/>
      <c r="C165" s="526"/>
      <c r="D165" s="526"/>
      <c r="E165" s="527"/>
      <c r="F165" s="527"/>
      <c r="G165" s="528"/>
    </row>
    <row r="166" spans="1:8" ht="15.75" hidden="1" thickBot="1">
      <c r="A166" s="529" t="s">
        <v>187</v>
      </c>
      <c r="B166" s="525"/>
      <c r="C166" s="526"/>
      <c r="D166" s="526"/>
      <c r="E166" s="527"/>
      <c r="F166" s="527"/>
      <c r="G166" s="528"/>
    </row>
    <row r="167" spans="1:8" ht="15.75" hidden="1" thickBot="1">
      <c r="A167" s="529" t="s">
        <v>188</v>
      </c>
      <c r="B167" s="525"/>
      <c r="C167" s="526"/>
      <c r="D167" s="526"/>
      <c r="E167" s="527"/>
      <c r="F167" s="527"/>
      <c r="G167" s="528"/>
    </row>
    <row r="168" spans="1:8" ht="15.75" hidden="1" thickBot="1">
      <c r="A168" s="524" t="s">
        <v>189</v>
      </c>
      <c r="B168" s="525"/>
      <c r="C168" s="526"/>
      <c r="D168" s="526"/>
      <c r="E168" s="527"/>
      <c r="F168" s="527"/>
      <c r="G168" s="528"/>
    </row>
    <row r="169" spans="1:8" ht="15.75" hidden="1" thickBot="1">
      <c r="A169" s="529" t="s">
        <v>190</v>
      </c>
      <c r="B169" s="525"/>
      <c r="C169" s="526"/>
      <c r="D169" s="526"/>
      <c r="E169" s="527"/>
      <c r="F169" s="527"/>
      <c r="G169" s="528"/>
    </row>
    <row r="170" spans="1:8" s="518" customFormat="1" ht="41.25" customHeight="1" thickBot="1">
      <c r="A170" s="563" t="s">
        <v>191</v>
      </c>
      <c r="B170" s="564" t="s">
        <v>519</v>
      </c>
      <c r="C170" s="565" t="s">
        <v>380</v>
      </c>
      <c r="D170" s="565" t="s">
        <v>380</v>
      </c>
      <c r="E170" s="566" t="s">
        <v>380</v>
      </c>
      <c r="F170" s="566" t="s">
        <v>380</v>
      </c>
      <c r="G170" s="567" t="s">
        <v>380</v>
      </c>
      <c r="H170" s="517"/>
    </row>
    <row r="171" spans="1:8" s="518" customFormat="1" ht="15">
      <c r="A171" s="558" t="s">
        <v>192</v>
      </c>
      <c r="B171" s="559" t="s">
        <v>520</v>
      </c>
      <c r="C171" s="560" t="s">
        <v>380</v>
      </c>
      <c r="D171" s="560" t="s">
        <v>380</v>
      </c>
      <c r="E171" s="561" t="s">
        <v>380</v>
      </c>
      <c r="F171" s="561" t="s">
        <v>380</v>
      </c>
      <c r="G171" s="562" t="s">
        <v>380</v>
      </c>
      <c r="H171" s="517"/>
    </row>
    <row r="172" spans="1:8" ht="15">
      <c r="A172" s="524" t="s">
        <v>193</v>
      </c>
      <c r="B172" s="525" t="s">
        <v>521</v>
      </c>
      <c r="C172" s="526">
        <v>2015</v>
      </c>
      <c r="D172" s="526" t="s">
        <v>401</v>
      </c>
      <c r="E172" s="527" t="s">
        <v>380</v>
      </c>
      <c r="F172" s="527"/>
      <c r="G172" s="528"/>
    </row>
    <row r="173" spans="1:8" ht="15.75" thickBot="1">
      <c r="A173" s="539" t="s">
        <v>194</v>
      </c>
      <c r="B173" s="540" t="s">
        <v>521</v>
      </c>
      <c r="C173" s="541">
        <v>2015</v>
      </c>
      <c r="D173" s="541">
        <v>35</v>
      </c>
      <c r="E173" s="542" t="s">
        <v>380</v>
      </c>
      <c r="F173" s="542"/>
      <c r="G173" s="543"/>
    </row>
    <row r="174" spans="1:8" s="518" customFormat="1" ht="15">
      <c r="A174" s="568" t="s">
        <v>195</v>
      </c>
      <c r="B174" s="569" t="s">
        <v>522</v>
      </c>
      <c r="C174" s="570" t="s">
        <v>380</v>
      </c>
      <c r="D174" s="570" t="s">
        <v>380</v>
      </c>
      <c r="E174" s="571" t="s">
        <v>380</v>
      </c>
      <c r="F174" s="571" t="s">
        <v>380</v>
      </c>
      <c r="G174" s="572" t="s">
        <v>380</v>
      </c>
      <c r="H174" s="517"/>
    </row>
    <row r="175" spans="1:8" ht="15">
      <c r="A175" s="524" t="s">
        <v>196</v>
      </c>
      <c r="B175" s="525" t="s">
        <v>523</v>
      </c>
      <c r="C175" s="526">
        <v>2015</v>
      </c>
      <c r="D175" s="526" t="s">
        <v>401</v>
      </c>
      <c r="E175" s="527" t="s">
        <v>380</v>
      </c>
      <c r="F175" s="527"/>
      <c r="G175" s="528"/>
    </row>
    <row r="176" spans="1:8" ht="15.75" thickBot="1">
      <c r="A176" s="539" t="s">
        <v>197</v>
      </c>
      <c r="B176" s="540" t="s">
        <v>524</v>
      </c>
      <c r="C176" s="541">
        <v>2015</v>
      </c>
      <c r="D176" s="541" t="s">
        <v>401</v>
      </c>
      <c r="E176" s="542" t="s">
        <v>380</v>
      </c>
      <c r="F176" s="542"/>
      <c r="G176" s="543"/>
    </row>
    <row r="177" spans="1:8" s="518" customFormat="1" ht="15.75" thickBot="1">
      <c r="A177" s="544" t="s">
        <v>631</v>
      </c>
      <c r="B177" s="545" t="s">
        <v>604</v>
      </c>
      <c r="C177" s="546"/>
      <c r="D177" s="546"/>
      <c r="E177" s="556" t="s">
        <v>380</v>
      </c>
      <c r="F177" s="547"/>
      <c r="G177" s="548"/>
      <c r="H177" s="517"/>
    </row>
    <row r="178" spans="1:8" ht="15.75" hidden="1" thickBot="1">
      <c r="A178" s="529" t="s">
        <v>632</v>
      </c>
      <c r="B178" s="530"/>
      <c r="C178" s="531"/>
      <c r="D178" s="531"/>
      <c r="E178" s="532" t="s">
        <v>380</v>
      </c>
      <c r="F178" s="532"/>
      <c r="G178" s="533"/>
    </row>
    <row r="179" spans="1:8" ht="15.75" hidden="1" thickBot="1">
      <c r="A179" s="529" t="s">
        <v>633</v>
      </c>
      <c r="B179" s="530"/>
      <c r="C179" s="531"/>
      <c r="D179" s="531"/>
      <c r="E179" s="532" t="s">
        <v>380</v>
      </c>
      <c r="F179" s="532"/>
      <c r="G179" s="533"/>
    </row>
    <row r="180" spans="1:8" ht="15.75" hidden="1" thickBot="1">
      <c r="A180" s="524" t="s">
        <v>634</v>
      </c>
      <c r="B180" s="525"/>
      <c r="C180" s="526"/>
      <c r="D180" s="526"/>
      <c r="E180" s="527" t="s">
        <v>380</v>
      </c>
      <c r="F180" s="527"/>
      <c r="G180" s="528"/>
    </row>
    <row r="181" spans="1:8" ht="15.75" hidden="1" thickBot="1">
      <c r="A181" s="529" t="s">
        <v>635</v>
      </c>
      <c r="B181" s="525"/>
      <c r="C181" s="526"/>
      <c r="D181" s="526"/>
      <c r="E181" s="527" t="s">
        <v>380</v>
      </c>
      <c r="F181" s="527"/>
      <c r="G181" s="528"/>
    </row>
    <row r="182" spans="1:8" ht="15.75" hidden="1" thickBot="1">
      <c r="A182" s="529" t="s">
        <v>636</v>
      </c>
      <c r="B182" s="525"/>
      <c r="C182" s="526"/>
      <c r="D182" s="526"/>
      <c r="E182" s="527" t="s">
        <v>380</v>
      </c>
      <c r="F182" s="527"/>
      <c r="G182" s="528"/>
    </row>
    <row r="183" spans="1:8" s="518" customFormat="1" ht="45.75" thickBot="1">
      <c r="A183" s="563" t="s">
        <v>198</v>
      </c>
      <c r="B183" s="564" t="s">
        <v>525</v>
      </c>
      <c r="C183" s="565" t="s">
        <v>380</v>
      </c>
      <c r="D183" s="565" t="s">
        <v>380</v>
      </c>
      <c r="E183" s="566" t="s">
        <v>380</v>
      </c>
      <c r="F183" s="566" t="s">
        <v>380</v>
      </c>
      <c r="G183" s="567" t="s">
        <v>380</v>
      </c>
      <c r="H183" s="517"/>
    </row>
    <row r="184" spans="1:8" s="518" customFormat="1" ht="30.75" thickBot="1">
      <c r="A184" s="544" t="s">
        <v>199</v>
      </c>
      <c r="B184" s="554" t="s">
        <v>526</v>
      </c>
      <c r="C184" s="555" t="s">
        <v>380</v>
      </c>
      <c r="D184" s="555" t="s">
        <v>380</v>
      </c>
      <c r="E184" s="556" t="s">
        <v>380</v>
      </c>
      <c r="F184" s="556" t="s">
        <v>380</v>
      </c>
      <c r="G184" s="557" t="s">
        <v>380</v>
      </c>
      <c r="H184" s="517"/>
    </row>
    <row r="185" spans="1:8" s="518" customFormat="1" ht="15.75" thickBot="1">
      <c r="A185" s="544" t="s">
        <v>527</v>
      </c>
      <c r="B185" s="554" t="s">
        <v>528</v>
      </c>
      <c r="C185" s="555" t="s">
        <v>380</v>
      </c>
      <c r="D185" s="555" t="s">
        <v>380</v>
      </c>
      <c r="E185" s="556" t="s">
        <v>380</v>
      </c>
      <c r="F185" s="556" t="s">
        <v>380</v>
      </c>
      <c r="G185" s="557" t="s">
        <v>380</v>
      </c>
      <c r="H185" s="517"/>
    </row>
    <row r="186" spans="1:8" ht="15">
      <c r="A186" s="573" t="s">
        <v>529</v>
      </c>
      <c r="B186" s="574" t="s">
        <v>530</v>
      </c>
      <c r="C186" s="575">
        <v>2015</v>
      </c>
      <c r="D186" s="575" t="s">
        <v>531</v>
      </c>
      <c r="E186" s="576" t="s">
        <v>380</v>
      </c>
      <c r="F186" s="576"/>
      <c r="G186" s="577"/>
    </row>
    <row r="187" spans="1:8" ht="15">
      <c r="A187" s="524" t="s">
        <v>532</v>
      </c>
      <c r="B187" s="525" t="s">
        <v>533</v>
      </c>
      <c r="C187" s="526">
        <v>2015</v>
      </c>
      <c r="D187" s="526" t="s">
        <v>531</v>
      </c>
      <c r="E187" s="527" t="s">
        <v>380</v>
      </c>
      <c r="F187" s="527">
        <v>362</v>
      </c>
      <c r="G187" s="528">
        <v>3142.24</v>
      </c>
    </row>
    <row r="188" spans="1:8" ht="15">
      <c r="A188" s="524" t="s">
        <v>534</v>
      </c>
      <c r="B188" s="525" t="s">
        <v>535</v>
      </c>
      <c r="C188" s="526">
        <v>2015</v>
      </c>
      <c r="D188" s="526" t="s">
        <v>531</v>
      </c>
      <c r="E188" s="527" t="s">
        <v>380</v>
      </c>
      <c r="F188" s="527">
        <v>130</v>
      </c>
      <c r="G188" s="528">
        <v>605.14</v>
      </c>
    </row>
    <row r="189" spans="1:8" ht="15">
      <c r="A189" s="524" t="s">
        <v>536</v>
      </c>
      <c r="B189" s="525" t="s">
        <v>537</v>
      </c>
      <c r="C189" s="526">
        <v>2015</v>
      </c>
      <c r="D189" s="526" t="s">
        <v>531</v>
      </c>
      <c r="E189" s="527" t="s">
        <v>380</v>
      </c>
      <c r="F189" s="527"/>
      <c r="G189" s="528"/>
    </row>
    <row r="190" spans="1:8" ht="15">
      <c r="A190" s="524" t="s">
        <v>538</v>
      </c>
      <c r="B190" s="525" t="s">
        <v>539</v>
      </c>
      <c r="C190" s="526">
        <v>2015</v>
      </c>
      <c r="D190" s="526" t="s">
        <v>531</v>
      </c>
      <c r="E190" s="527" t="s">
        <v>380</v>
      </c>
      <c r="F190" s="527">
        <f>F201</f>
        <v>355</v>
      </c>
      <c r="G190" s="528">
        <f>G201</f>
        <v>1280.4500000000003</v>
      </c>
    </row>
    <row r="191" spans="1:8" ht="15.75" thickBot="1">
      <c r="A191" s="524" t="s">
        <v>540</v>
      </c>
      <c r="B191" s="525" t="s">
        <v>541</v>
      </c>
      <c r="C191" s="526">
        <v>2015</v>
      </c>
      <c r="D191" s="526" t="s">
        <v>531</v>
      </c>
      <c r="E191" s="527" t="s">
        <v>380</v>
      </c>
      <c r="F191" s="527"/>
      <c r="G191" s="528"/>
    </row>
    <row r="192" spans="1:8" s="518" customFormat="1" ht="15.75" hidden="1" thickBot="1">
      <c r="A192" s="544" t="s">
        <v>542</v>
      </c>
      <c r="B192" s="554" t="s">
        <v>543</v>
      </c>
      <c r="C192" s="555" t="s">
        <v>380</v>
      </c>
      <c r="D192" s="555" t="s">
        <v>380</v>
      </c>
      <c r="E192" s="556" t="s">
        <v>380</v>
      </c>
      <c r="F192" s="556" t="s">
        <v>380</v>
      </c>
      <c r="G192" s="557" t="s">
        <v>380</v>
      </c>
      <c r="H192" s="503"/>
    </row>
    <row r="193" spans="1:8" ht="15.75" hidden="1" thickBot="1">
      <c r="A193" s="573" t="s">
        <v>544</v>
      </c>
      <c r="B193" s="574" t="s">
        <v>530</v>
      </c>
      <c r="C193" s="575">
        <v>2015</v>
      </c>
      <c r="D193" s="575" t="s">
        <v>531</v>
      </c>
      <c r="E193" s="576" t="s">
        <v>380</v>
      </c>
      <c r="F193" s="576"/>
      <c r="G193" s="577"/>
    </row>
    <row r="194" spans="1:8" ht="15.75" hidden="1" thickBot="1">
      <c r="A194" s="524" t="s">
        <v>545</v>
      </c>
      <c r="B194" s="525" t="s">
        <v>533</v>
      </c>
      <c r="C194" s="526">
        <v>2015</v>
      </c>
      <c r="D194" s="526" t="s">
        <v>531</v>
      </c>
      <c r="E194" s="527" t="s">
        <v>380</v>
      </c>
      <c r="F194" s="527"/>
      <c r="G194" s="528"/>
    </row>
    <row r="195" spans="1:8" ht="15.75" hidden="1" thickBot="1">
      <c r="A195" s="524" t="s">
        <v>546</v>
      </c>
      <c r="B195" s="525" t="s">
        <v>535</v>
      </c>
      <c r="C195" s="526">
        <v>2015</v>
      </c>
      <c r="D195" s="526" t="s">
        <v>531</v>
      </c>
      <c r="E195" s="527" t="s">
        <v>380</v>
      </c>
      <c r="F195" s="527"/>
      <c r="G195" s="528"/>
    </row>
    <row r="196" spans="1:8" ht="15.75" hidden="1" thickBot="1">
      <c r="A196" s="524" t="s">
        <v>547</v>
      </c>
      <c r="B196" s="525" t="s">
        <v>537</v>
      </c>
      <c r="C196" s="526">
        <v>2015</v>
      </c>
      <c r="D196" s="526" t="s">
        <v>531</v>
      </c>
      <c r="E196" s="527" t="s">
        <v>380</v>
      </c>
      <c r="F196" s="527"/>
      <c r="G196" s="528"/>
    </row>
    <row r="197" spans="1:8" ht="15.75" hidden="1" thickBot="1">
      <c r="A197" s="524" t="s">
        <v>548</v>
      </c>
      <c r="B197" s="525" t="s">
        <v>539</v>
      </c>
      <c r="C197" s="526">
        <v>2015</v>
      </c>
      <c r="D197" s="526" t="s">
        <v>531</v>
      </c>
      <c r="E197" s="527" t="s">
        <v>380</v>
      </c>
      <c r="F197" s="527"/>
      <c r="G197" s="528"/>
    </row>
    <row r="198" spans="1:8" ht="15.75" hidden="1" thickBot="1">
      <c r="A198" s="524" t="s">
        <v>549</v>
      </c>
      <c r="B198" s="525" t="s">
        <v>541</v>
      </c>
      <c r="C198" s="526">
        <v>2015</v>
      </c>
      <c r="D198" s="526" t="s">
        <v>531</v>
      </c>
      <c r="E198" s="527" t="s">
        <v>380</v>
      </c>
      <c r="F198" s="527"/>
      <c r="G198" s="528"/>
    </row>
    <row r="199" spans="1:8" s="518" customFormat="1" ht="15.75" thickBot="1">
      <c r="A199" s="544" t="s">
        <v>637</v>
      </c>
      <c r="B199" s="545" t="s">
        <v>604</v>
      </c>
      <c r="C199" s="546"/>
      <c r="D199" s="546"/>
      <c r="E199" s="556" t="s">
        <v>380</v>
      </c>
      <c r="F199" s="547"/>
      <c r="G199" s="548"/>
      <c r="H199" s="503"/>
    </row>
    <row r="200" spans="1:8" ht="30">
      <c r="A200" s="529" t="s">
        <v>638</v>
      </c>
      <c r="B200" s="530" t="s">
        <v>639</v>
      </c>
      <c r="C200" s="531">
        <v>2015</v>
      </c>
      <c r="D200" s="531" t="s">
        <v>531</v>
      </c>
      <c r="E200" s="532" t="s">
        <v>380</v>
      </c>
      <c r="F200" s="532">
        <v>492</v>
      </c>
      <c r="G200" s="533">
        <v>3747.38</v>
      </c>
    </row>
    <row r="201" spans="1:8" ht="30.75" thickBot="1">
      <c r="A201" s="529" t="s">
        <v>640</v>
      </c>
      <c r="B201" s="530" t="s">
        <v>641</v>
      </c>
      <c r="C201" s="531">
        <v>2015</v>
      </c>
      <c r="D201" s="531" t="s">
        <v>642</v>
      </c>
      <c r="E201" s="532" t="s">
        <v>380</v>
      </c>
      <c r="F201" s="532">
        <v>355</v>
      </c>
      <c r="G201" s="533">
        <f>1901.63-621.18</f>
        <v>1280.4500000000003</v>
      </c>
    </row>
    <row r="202" spans="1:8" ht="15.75" hidden="1" thickBot="1">
      <c r="A202" s="524" t="s">
        <v>643</v>
      </c>
      <c r="B202" s="525"/>
      <c r="C202" s="526"/>
      <c r="D202" s="526"/>
      <c r="E202" s="527" t="s">
        <v>380</v>
      </c>
      <c r="F202" s="527"/>
      <c r="G202" s="528"/>
    </row>
    <row r="203" spans="1:8" ht="15.75" hidden="1" thickBot="1">
      <c r="A203" s="529" t="s">
        <v>644</v>
      </c>
      <c r="B203" s="525"/>
      <c r="C203" s="526"/>
      <c r="D203" s="526"/>
      <c r="E203" s="527" t="s">
        <v>380</v>
      </c>
      <c r="F203" s="527"/>
      <c r="G203" s="528"/>
    </row>
    <row r="204" spans="1:8" ht="15.75" hidden="1" thickBot="1">
      <c r="A204" s="529" t="s">
        <v>645</v>
      </c>
      <c r="B204" s="525"/>
      <c r="C204" s="526"/>
      <c r="D204" s="526"/>
      <c r="E204" s="527" t="s">
        <v>380</v>
      </c>
      <c r="F204" s="527"/>
      <c r="G204" s="528"/>
    </row>
    <row r="205" spans="1:8" ht="15.75" hidden="1" thickBot="1">
      <c r="A205" s="524" t="s">
        <v>646</v>
      </c>
      <c r="B205" s="525"/>
      <c r="C205" s="526"/>
      <c r="D205" s="526"/>
      <c r="E205" s="527" t="s">
        <v>380</v>
      </c>
      <c r="F205" s="527"/>
      <c r="G205" s="528"/>
    </row>
    <row r="206" spans="1:8" ht="15.75" hidden="1" thickBot="1">
      <c r="A206" s="529" t="s">
        <v>647</v>
      </c>
      <c r="B206" s="525"/>
      <c r="C206" s="526"/>
      <c r="D206" s="526"/>
      <c r="E206" s="527" t="s">
        <v>380</v>
      </c>
      <c r="F206" s="527"/>
      <c r="G206" s="528"/>
    </row>
    <row r="207" spans="1:8" ht="15.75" hidden="1" thickBot="1">
      <c r="A207" s="529" t="s">
        <v>648</v>
      </c>
      <c r="B207" s="525"/>
      <c r="C207" s="526"/>
      <c r="D207" s="526"/>
      <c r="E207" s="527" t="s">
        <v>380</v>
      </c>
      <c r="F207" s="527"/>
      <c r="G207" s="528"/>
    </row>
    <row r="208" spans="1:8" ht="15.75" hidden="1" thickBot="1">
      <c r="A208" s="524" t="s">
        <v>649</v>
      </c>
      <c r="B208" s="525"/>
      <c r="C208" s="526"/>
      <c r="D208" s="526"/>
      <c r="E208" s="527" t="s">
        <v>380</v>
      </c>
      <c r="F208" s="527"/>
      <c r="G208" s="528"/>
    </row>
    <row r="209" spans="1:8" ht="15.75" hidden="1" thickBot="1">
      <c r="A209" s="529" t="s">
        <v>650</v>
      </c>
      <c r="B209" s="525"/>
      <c r="C209" s="526"/>
      <c r="D209" s="526"/>
      <c r="E209" s="527" t="s">
        <v>380</v>
      </c>
      <c r="F209" s="527"/>
      <c r="G209" s="528"/>
    </row>
    <row r="210" spans="1:8" ht="15.75" hidden="1" thickBot="1">
      <c r="A210" s="529" t="s">
        <v>651</v>
      </c>
      <c r="B210" s="525"/>
      <c r="C210" s="526"/>
      <c r="D210" s="526"/>
      <c r="E210" s="527" t="s">
        <v>380</v>
      </c>
      <c r="F210" s="527"/>
      <c r="G210" s="528"/>
    </row>
    <row r="211" spans="1:8" ht="15.75" hidden="1" thickBot="1">
      <c r="A211" s="524" t="s">
        <v>652</v>
      </c>
      <c r="B211" s="525"/>
      <c r="C211" s="526"/>
      <c r="D211" s="526"/>
      <c r="E211" s="527" t="s">
        <v>380</v>
      </c>
      <c r="F211" s="527"/>
      <c r="G211" s="528"/>
    </row>
    <row r="212" spans="1:8" ht="15.75" hidden="1" thickBot="1">
      <c r="A212" s="529" t="s">
        <v>653</v>
      </c>
      <c r="B212" s="525"/>
      <c r="C212" s="526"/>
      <c r="D212" s="526"/>
      <c r="E212" s="527" t="s">
        <v>380</v>
      </c>
      <c r="F212" s="527"/>
      <c r="G212" s="528"/>
    </row>
    <row r="213" spans="1:8" ht="15.75" hidden="1" thickBot="1">
      <c r="A213" s="529" t="s">
        <v>654</v>
      </c>
      <c r="B213" s="525"/>
      <c r="C213" s="526"/>
      <c r="D213" s="526"/>
      <c r="E213" s="527" t="s">
        <v>380</v>
      </c>
      <c r="F213" s="527"/>
      <c r="G213" s="528"/>
    </row>
    <row r="214" spans="1:8" ht="15.75" hidden="1" thickBot="1">
      <c r="A214" s="524" t="s">
        <v>655</v>
      </c>
      <c r="B214" s="525"/>
      <c r="C214" s="526"/>
      <c r="D214" s="526"/>
      <c r="E214" s="527" t="s">
        <v>380</v>
      </c>
      <c r="F214" s="527"/>
      <c r="G214" s="528"/>
    </row>
    <row r="215" spans="1:8" s="518" customFormat="1" ht="30.75" thickBot="1">
      <c r="A215" s="563" t="s">
        <v>351</v>
      </c>
      <c r="B215" s="564" t="s">
        <v>550</v>
      </c>
      <c r="C215" s="565" t="s">
        <v>380</v>
      </c>
      <c r="D215" s="565" t="s">
        <v>380</v>
      </c>
      <c r="E215" s="566" t="s">
        <v>380</v>
      </c>
      <c r="F215" s="566" t="s">
        <v>380</v>
      </c>
      <c r="G215" s="567" t="s">
        <v>380</v>
      </c>
      <c r="H215" s="503"/>
    </row>
    <row r="216" spans="1:8" ht="15.75" hidden="1" thickBot="1">
      <c r="A216" s="544" t="s">
        <v>551</v>
      </c>
      <c r="B216" s="554" t="s">
        <v>552</v>
      </c>
      <c r="C216" s="555" t="s">
        <v>380</v>
      </c>
      <c r="D216" s="555" t="s">
        <v>380</v>
      </c>
      <c r="E216" s="556" t="s">
        <v>380</v>
      </c>
      <c r="F216" s="556" t="s">
        <v>380</v>
      </c>
      <c r="G216" s="557" t="s">
        <v>380</v>
      </c>
    </row>
    <row r="217" spans="1:8" s="518" customFormat="1" ht="15.75" hidden="1" thickBot="1">
      <c r="A217" s="544" t="s">
        <v>553</v>
      </c>
      <c r="B217" s="554" t="s">
        <v>543</v>
      </c>
      <c r="C217" s="555" t="s">
        <v>380</v>
      </c>
      <c r="D217" s="555" t="s">
        <v>380</v>
      </c>
      <c r="E217" s="556" t="s">
        <v>380</v>
      </c>
      <c r="F217" s="556" t="s">
        <v>380</v>
      </c>
      <c r="G217" s="557" t="s">
        <v>380</v>
      </c>
      <c r="H217" s="503"/>
    </row>
    <row r="218" spans="1:8" ht="15.75" hidden="1" thickBot="1">
      <c r="A218" s="578" t="s">
        <v>554</v>
      </c>
      <c r="B218" s="579" t="s">
        <v>530</v>
      </c>
      <c r="C218" s="580">
        <v>2015</v>
      </c>
      <c r="D218" s="580" t="s">
        <v>531</v>
      </c>
      <c r="E218" s="581" t="s">
        <v>380</v>
      </c>
      <c r="F218" s="581"/>
      <c r="G218" s="582"/>
    </row>
    <row r="219" spans="1:8" ht="15.75" hidden="1" thickBot="1">
      <c r="A219" s="524" t="s">
        <v>555</v>
      </c>
      <c r="B219" s="525" t="s">
        <v>533</v>
      </c>
      <c r="C219" s="526">
        <v>2015</v>
      </c>
      <c r="D219" s="526" t="s">
        <v>531</v>
      </c>
      <c r="E219" s="527" t="s">
        <v>380</v>
      </c>
      <c r="F219" s="527"/>
      <c r="G219" s="528"/>
    </row>
    <row r="220" spans="1:8" ht="15.75" hidden="1" thickBot="1">
      <c r="A220" s="524" t="s">
        <v>556</v>
      </c>
      <c r="B220" s="525" t="s">
        <v>535</v>
      </c>
      <c r="C220" s="526">
        <v>2015</v>
      </c>
      <c r="D220" s="526" t="s">
        <v>531</v>
      </c>
      <c r="E220" s="527" t="s">
        <v>380</v>
      </c>
      <c r="F220" s="527"/>
      <c r="G220" s="528"/>
    </row>
    <row r="221" spans="1:8" ht="15.75" hidden="1" thickBot="1">
      <c r="A221" s="524" t="s">
        <v>557</v>
      </c>
      <c r="B221" s="525" t="s">
        <v>537</v>
      </c>
      <c r="C221" s="526">
        <v>2015</v>
      </c>
      <c r="D221" s="526" t="s">
        <v>531</v>
      </c>
      <c r="E221" s="527" t="s">
        <v>380</v>
      </c>
      <c r="F221" s="527"/>
      <c r="G221" s="528"/>
    </row>
    <row r="222" spans="1:8" ht="15.75" hidden="1" thickBot="1">
      <c r="A222" s="524" t="s">
        <v>558</v>
      </c>
      <c r="B222" s="525" t="s">
        <v>539</v>
      </c>
      <c r="C222" s="526">
        <v>2015</v>
      </c>
      <c r="D222" s="526" t="s">
        <v>531</v>
      </c>
      <c r="E222" s="527" t="s">
        <v>380</v>
      </c>
      <c r="F222" s="527"/>
      <c r="G222" s="528"/>
    </row>
    <row r="223" spans="1:8" ht="15.75" hidden="1" thickBot="1">
      <c r="A223" s="539" t="s">
        <v>559</v>
      </c>
      <c r="B223" s="540" t="s">
        <v>541</v>
      </c>
      <c r="C223" s="541">
        <v>2015</v>
      </c>
      <c r="D223" s="541" t="s">
        <v>531</v>
      </c>
      <c r="E223" s="542" t="s">
        <v>380</v>
      </c>
      <c r="F223" s="542"/>
      <c r="G223" s="543"/>
    </row>
    <row r="224" spans="1:8" s="518" customFormat="1" ht="15.75" hidden="1" thickBot="1">
      <c r="A224" s="544" t="s">
        <v>656</v>
      </c>
      <c r="B224" s="545" t="s">
        <v>604</v>
      </c>
      <c r="C224" s="546"/>
      <c r="D224" s="546"/>
      <c r="E224" s="556" t="s">
        <v>380</v>
      </c>
      <c r="F224" s="547"/>
      <c r="G224" s="548"/>
      <c r="H224" s="503"/>
    </row>
    <row r="225" spans="1:8" ht="15.75" hidden="1" thickBot="1">
      <c r="A225" s="529" t="s">
        <v>657</v>
      </c>
      <c r="B225" s="530"/>
      <c r="C225" s="531"/>
      <c r="D225" s="531"/>
      <c r="E225" s="532" t="s">
        <v>380</v>
      </c>
      <c r="F225" s="532"/>
      <c r="G225" s="533"/>
    </row>
    <row r="226" spans="1:8" ht="15.75" hidden="1" thickBot="1">
      <c r="A226" s="529" t="s">
        <v>658</v>
      </c>
      <c r="B226" s="530"/>
      <c r="C226" s="531"/>
      <c r="D226" s="531"/>
      <c r="E226" s="532" t="s">
        <v>380</v>
      </c>
      <c r="F226" s="532"/>
      <c r="G226" s="533"/>
    </row>
    <row r="227" spans="1:8" ht="15.75" hidden="1" thickBot="1">
      <c r="A227" s="524" t="s">
        <v>659</v>
      </c>
      <c r="B227" s="525"/>
      <c r="C227" s="526"/>
      <c r="D227" s="526"/>
      <c r="E227" s="527" t="s">
        <v>380</v>
      </c>
      <c r="F227" s="527"/>
      <c r="G227" s="528"/>
    </row>
    <row r="228" spans="1:8" ht="15.75" hidden="1" thickBot="1">
      <c r="A228" s="529" t="s">
        <v>660</v>
      </c>
      <c r="B228" s="525"/>
      <c r="C228" s="526"/>
      <c r="D228" s="526"/>
      <c r="E228" s="527" t="s">
        <v>380</v>
      </c>
      <c r="F228" s="527"/>
      <c r="G228" s="528"/>
    </row>
    <row r="229" spans="1:8" ht="15.75" hidden="1" thickBot="1">
      <c r="A229" s="529" t="s">
        <v>661</v>
      </c>
      <c r="B229" s="525"/>
      <c r="C229" s="526"/>
      <c r="D229" s="526"/>
      <c r="E229" s="527" t="s">
        <v>380</v>
      </c>
      <c r="F229" s="527"/>
      <c r="G229" s="528"/>
    </row>
    <row r="230" spans="1:8" ht="15.75" hidden="1" thickBot="1">
      <c r="A230" s="524" t="s">
        <v>662</v>
      </c>
      <c r="B230" s="525"/>
      <c r="C230" s="526"/>
      <c r="D230" s="526"/>
      <c r="E230" s="527" t="s">
        <v>380</v>
      </c>
      <c r="F230" s="527"/>
      <c r="G230" s="528"/>
    </row>
    <row r="231" spans="1:8" ht="15.75" hidden="1" thickBot="1">
      <c r="A231" s="529" t="s">
        <v>663</v>
      </c>
      <c r="B231" s="525"/>
      <c r="C231" s="526"/>
      <c r="D231" s="526"/>
      <c r="E231" s="527" t="s">
        <v>380</v>
      </c>
      <c r="F231" s="527"/>
      <c r="G231" s="528"/>
    </row>
    <row r="232" spans="1:8" ht="15.75" hidden="1" thickBot="1">
      <c r="A232" s="529" t="s">
        <v>664</v>
      </c>
      <c r="B232" s="525"/>
      <c r="C232" s="526"/>
      <c r="D232" s="526"/>
      <c r="E232" s="527" t="s">
        <v>380</v>
      </c>
      <c r="F232" s="527"/>
      <c r="G232" s="528"/>
    </row>
    <row r="233" spans="1:8" ht="15.75" hidden="1" thickBot="1">
      <c r="A233" s="524" t="s">
        <v>665</v>
      </c>
      <c r="B233" s="525"/>
      <c r="C233" s="526"/>
      <c r="D233" s="526"/>
      <c r="E233" s="527" t="s">
        <v>380</v>
      </c>
      <c r="F233" s="527"/>
      <c r="G233" s="528"/>
    </row>
    <row r="234" spans="1:8" ht="15.75" hidden="1" thickBot="1">
      <c r="A234" s="529" t="s">
        <v>666</v>
      </c>
      <c r="B234" s="525"/>
      <c r="C234" s="526"/>
      <c r="D234" s="526"/>
      <c r="E234" s="527" t="s">
        <v>380</v>
      </c>
      <c r="F234" s="527"/>
      <c r="G234" s="528"/>
    </row>
    <row r="235" spans="1:8" ht="15.75" hidden="1" thickBot="1">
      <c r="A235" s="529" t="s">
        <v>667</v>
      </c>
      <c r="B235" s="525"/>
      <c r="C235" s="526"/>
      <c r="D235" s="526"/>
      <c r="E235" s="527" t="s">
        <v>380</v>
      </c>
      <c r="F235" s="527"/>
      <c r="G235" s="528"/>
    </row>
    <row r="236" spans="1:8" ht="15.75" hidden="1" thickBot="1">
      <c r="A236" s="524" t="s">
        <v>668</v>
      </c>
      <c r="B236" s="525"/>
      <c r="C236" s="526"/>
      <c r="D236" s="526"/>
      <c r="E236" s="527" t="s">
        <v>380</v>
      </c>
      <c r="F236" s="527"/>
      <c r="G236" s="528"/>
    </row>
    <row r="237" spans="1:8" ht="15.75" hidden="1" thickBot="1">
      <c r="A237" s="529" t="s">
        <v>669</v>
      </c>
      <c r="B237" s="525"/>
      <c r="C237" s="526"/>
      <c r="D237" s="526"/>
      <c r="E237" s="527" t="s">
        <v>380</v>
      </c>
      <c r="F237" s="527"/>
      <c r="G237" s="528"/>
    </row>
    <row r="238" spans="1:8" ht="15.75" hidden="1" thickBot="1">
      <c r="A238" s="529" t="s">
        <v>670</v>
      </c>
      <c r="B238" s="525"/>
      <c r="C238" s="526"/>
      <c r="D238" s="526"/>
      <c r="E238" s="527" t="s">
        <v>380</v>
      </c>
      <c r="F238" s="527"/>
      <c r="G238" s="528"/>
    </row>
    <row r="239" spans="1:8" ht="15.75" hidden="1" thickBot="1">
      <c r="A239" s="524" t="s">
        <v>671</v>
      </c>
      <c r="B239" s="525"/>
      <c r="C239" s="526"/>
      <c r="D239" s="526"/>
      <c r="E239" s="527" t="s">
        <v>380</v>
      </c>
      <c r="F239" s="527"/>
      <c r="G239" s="528"/>
    </row>
    <row r="240" spans="1:8" s="518" customFormat="1" ht="30.75" thickBot="1">
      <c r="A240" s="563" t="s">
        <v>353</v>
      </c>
      <c r="B240" s="564" t="s">
        <v>560</v>
      </c>
      <c r="C240" s="565" t="s">
        <v>380</v>
      </c>
      <c r="D240" s="565" t="s">
        <v>380</v>
      </c>
      <c r="E240" s="566" t="s">
        <v>380</v>
      </c>
      <c r="F240" s="566" t="s">
        <v>380</v>
      </c>
      <c r="G240" s="567" t="s">
        <v>380</v>
      </c>
      <c r="H240" s="503"/>
    </row>
    <row r="241" spans="1:8" s="518" customFormat="1" ht="15.75" hidden="1" thickBot="1">
      <c r="A241" s="583" t="s">
        <v>561</v>
      </c>
      <c r="B241" s="584" t="s">
        <v>562</v>
      </c>
      <c r="C241" s="555" t="s">
        <v>380</v>
      </c>
      <c r="D241" s="555" t="s">
        <v>380</v>
      </c>
      <c r="E241" s="556" t="s">
        <v>380</v>
      </c>
      <c r="F241" s="556" t="s">
        <v>380</v>
      </c>
      <c r="G241" s="557" t="s">
        <v>380</v>
      </c>
      <c r="H241" s="503"/>
    </row>
    <row r="242" spans="1:8" ht="15" hidden="1">
      <c r="A242" s="578" t="s">
        <v>672</v>
      </c>
      <c r="B242" s="579" t="s">
        <v>673</v>
      </c>
      <c r="C242" s="580">
        <v>2015</v>
      </c>
      <c r="D242" s="580" t="s">
        <v>563</v>
      </c>
      <c r="E242" s="581" t="s">
        <v>380</v>
      </c>
      <c r="F242" s="581"/>
      <c r="G242" s="582"/>
    </row>
    <row r="243" spans="1:8" ht="15" hidden="1">
      <c r="A243" s="524" t="s">
        <v>674</v>
      </c>
      <c r="B243" s="525" t="s">
        <v>675</v>
      </c>
      <c r="C243" s="526">
        <v>2015</v>
      </c>
      <c r="D243" s="526" t="s">
        <v>563</v>
      </c>
      <c r="E243" s="527" t="s">
        <v>380</v>
      </c>
      <c r="F243" s="527"/>
      <c r="G243" s="528"/>
    </row>
    <row r="244" spans="1:8" ht="15" hidden="1">
      <c r="A244" s="524" t="s">
        <v>564</v>
      </c>
      <c r="B244" s="525" t="s">
        <v>565</v>
      </c>
      <c r="C244" s="526">
        <v>2015</v>
      </c>
      <c r="D244" s="526" t="s">
        <v>563</v>
      </c>
      <c r="E244" s="527" t="s">
        <v>380</v>
      </c>
      <c r="F244" s="527"/>
      <c r="G244" s="528"/>
    </row>
    <row r="245" spans="1:8" ht="15" hidden="1">
      <c r="A245" s="524" t="s">
        <v>566</v>
      </c>
      <c r="B245" s="525" t="s">
        <v>567</v>
      </c>
      <c r="C245" s="526">
        <v>2015</v>
      </c>
      <c r="D245" s="526" t="s">
        <v>563</v>
      </c>
      <c r="E245" s="527" t="s">
        <v>380</v>
      </c>
      <c r="F245" s="527"/>
      <c r="G245" s="528"/>
    </row>
    <row r="246" spans="1:8" s="518" customFormat="1" ht="15.75" hidden="1" thickBot="1">
      <c r="A246" s="544" t="s">
        <v>568</v>
      </c>
      <c r="B246" s="554" t="s">
        <v>562</v>
      </c>
      <c r="C246" s="555" t="s">
        <v>380</v>
      </c>
      <c r="D246" s="555" t="s">
        <v>380</v>
      </c>
      <c r="E246" s="556" t="s">
        <v>380</v>
      </c>
      <c r="F246" s="556" t="s">
        <v>380</v>
      </c>
      <c r="G246" s="557" t="s">
        <v>380</v>
      </c>
      <c r="H246" s="503"/>
    </row>
    <row r="247" spans="1:8" ht="15" hidden="1">
      <c r="A247" s="578" t="s">
        <v>676</v>
      </c>
      <c r="B247" s="579" t="s">
        <v>677</v>
      </c>
      <c r="C247" s="580">
        <v>2015</v>
      </c>
      <c r="D247" s="580" t="s">
        <v>569</v>
      </c>
      <c r="E247" s="581" t="s">
        <v>380</v>
      </c>
      <c r="F247" s="581"/>
      <c r="G247" s="582"/>
    </row>
    <row r="248" spans="1:8" ht="15" hidden="1">
      <c r="A248" s="524" t="s">
        <v>570</v>
      </c>
      <c r="B248" s="525" t="s">
        <v>571</v>
      </c>
      <c r="C248" s="526">
        <v>2015</v>
      </c>
      <c r="D248" s="526" t="s">
        <v>569</v>
      </c>
      <c r="E248" s="527" t="s">
        <v>380</v>
      </c>
      <c r="F248" s="527"/>
      <c r="G248" s="528"/>
    </row>
    <row r="249" spans="1:8" ht="15" hidden="1">
      <c r="A249" s="524" t="s">
        <v>572</v>
      </c>
      <c r="B249" s="525" t="s">
        <v>573</v>
      </c>
      <c r="C249" s="526">
        <v>2015</v>
      </c>
      <c r="D249" s="526" t="s">
        <v>569</v>
      </c>
      <c r="E249" s="527" t="s">
        <v>380</v>
      </c>
      <c r="F249" s="527"/>
      <c r="G249" s="528"/>
    </row>
    <row r="250" spans="1:8" ht="15" hidden="1">
      <c r="A250" s="524" t="s">
        <v>574</v>
      </c>
      <c r="B250" s="525" t="s">
        <v>575</v>
      </c>
      <c r="C250" s="526">
        <v>2015</v>
      </c>
      <c r="D250" s="526" t="s">
        <v>569</v>
      </c>
      <c r="E250" s="527" t="s">
        <v>380</v>
      </c>
      <c r="F250" s="527"/>
      <c r="G250" s="528"/>
    </row>
    <row r="251" spans="1:8" s="518" customFormat="1" ht="15.75" hidden="1" thickBot="1">
      <c r="A251" s="544" t="s">
        <v>678</v>
      </c>
      <c r="B251" s="554" t="s">
        <v>580</v>
      </c>
      <c r="C251" s="555" t="s">
        <v>380</v>
      </c>
      <c r="D251" s="555" t="s">
        <v>380</v>
      </c>
      <c r="E251" s="556" t="s">
        <v>380</v>
      </c>
      <c r="F251" s="556" t="s">
        <v>380</v>
      </c>
      <c r="G251" s="557" t="s">
        <v>380</v>
      </c>
      <c r="H251" s="503"/>
    </row>
    <row r="252" spans="1:8" ht="15" hidden="1">
      <c r="A252" s="578" t="s">
        <v>679</v>
      </c>
      <c r="B252" s="579" t="s">
        <v>680</v>
      </c>
      <c r="C252" s="580">
        <v>2015</v>
      </c>
      <c r="D252" s="580" t="s">
        <v>583</v>
      </c>
      <c r="E252" s="581" t="s">
        <v>380</v>
      </c>
      <c r="F252" s="581"/>
      <c r="G252" s="582"/>
    </row>
    <row r="253" spans="1:8" ht="15" hidden="1">
      <c r="A253" s="524" t="s">
        <v>681</v>
      </c>
      <c r="B253" s="525" t="s">
        <v>682</v>
      </c>
      <c r="C253" s="526">
        <v>2015</v>
      </c>
      <c r="D253" s="526" t="s">
        <v>583</v>
      </c>
      <c r="E253" s="527" t="s">
        <v>380</v>
      </c>
      <c r="F253" s="527"/>
      <c r="G253" s="528"/>
    </row>
    <row r="254" spans="1:8" ht="15" hidden="1">
      <c r="A254" s="524" t="s">
        <v>683</v>
      </c>
      <c r="B254" s="525" t="s">
        <v>684</v>
      </c>
      <c r="C254" s="526">
        <v>2015</v>
      </c>
      <c r="D254" s="526" t="s">
        <v>583</v>
      </c>
      <c r="E254" s="527" t="s">
        <v>380</v>
      </c>
      <c r="F254" s="527"/>
      <c r="G254" s="528"/>
    </row>
    <row r="255" spans="1:8" ht="15" hidden="1">
      <c r="A255" s="524" t="s">
        <v>685</v>
      </c>
      <c r="B255" s="525" t="s">
        <v>686</v>
      </c>
      <c r="C255" s="526">
        <v>2015</v>
      </c>
      <c r="D255" s="526" t="s">
        <v>583</v>
      </c>
      <c r="E255" s="527" t="s">
        <v>380</v>
      </c>
      <c r="F255" s="527"/>
      <c r="G255" s="528"/>
    </row>
    <row r="256" spans="1:8" ht="15" hidden="1">
      <c r="A256" s="524" t="s">
        <v>687</v>
      </c>
      <c r="B256" s="525" t="s">
        <v>688</v>
      </c>
      <c r="C256" s="526">
        <v>2015</v>
      </c>
      <c r="D256" s="526" t="s">
        <v>583</v>
      </c>
      <c r="E256" s="527" t="s">
        <v>380</v>
      </c>
      <c r="F256" s="527"/>
      <c r="G256" s="528"/>
    </row>
    <row r="257" spans="1:8" ht="15" hidden="1">
      <c r="A257" s="524" t="s">
        <v>689</v>
      </c>
      <c r="B257" s="525" t="s">
        <v>573</v>
      </c>
      <c r="C257" s="526">
        <v>2015</v>
      </c>
      <c r="D257" s="526" t="s">
        <v>583</v>
      </c>
      <c r="E257" s="527" t="s">
        <v>380</v>
      </c>
      <c r="F257" s="527"/>
      <c r="G257" s="528"/>
    </row>
    <row r="258" spans="1:8" ht="15" hidden="1">
      <c r="A258" s="524" t="s">
        <v>582</v>
      </c>
      <c r="B258" s="525" t="s">
        <v>575</v>
      </c>
      <c r="C258" s="526">
        <v>2015</v>
      </c>
      <c r="D258" s="526" t="s">
        <v>583</v>
      </c>
      <c r="E258" s="527" t="s">
        <v>380</v>
      </c>
      <c r="F258" s="527"/>
      <c r="G258" s="528"/>
    </row>
    <row r="259" spans="1:8" ht="15" hidden="1">
      <c r="A259" s="524" t="s">
        <v>584</v>
      </c>
      <c r="B259" s="525" t="s">
        <v>585</v>
      </c>
      <c r="C259" s="526">
        <v>2015</v>
      </c>
      <c r="D259" s="526" t="s">
        <v>583</v>
      </c>
      <c r="E259" s="527" t="s">
        <v>380</v>
      </c>
      <c r="F259" s="527"/>
      <c r="G259" s="528"/>
    </row>
    <row r="260" spans="1:8" ht="15" hidden="1">
      <c r="A260" s="524" t="s">
        <v>586</v>
      </c>
      <c r="B260" s="525" t="s">
        <v>587</v>
      </c>
      <c r="C260" s="526">
        <v>2015</v>
      </c>
      <c r="D260" s="526" t="s">
        <v>583</v>
      </c>
      <c r="E260" s="527" t="s">
        <v>380</v>
      </c>
      <c r="F260" s="527"/>
      <c r="G260" s="528"/>
    </row>
    <row r="261" spans="1:8" s="518" customFormat="1" ht="15.75" hidden="1" thickBot="1">
      <c r="A261" s="544" t="s">
        <v>690</v>
      </c>
      <c r="B261" s="545" t="s">
        <v>604</v>
      </c>
      <c r="C261" s="546"/>
      <c r="D261" s="546"/>
      <c r="E261" s="556" t="s">
        <v>380</v>
      </c>
      <c r="F261" s="547"/>
      <c r="G261" s="548"/>
      <c r="H261" s="503"/>
    </row>
    <row r="262" spans="1:8" ht="15" hidden="1">
      <c r="A262" s="549" t="s">
        <v>691</v>
      </c>
      <c r="B262" s="550"/>
      <c r="C262" s="551"/>
      <c r="D262" s="551"/>
      <c r="E262" s="552" t="s">
        <v>380</v>
      </c>
      <c r="F262" s="552"/>
      <c r="G262" s="553"/>
    </row>
    <row r="263" spans="1:8" ht="15" hidden="1">
      <c r="A263" s="529" t="s">
        <v>692</v>
      </c>
      <c r="B263" s="530"/>
      <c r="C263" s="531"/>
      <c r="D263" s="531"/>
      <c r="E263" s="532" t="s">
        <v>380</v>
      </c>
      <c r="F263" s="532"/>
      <c r="G263" s="533"/>
    </row>
    <row r="264" spans="1:8" ht="15" hidden="1">
      <c r="A264" s="524" t="s">
        <v>693</v>
      </c>
      <c r="B264" s="525"/>
      <c r="C264" s="526"/>
      <c r="D264" s="526"/>
      <c r="E264" s="527" t="s">
        <v>380</v>
      </c>
      <c r="F264" s="527"/>
      <c r="G264" s="528"/>
    </row>
    <row r="265" spans="1:8" ht="15" hidden="1">
      <c r="A265" s="529" t="s">
        <v>694</v>
      </c>
      <c r="B265" s="525"/>
      <c r="C265" s="526"/>
      <c r="D265" s="526"/>
      <c r="E265" s="527" t="s">
        <v>380</v>
      </c>
      <c r="F265" s="527"/>
      <c r="G265" s="528"/>
    </row>
    <row r="266" spans="1:8" ht="15" hidden="1">
      <c r="A266" s="529" t="s">
        <v>695</v>
      </c>
      <c r="B266" s="525"/>
      <c r="C266" s="526"/>
      <c r="D266" s="526"/>
      <c r="E266" s="527" t="s">
        <v>380</v>
      </c>
      <c r="F266" s="527"/>
      <c r="G266" s="528"/>
    </row>
    <row r="267" spans="1:8" ht="15" hidden="1">
      <c r="A267" s="524" t="s">
        <v>696</v>
      </c>
      <c r="B267" s="525"/>
      <c r="C267" s="526"/>
      <c r="D267" s="526"/>
      <c r="E267" s="527" t="s">
        <v>380</v>
      </c>
      <c r="F267" s="527"/>
      <c r="G267" s="528"/>
    </row>
    <row r="268" spans="1:8" ht="15" hidden="1">
      <c r="A268" s="529" t="s">
        <v>697</v>
      </c>
      <c r="B268" s="525"/>
      <c r="C268" s="526"/>
      <c r="D268" s="526"/>
      <c r="E268" s="527" t="s">
        <v>380</v>
      </c>
      <c r="F268" s="527"/>
      <c r="G268" s="528"/>
    </row>
    <row r="269" spans="1:8" ht="15" hidden="1">
      <c r="A269" s="529" t="s">
        <v>698</v>
      </c>
      <c r="B269" s="525"/>
      <c r="C269" s="526"/>
      <c r="D269" s="526"/>
      <c r="E269" s="527" t="s">
        <v>380</v>
      </c>
      <c r="F269" s="527"/>
      <c r="G269" s="528"/>
    </row>
    <row r="270" spans="1:8" ht="15" hidden="1">
      <c r="A270" s="524" t="s">
        <v>699</v>
      </c>
      <c r="B270" s="525"/>
      <c r="C270" s="526"/>
      <c r="D270" s="526"/>
      <c r="E270" s="527" t="s">
        <v>380</v>
      </c>
      <c r="F270" s="527"/>
      <c r="G270" s="528"/>
    </row>
    <row r="271" spans="1:8" ht="15" hidden="1">
      <c r="A271" s="529" t="s">
        <v>700</v>
      </c>
      <c r="B271" s="525"/>
      <c r="C271" s="526"/>
      <c r="D271" s="526"/>
      <c r="E271" s="527" t="s">
        <v>380</v>
      </c>
      <c r="F271" s="527"/>
      <c r="G271" s="528"/>
    </row>
    <row r="272" spans="1:8" ht="15" hidden="1">
      <c r="A272" s="529" t="s">
        <v>701</v>
      </c>
      <c r="B272" s="525"/>
      <c r="C272" s="526"/>
      <c r="D272" s="526"/>
      <c r="E272" s="527" t="s">
        <v>380</v>
      </c>
      <c r="F272" s="527"/>
      <c r="G272" s="528"/>
    </row>
    <row r="273" spans="1:7" ht="15" hidden="1">
      <c r="A273" s="524" t="s">
        <v>702</v>
      </c>
      <c r="B273" s="525"/>
      <c r="C273" s="526"/>
      <c r="D273" s="526"/>
      <c r="E273" s="527" t="s">
        <v>380</v>
      </c>
      <c r="F273" s="527"/>
      <c r="G273" s="528"/>
    </row>
    <row r="274" spans="1:7" ht="15" hidden="1">
      <c r="A274" s="529" t="s">
        <v>703</v>
      </c>
      <c r="B274" s="525"/>
      <c r="C274" s="526"/>
      <c r="D274" s="526"/>
      <c r="E274" s="527" t="s">
        <v>380</v>
      </c>
      <c r="F274" s="527"/>
      <c r="G274" s="528"/>
    </row>
    <row r="275" spans="1:7" ht="15" hidden="1">
      <c r="A275" s="529" t="s">
        <v>704</v>
      </c>
      <c r="B275" s="525"/>
      <c r="C275" s="526"/>
      <c r="D275" s="526"/>
      <c r="E275" s="527" t="s">
        <v>380</v>
      </c>
      <c r="F275" s="527"/>
      <c r="G275" s="528"/>
    </row>
    <row r="276" spans="1:7" ht="15.75" hidden="1" thickBot="1">
      <c r="A276" s="539" t="s">
        <v>705</v>
      </c>
      <c r="B276" s="540"/>
      <c r="C276" s="541"/>
      <c r="D276" s="541"/>
      <c r="E276" s="542" t="s">
        <v>380</v>
      </c>
      <c r="F276" s="542"/>
      <c r="G276" s="543"/>
    </row>
    <row r="277" spans="1:7" ht="15">
      <c r="A277"/>
    </row>
    <row r="278" spans="1:7" hidden="1"/>
    <row r="279" spans="1:7" hidden="1"/>
    <row r="280" spans="1:7" ht="19.5" hidden="1" customHeight="1">
      <c r="A280" s="585" t="s">
        <v>200</v>
      </c>
      <c r="B280" s="585"/>
      <c r="C280" s="585"/>
      <c r="F280" s="585" t="s">
        <v>706</v>
      </c>
    </row>
    <row r="283" spans="1:7" ht="15.75">
      <c r="A283" s="722" t="s">
        <v>841</v>
      </c>
      <c r="B283" s="187"/>
      <c r="C283" s="187"/>
      <c r="D283" s="723"/>
      <c r="E283" s="724"/>
      <c r="F283" s="725"/>
      <c r="G283" s="726"/>
    </row>
    <row r="284" spans="1:7" ht="15.75">
      <c r="A284" s="722" t="s">
        <v>88</v>
      </c>
      <c r="B284" s="187"/>
      <c r="C284" s="187"/>
      <c r="D284" s="722"/>
      <c r="E284" s="722"/>
      <c r="G284" s="727" t="s">
        <v>842</v>
      </c>
    </row>
    <row r="285" spans="1:7" ht="15">
      <c r="A285" s="713"/>
      <c r="B285" s="714"/>
      <c r="C285" s="714"/>
      <c r="D285" s="714"/>
      <c r="E285" s="715"/>
      <c r="F285" s="715"/>
    </row>
    <row r="286" spans="1:7" ht="15">
      <c r="A286" s="716" t="s">
        <v>706</v>
      </c>
      <c r="B286" s="714"/>
      <c r="C286" s="714"/>
      <c r="D286" s="714"/>
      <c r="E286" s="715"/>
      <c r="F286" s="715"/>
    </row>
    <row r="287" spans="1:7" ht="15">
      <c r="A287" s="718" t="s">
        <v>843</v>
      </c>
      <c r="B287" s="714"/>
      <c r="C287" s="714"/>
      <c r="D287" s="714"/>
      <c r="E287" s="715"/>
      <c r="F287" s="715"/>
    </row>
    <row r="288" spans="1:7" ht="15">
      <c r="A288" s="719" t="s">
        <v>844</v>
      </c>
      <c r="B288" s="714"/>
      <c r="C288" s="714"/>
      <c r="D288" s="714"/>
      <c r="E288" s="715"/>
      <c r="F288" s="715"/>
    </row>
    <row r="289" spans="2:6">
      <c r="B289" s="717"/>
      <c r="C289" s="717"/>
      <c r="D289" s="717"/>
      <c r="E289" s="717"/>
      <c r="F289" s="717"/>
    </row>
    <row r="290" spans="2:6">
      <c r="B290" s="717"/>
      <c r="C290" s="717"/>
      <c r="D290" s="717"/>
      <c r="E290" s="717"/>
      <c r="F290" s="717"/>
    </row>
    <row r="291" spans="2:6">
      <c r="B291" s="720"/>
      <c r="C291" s="721"/>
      <c r="D291" s="721"/>
      <c r="E291" s="721"/>
      <c r="F291" s="721"/>
    </row>
  </sheetData>
  <mergeCells count="2">
    <mergeCell ref="A1:G1"/>
    <mergeCell ref="B2:F2"/>
  </mergeCells>
  <pageMargins left="0.7" right="0.7" top="0.54" bottom="0.34" header="0.3" footer="0.3"/>
  <pageSetup paperSize="8"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285"/>
  <sheetViews>
    <sheetView zoomScale="85" zoomScaleNormal="85" workbookViewId="0">
      <pane ySplit="4" topLeftCell="A251" activePane="bottomLeft" state="frozen"/>
      <selection activeCell="A323" sqref="A323:G323"/>
      <selection pane="bottomLeft" activeCell="G280" sqref="G280"/>
    </sheetView>
  </sheetViews>
  <sheetFormatPr defaultRowHeight="12.75"/>
  <cols>
    <col min="1" max="1" width="11" style="505" customWidth="1"/>
    <col min="2" max="2" width="60.5703125" style="504" customWidth="1"/>
    <col min="3" max="4" width="16.28515625" style="504" customWidth="1"/>
    <col min="5" max="7" width="16.28515625" style="506" customWidth="1"/>
    <col min="8" max="8" width="48.5703125" style="503" customWidth="1"/>
    <col min="9" max="9" width="11.7109375" style="504" bestFit="1" customWidth="1"/>
    <col min="10" max="16384" width="9.140625" style="504"/>
  </cols>
  <sheetData>
    <row r="1" spans="1:8" ht="62.25" customHeight="1">
      <c r="A1" s="952" t="s">
        <v>595</v>
      </c>
      <c r="B1" s="952"/>
      <c r="C1" s="952"/>
      <c r="D1" s="952"/>
      <c r="E1" s="952"/>
      <c r="F1" s="952"/>
      <c r="G1" s="952"/>
    </row>
    <row r="2" spans="1:8" ht="24.75" customHeight="1">
      <c r="B2" s="1160" t="s">
        <v>707</v>
      </c>
      <c r="C2" s="1160"/>
      <c r="D2" s="1160"/>
      <c r="E2" s="1160"/>
      <c r="F2" s="1160"/>
    </row>
    <row r="3" spans="1:8" ht="13.5" thickBot="1"/>
    <row r="4" spans="1:8" ht="75.75" thickBot="1">
      <c r="A4" s="507" t="s">
        <v>597</v>
      </c>
      <c r="B4" s="508" t="s">
        <v>598</v>
      </c>
      <c r="C4" s="508" t="s">
        <v>599</v>
      </c>
      <c r="D4" s="508" t="s">
        <v>600</v>
      </c>
      <c r="E4" s="509" t="s">
        <v>601</v>
      </c>
      <c r="F4" s="509" t="s">
        <v>602</v>
      </c>
      <c r="G4" s="509" t="s">
        <v>603</v>
      </c>
    </row>
    <row r="5" spans="1:8" ht="15.75" thickBot="1">
      <c r="A5" s="510">
        <v>1</v>
      </c>
      <c r="B5" s="511">
        <v>2</v>
      </c>
      <c r="C5" s="511">
        <v>3</v>
      </c>
      <c r="D5" s="511">
        <v>4</v>
      </c>
      <c r="E5" s="691">
        <v>5</v>
      </c>
      <c r="F5" s="691">
        <v>6</v>
      </c>
      <c r="G5" s="691">
        <v>7</v>
      </c>
    </row>
    <row r="6" spans="1:8" ht="15.75" thickBot="1">
      <c r="A6" s="589" t="s">
        <v>14</v>
      </c>
      <c r="B6" s="590" t="s">
        <v>379</v>
      </c>
      <c r="C6" s="591" t="s">
        <v>380</v>
      </c>
      <c r="D6" s="591" t="s">
        <v>380</v>
      </c>
      <c r="E6" s="592" t="s">
        <v>380</v>
      </c>
      <c r="F6" s="592" t="s">
        <v>380</v>
      </c>
      <c r="G6" s="593" t="s">
        <v>380</v>
      </c>
    </row>
    <row r="7" spans="1:8" s="518" customFormat="1" ht="15">
      <c r="A7" s="512" t="s">
        <v>381</v>
      </c>
      <c r="B7" s="513" t="s">
        <v>382</v>
      </c>
      <c r="C7" s="514" t="s">
        <v>380</v>
      </c>
      <c r="D7" s="514" t="s">
        <v>380</v>
      </c>
      <c r="E7" s="515" t="s">
        <v>380</v>
      </c>
      <c r="F7" s="515" t="s">
        <v>380</v>
      </c>
      <c r="G7" s="516" t="s">
        <v>380</v>
      </c>
      <c r="H7" s="517"/>
    </row>
    <row r="8" spans="1:8" s="518" customFormat="1" ht="15">
      <c r="A8" s="519" t="s">
        <v>383</v>
      </c>
      <c r="B8" s="520" t="s">
        <v>384</v>
      </c>
      <c r="C8" s="521" t="s">
        <v>380</v>
      </c>
      <c r="D8" s="521" t="s">
        <v>380</v>
      </c>
      <c r="E8" s="522" t="s">
        <v>380</v>
      </c>
      <c r="F8" s="522" t="s">
        <v>380</v>
      </c>
      <c r="G8" s="523" t="s">
        <v>380</v>
      </c>
      <c r="H8" s="517"/>
    </row>
    <row r="9" spans="1:8" s="518" customFormat="1" ht="15.75" thickBot="1">
      <c r="A9" s="519" t="s">
        <v>385</v>
      </c>
      <c r="B9" s="520" t="s">
        <v>386</v>
      </c>
      <c r="C9" s="521" t="s">
        <v>380</v>
      </c>
      <c r="D9" s="521" t="s">
        <v>380</v>
      </c>
      <c r="E9" s="522" t="s">
        <v>380</v>
      </c>
      <c r="F9" s="522" t="s">
        <v>380</v>
      </c>
      <c r="G9" s="523" t="s">
        <v>380</v>
      </c>
      <c r="H9" s="517"/>
    </row>
    <row r="10" spans="1:8" ht="15.75" hidden="1" thickBot="1">
      <c r="A10" s="524" t="s">
        <v>579</v>
      </c>
      <c r="B10" s="525" t="s">
        <v>387</v>
      </c>
      <c r="C10" s="526"/>
      <c r="D10" s="526">
        <v>35</v>
      </c>
      <c r="E10" s="527"/>
      <c r="F10" s="527"/>
      <c r="G10" s="528"/>
    </row>
    <row r="11" spans="1:8" ht="15.75" hidden="1" thickBot="1">
      <c r="A11" s="529" t="s">
        <v>388</v>
      </c>
      <c r="B11" s="530" t="s">
        <v>389</v>
      </c>
      <c r="C11" s="531"/>
      <c r="D11" s="531">
        <v>35</v>
      </c>
      <c r="E11" s="532"/>
      <c r="F11" s="532"/>
      <c r="G11" s="533"/>
    </row>
    <row r="12" spans="1:8" ht="15.75" hidden="1" thickBot="1">
      <c r="A12" s="529" t="s">
        <v>390</v>
      </c>
      <c r="B12" s="530" t="s">
        <v>389</v>
      </c>
      <c r="C12" s="531"/>
      <c r="D12" s="531">
        <v>110</v>
      </c>
      <c r="E12" s="532"/>
      <c r="F12" s="532"/>
      <c r="G12" s="533"/>
    </row>
    <row r="13" spans="1:8" ht="15.75" hidden="1" thickBot="1">
      <c r="A13" s="534" t="s">
        <v>391</v>
      </c>
      <c r="B13" s="535" t="s">
        <v>392</v>
      </c>
      <c r="C13" s="536"/>
      <c r="D13" s="536">
        <v>110</v>
      </c>
      <c r="E13" s="537"/>
      <c r="F13" s="537"/>
      <c r="G13" s="538"/>
    </row>
    <row r="14" spans="1:8" s="518" customFormat="1" ht="15">
      <c r="A14" s="512" t="s">
        <v>393</v>
      </c>
      <c r="B14" s="513" t="s">
        <v>394</v>
      </c>
      <c r="C14" s="514" t="s">
        <v>380</v>
      </c>
      <c r="D14" s="514" t="s">
        <v>380</v>
      </c>
      <c r="E14" s="515" t="s">
        <v>380</v>
      </c>
      <c r="F14" s="515" t="s">
        <v>380</v>
      </c>
      <c r="G14" s="516" t="s">
        <v>380</v>
      </c>
      <c r="H14" s="517"/>
    </row>
    <row r="15" spans="1:8" s="518" customFormat="1" ht="15">
      <c r="A15" s="519" t="s">
        <v>395</v>
      </c>
      <c r="B15" s="520" t="s">
        <v>396</v>
      </c>
      <c r="C15" s="521" t="s">
        <v>380</v>
      </c>
      <c r="D15" s="521" t="s">
        <v>380</v>
      </c>
      <c r="E15" s="522" t="s">
        <v>380</v>
      </c>
      <c r="F15" s="522" t="s">
        <v>380</v>
      </c>
      <c r="G15" s="523" t="s">
        <v>380</v>
      </c>
      <c r="H15" s="517"/>
    </row>
    <row r="16" spans="1:8" s="518" customFormat="1" ht="15">
      <c r="A16" s="519" t="s">
        <v>397</v>
      </c>
      <c r="B16" s="520" t="s">
        <v>386</v>
      </c>
      <c r="C16" s="521" t="s">
        <v>380</v>
      </c>
      <c r="D16" s="521" t="s">
        <v>380</v>
      </c>
      <c r="E16" s="522" t="s">
        <v>380</v>
      </c>
      <c r="F16" s="522" t="s">
        <v>380</v>
      </c>
      <c r="G16" s="523" t="s">
        <v>380</v>
      </c>
      <c r="H16" s="517"/>
    </row>
    <row r="17" spans="1:8" ht="15">
      <c r="A17" s="529" t="s">
        <v>398</v>
      </c>
      <c r="B17" s="530" t="s">
        <v>399</v>
      </c>
      <c r="C17" s="531"/>
      <c r="D17" s="531">
        <v>0.4</v>
      </c>
      <c r="E17" s="532">
        <v>3300</v>
      </c>
      <c r="F17" s="532">
        <v>340</v>
      </c>
      <c r="G17" s="533">
        <v>7687.14</v>
      </c>
    </row>
    <row r="18" spans="1:8" ht="15">
      <c r="A18" s="529" t="s">
        <v>400</v>
      </c>
      <c r="B18" s="530" t="s">
        <v>399</v>
      </c>
      <c r="C18" s="531"/>
      <c r="D18" s="531" t="s">
        <v>401</v>
      </c>
      <c r="E18" s="532">
        <f>1500+E34+E35+E37</f>
        <v>2728</v>
      </c>
      <c r="F18" s="532">
        <f>170+F35+F34+F37</f>
        <v>1720</v>
      </c>
      <c r="G18" s="533">
        <f>3612.51+G34+G35+G37</f>
        <v>5909.34</v>
      </c>
    </row>
    <row r="19" spans="1:8" ht="15">
      <c r="A19" s="529" t="s">
        <v>402</v>
      </c>
      <c r="B19" s="530" t="s">
        <v>387</v>
      </c>
      <c r="C19" s="531"/>
      <c r="D19" s="531">
        <v>0.4</v>
      </c>
      <c r="E19" s="532">
        <v>2400</v>
      </c>
      <c r="F19" s="532">
        <v>142</v>
      </c>
      <c r="G19" s="533">
        <v>5412.87</v>
      </c>
    </row>
    <row r="20" spans="1:8" ht="15">
      <c r="A20" s="524" t="s">
        <v>403</v>
      </c>
      <c r="B20" s="525" t="s">
        <v>387</v>
      </c>
      <c r="C20" s="526"/>
      <c r="D20" s="526" t="s">
        <v>401</v>
      </c>
      <c r="E20" s="527">
        <v>200</v>
      </c>
      <c r="F20" s="527">
        <v>30</v>
      </c>
      <c r="G20" s="528">
        <v>408.45</v>
      </c>
    </row>
    <row r="21" spans="1:8" ht="15">
      <c r="A21" s="524" t="s">
        <v>404</v>
      </c>
      <c r="B21" s="525" t="s">
        <v>387</v>
      </c>
      <c r="C21" s="526"/>
      <c r="D21" s="526">
        <v>35</v>
      </c>
      <c r="E21" s="527"/>
      <c r="F21" s="527"/>
      <c r="G21" s="528"/>
    </row>
    <row r="22" spans="1:8" ht="15">
      <c r="A22" s="524" t="s">
        <v>405</v>
      </c>
      <c r="B22" s="525" t="s">
        <v>389</v>
      </c>
      <c r="C22" s="526"/>
      <c r="D22" s="526">
        <v>0.4</v>
      </c>
      <c r="E22" s="527"/>
      <c r="F22" s="527"/>
      <c r="G22" s="528"/>
    </row>
    <row r="23" spans="1:8" ht="15">
      <c r="A23" s="524" t="s">
        <v>406</v>
      </c>
      <c r="B23" s="525" t="s">
        <v>389</v>
      </c>
      <c r="C23" s="526"/>
      <c r="D23" s="526" t="s">
        <v>401</v>
      </c>
      <c r="E23" s="527">
        <f>E36</f>
        <v>600</v>
      </c>
      <c r="F23" s="527">
        <f>F36</f>
        <v>156.96303999999998</v>
      </c>
      <c r="G23" s="528">
        <f>G36</f>
        <v>1240.25</v>
      </c>
    </row>
    <row r="24" spans="1:8" ht="15.75" thickBot="1">
      <c r="A24" s="524" t="s">
        <v>407</v>
      </c>
      <c r="B24" s="525" t="s">
        <v>389</v>
      </c>
      <c r="C24" s="526"/>
      <c r="D24" s="526">
        <v>35</v>
      </c>
      <c r="E24" s="527"/>
      <c r="F24" s="527"/>
      <c r="G24" s="528"/>
    </row>
    <row r="25" spans="1:8" s="518" customFormat="1" ht="15">
      <c r="A25" s="512" t="s">
        <v>408</v>
      </c>
      <c r="B25" s="513" t="s">
        <v>384</v>
      </c>
      <c r="C25" s="514" t="s">
        <v>380</v>
      </c>
      <c r="D25" s="514" t="s">
        <v>380</v>
      </c>
      <c r="E25" s="515" t="s">
        <v>380</v>
      </c>
      <c r="F25" s="515" t="s">
        <v>380</v>
      </c>
      <c r="G25" s="516" t="s">
        <v>380</v>
      </c>
      <c r="H25" s="503"/>
    </row>
    <row r="26" spans="1:8" s="518" customFormat="1" ht="15.75" thickBot="1">
      <c r="A26" s="519" t="s">
        <v>409</v>
      </c>
      <c r="B26" s="520" t="s">
        <v>386</v>
      </c>
      <c r="C26" s="521" t="s">
        <v>380</v>
      </c>
      <c r="D26" s="521" t="s">
        <v>380</v>
      </c>
      <c r="E26" s="522" t="s">
        <v>380</v>
      </c>
      <c r="F26" s="522" t="s">
        <v>380</v>
      </c>
      <c r="G26" s="523" t="s">
        <v>380</v>
      </c>
      <c r="H26" s="503"/>
    </row>
    <row r="27" spans="1:8" ht="15.75" hidden="1" thickBot="1">
      <c r="A27" s="529" t="s">
        <v>410</v>
      </c>
      <c r="B27" s="530" t="s">
        <v>399</v>
      </c>
      <c r="C27" s="531"/>
      <c r="D27" s="531">
        <v>0.4</v>
      </c>
      <c r="E27" s="532"/>
      <c r="F27" s="532"/>
      <c r="G27" s="533"/>
    </row>
    <row r="28" spans="1:8" ht="15.75" hidden="1" thickBot="1">
      <c r="A28" s="529" t="s">
        <v>411</v>
      </c>
      <c r="B28" s="530" t="s">
        <v>399</v>
      </c>
      <c r="C28" s="531"/>
      <c r="D28" s="531" t="s">
        <v>401</v>
      </c>
      <c r="E28" s="532"/>
      <c r="F28" s="532"/>
      <c r="G28" s="533"/>
    </row>
    <row r="29" spans="1:8" ht="15.75" hidden="1" thickBot="1">
      <c r="A29" s="524" t="s">
        <v>412</v>
      </c>
      <c r="B29" s="525" t="s">
        <v>387</v>
      </c>
      <c r="C29" s="526"/>
      <c r="D29" s="526">
        <v>35</v>
      </c>
      <c r="E29" s="527"/>
      <c r="F29" s="527"/>
      <c r="G29" s="528"/>
    </row>
    <row r="30" spans="1:8" ht="15.75" hidden="1" thickBot="1">
      <c r="A30" s="539" t="s">
        <v>413</v>
      </c>
      <c r="B30" s="540" t="s">
        <v>389</v>
      </c>
      <c r="C30" s="541"/>
      <c r="D30" s="541">
        <v>35</v>
      </c>
      <c r="E30" s="542"/>
      <c r="F30" s="542"/>
      <c r="G30" s="543"/>
    </row>
    <row r="31" spans="1:8" s="518" customFormat="1" ht="15.75" thickBot="1">
      <c r="A31" s="544" t="s">
        <v>21</v>
      </c>
      <c r="B31" s="545" t="s">
        <v>604</v>
      </c>
      <c r="C31" s="546"/>
      <c r="D31" s="546"/>
      <c r="E31" s="547"/>
      <c r="F31" s="547"/>
      <c r="G31" s="548"/>
      <c r="H31" s="503"/>
    </row>
    <row r="32" spans="1:8" ht="15">
      <c r="A32" s="529" t="s">
        <v>605</v>
      </c>
      <c r="B32" s="530" t="s">
        <v>606</v>
      </c>
      <c r="C32" s="531"/>
      <c r="D32" s="531">
        <v>0.4</v>
      </c>
      <c r="E32" s="532">
        <v>5700</v>
      </c>
      <c r="F32" s="532">
        <v>482</v>
      </c>
      <c r="G32" s="533">
        <v>13100.01</v>
      </c>
    </row>
    <row r="33" spans="1:8" ht="15">
      <c r="A33" s="529" t="s">
        <v>607</v>
      </c>
      <c r="B33" s="530" t="s">
        <v>608</v>
      </c>
      <c r="C33" s="531"/>
      <c r="D33" s="531" t="s">
        <v>401</v>
      </c>
      <c r="E33" s="532">
        <v>1700</v>
      </c>
      <c r="F33" s="532">
        <v>200</v>
      </c>
      <c r="G33" s="533">
        <v>4020.96</v>
      </c>
    </row>
    <row r="34" spans="1:8" ht="15">
      <c r="A34" s="524" t="s">
        <v>609</v>
      </c>
      <c r="B34" s="525" t="s">
        <v>708</v>
      </c>
      <c r="C34" s="526"/>
      <c r="D34" s="526">
        <v>6</v>
      </c>
      <c r="E34" s="527">
        <v>324</v>
      </c>
      <c r="F34" s="527">
        <v>1200</v>
      </c>
      <c r="G34" s="528">
        <v>631.70000000000005</v>
      </c>
    </row>
    <row r="35" spans="1:8" ht="15">
      <c r="A35" s="529" t="s">
        <v>610</v>
      </c>
      <c r="B35" s="525" t="s">
        <v>709</v>
      </c>
      <c r="C35" s="526"/>
      <c r="D35" s="526">
        <v>6</v>
      </c>
      <c r="E35" s="527">
        <v>221</v>
      </c>
      <c r="F35" s="527">
        <f>200/2</f>
        <v>100</v>
      </c>
      <c r="G35" s="528">
        <v>572.28</v>
      </c>
    </row>
    <row r="36" spans="1:8" ht="30">
      <c r="A36" s="529" t="s">
        <v>611</v>
      </c>
      <c r="B36" s="525" t="s">
        <v>710</v>
      </c>
      <c r="C36" s="526"/>
      <c r="D36" s="526">
        <v>6</v>
      </c>
      <c r="E36" s="527">
        <v>600</v>
      </c>
      <c r="F36" s="527">
        <f>(2000+3200+837.04)*0.026</f>
        <v>156.96303999999998</v>
      </c>
      <c r="G36" s="528">
        <v>1240.25</v>
      </c>
    </row>
    <row r="37" spans="1:8" ht="15.75" thickBot="1">
      <c r="A37" s="524" t="s">
        <v>612</v>
      </c>
      <c r="B37" s="525" t="s">
        <v>711</v>
      </c>
      <c r="C37" s="526"/>
      <c r="D37" s="526">
        <v>6</v>
      </c>
      <c r="E37" s="527">
        <v>683</v>
      </c>
      <c r="F37" s="527">
        <v>250</v>
      </c>
      <c r="G37" s="528">
        <v>1092.8499999999999</v>
      </c>
    </row>
    <row r="38" spans="1:8" ht="15.75" hidden="1" thickBot="1">
      <c r="A38" s="529" t="s">
        <v>613</v>
      </c>
      <c r="B38" s="525"/>
      <c r="C38" s="526"/>
      <c r="D38" s="526"/>
      <c r="E38" s="527"/>
      <c r="F38" s="527"/>
      <c r="G38" s="528"/>
    </row>
    <row r="39" spans="1:8" ht="15.75" hidden="1" thickBot="1">
      <c r="A39" s="529" t="s">
        <v>614</v>
      </c>
      <c r="B39" s="525"/>
      <c r="C39" s="526"/>
      <c r="D39" s="526"/>
      <c r="E39" s="527"/>
      <c r="F39" s="527"/>
      <c r="G39" s="528"/>
    </row>
    <row r="40" spans="1:8" ht="15.75" hidden="1" thickBot="1">
      <c r="A40" s="524" t="s">
        <v>615</v>
      </c>
      <c r="B40" s="525"/>
      <c r="C40" s="526"/>
      <c r="D40" s="526"/>
      <c r="E40" s="527"/>
      <c r="F40" s="527"/>
      <c r="G40" s="528"/>
    </row>
    <row r="41" spans="1:8" ht="15.75" hidden="1" thickBot="1">
      <c r="A41" s="529" t="s">
        <v>616</v>
      </c>
      <c r="B41" s="525"/>
      <c r="C41" s="526"/>
      <c r="D41" s="526"/>
      <c r="E41" s="527"/>
      <c r="F41" s="527"/>
      <c r="G41" s="528"/>
    </row>
    <row r="42" spans="1:8" ht="15.75" hidden="1" thickBot="1">
      <c r="A42" s="529" t="s">
        <v>617</v>
      </c>
      <c r="B42" s="525"/>
      <c r="C42" s="526"/>
      <c r="D42" s="526"/>
      <c r="E42" s="527"/>
      <c r="F42" s="527"/>
      <c r="G42" s="528"/>
    </row>
    <row r="43" spans="1:8" ht="15.75" hidden="1" thickBot="1">
      <c r="A43" s="524" t="s">
        <v>618</v>
      </c>
      <c r="B43" s="525"/>
      <c r="C43" s="526"/>
      <c r="D43" s="526"/>
      <c r="E43" s="527"/>
      <c r="F43" s="527"/>
      <c r="G43" s="528"/>
    </row>
    <row r="44" spans="1:8" ht="15.75" hidden="1" thickBot="1">
      <c r="A44" s="529" t="s">
        <v>619</v>
      </c>
      <c r="B44" s="525"/>
      <c r="C44" s="526"/>
      <c r="D44" s="526"/>
      <c r="E44" s="527"/>
      <c r="F44" s="527"/>
      <c r="G44" s="528"/>
    </row>
    <row r="45" spans="1:8" ht="15.75" hidden="1" thickBot="1">
      <c r="A45" s="529" t="s">
        <v>620</v>
      </c>
      <c r="B45" s="525"/>
      <c r="C45" s="526"/>
      <c r="D45" s="526"/>
      <c r="E45" s="527"/>
      <c r="F45" s="527"/>
      <c r="G45" s="528"/>
    </row>
    <row r="46" spans="1:8" ht="15.75" hidden="1" thickBot="1">
      <c r="A46" s="524" t="s">
        <v>621</v>
      </c>
      <c r="B46" s="525"/>
      <c r="C46" s="526"/>
      <c r="D46" s="526"/>
      <c r="E46" s="527"/>
      <c r="F46" s="527"/>
      <c r="G46" s="528"/>
    </row>
    <row r="47" spans="1:8" s="518" customFormat="1" ht="15.75" thickBot="1">
      <c r="A47" s="589" t="s">
        <v>135</v>
      </c>
      <c r="B47" s="590" t="s">
        <v>414</v>
      </c>
      <c r="C47" s="591" t="s">
        <v>380</v>
      </c>
      <c r="D47" s="591" t="s">
        <v>380</v>
      </c>
      <c r="E47" s="592" t="s">
        <v>380</v>
      </c>
      <c r="F47" s="592" t="s">
        <v>380</v>
      </c>
      <c r="G47" s="593" t="s">
        <v>380</v>
      </c>
      <c r="H47" s="503"/>
    </row>
    <row r="48" spans="1:8" s="518" customFormat="1" ht="15">
      <c r="A48" s="512" t="s">
        <v>167</v>
      </c>
      <c r="B48" s="513" t="s">
        <v>415</v>
      </c>
      <c r="C48" s="514" t="s">
        <v>380</v>
      </c>
      <c r="D48" s="514" t="s">
        <v>380</v>
      </c>
      <c r="E48" s="515" t="s">
        <v>380</v>
      </c>
      <c r="F48" s="515" t="s">
        <v>380</v>
      </c>
      <c r="G48" s="516" t="s">
        <v>380</v>
      </c>
      <c r="H48" s="503"/>
    </row>
    <row r="49" spans="1:8" s="518" customFormat="1" ht="15">
      <c r="A49" s="519" t="s">
        <v>168</v>
      </c>
      <c r="B49" s="520" t="s">
        <v>416</v>
      </c>
      <c r="C49" s="521" t="s">
        <v>380</v>
      </c>
      <c r="D49" s="521" t="s">
        <v>380</v>
      </c>
      <c r="E49" s="522" t="s">
        <v>380</v>
      </c>
      <c r="F49" s="522" t="s">
        <v>380</v>
      </c>
      <c r="G49" s="523" t="s">
        <v>380</v>
      </c>
      <c r="H49" s="503"/>
    </row>
    <row r="50" spans="1:8" s="518" customFormat="1" ht="15">
      <c r="A50" s="519" t="s">
        <v>169</v>
      </c>
      <c r="B50" s="520" t="s">
        <v>417</v>
      </c>
      <c r="C50" s="521" t="s">
        <v>380</v>
      </c>
      <c r="D50" s="521" t="s">
        <v>380</v>
      </c>
      <c r="E50" s="522" t="s">
        <v>380</v>
      </c>
      <c r="F50" s="522" t="s">
        <v>380</v>
      </c>
      <c r="G50" s="523" t="s">
        <v>380</v>
      </c>
      <c r="H50" s="503"/>
    </row>
    <row r="51" spans="1:8" ht="15" hidden="1">
      <c r="A51" s="529" t="s">
        <v>418</v>
      </c>
      <c r="B51" s="530" t="s">
        <v>399</v>
      </c>
      <c r="C51" s="531"/>
      <c r="D51" s="531" t="s">
        <v>401</v>
      </c>
      <c r="E51" s="532"/>
      <c r="F51" s="532"/>
      <c r="G51" s="533"/>
    </row>
    <row r="52" spans="1:8" ht="15" hidden="1">
      <c r="A52" s="529" t="s">
        <v>419</v>
      </c>
      <c r="B52" s="530" t="s">
        <v>399</v>
      </c>
      <c r="C52" s="531"/>
      <c r="D52" s="531">
        <v>35</v>
      </c>
      <c r="E52" s="532"/>
      <c r="F52" s="532"/>
      <c r="G52" s="533"/>
    </row>
    <row r="53" spans="1:8" ht="15" hidden="1">
      <c r="A53" s="529" t="s">
        <v>420</v>
      </c>
      <c r="B53" s="530" t="s">
        <v>399</v>
      </c>
      <c r="C53" s="531"/>
      <c r="D53" s="531">
        <v>110</v>
      </c>
      <c r="E53" s="532"/>
      <c r="F53" s="532"/>
      <c r="G53" s="533"/>
    </row>
    <row r="54" spans="1:8" ht="15" hidden="1">
      <c r="A54" s="529" t="s">
        <v>421</v>
      </c>
      <c r="B54" s="530" t="s">
        <v>387</v>
      </c>
      <c r="C54" s="531"/>
      <c r="D54" s="531" t="s">
        <v>401</v>
      </c>
      <c r="E54" s="532"/>
      <c r="F54" s="532"/>
      <c r="G54" s="533"/>
    </row>
    <row r="55" spans="1:8" ht="15" hidden="1">
      <c r="A55" s="529" t="s">
        <v>422</v>
      </c>
      <c r="B55" s="530" t="s">
        <v>387</v>
      </c>
      <c r="C55" s="531"/>
      <c r="D55" s="531">
        <v>35</v>
      </c>
      <c r="E55" s="532"/>
      <c r="F55" s="532"/>
      <c r="G55" s="533"/>
    </row>
    <row r="56" spans="1:8" ht="15" hidden="1">
      <c r="A56" s="529" t="s">
        <v>423</v>
      </c>
      <c r="B56" s="530" t="s">
        <v>387</v>
      </c>
      <c r="C56" s="531"/>
      <c r="D56" s="531">
        <v>110</v>
      </c>
      <c r="E56" s="532"/>
      <c r="F56" s="532"/>
      <c r="G56" s="533"/>
    </row>
    <row r="57" spans="1:8" ht="15" hidden="1">
      <c r="A57" s="529" t="s">
        <v>424</v>
      </c>
      <c r="B57" s="530" t="s">
        <v>389</v>
      </c>
      <c r="C57" s="531"/>
      <c r="D57" s="531" t="s">
        <v>401</v>
      </c>
      <c r="E57" s="532"/>
      <c r="F57" s="532"/>
      <c r="G57" s="533"/>
    </row>
    <row r="58" spans="1:8" ht="15" hidden="1">
      <c r="A58" s="529" t="s">
        <v>425</v>
      </c>
      <c r="B58" s="530" t="s">
        <v>389</v>
      </c>
      <c r="C58" s="531"/>
      <c r="D58" s="531">
        <v>35</v>
      </c>
      <c r="E58" s="532"/>
      <c r="F58" s="532"/>
      <c r="G58" s="533"/>
    </row>
    <row r="59" spans="1:8" ht="15" hidden="1">
      <c r="A59" s="529" t="s">
        <v>426</v>
      </c>
      <c r="B59" s="530" t="s">
        <v>389</v>
      </c>
      <c r="C59" s="531"/>
      <c r="D59" s="531">
        <v>110</v>
      </c>
      <c r="E59" s="532"/>
      <c r="F59" s="532"/>
      <c r="G59" s="533"/>
    </row>
    <row r="60" spans="1:8" ht="15.75" thickBot="1">
      <c r="A60" s="539" t="s">
        <v>427</v>
      </c>
      <c r="B60" s="540" t="s">
        <v>392</v>
      </c>
      <c r="C60" s="541"/>
      <c r="D60" s="541" t="s">
        <v>401</v>
      </c>
      <c r="E60" s="542">
        <f>E165</f>
        <v>1907.2</v>
      </c>
      <c r="F60" s="542">
        <f>F165</f>
        <v>1000</v>
      </c>
      <c r="G60" s="543">
        <f>G165</f>
        <v>6043.49</v>
      </c>
    </row>
    <row r="61" spans="1:8" s="518" customFormat="1" ht="15">
      <c r="A61" s="512" t="s">
        <v>428</v>
      </c>
      <c r="B61" s="513" t="s">
        <v>429</v>
      </c>
      <c r="C61" s="514" t="s">
        <v>380</v>
      </c>
      <c r="D61" s="514" t="s">
        <v>380</v>
      </c>
      <c r="E61" s="515" t="s">
        <v>380</v>
      </c>
      <c r="F61" s="515" t="s">
        <v>380</v>
      </c>
      <c r="G61" s="516" t="s">
        <v>380</v>
      </c>
      <c r="H61" s="503"/>
    </row>
    <row r="62" spans="1:8" ht="15" hidden="1">
      <c r="A62" s="529" t="s">
        <v>430</v>
      </c>
      <c r="B62" s="530" t="s">
        <v>399</v>
      </c>
      <c r="C62" s="531"/>
      <c r="D62" s="531" t="s">
        <v>401</v>
      </c>
      <c r="E62" s="532"/>
      <c r="F62" s="532"/>
      <c r="G62" s="533"/>
    </row>
    <row r="63" spans="1:8" ht="15" hidden="1">
      <c r="A63" s="529" t="s">
        <v>431</v>
      </c>
      <c r="B63" s="530" t="s">
        <v>399</v>
      </c>
      <c r="C63" s="531"/>
      <c r="D63" s="531">
        <v>35</v>
      </c>
      <c r="E63" s="532"/>
      <c r="F63" s="532"/>
      <c r="G63" s="533"/>
    </row>
    <row r="64" spans="1:8" ht="15" hidden="1">
      <c r="A64" s="529" t="s">
        <v>432</v>
      </c>
      <c r="B64" s="530" t="s">
        <v>399</v>
      </c>
      <c r="C64" s="531"/>
      <c r="D64" s="531">
        <v>110</v>
      </c>
      <c r="E64" s="532"/>
      <c r="F64" s="532"/>
      <c r="G64" s="533"/>
    </row>
    <row r="65" spans="1:8" ht="15" hidden="1">
      <c r="A65" s="529" t="s">
        <v>433</v>
      </c>
      <c r="B65" s="530" t="s">
        <v>387</v>
      </c>
      <c r="C65" s="531"/>
      <c r="D65" s="531" t="s">
        <v>401</v>
      </c>
      <c r="E65" s="532"/>
      <c r="F65" s="532"/>
      <c r="G65" s="533"/>
    </row>
    <row r="66" spans="1:8" ht="15" hidden="1">
      <c r="A66" s="529" t="s">
        <v>434</v>
      </c>
      <c r="B66" s="530" t="s">
        <v>387</v>
      </c>
      <c r="C66" s="531"/>
      <c r="D66" s="531">
        <v>35</v>
      </c>
      <c r="E66" s="532"/>
      <c r="F66" s="532"/>
      <c r="G66" s="533"/>
    </row>
    <row r="67" spans="1:8" ht="15" hidden="1">
      <c r="A67" s="529" t="s">
        <v>435</v>
      </c>
      <c r="B67" s="530" t="s">
        <v>387</v>
      </c>
      <c r="C67" s="531"/>
      <c r="D67" s="531">
        <v>110</v>
      </c>
      <c r="E67" s="532"/>
      <c r="F67" s="532"/>
      <c r="G67" s="533"/>
    </row>
    <row r="68" spans="1:8" ht="15" hidden="1">
      <c r="A68" s="529" t="s">
        <v>436</v>
      </c>
      <c r="B68" s="530" t="s">
        <v>389</v>
      </c>
      <c r="C68" s="531"/>
      <c r="D68" s="531" t="s">
        <v>401</v>
      </c>
      <c r="E68" s="532"/>
      <c r="F68" s="532"/>
      <c r="G68" s="533"/>
    </row>
    <row r="69" spans="1:8" ht="15" hidden="1">
      <c r="A69" s="529" t="s">
        <v>437</v>
      </c>
      <c r="B69" s="530" t="s">
        <v>389</v>
      </c>
      <c r="C69" s="531"/>
      <c r="D69" s="531">
        <v>35</v>
      </c>
      <c r="E69" s="532"/>
      <c r="F69" s="532"/>
      <c r="G69" s="533"/>
    </row>
    <row r="70" spans="1:8" ht="15" hidden="1">
      <c r="A70" s="529" t="s">
        <v>438</v>
      </c>
      <c r="B70" s="530" t="s">
        <v>389</v>
      </c>
      <c r="C70" s="531"/>
      <c r="D70" s="531">
        <v>110</v>
      </c>
      <c r="E70" s="532"/>
      <c r="F70" s="532"/>
      <c r="G70" s="533"/>
    </row>
    <row r="71" spans="1:8" ht="15.75" hidden="1" thickBot="1">
      <c r="A71" s="539" t="s">
        <v>439</v>
      </c>
      <c r="B71" s="540" t="s">
        <v>392</v>
      </c>
      <c r="C71" s="541"/>
      <c r="D71" s="541">
        <v>110</v>
      </c>
      <c r="E71" s="542"/>
      <c r="F71" s="542"/>
      <c r="G71" s="543"/>
    </row>
    <row r="72" spans="1:8" s="518" customFormat="1" ht="15">
      <c r="A72" s="519" t="s">
        <v>170</v>
      </c>
      <c r="B72" s="520" t="s">
        <v>440</v>
      </c>
      <c r="C72" s="521" t="s">
        <v>380</v>
      </c>
      <c r="D72" s="521" t="s">
        <v>380</v>
      </c>
      <c r="E72" s="522" t="s">
        <v>380</v>
      </c>
      <c r="F72" s="522" t="s">
        <v>380</v>
      </c>
      <c r="G72" s="523" t="s">
        <v>380</v>
      </c>
      <c r="H72" s="503"/>
    </row>
    <row r="73" spans="1:8" s="518" customFormat="1" ht="15.75" thickBot="1">
      <c r="A73" s="519" t="s">
        <v>171</v>
      </c>
      <c r="B73" s="520" t="s">
        <v>417</v>
      </c>
      <c r="C73" s="521" t="s">
        <v>380</v>
      </c>
      <c r="D73" s="521" t="s">
        <v>380</v>
      </c>
      <c r="E73" s="522" t="s">
        <v>380</v>
      </c>
      <c r="F73" s="522" t="s">
        <v>380</v>
      </c>
      <c r="G73" s="523" t="s">
        <v>380</v>
      </c>
      <c r="H73" s="503"/>
    </row>
    <row r="74" spans="1:8" ht="15.75" hidden="1" thickBot="1">
      <c r="A74" s="529" t="s">
        <v>441</v>
      </c>
      <c r="B74" s="530" t="s">
        <v>399</v>
      </c>
      <c r="C74" s="531"/>
      <c r="D74" s="531">
        <v>0.4</v>
      </c>
      <c r="E74" s="532"/>
      <c r="F74" s="532"/>
      <c r="G74" s="533"/>
    </row>
    <row r="75" spans="1:8" ht="15.75" hidden="1" thickBot="1">
      <c r="A75" s="529" t="s">
        <v>442</v>
      </c>
      <c r="B75" s="530" t="s">
        <v>399</v>
      </c>
      <c r="C75" s="531"/>
      <c r="D75" s="531" t="s">
        <v>401</v>
      </c>
      <c r="E75" s="532"/>
      <c r="F75" s="532"/>
      <c r="G75" s="533"/>
    </row>
    <row r="76" spans="1:8" ht="15.75" hidden="1" thickBot="1">
      <c r="A76" s="529" t="s">
        <v>443</v>
      </c>
      <c r="B76" s="530" t="s">
        <v>399</v>
      </c>
      <c r="C76" s="531"/>
      <c r="D76" s="531">
        <v>35</v>
      </c>
      <c r="E76" s="532"/>
      <c r="F76" s="532"/>
      <c r="G76" s="533"/>
    </row>
    <row r="77" spans="1:8" ht="15.75" hidden="1" thickBot="1">
      <c r="A77" s="529" t="s">
        <v>444</v>
      </c>
      <c r="B77" s="530" t="s">
        <v>399</v>
      </c>
      <c r="C77" s="531"/>
      <c r="D77" s="531">
        <v>110</v>
      </c>
      <c r="E77" s="532"/>
      <c r="F77" s="532"/>
      <c r="G77" s="533"/>
    </row>
    <row r="78" spans="1:8" ht="15.75" hidden="1" thickBot="1">
      <c r="A78" s="529" t="s">
        <v>445</v>
      </c>
      <c r="B78" s="530" t="s">
        <v>387</v>
      </c>
      <c r="C78" s="531"/>
      <c r="D78" s="531">
        <v>0.4</v>
      </c>
      <c r="E78" s="532"/>
      <c r="F78" s="532"/>
      <c r="G78" s="533"/>
    </row>
    <row r="79" spans="1:8" ht="15.75" hidden="1" thickBot="1">
      <c r="A79" s="529" t="s">
        <v>446</v>
      </c>
      <c r="B79" s="530" t="s">
        <v>387</v>
      </c>
      <c r="C79" s="531"/>
      <c r="D79" s="531" t="s">
        <v>401</v>
      </c>
      <c r="E79" s="532"/>
      <c r="F79" s="532"/>
      <c r="G79" s="533"/>
    </row>
    <row r="80" spans="1:8" ht="15.75" hidden="1" thickBot="1">
      <c r="A80" s="529" t="s">
        <v>447</v>
      </c>
      <c r="B80" s="530" t="s">
        <v>387</v>
      </c>
      <c r="C80" s="531"/>
      <c r="D80" s="531">
        <v>35</v>
      </c>
      <c r="E80" s="532"/>
      <c r="F80" s="532"/>
      <c r="G80" s="533"/>
    </row>
    <row r="81" spans="1:8" ht="15.75" hidden="1" thickBot="1">
      <c r="A81" s="529" t="s">
        <v>448</v>
      </c>
      <c r="B81" s="530" t="s">
        <v>387</v>
      </c>
      <c r="C81" s="531"/>
      <c r="D81" s="531">
        <v>110</v>
      </c>
      <c r="E81" s="532"/>
      <c r="F81" s="532"/>
      <c r="G81" s="533"/>
    </row>
    <row r="82" spans="1:8" ht="15.75" hidden="1" thickBot="1">
      <c r="A82" s="529" t="s">
        <v>449</v>
      </c>
      <c r="B82" s="530" t="s">
        <v>389</v>
      </c>
      <c r="C82" s="531"/>
      <c r="D82" s="531">
        <v>0.4</v>
      </c>
      <c r="E82" s="532"/>
      <c r="F82" s="532"/>
      <c r="G82" s="533"/>
    </row>
    <row r="83" spans="1:8" ht="15.75" hidden="1" thickBot="1">
      <c r="A83" s="529" t="s">
        <v>450</v>
      </c>
      <c r="B83" s="530" t="s">
        <v>389</v>
      </c>
      <c r="C83" s="531"/>
      <c r="D83" s="531" t="s">
        <v>401</v>
      </c>
      <c r="E83" s="532"/>
      <c r="F83" s="532"/>
      <c r="G83" s="533"/>
    </row>
    <row r="84" spans="1:8" ht="15.75" hidden="1" thickBot="1">
      <c r="A84" s="529" t="s">
        <v>451</v>
      </c>
      <c r="B84" s="530" t="s">
        <v>389</v>
      </c>
      <c r="C84" s="531"/>
      <c r="D84" s="531">
        <v>35</v>
      </c>
      <c r="E84" s="532"/>
      <c r="F84" s="532"/>
      <c r="G84" s="533"/>
    </row>
    <row r="85" spans="1:8" ht="15.75" hidden="1" thickBot="1">
      <c r="A85" s="529" t="s">
        <v>452</v>
      </c>
      <c r="B85" s="530" t="s">
        <v>389</v>
      </c>
      <c r="C85" s="531"/>
      <c r="D85" s="531">
        <v>110</v>
      </c>
      <c r="E85" s="532"/>
      <c r="F85" s="532"/>
      <c r="G85" s="533"/>
    </row>
    <row r="86" spans="1:8" ht="15.75" hidden="1" thickBot="1">
      <c r="A86" s="524" t="s">
        <v>453</v>
      </c>
      <c r="B86" s="525" t="s">
        <v>392</v>
      </c>
      <c r="C86" s="526"/>
      <c r="D86" s="526">
        <v>0.4</v>
      </c>
      <c r="E86" s="527"/>
      <c r="F86" s="527"/>
      <c r="G86" s="528"/>
    </row>
    <row r="87" spans="1:8" ht="15.75" hidden="1" thickBot="1">
      <c r="A87" s="539" t="s">
        <v>454</v>
      </c>
      <c r="B87" s="540" t="s">
        <v>392</v>
      </c>
      <c r="C87" s="541"/>
      <c r="D87" s="541">
        <v>110</v>
      </c>
      <c r="E87" s="542"/>
      <c r="F87" s="542"/>
      <c r="G87" s="543"/>
    </row>
    <row r="88" spans="1:8" s="518" customFormat="1" ht="15">
      <c r="A88" s="512" t="s">
        <v>172</v>
      </c>
      <c r="B88" s="513" t="s">
        <v>429</v>
      </c>
      <c r="C88" s="514" t="s">
        <v>380</v>
      </c>
      <c r="D88" s="514" t="s">
        <v>380</v>
      </c>
      <c r="E88" s="515" t="s">
        <v>380</v>
      </c>
      <c r="F88" s="515" t="s">
        <v>380</v>
      </c>
      <c r="G88" s="516" t="s">
        <v>380</v>
      </c>
      <c r="H88" s="503"/>
    </row>
    <row r="89" spans="1:8" ht="15" hidden="1">
      <c r="A89" s="529" t="s">
        <v>455</v>
      </c>
      <c r="B89" s="530" t="s">
        <v>399</v>
      </c>
      <c r="C89" s="531"/>
      <c r="D89" s="531">
        <v>0.4</v>
      </c>
      <c r="E89" s="532"/>
      <c r="F89" s="532"/>
      <c r="G89" s="533"/>
    </row>
    <row r="90" spans="1:8" ht="15" hidden="1">
      <c r="A90" s="529" t="s">
        <v>456</v>
      </c>
      <c r="B90" s="530" t="s">
        <v>399</v>
      </c>
      <c r="C90" s="531"/>
      <c r="D90" s="531" t="s">
        <v>401</v>
      </c>
      <c r="E90" s="532"/>
      <c r="F90" s="532"/>
      <c r="G90" s="533"/>
    </row>
    <row r="91" spans="1:8" ht="15" hidden="1">
      <c r="A91" s="529" t="s">
        <v>457</v>
      </c>
      <c r="B91" s="530" t="s">
        <v>399</v>
      </c>
      <c r="C91" s="531"/>
      <c r="D91" s="531">
        <v>35</v>
      </c>
      <c r="E91" s="532"/>
      <c r="F91" s="532"/>
      <c r="G91" s="533"/>
    </row>
    <row r="92" spans="1:8" ht="15" hidden="1">
      <c r="A92" s="529" t="s">
        <v>458</v>
      </c>
      <c r="B92" s="530" t="s">
        <v>399</v>
      </c>
      <c r="C92" s="531"/>
      <c r="D92" s="531">
        <v>110</v>
      </c>
      <c r="E92" s="532"/>
      <c r="F92" s="532"/>
      <c r="G92" s="533"/>
    </row>
    <row r="93" spans="1:8" ht="15" hidden="1">
      <c r="A93" s="529" t="s">
        <v>459</v>
      </c>
      <c r="B93" s="530" t="s">
        <v>387</v>
      </c>
      <c r="C93" s="531"/>
      <c r="D93" s="531">
        <v>0.4</v>
      </c>
      <c r="E93" s="532"/>
      <c r="F93" s="532"/>
      <c r="G93" s="533"/>
    </row>
    <row r="94" spans="1:8" ht="15" hidden="1">
      <c r="A94" s="529" t="s">
        <v>460</v>
      </c>
      <c r="B94" s="530" t="s">
        <v>387</v>
      </c>
      <c r="C94" s="531"/>
      <c r="D94" s="531" t="s">
        <v>401</v>
      </c>
      <c r="E94" s="532"/>
      <c r="F94" s="532"/>
      <c r="G94" s="533"/>
    </row>
    <row r="95" spans="1:8" ht="15" hidden="1">
      <c r="A95" s="529" t="s">
        <v>461</v>
      </c>
      <c r="B95" s="530" t="s">
        <v>387</v>
      </c>
      <c r="C95" s="531"/>
      <c r="D95" s="531">
        <v>35</v>
      </c>
      <c r="E95" s="532"/>
      <c r="F95" s="532"/>
      <c r="G95" s="533"/>
    </row>
    <row r="96" spans="1:8" ht="15" hidden="1">
      <c r="A96" s="529" t="s">
        <v>462</v>
      </c>
      <c r="B96" s="530" t="s">
        <v>387</v>
      </c>
      <c r="C96" s="531"/>
      <c r="D96" s="531">
        <v>110</v>
      </c>
      <c r="E96" s="532"/>
      <c r="F96" s="532"/>
      <c r="G96" s="533"/>
    </row>
    <row r="97" spans="1:8" ht="15">
      <c r="A97" s="529" t="s">
        <v>463</v>
      </c>
      <c r="B97" s="530" t="s">
        <v>389</v>
      </c>
      <c r="C97" s="531"/>
      <c r="D97" s="531">
        <v>0.4</v>
      </c>
      <c r="E97" s="532">
        <v>200</v>
      </c>
      <c r="F97" s="532">
        <v>252</v>
      </c>
      <c r="G97" s="533">
        <v>598.41999999999996</v>
      </c>
    </row>
    <row r="98" spans="1:8" ht="15">
      <c r="A98" s="529" t="s">
        <v>464</v>
      </c>
      <c r="B98" s="530" t="s">
        <v>389</v>
      </c>
      <c r="C98" s="531"/>
      <c r="D98" s="531" t="s">
        <v>401</v>
      </c>
      <c r="E98" s="532">
        <f>E163+E164</f>
        <v>538</v>
      </c>
      <c r="F98" s="532">
        <f>F163+F164</f>
        <v>178.5</v>
      </c>
      <c r="G98" s="533">
        <f>G163+G164</f>
        <v>1216.76</v>
      </c>
    </row>
    <row r="99" spans="1:8" ht="15" hidden="1">
      <c r="A99" s="529" t="s">
        <v>465</v>
      </c>
      <c r="B99" s="530" t="s">
        <v>389</v>
      </c>
      <c r="C99" s="531"/>
      <c r="D99" s="531">
        <v>35</v>
      </c>
      <c r="E99" s="532"/>
      <c r="F99" s="532"/>
      <c r="G99" s="533"/>
    </row>
    <row r="100" spans="1:8" ht="15" hidden="1">
      <c r="A100" s="529" t="s">
        <v>466</v>
      </c>
      <c r="B100" s="530" t="s">
        <v>389</v>
      </c>
      <c r="C100" s="531"/>
      <c r="D100" s="531">
        <v>110</v>
      </c>
      <c r="E100" s="532"/>
      <c r="F100" s="532"/>
      <c r="G100" s="533"/>
    </row>
    <row r="101" spans="1:8" ht="15.75" thickBot="1">
      <c r="A101" s="539" t="s">
        <v>467</v>
      </c>
      <c r="B101" s="540" t="s">
        <v>392</v>
      </c>
      <c r="C101" s="541"/>
      <c r="D101" s="541" t="s">
        <v>401</v>
      </c>
      <c r="E101" s="542">
        <f>E166+E168</f>
        <v>5515</v>
      </c>
      <c r="F101" s="542">
        <f>F166+F168</f>
        <v>2094.6671999999999</v>
      </c>
      <c r="G101" s="543">
        <f>G166+G168</f>
        <v>12479.83</v>
      </c>
    </row>
    <row r="102" spans="1:8" s="518" customFormat="1" ht="15">
      <c r="A102" s="512" t="s">
        <v>173</v>
      </c>
      <c r="B102" s="513" t="s">
        <v>468</v>
      </c>
      <c r="C102" s="514" t="s">
        <v>380</v>
      </c>
      <c r="D102" s="514" t="s">
        <v>380</v>
      </c>
      <c r="E102" s="515" t="s">
        <v>380</v>
      </c>
      <c r="F102" s="515" t="s">
        <v>380</v>
      </c>
      <c r="G102" s="516" t="s">
        <v>380</v>
      </c>
      <c r="H102" s="503"/>
    </row>
    <row r="103" spans="1:8" s="518" customFormat="1" ht="15">
      <c r="A103" s="519" t="s">
        <v>174</v>
      </c>
      <c r="B103" s="520" t="s">
        <v>416</v>
      </c>
      <c r="C103" s="521" t="s">
        <v>380</v>
      </c>
      <c r="D103" s="521" t="s">
        <v>380</v>
      </c>
      <c r="E103" s="522" t="s">
        <v>380</v>
      </c>
      <c r="F103" s="522" t="s">
        <v>380</v>
      </c>
      <c r="G103" s="523" t="s">
        <v>380</v>
      </c>
      <c r="H103" s="503"/>
    </row>
    <row r="104" spans="1:8" s="518" customFormat="1" ht="15">
      <c r="A104" s="519" t="s">
        <v>175</v>
      </c>
      <c r="B104" s="520" t="s">
        <v>417</v>
      </c>
      <c r="C104" s="521" t="s">
        <v>380</v>
      </c>
      <c r="D104" s="521" t="s">
        <v>380</v>
      </c>
      <c r="E104" s="522" t="s">
        <v>380</v>
      </c>
      <c r="F104" s="522" t="s">
        <v>380</v>
      </c>
      <c r="G104" s="523" t="s">
        <v>380</v>
      </c>
      <c r="H104" s="503"/>
    </row>
    <row r="105" spans="1:8" ht="15" hidden="1">
      <c r="A105" s="529" t="s">
        <v>469</v>
      </c>
      <c r="B105" s="530" t="s">
        <v>399</v>
      </c>
      <c r="C105" s="531"/>
      <c r="D105" s="531" t="s">
        <v>401</v>
      </c>
      <c r="E105" s="532"/>
      <c r="F105" s="532"/>
      <c r="G105" s="533"/>
    </row>
    <row r="106" spans="1:8" ht="15" hidden="1">
      <c r="A106" s="529" t="s">
        <v>470</v>
      </c>
      <c r="B106" s="530" t="s">
        <v>399</v>
      </c>
      <c r="C106" s="531"/>
      <c r="D106" s="531">
        <v>35</v>
      </c>
      <c r="E106" s="532"/>
      <c r="F106" s="532"/>
      <c r="G106" s="533"/>
    </row>
    <row r="107" spans="1:8" ht="15" hidden="1">
      <c r="A107" s="529" t="s">
        <v>471</v>
      </c>
      <c r="B107" s="530" t="s">
        <v>399</v>
      </c>
      <c r="C107" s="531"/>
      <c r="D107" s="531">
        <v>110</v>
      </c>
      <c r="E107" s="532"/>
      <c r="F107" s="532"/>
      <c r="G107" s="533"/>
    </row>
    <row r="108" spans="1:8" ht="15" hidden="1">
      <c r="A108" s="529" t="s">
        <v>472</v>
      </c>
      <c r="B108" s="530" t="s">
        <v>387</v>
      </c>
      <c r="C108" s="531"/>
      <c r="D108" s="531" t="s">
        <v>401</v>
      </c>
      <c r="E108" s="532"/>
      <c r="F108" s="532"/>
      <c r="G108" s="533"/>
    </row>
    <row r="109" spans="1:8" ht="15" hidden="1">
      <c r="A109" s="529" t="s">
        <v>473</v>
      </c>
      <c r="B109" s="530" t="s">
        <v>387</v>
      </c>
      <c r="C109" s="531"/>
      <c r="D109" s="531">
        <v>35</v>
      </c>
      <c r="E109" s="532"/>
      <c r="F109" s="532"/>
      <c r="G109" s="533"/>
    </row>
    <row r="110" spans="1:8" ht="15" hidden="1">
      <c r="A110" s="529" t="s">
        <v>474</v>
      </c>
      <c r="B110" s="530" t="s">
        <v>387</v>
      </c>
      <c r="C110" s="531"/>
      <c r="D110" s="531">
        <v>110</v>
      </c>
      <c r="E110" s="532"/>
      <c r="F110" s="532"/>
      <c r="G110" s="533"/>
    </row>
    <row r="111" spans="1:8" ht="15" hidden="1">
      <c r="A111" s="529" t="s">
        <v>475</v>
      </c>
      <c r="B111" s="530" t="s">
        <v>389</v>
      </c>
      <c r="C111" s="531"/>
      <c r="D111" s="531" t="s">
        <v>401</v>
      </c>
      <c r="E111" s="532"/>
      <c r="F111" s="532"/>
      <c r="G111" s="533"/>
    </row>
    <row r="112" spans="1:8" ht="15">
      <c r="A112" s="529" t="s">
        <v>476</v>
      </c>
      <c r="B112" s="530" t="s">
        <v>389</v>
      </c>
      <c r="C112" s="531"/>
      <c r="D112" s="531">
        <v>35</v>
      </c>
      <c r="E112" s="532"/>
      <c r="F112" s="532"/>
      <c r="G112" s="533"/>
    </row>
    <row r="113" spans="1:8" ht="15">
      <c r="A113" s="529" t="s">
        <v>477</v>
      </c>
      <c r="B113" s="530" t="s">
        <v>392</v>
      </c>
      <c r="C113" s="531"/>
      <c r="D113" s="531" t="s">
        <v>401</v>
      </c>
      <c r="E113" s="532">
        <f>E162</f>
        <v>4506</v>
      </c>
      <c r="F113" s="627">
        <f>F162</f>
        <v>400</v>
      </c>
      <c r="G113" s="533">
        <f>G162</f>
        <v>17875.919999999998</v>
      </c>
    </row>
    <row r="114" spans="1:8" ht="15.75" thickBot="1">
      <c r="A114" s="539" t="s">
        <v>478</v>
      </c>
      <c r="B114" s="540" t="s">
        <v>479</v>
      </c>
      <c r="C114" s="541"/>
      <c r="D114" s="541">
        <v>110</v>
      </c>
      <c r="E114" s="542">
        <f>E161</f>
        <v>657</v>
      </c>
      <c r="F114" s="542">
        <f>F161</f>
        <v>11997</v>
      </c>
      <c r="G114" s="543">
        <f>G161</f>
        <v>55490.695</v>
      </c>
    </row>
    <row r="115" spans="1:8" s="518" customFormat="1" ht="15">
      <c r="A115" s="512" t="s">
        <v>176</v>
      </c>
      <c r="B115" s="513" t="s">
        <v>429</v>
      </c>
      <c r="C115" s="514" t="s">
        <v>380</v>
      </c>
      <c r="D115" s="514" t="s">
        <v>380</v>
      </c>
      <c r="E115" s="515" t="s">
        <v>380</v>
      </c>
      <c r="F115" s="515" t="s">
        <v>380</v>
      </c>
      <c r="G115" s="516" t="s">
        <v>380</v>
      </c>
      <c r="H115" s="503"/>
    </row>
    <row r="116" spans="1:8" ht="15" hidden="1">
      <c r="A116" s="529" t="s">
        <v>480</v>
      </c>
      <c r="B116" s="530" t="s">
        <v>399</v>
      </c>
      <c r="C116" s="531"/>
      <c r="D116" s="531" t="s">
        <v>401</v>
      </c>
      <c r="E116" s="532"/>
      <c r="F116" s="532"/>
      <c r="G116" s="533"/>
    </row>
    <row r="117" spans="1:8" ht="15" hidden="1">
      <c r="A117" s="529" t="s">
        <v>481</v>
      </c>
      <c r="B117" s="530" t="s">
        <v>399</v>
      </c>
      <c r="C117" s="531"/>
      <c r="D117" s="531">
        <v>35</v>
      </c>
      <c r="E117" s="532"/>
      <c r="F117" s="532"/>
      <c r="G117" s="533"/>
    </row>
    <row r="118" spans="1:8" ht="15" hidden="1">
      <c r="A118" s="529" t="s">
        <v>482</v>
      </c>
      <c r="B118" s="530" t="s">
        <v>399</v>
      </c>
      <c r="C118" s="531"/>
      <c r="D118" s="531">
        <v>110</v>
      </c>
      <c r="E118" s="532"/>
      <c r="F118" s="532"/>
      <c r="G118" s="533"/>
    </row>
    <row r="119" spans="1:8" ht="15" hidden="1">
      <c r="A119" s="529" t="s">
        <v>483</v>
      </c>
      <c r="B119" s="530" t="s">
        <v>387</v>
      </c>
      <c r="C119" s="531"/>
      <c r="D119" s="531" t="s">
        <v>401</v>
      </c>
      <c r="E119" s="532"/>
      <c r="F119" s="532"/>
      <c r="G119" s="533"/>
    </row>
    <row r="120" spans="1:8" ht="15" hidden="1">
      <c r="A120" s="529" t="s">
        <v>484</v>
      </c>
      <c r="B120" s="530" t="s">
        <v>387</v>
      </c>
      <c r="C120" s="531"/>
      <c r="D120" s="531">
        <v>35</v>
      </c>
      <c r="E120" s="532"/>
      <c r="F120" s="532"/>
      <c r="G120" s="533"/>
    </row>
    <row r="121" spans="1:8" ht="15" hidden="1">
      <c r="A121" s="529" t="s">
        <v>485</v>
      </c>
      <c r="B121" s="530" t="s">
        <v>387</v>
      </c>
      <c r="C121" s="531"/>
      <c r="D121" s="531">
        <v>110</v>
      </c>
      <c r="E121" s="532"/>
      <c r="F121" s="532"/>
      <c r="G121" s="533"/>
    </row>
    <row r="122" spans="1:8" ht="15" hidden="1">
      <c r="A122" s="529" t="s">
        <v>486</v>
      </c>
      <c r="B122" s="530" t="s">
        <v>389</v>
      </c>
      <c r="C122" s="531"/>
      <c r="D122" s="531" t="s">
        <v>401</v>
      </c>
      <c r="E122" s="532"/>
      <c r="F122" s="532"/>
      <c r="G122" s="533"/>
    </row>
    <row r="123" spans="1:8" ht="15" hidden="1">
      <c r="A123" s="529" t="s">
        <v>487</v>
      </c>
      <c r="B123" s="530" t="s">
        <v>389</v>
      </c>
      <c r="C123" s="531"/>
      <c r="D123" s="531">
        <v>35</v>
      </c>
      <c r="E123" s="532"/>
      <c r="F123" s="532"/>
      <c r="G123" s="533"/>
    </row>
    <row r="124" spans="1:8" ht="15" hidden="1">
      <c r="A124" s="529" t="s">
        <v>488</v>
      </c>
      <c r="B124" s="530" t="s">
        <v>389</v>
      </c>
      <c r="C124" s="531"/>
      <c r="D124" s="531">
        <v>110</v>
      </c>
      <c r="E124" s="532"/>
      <c r="F124" s="532"/>
      <c r="G124" s="533"/>
    </row>
    <row r="125" spans="1:8" ht="15.75" thickBot="1">
      <c r="A125" s="539" t="s">
        <v>489</v>
      </c>
      <c r="B125" s="540" t="s">
        <v>392</v>
      </c>
      <c r="C125" s="541"/>
      <c r="D125" s="541">
        <v>110</v>
      </c>
      <c r="E125" s="542"/>
      <c r="F125" s="542"/>
      <c r="G125" s="543"/>
    </row>
    <row r="126" spans="1:8" s="518" customFormat="1" ht="15">
      <c r="A126" s="519" t="s">
        <v>177</v>
      </c>
      <c r="B126" s="520" t="s">
        <v>440</v>
      </c>
      <c r="C126" s="521" t="s">
        <v>380</v>
      </c>
      <c r="D126" s="521" t="s">
        <v>380</v>
      </c>
      <c r="E126" s="522" t="s">
        <v>380</v>
      </c>
      <c r="F126" s="522" t="s">
        <v>380</v>
      </c>
      <c r="G126" s="523" t="s">
        <v>380</v>
      </c>
      <c r="H126" s="503"/>
    </row>
    <row r="127" spans="1:8" s="518" customFormat="1" ht="15">
      <c r="A127" s="519" t="s">
        <v>178</v>
      </c>
      <c r="B127" s="520" t="s">
        <v>417</v>
      </c>
      <c r="C127" s="521" t="s">
        <v>380</v>
      </c>
      <c r="D127" s="521" t="s">
        <v>380</v>
      </c>
      <c r="E127" s="522" t="s">
        <v>380</v>
      </c>
      <c r="F127" s="522" t="s">
        <v>380</v>
      </c>
      <c r="G127" s="523" t="s">
        <v>380</v>
      </c>
      <c r="H127" s="503"/>
    </row>
    <row r="128" spans="1:8" ht="15" hidden="1">
      <c r="A128" s="529" t="s">
        <v>490</v>
      </c>
      <c r="B128" s="530" t="s">
        <v>399</v>
      </c>
      <c r="C128" s="531"/>
      <c r="D128" s="531" t="s">
        <v>401</v>
      </c>
      <c r="E128" s="532"/>
      <c r="F128" s="532"/>
      <c r="G128" s="533"/>
    </row>
    <row r="129" spans="1:8" ht="15" hidden="1">
      <c r="A129" s="529" t="s">
        <v>491</v>
      </c>
      <c r="B129" s="530" t="s">
        <v>399</v>
      </c>
      <c r="C129" s="531"/>
      <c r="D129" s="531">
        <v>35</v>
      </c>
      <c r="E129" s="532"/>
      <c r="F129" s="532"/>
      <c r="G129" s="533"/>
    </row>
    <row r="130" spans="1:8" ht="15" hidden="1">
      <c r="A130" s="529" t="s">
        <v>492</v>
      </c>
      <c r="B130" s="530" t="s">
        <v>399</v>
      </c>
      <c r="C130" s="531"/>
      <c r="D130" s="531">
        <v>110</v>
      </c>
      <c r="E130" s="532"/>
      <c r="F130" s="532"/>
      <c r="G130" s="533"/>
    </row>
    <row r="131" spans="1:8" ht="15" hidden="1">
      <c r="A131" s="529" t="s">
        <v>493</v>
      </c>
      <c r="B131" s="530" t="s">
        <v>387</v>
      </c>
      <c r="C131" s="531"/>
      <c r="D131" s="531" t="s">
        <v>401</v>
      </c>
      <c r="E131" s="532"/>
      <c r="F131" s="532"/>
      <c r="G131" s="533"/>
    </row>
    <row r="132" spans="1:8" ht="15" hidden="1">
      <c r="A132" s="529" t="s">
        <v>494</v>
      </c>
      <c r="B132" s="530" t="s">
        <v>387</v>
      </c>
      <c r="C132" s="531"/>
      <c r="D132" s="531">
        <v>35</v>
      </c>
      <c r="E132" s="532"/>
      <c r="F132" s="532"/>
      <c r="G132" s="533"/>
    </row>
    <row r="133" spans="1:8" ht="15" hidden="1">
      <c r="A133" s="529" t="s">
        <v>495</v>
      </c>
      <c r="B133" s="530" t="s">
        <v>387</v>
      </c>
      <c r="C133" s="531"/>
      <c r="D133" s="531">
        <v>110</v>
      </c>
      <c r="E133" s="532"/>
      <c r="F133" s="532"/>
      <c r="G133" s="533"/>
    </row>
    <row r="134" spans="1:8" ht="15" hidden="1">
      <c r="A134" s="529" t="s">
        <v>496</v>
      </c>
      <c r="B134" s="530" t="s">
        <v>389</v>
      </c>
      <c r="C134" s="531"/>
      <c r="D134" s="531" t="s">
        <v>401</v>
      </c>
      <c r="E134" s="532"/>
      <c r="F134" s="532"/>
      <c r="G134" s="533"/>
    </row>
    <row r="135" spans="1:8" ht="15" hidden="1">
      <c r="A135" s="529" t="s">
        <v>497</v>
      </c>
      <c r="B135" s="530" t="s">
        <v>389</v>
      </c>
      <c r="C135" s="531"/>
      <c r="D135" s="531">
        <v>35</v>
      </c>
      <c r="E135" s="532"/>
      <c r="F135" s="532"/>
      <c r="G135" s="533"/>
    </row>
    <row r="136" spans="1:8" ht="15" hidden="1">
      <c r="A136" s="529" t="s">
        <v>498</v>
      </c>
      <c r="B136" s="530" t="s">
        <v>389</v>
      </c>
      <c r="C136" s="531"/>
      <c r="D136" s="531">
        <v>110</v>
      </c>
      <c r="E136" s="532"/>
      <c r="F136" s="532"/>
      <c r="G136" s="533"/>
    </row>
    <row r="137" spans="1:8" ht="15.75" thickBot="1">
      <c r="A137" s="539" t="s">
        <v>499</v>
      </c>
      <c r="B137" s="540" t="s">
        <v>392</v>
      </c>
      <c r="C137" s="541"/>
      <c r="D137" s="541">
        <v>110</v>
      </c>
      <c r="E137" s="542"/>
      <c r="F137" s="542"/>
      <c r="G137" s="543"/>
    </row>
    <row r="138" spans="1:8" s="518" customFormat="1" ht="15">
      <c r="A138" s="512" t="s">
        <v>179</v>
      </c>
      <c r="B138" s="513" t="s">
        <v>429</v>
      </c>
      <c r="C138" s="514" t="s">
        <v>380</v>
      </c>
      <c r="D138" s="514" t="s">
        <v>380</v>
      </c>
      <c r="E138" s="515" t="s">
        <v>380</v>
      </c>
      <c r="F138" s="515" t="s">
        <v>380</v>
      </c>
      <c r="G138" s="516" t="s">
        <v>380</v>
      </c>
      <c r="H138" s="503"/>
    </row>
    <row r="139" spans="1:8" ht="15" hidden="1">
      <c r="A139" s="529" t="s">
        <v>500</v>
      </c>
      <c r="B139" s="530" t="s">
        <v>399</v>
      </c>
      <c r="C139" s="531"/>
      <c r="D139" s="531" t="s">
        <v>401</v>
      </c>
      <c r="E139" s="532"/>
      <c r="F139" s="532"/>
      <c r="G139" s="533"/>
    </row>
    <row r="140" spans="1:8" ht="15" hidden="1">
      <c r="A140" s="529" t="s">
        <v>501</v>
      </c>
      <c r="B140" s="530" t="s">
        <v>399</v>
      </c>
      <c r="C140" s="531"/>
      <c r="D140" s="531">
        <v>35</v>
      </c>
      <c r="E140" s="532"/>
      <c r="F140" s="532"/>
      <c r="G140" s="533"/>
    </row>
    <row r="141" spans="1:8" ht="15" hidden="1">
      <c r="A141" s="529" t="s">
        <v>502</v>
      </c>
      <c r="B141" s="530" t="s">
        <v>399</v>
      </c>
      <c r="C141" s="531"/>
      <c r="D141" s="531">
        <v>110</v>
      </c>
      <c r="E141" s="532"/>
      <c r="F141" s="532"/>
      <c r="G141" s="533"/>
    </row>
    <row r="142" spans="1:8" ht="15" hidden="1">
      <c r="A142" s="529" t="s">
        <v>503</v>
      </c>
      <c r="B142" s="530" t="s">
        <v>387</v>
      </c>
      <c r="C142" s="531"/>
      <c r="D142" s="531" t="s">
        <v>401</v>
      </c>
      <c r="E142" s="532"/>
      <c r="F142" s="532"/>
      <c r="G142" s="533"/>
    </row>
    <row r="143" spans="1:8" ht="15" hidden="1">
      <c r="A143" s="529" t="s">
        <v>504</v>
      </c>
      <c r="B143" s="530" t="s">
        <v>387</v>
      </c>
      <c r="C143" s="531"/>
      <c r="D143" s="531">
        <v>35</v>
      </c>
      <c r="E143" s="532"/>
      <c r="F143" s="532"/>
      <c r="G143" s="533"/>
    </row>
    <row r="144" spans="1:8" ht="15" hidden="1">
      <c r="A144" s="529" t="s">
        <v>505</v>
      </c>
      <c r="B144" s="530" t="s">
        <v>387</v>
      </c>
      <c r="C144" s="531"/>
      <c r="D144" s="531">
        <v>110</v>
      </c>
      <c r="E144" s="532"/>
      <c r="F144" s="532"/>
      <c r="G144" s="533"/>
    </row>
    <row r="145" spans="1:9" ht="15" hidden="1">
      <c r="A145" s="529" t="s">
        <v>506</v>
      </c>
      <c r="B145" s="530" t="s">
        <v>389</v>
      </c>
      <c r="C145" s="531"/>
      <c r="D145" s="531" t="s">
        <v>401</v>
      </c>
      <c r="E145" s="532"/>
      <c r="F145" s="532"/>
      <c r="G145" s="533"/>
    </row>
    <row r="146" spans="1:9" ht="15" hidden="1">
      <c r="A146" s="529" t="s">
        <v>507</v>
      </c>
      <c r="B146" s="530" t="s">
        <v>389</v>
      </c>
      <c r="C146" s="531"/>
      <c r="D146" s="531">
        <v>35</v>
      </c>
      <c r="E146" s="532"/>
      <c r="F146" s="532"/>
      <c r="G146" s="533"/>
    </row>
    <row r="147" spans="1:9" ht="15" hidden="1">
      <c r="A147" s="529" t="s">
        <v>508</v>
      </c>
      <c r="B147" s="530" t="s">
        <v>389</v>
      </c>
      <c r="C147" s="531"/>
      <c r="D147" s="531">
        <v>110</v>
      </c>
      <c r="E147" s="532"/>
      <c r="F147" s="532"/>
      <c r="G147" s="533"/>
    </row>
    <row r="148" spans="1:9" ht="15.75" thickBot="1">
      <c r="A148" s="539" t="s">
        <v>509</v>
      </c>
      <c r="B148" s="540" t="s">
        <v>392</v>
      </c>
      <c r="C148" s="541"/>
      <c r="D148" s="541">
        <v>110</v>
      </c>
      <c r="E148" s="542"/>
      <c r="F148" s="542"/>
      <c r="G148" s="543"/>
    </row>
    <row r="149" spans="1:9" s="518" customFormat="1" ht="30">
      <c r="A149" s="512" t="s">
        <v>180</v>
      </c>
      <c r="B149" s="513" t="s">
        <v>510</v>
      </c>
      <c r="C149" s="514" t="s">
        <v>380</v>
      </c>
      <c r="D149" s="514" t="s">
        <v>380</v>
      </c>
      <c r="E149" s="515" t="s">
        <v>380</v>
      </c>
      <c r="F149" s="515" t="s">
        <v>380</v>
      </c>
      <c r="G149" s="516" t="s">
        <v>380</v>
      </c>
      <c r="H149" s="503"/>
    </row>
    <row r="150" spans="1:9" s="518" customFormat="1" ht="15">
      <c r="A150" s="519" t="s">
        <v>181</v>
      </c>
      <c r="B150" s="520" t="s">
        <v>440</v>
      </c>
      <c r="C150" s="521" t="s">
        <v>380</v>
      </c>
      <c r="D150" s="521" t="s">
        <v>380</v>
      </c>
      <c r="E150" s="522" t="s">
        <v>380</v>
      </c>
      <c r="F150" s="522" t="s">
        <v>380</v>
      </c>
      <c r="G150" s="523" t="s">
        <v>380</v>
      </c>
      <c r="H150" s="503"/>
    </row>
    <row r="151" spans="1:9" s="518" customFormat="1" ht="15">
      <c r="A151" s="519" t="s">
        <v>511</v>
      </c>
      <c r="B151" s="520" t="s">
        <v>417</v>
      </c>
      <c r="C151" s="521" t="s">
        <v>380</v>
      </c>
      <c r="D151" s="521" t="s">
        <v>380</v>
      </c>
      <c r="E151" s="522" t="s">
        <v>380</v>
      </c>
      <c r="F151" s="522" t="s">
        <v>380</v>
      </c>
      <c r="G151" s="523" t="s">
        <v>380</v>
      </c>
      <c r="H151" s="503"/>
    </row>
    <row r="152" spans="1:9" ht="15" hidden="1">
      <c r="A152" s="529" t="s">
        <v>512</v>
      </c>
      <c r="B152" s="530" t="s">
        <v>392</v>
      </c>
      <c r="C152" s="531"/>
      <c r="D152" s="531" t="s">
        <v>401</v>
      </c>
      <c r="E152" s="532"/>
      <c r="F152" s="532"/>
      <c r="G152" s="533"/>
    </row>
    <row r="153" spans="1:9" ht="15" hidden="1">
      <c r="A153" s="529" t="s">
        <v>513</v>
      </c>
      <c r="B153" s="530" t="s">
        <v>392</v>
      </c>
      <c r="C153" s="531"/>
      <c r="D153" s="531">
        <v>35</v>
      </c>
      <c r="E153" s="532"/>
      <c r="F153" s="532"/>
      <c r="G153" s="533"/>
    </row>
    <row r="154" spans="1:9" ht="15" hidden="1">
      <c r="A154" s="529" t="s">
        <v>514</v>
      </c>
      <c r="B154" s="530" t="s">
        <v>392</v>
      </c>
      <c r="C154" s="531"/>
      <c r="D154" s="531">
        <v>110</v>
      </c>
      <c r="E154" s="532"/>
      <c r="F154" s="532"/>
      <c r="G154" s="533"/>
    </row>
    <row r="155" spans="1:9" s="518" customFormat="1" ht="15">
      <c r="A155" s="519" t="s">
        <v>515</v>
      </c>
      <c r="B155" s="520" t="s">
        <v>429</v>
      </c>
      <c r="C155" s="521" t="s">
        <v>380</v>
      </c>
      <c r="D155" s="521" t="s">
        <v>380</v>
      </c>
      <c r="E155" s="522" t="s">
        <v>380</v>
      </c>
      <c r="F155" s="522" t="s">
        <v>380</v>
      </c>
      <c r="G155" s="523" t="s">
        <v>380</v>
      </c>
      <c r="H155" s="503"/>
    </row>
    <row r="156" spans="1:9" ht="15">
      <c r="A156" s="529" t="s">
        <v>516</v>
      </c>
      <c r="B156" s="530" t="s">
        <v>392</v>
      </c>
      <c r="C156" s="531"/>
      <c r="D156" s="531" t="s">
        <v>401</v>
      </c>
      <c r="E156" s="532">
        <f>E167</f>
        <v>260</v>
      </c>
      <c r="F156" s="532">
        <f>F167</f>
        <v>223.37047999999999</v>
      </c>
      <c r="G156" s="533">
        <f>G167</f>
        <v>1735.79</v>
      </c>
    </row>
    <row r="157" spans="1:9" ht="15">
      <c r="A157" s="529" t="s">
        <v>517</v>
      </c>
      <c r="B157" s="530" t="s">
        <v>392</v>
      </c>
      <c r="C157" s="531"/>
      <c r="D157" s="531">
        <v>35</v>
      </c>
      <c r="E157" s="532"/>
      <c r="F157" s="532"/>
      <c r="G157" s="533"/>
    </row>
    <row r="158" spans="1:9" ht="15.75" thickBot="1">
      <c r="A158" s="529" t="s">
        <v>518</v>
      </c>
      <c r="B158" s="530" t="s">
        <v>392</v>
      </c>
      <c r="C158" s="531"/>
      <c r="D158" s="531">
        <v>110</v>
      </c>
      <c r="E158" s="532"/>
      <c r="F158" s="532"/>
      <c r="G158" s="533"/>
    </row>
    <row r="159" spans="1:9" s="518" customFormat="1" ht="15.75" thickBot="1">
      <c r="A159" s="544" t="s">
        <v>182</v>
      </c>
      <c r="B159" s="545" t="s">
        <v>604</v>
      </c>
      <c r="C159" s="546"/>
      <c r="D159" s="546"/>
      <c r="E159" s="547"/>
      <c r="F159" s="547"/>
      <c r="G159" s="548"/>
      <c r="H159" s="503"/>
      <c r="I159" s="586"/>
    </row>
    <row r="160" spans="1:9" ht="15">
      <c r="A160" s="529" t="s">
        <v>183</v>
      </c>
      <c r="B160" s="530" t="s">
        <v>622</v>
      </c>
      <c r="C160" s="531"/>
      <c r="D160" s="531">
        <v>0.4</v>
      </c>
      <c r="E160" s="532">
        <v>200</v>
      </c>
      <c r="F160" s="532">
        <v>252</v>
      </c>
      <c r="G160" s="533">
        <v>598.41999999999996</v>
      </c>
      <c r="I160" s="587"/>
    </row>
    <row r="161" spans="1:9" ht="30">
      <c r="A161" s="529" t="s">
        <v>184</v>
      </c>
      <c r="B161" s="530" t="s">
        <v>625</v>
      </c>
      <c r="C161" s="531">
        <v>2016</v>
      </c>
      <c r="D161" s="531">
        <v>110</v>
      </c>
      <c r="E161" s="532">
        <v>657</v>
      </c>
      <c r="F161" s="532">
        <v>11997</v>
      </c>
      <c r="G161" s="533">
        <v>55490.695</v>
      </c>
      <c r="I161" s="587"/>
    </row>
    <row r="162" spans="1:9" ht="15">
      <c r="A162" s="524" t="s">
        <v>624</v>
      </c>
      <c r="B162" s="525" t="s">
        <v>712</v>
      </c>
      <c r="C162" s="526">
        <v>2016</v>
      </c>
      <c r="D162" s="526">
        <v>10</v>
      </c>
      <c r="E162" s="527">
        <f>1398+2797+311</f>
        <v>4506</v>
      </c>
      <c r="F162" s="626">
        <v>400</v>
      </c>
      <c r="G162" s="528">
        <f>18711.81+433.34+6953.19-8222.42</f>
        <v>17875.919999999998</v>
      </c>
      <c r="I162" s="587"/>
    </row>
    <row r="163" spans="1:9" ht="30">
      <c r="A163" s="529" t="s">
        <v>185</v>
      </c>
      <c r="B163" s="525" t="s">
        <v>713</v>
      </c>
      <c r="C163" s="526">
        <v>2016</v>
      </c>
      <c r="D163" s="526">
        <v>6</v>
      </c>
      <c r="E163" s="527">
        <v>344</v>
      </c>
      <c r="F163" s="527">
        <f>257/2</f>
        <v>128.5</v>
      </c>
      <c r="G163" s="528">
        <f>223.54+630.29</f>
        <v>853.82999999999993</v>
      </c>
      <c r="I163" s="587"/>
    </row>
    <row r="164" spans="1:9" ht="60">
      <c r="A164" s="529" t="s">
        <v>628</v>
      </c>
      <c r="B164" s="525" t="s">
        <v>714</v>
      </c>
      <c r="C164" s="526"/>
      <c r="D164" s="526">
        <v>10</v>
      </c>
      <c r="E164" s="527">
        <v>194</v>
      </c>
      <c r="F164" s="527">
        <v>50</v>
      </c>
      <c r="G164" s="528">
        <v>362.93</v>
      </c>
      <c r="I164" s="587"/>
    </row>
    <row r="165" spans="1:9" ht="30">
      <c r="A165" s="524" t="s">
        <v>186</v>
      </c>
      <c r="B165" s="525" t="s">
        <v>715</v>
      </c>
      <c r="C165" s="526"/>
      <c r="D165" s="526">
        <v>6</v>
      </c>
      <c r="E165" s="527">
        <v>1907.2</v>
      </c>
      <c r="F165" s="527">
        <v>1000</v>
      </c>
      <c r="G165" s="528">
        <v>6043.49</v>
      </c>
      <c r="I165" s="587"/>
    </row>
    <row r="166" spans="1:9" ht="30">
      <c r="A166" s="529" t="s">
        <v>187</v>
      </c>
      <c r="B166" s="525" t="s">
        <v>716</v>
      </c>
      <c r="C166" s="526"/>
      <c r="D166" s="526">
        <v>6</v>
      </c>
      <c r="E166" s="527">
        <f>2979.5+1764</f>
        <v>4743.5</v>
      </c>
      <c r="F166" s="527">
        <f>(2000+3200+837.04)*0.18</f>
        <v>1086.6671999999999</v>
      </c>
      <c r="G166" s="528">
        <f>5031.69+5148.17-1735.79</f>
        <v>8444.07</v>
      </c>
      <c r="I166" s="587"/>
    </row>
    <row r="167" spans="1:9" ht="45">
      <c r="A167" s="529" t="s">
        <v>188</v>
      </c>
      <c r="B167" s="525" t="s">
        <v>717</v>
      </c>
      <c r="C167" s="526"/>
      <c r="D167" s="526">
        <v>6</v>
      </c>
      <c r="E167" s="527">
        <v>260</v>
      </c>
      <c r="F167" s="527">
        <f>(2000+3200+837.04)*0.037</f>
        <v>223.37047999999999</v>
      </c>
      <c r="G167" s="528">
        <v>1735.79</v>
      </c>
      <c r="I167" s="587"/>
    </row>
    <row r="168" spans="1:9" ht="30">
      <c r="A168" s="524" t="s">
        <v>189</v>
      </c>
      <c r="B168" s="525" t="s">
        <v>718</v>
      </c>
      <c r="C168" s="526"/>
      <c r="D168" s="526">
        <v>6</v>
      </c>
      <c r="E168" s="527">
        <v>771.5</v>
      </c>
      <c r="F168" s="527">
        <v>1008</v>
      </c>
      <c r="G168" s="528">
        <v>4035.76</v>
      </c>
      <c r="I168" s="587"/>
    </row>
    <row r="169" spans="1:9" ht="15.75" thickBot="1">
      <c r="A169" s="529" t="s">
        <v>190</v>
      </c>
      <c r="B169" s="525"/>
      <c r="C169" s="526"/>
      <c r="D169" s="526"/>
      <c r="E169" s="527"/>
      <c r="F169" s="527"/>
      <c r="G169" s="528"/>
      <c r="I169" s="587"/>
    </row>
    <row r="170" spans="1:9" s="518" customFormat="1" ht="15.75" thickBot="1">
      <c r="A170" s="589" t="s">
        <v>191</v>
      </c>
      <c r="B170" s="590" t="s">
        <v>519</v>
      </c>
      <c r="C170" s="591" t="s">
        <v>380</v>
      </c>
      <c r="D170" s="591" t="s">
        <v>380</v>
      </c>
      <c r="E170" s="592" t="s">
        <v>380</v>
      </c>
      <c r="F170" s="592" t="s">
        <v>380</v>
      </c>
      <c r="G170" s="593" t="s">
        <v>380</v>
      </c>
      <c r="H170" s="503"/>
      <c r="I170" s="586"/>
    </row>
    <row r="171" spans="1:9" s="518" customFormat="1" ht="15">
      <c r="A171" s="558" t="s">
        <v>192</v>
      </c>
      <c r="B171" s="559" t="s">
        <v>520</v>
      </c>
      <c r="C171" s="560" t="s">
        <v>380</v>
      </c>
      <c r="D171" s="560" t="s">
        <v>380</v>
      </c>
      <c r="E171" s="561" t="s">
        <v>380</v>
      </c>
      <c r="F171" s="561" t="s">
        <v>380</v>
      </c>
      <c r="G171" s="562" t="s">
        <v>380</v>
      </c>
      <c r="H171" s="503"/>
      <c r="I171" s="586"/>
    </row>
    <row r="172" spans="1:9" ht="15">
      <c r="A172" s="524" t="s">
        <v>193</v>
      </c>
      <c r="B172" s="525" t="s">
        <v>521</v>
      </c>
      <c r="C172" s="526"/>
      <c r="D172" s="526" t="s">
        <v>401</v>
      </c>
      <c r="E172" s="527" t="s">
        <v>380</v>
      </c>
      <c r="F172" s="626"/>
      <c r="G172" s="528"/>
    </row>
    <row r="173" spans="1:9" ht="15.75" thickBot="1">
      <c r="A173" s="539" t="s">
        <v>194</v>
      </c>
      <c r="B173" s="540" t="s">
        <v>521</v>
      </c>
      <c r="C173" s="541"/>
      <c r="D173" s="541">
        <v>35</v>
      </c>
      <c r="E173" s="542" t="s">
        <v>380</v>
      </c>
      <c r="F173" s="628"/>
      <c r="G173" s="543"/>
    </row>
    <row r="174" spans="1:9" s="518" customFormat="1" ht="15">
      <c r="A174" s="568" t="s">
        <v>195</v>
      </c>
      <c r="B174" s="569" t="s">
        <v>522</v>
      </c>
      <c r="C174" s="570" t="s">
        <v>380</v>
      </c>
      <c r="D174" s="570" t="s">
        <v>380</v>
      </c>
      <c r="E174" s="571" t="s">
        <v>380</v>
      </c>
      <c r="F174" s="638" t="s">
        <v>380</v>
      </c>
      <c r="G174" s="572" t="s">
        <v>380</v>
      </c>
      <c r="H174" s="503"/>
    </row>
    <row r="175" spans="1:9" ht="15">
      <c r="A175" s="524" t="s">
        <v>196</v>
      </c>
      <c r="B175" s="525" t="s">
        <v>523</v>
      </c>
      <c r="C175" s="526"/>
      <c r="D175" s="526" t="s">
        <v>401</v>
      </c>
      <c r="E175" s="527" t="s">
        <v>380</v>
      </c>
      <c r="F175" s="626">
        <f>F178</f>
        <v>400</v>
      </c>
      <c r="G175" s="528">
        <f>G178</f>
        <v>8222.42</v>
      </c>
    </row>
    <row r="176" spans="1:9" ht="15.75" thickBot="1">
      <c r="A176" s="539" t="s">
        <v>197</v>
      </c>
      <c r="B176" s="540" t="s">
        <v>524</v>
      </c>
      <c r="C176" s="541"/>
      <c r="D176" s="541" t="s">
        <v>401</v>
      </c>
      <c r="E176" s="542" t="s">
        <v>380</v>
      </c>
      <c r="F176" s="628">
        <f>F179</f>
        <v>4570.03928</v>
      </c>
      <c r="G176" s="543">
        <f>G179</f>
        <v>35475.870000000003</v>
      </c>
    </row>
    <row r="177" spans="1:8" s="518" customFormat="1" ht="15.75" thickBot="1">
      <c r="A177" s="544" t="s">
        <v>631</v>
      </c>
      <c r="B177" s="545" t="s">
        <v>604</v>
      </c>
      <c r="C177" s="546"/>
      <c r="D177" s="546"/>
      <c r="E177" s="556" t="s">
        <v>380</v>
      </c>
      <c r="F177" s="629"/>
      <c r="G177" s="548"/>
      <c r="H177" s="503"/>
    </row>
    <row r="178" spans="1:8" ht="15">
      <c r="A178" s="529" t="s">
        <v>632</v>
      </c>
      <c r="B178" s="530" t="s">
        <v>719</v>
      </c>
      <c r="C178" s="531">
        <v>2016</v>
      </c>
      <c r="D178" s="531">
        <v>10</v>
      </c>
      <c r="E178" s="532" t="s">
        <v>380</v>
      </c>
      <c r="F178" s="627">
        <v>400</v>
      </c>
      <c r="G178" s="533">
        <v>8222.42</v>
      </c>
    </row>
    <row r="179" spans="1:8" ht="30">
      <c r="A179" s="529" t="s">
        <v>633</v>
      </c>
      <c r="B179" s="530" t="s">
        <v>720</v>
      </c>
      <c r="C179" s="531"/>
      <c r="D179" s="531">
        <v>6</v>
      </c>
      <c r="E179" s="532" t="s">
        <v>380</v>
      </c>
      <c r="F179" s="626">
        <f>(2000+3200+837.04)*0.757</f>
        <v>4570.03928</v>
      </c>
      <c r="G179" s="533">
        <f>1141.25+289.88+390.18+95.21+186.64+792.27+1130.44+31450</f>
        <v>35475.870000000003</v>
      </c>
    </row>
    <row r="180" spans="1:8" ht="15">
      <c r="A180" s="524" t="s">
        <v>634</v>
      </c>
      <c r="B180" s="525"/>
      <c r="C180" s="526"/>
      <c r="D180" s="526"/>
      <c r="E180" s="527" t="s">
        <v>380</v>
      </c>
      <c r="F180" s="527"/>
      <c r="G180" s="528"/>
    </row>
    <row r="181" spans="1:8" ht="15">
      <c r="A181" s="529" t="s">
        <v>635</v>
      </c>
      <c r="B181" s="525"/>
      <c r="C181" s="526"/>
      <c r="D181" s="526"/>
      <c r="E181" s="527" t="s">
        <v>380</v>
      </c>
      <c r="F181" s="527"/>
      <c r="G181" s="528"/>
    </row>
    <row r="182" spans="1:8" ht="15.75" thickBot="1">
      <c r="A182" s="529" t="s">
        <v>636</v>
      </c>
      <c r="B182" s="525"/>
      <c r="C182" s="526"/>
      <c r="D182" s="526"/>
      <c r="E182" s="527" t="s">
        <v>380</v>
      </c>
      <c r="F182" s="527"/>
      <c r="G182" s="528"/>
    </row>
    <row r="183" spans="1:8" s="518" customFormat="1" ht="45.75" thickBot="1">
      <c r="A183" s="589" t="s">
        <v>198</v>
      </c>
      <c r="B183" s="590" t="s">
        <v>525</v>
      </c>
      <c r="C183" s="591" t="s">
        <v>380</v>
      </c>
      <c r="D183" s="591" t="s">
        <v>380</v>
      </c>
      <c r="E183" s="592" t="s">
        <v>380</v>
      </c>
      <c r="F183" s="592" t="s">
        <v>380</v>
      </c>
      <c r="G183" s="593" t="s">
        <v>380</v>
      </c>
      <c r="H183" s="503"/>
    </row>
    <row r="184" spans="1:8" s="518" customFormat="1" ht="30.75" thickBot="1">
      <c r="A184" s="544" t="s">
        <v>199</v>
      </c>
      <c r="B184" s="554" t="s">
        <v>526</v>
      </c>
      <c r="C184" s="555" t="s">
        <v>380</v>
      </c>
      <c r="D184" s="555" t="s">
        <v>380</v>
      </c>
      <c r="E184" s="556" t="s">
        <v>380</v>
      </c>
      <c r="F184" s="556" t="s">
        <v>380</v>
      </c>
      <c r="G184" s="557" t="s">
        <v>380</v>
      </c>
      <c r="H184" s="503"/>
    </row>
    <row r="185" spans="1:8" s="518" customFormat="1" ht="15.75" thickBot="1">
      <c r="A185" s="544" t="s">
        <v>527</v>
      </c>
      <c r="B185" s="554" t="s">
        <v>528</v>
      </c>
      <c r="C185" s="555" t="s">
        <v>380</v>
      </c>
      <c r="D185" s="555" t="s">
        <v>380</v>
      </c>
      <c r="E185" s="556" t="s">
        <v>380</v>
      </c>
      <c r="F185" s="556" t="s">
        <v>380</v>
      </c>
      <c r="G185" s="557" t="s">
        <v>380</v>
      </c>
      <c r="H185" s="503"/>
    </row>
    <row r="186" spans="1:8" ht="15">
      <c r="A186" s="573" t="s">
        <v>529</v>
      </c>
      <c r="B186" s="574" t="s">
        <v>530</v>
      </c>
      <c r="C186" s="575"/>
      <c r="D186" s="575" t="s">
        <v>531</v>
      </c>
      <c r="E186" s="576" t="s">
        <v>380</v>
      </c>
      <c r="F186" s="576"/>
      <c r="G186" s="577"/>
    </row>
    <row r="187" spans="1:8" ht="15">
      <c r="A187" s="524" t="s">
        <v>532</v>
      </c>
      <c r="B187" s="525" t="s">
        <v>533</v>
      </c>
      <c r="C187" s="526"/>
      <c r="D187" s="526" t="s">
        <v>531</v>
      </c>
      <c r="E187" s="527" t="s">
        <v>380</v>
      </c>
      <c r="F187" s="527"/>
      <c r="G187" s="528"/>
    </row>
    <row r="188" spans="1:8" ht="15">
      <c r="A188" s="524" t="s">
        <v>534</v>
      </c>
      <c r="B188" s="525" t="s">
        <v>535</v>
      </c>
      <c r="C188" s="526"/>
      <c r="D188" s="526" t="s">
        <v>531</v>
      </c>
      <c r="E188" s="527" t="s">
        <v>380</v>
      </c>
      <c r="F188" s="527">
        <f>45+F204</f>
        <v>145</v>
      </c>
      <c r="G188" s="528">
        <f>1287.12+G204</f>
        <v>2008.11</v>
      </c>
    </row>
    <row r="189" spans="1:8" ht="15">
      <c r="A189" s="524" t="s">
        <v>536</v>
      </c>
      <c r="B189" s="525" t="s">
        <v>537</v>
      </c>
      <c r="C189" s="526"/>
      <c r="D189" s="526" t="s">
        <v>531</v>
      </c>
      <c r="E189" s="527" t="s">
        <v>380</v>
      </c>
      <c r="F189" s="527">
        <v>280</v>
      </c>
      <c r="G189" s="528">
        <v>2842.32</v>
      </c>
    </row>
    <row r="190" spans="1:8" ht="15">
      <c r="A190" s="524" t="s">
        <v>538</v>
      </c>
      <c r="B190" s="525" t="s">
        <v>539</v>
      </c>
      <c r="C190" s="526"/>
      <c r="D190" s="526" t="s">
        <v>531</v>
      </c>
      <c r="E190" s="527" t="s">
        <v>380</v>
      </c>
      <c r="F190" s="527">
        <f>F203</f>
        <v>300</v>
      </c>
      <c r="G190" s="528">
        <f>G203</f>
        <v>1917.5900000000001</v>
      </c>
    </row>
    <row r="191" spans="1:8" ht="15.75" thickBot="1">
      <c r="A191" s="524" t="s">
        <v>540</v>
      </c>
      <c r="B191" s="525" t="s">
        <v>541</v>
      </c>
      <c r="C191" s="526"/>
      <c r="D191" s="526" t="s">
        <v>531</v>
      </c>
      <c r="E191" s="527" t="s">
        <v>380</v>
      </c>
      <c r="F191" s="527"/>
      <c r="G191" s="528"/>
    </row>
    <row r="192" spans="1:8" s="518" customFormat="1" ht="15.75" thickBot="1">
      <c r="A192" s="544" t="s">
        <v>542</v>
      </c>
      <c r="B192" s="554" t="s">
        <v>543</v>
      </c>
      <c r="C192" s="555" t="s">
        <v>380</v>
      </c>
      <c r="D192" s="555" t="s">
        <v>380</v>
      </c>
      <c r="E192" s="556" t="s">
        <v>380</v>
      </c>
      <c r="F192" s="556" t="s">
        <v>380</v>
      </c>
      <c r="G192" s="557" t="s">
        <v>380</v>
      </c>
      <c r="H192" s="503"/>
    </row>
    <row r="193" spans="1:8" ht="15">
      <c r="A193" s="573" t="s">
        <v>544</v>
      </c>
      <c r="B193" s="574" t="s">
        <v>530</v>
      </c>
      <c r="C193" s="575"/>
      <c r="D193" s="575" t="s">
        <v>531</v>
      </c>
      <c r="E193" s="576" t="s">
        <v>380</v>
      </c>
      <c r="F193" s="576"/>
      <c r="G193" s="577"/>
    </row>
    <row r="194" spans="1:8" ht="15">
      <c r="A194" s="524" t="s">
        <v>545</v>
      </c>
      <c r="B194" s="525" t="s">
        <v>533</v>
      </c>
      <c r="C194" s="526"/>
      <c r="D194" s="526" t="s">
        <v>531</v>
      </c>
      <c r="E194" s="527" t="s">
        <v>380</v>
      </c>
      <c r="F194" s="527"/>
      <c r="G194" s="528"/>
    </row>
    <row r="195" spans="1:8" ht="15">
      <c r="A195" s="524" t="s">
        <v>546</v>
      </c>
      <c r="B195" s="525" t="s">
        <v>535</v>
      </c>
      <c r="C195" s="526"/>
      <c r="D195" s="526" t="s">
        <v>531</v>
      </c>
      <c r="E195" s="527" t="s">
        <v>380</v>
      </c>
      <c r="F195" s="527">
        <f>F202</f>
        <v>150</v>
      </c>
      <c r="G195" s="528">
        <f>G202</f>
        <v>2161.81</v>
      </c>
    </row>
    <row r="196" spans="1:8" ht="15">
      <c r="A196" s="524" t="s">
        <v>547</v>
      </c>
      <c r="B196" s="525" t="s">
        <v>537</v>
      </c>
      <c r="C196" s="526"/>
      <c r="D196" s="526" t="s">
        <v>531</v>
      </c>
      <c r="E196" s="527" t="s">
        <v>380</v>
      </c>
      <c r="F196" s="527">
        <f>F201</f>
        <v>128.5</v>
      </c>
      <c r="G196" s="528">
        <f>G201</f>
        <v>2724.26</v>
      </c>
    </row>
    <row r="197" spans="1:8" ht="15">
      <c r="A197" s="524" t="s">
        <v>548</v>
      </c>
      <c r="B197" s="525" t="s">
        <v>539</v>
      </c>
      <c r="C197" s="526"/>
      <c r="D197" s="526" t="s">
        <v>531</v>
      </c>
      <c r="E197" s="527" t="s">
        <v>380</v>
      </c>
      <c r="F197" s="527"/>
      <c r="G197" s="528"/>
    </row>
    <row r="198" spans="1:8" ht="15.75" thickBot="1">
      <c r="A198" s="524" t="s">
        <v>549</v>
      </c>
      <c r="B198" s="525" t="s">
        <v>541</v>
      </c>
      <c r="C198" s="526"/>
      <c r="D198" s="526" t="s">
        <v>531</v>
      </c>
      <c r="E198" s="527" t="s">
        <v>380</v>
      </c>
      <c r="F198" s="527"/>
      <c r="G198" s="528"/>
    </row>
    <row r="199" spans="1:8" s="518" customFormat="1" ht="15.75" thickBot="1">
      <c r="A199" s="544" t="s">
        <v>637</v>
      </c>
      <c r="B199" s="545" t="s">
        <v>604</v>
      </c>
      <c r="C199" s="546"/>
      <c r="D199" s="546"/>
      <c r="E199" s="556" t="s">
        <v>380</v>
      </c>
      <c r="F199" s="547"/>
      <c r="G199" s="548"/>
      <c r="H199" s="503"/>
    </row>
    <row r="200" spans="1:8" ht="30">
      <c r="A200" s="529" t="s">
        <v>638</v>
      </c>
      <c r="B200" s="530" t="s">
        <v>639</v>
      </c>
      <c r="C200" s="531"/>
      <c r="D200" s="531" t="s">
        <v>531</v>
      </c>
      <c r="E200" s="532" t="s">
        <v>380</v>
      </c>
      <c r="F200" s="532">
        <v>325</v>
      </c>
      <c r="G200" s="533">
        <v>4129.4399999999996</v>
      </c>
    </row>
    <row r="201" spans="1:8" ht="30">
      <c r="A201" s="529" t="s">
        <v>640</v>
      </c>
      <c r="B201" s="530" t="s">
        <v>721</v>
      </c>
      <c r="C201" s="531"/>
      <c r="D201" s="531" t="s">
        <v>642</v>
      </c>
      <c r="E201" s="532" t="s">
        <v>380</v>
      </c>
      <c r="F201" s="527">
        <f>257/2</f>
        <v>128.5</v>
      </c>
      <c r="G201" s="533">
        <v>2724.26</v>
      </c>
    </row>
    <row r="202" spans="1:8" ht="60">
      <c r="A202" s="524" t="s">
        <v>643</v>
      </c>
      <c r="B202" s="525" t="s">
        <v>722</v>
      </c>
      <c r="C202" s="526"/>
      <c r="D202" s="526" t="s">
        <v>723</v>
      </c>
      <c r="E202" s="527" t="s">
        <v>380</v>
      </c>
      <c r="F202" s="527">
        <v>150</v>
      </c>
      <c r="G202" s="528">
        <f>2009.92+151.89</f>
        <v>2161.81</v>
      </c>
    </row>
    <row r="203" spans="1:8" ht="30">
      <c r="A203" s="529" t="s">
        <v>644</v>
      </c>
      <c r="B203" s="525" t="s">
        <v>724</v>
      </c>
      <c r="C203" s="526"/>
      <c r="D203" s="526" t="s">
        <v>642</v>
      </c>
      <c r="E203" s="527" t="s">
        <v>380</v>
      </c>
      <c r="F203" s="527">
        <v>300</v>
      </c>
      <c r="G203" s="528">
        <f>1553.8+162.14+201.65</f>
        <v>1917.5900000000001</v>
      </c>
    </row>
    <row r="204" spans="1:8" ht="15.75" thickBot="1">
      <c r="A204" s="529" t="s">
        <v>645</v>
      </c>
      <c r="B204" s="525" t="s">
        <v>725</v>
      </c>
      <c r="C204" s="526"/>
      <c r="D204" s="526" t="s">
        <v>642</v>
      </c>
      <c r="E204" s="527" t="s">
        <v>380</v>
      </c>
      <c r="F204" s="527">
        <f>200/2</f>
        <v>100</v>
      </c>
      <c r="G204" s="528">
        <f>1293.27-572.28</f>
        <v>720.99</v>
      </c>
    </row>
    <row r="205" spans="1:8" ht="15.75" hidden="1" thickBot="1">
      <c r="A205" s="524" t="s">
        <v>646</v>
      </c>
      <c r="B205" s="525"/>
      <c r="C205" s="526"/>
      <c r="D205" s="588"/>
      <c r="E205" s="527" t="s">
        <v>380</v>
      </c>
      <c r="F205" s="527"/>
      <c r="G205" s="528"/>
    </row>
    <row r="206" spans="1:8" ht="15.75" hidden="1" thickBot="1">
      <c r="A206" s="529" t="s">
        <v>647</v>
      </c>
      <c r="B206" s="525"/>
      <c r="C206" s="526"/>
      <c r="D206" s="526"/>
      <c r="E206" s="527" t="s">
        <v>380</v>
      </c>
      <c r="F206" s="527"/>
      <c r="G206" s="528"/>
    </row>
    <row r="207" spans="1:8" ht="15.75" hidden="1" thickBot="1">
      <c r="A207" s="529" t="s">
        <v>648</v>
      </c>
      <c r="B207" s="525"/>
      <c r="C207" s="526"/>
      <c r="D207" s="526"/>
      <c r="E207" s="527" t="s">
        <v>380</v>
      </c>
      <c r="F207" s="527"/>
      <c r="G207" s="528"/>
    </row>
    <row r="208" spans="1:8" ht="15.75" hidden="1" thickBot="1">
      <c r="A208" s="524" t="s">
        <v>649</v>
      </c>
      <c r="B208" s="525"/>
      <c r="C208" s="526"/>
      <c r="D208" s="526"/>
      <c r="E208" s="527" t="s">
        <v>380</v>
      </c>
      <c r="F208" s="527"/>
      <c r="G208" s="528"/>
    </row>
    <row r="209" spans="1:8" ht="15.75" hidden="1" thickBot="1">
      <c r="A209" s="529" t="s">
        <v>650</v>
      </c>
      <c r="B209" s="525"/>
      <c r="C209" s="526"/>
      <c r="D209" s="526"/>
      <c r="E209" s="527" t="s">
        <v>380</v>
      </c>
      <c r="F209" s="527"/>
      <c r="G209" s="528"/>
    </row>
    <row r="210" spans="1:8" ht="15.75" hidden="1" thickBot="1">
      <c r="A210" s="529" t="s">
        <v>651</v>
      </c>
      <c r="B210" s="525"/>
      <c r="C210" s="526"/>
      <c r="D210" s="526"/>
      <c r="E210" s="527" t="s">
        <v>380</v>
      </c>
      <c r="F210" s="527"/>
      <c r="G210" s="528"/>
    </row>
    <row r="211" spans="1:8" ht="15.75" hidden="1" thickBot="1">
      <c r="A211" s="524" t="s">
        <v>652</v>
      </c>
      <c r="B211" s="525"/>
      <c r="C211" s="526"/>
      <c r="D211" s="526"/>
      <c r="E211" s="527" t="s">
        <v>380</v>
      </c>
      <c r="F211" s="527"/>
      <c r="G211" s="528"/>
    </row>
    <row r="212" spans="1:8" ht="15.75" hidden="1" thickBot="1">
      <c r="A212" s="529" t="s">
        <v>653</v>
      </c>
      <c r="B212" s="525"/>
      <c r="C212" s="526"/>
      <c r="D212" s="526"/>
      <c r="E212" s="527" t="s">
        <v>380</v>
      </c>
      <c r="F212" s="527"/>
      <c r="G212" s="528"/>
    </row>
    <row r="213" spans="1:8" ht="15.75" hidden="1" thickBot="1">
      <c r="A213" s="529" t="s">
        <v>654</v>
      </c>
      <c r="B213" s="525"/>
      <c r="C213" s="526"/>
      <c r="D213" s="526"/>
      <c r="E213" s="527" t="s">
        <v>380</v>
      </c>
      <c r="F213" s="527"/>
      <c r="G213" s="528"/>
    </row>
    <row r="214" spans="1:8" ht="15.75" hidden="1" thickBot="1">
      <c r="A214" s="524" t="s">
        <v>655</v>
      </c>
      <c r="B214" s="525"/>
      <c r="C214" s="526"/>
      <c r="D214" s="526"/>
      <c r="E214" s="527" t="s">
        <v>380</v>
      </c>
      <c r="F214" s="527"/>
      <c r="G214" s="528"/>
    </row>
    <row r="215" spans="1:8" s="518" customFormat="1" ht="30.75" thickBot="1">
      <c r="A215" s="589" t="s">
        <v>351</v>
      </c>
      <c r="B215" s="590" t="s">
        <v>550</v>
      </c>
      <c r="C215" s="591" t="s">
        <v>380</v>
      </c>
      <c r="D215" s="591" t="s">
        <v>380</v>
      </c>
      <c r="E215" s="592" t="s">
        <v>380</v>
      </c>
      <c r="F215" s="592" t="s">
        <v>380</v>
      </c>
      <c r="G215" s="593" t="s">
        <v>380</v>
      </c>
      <c r="H215" s="503"/>
    </row>
    <row r="216" spans="1:8" ht="15.75" thickBot="1">
      <c r="A216" s="544" t="s">
        <v>551</v>
      </c>
      <c r="B216" s="554" t="s">
        <v>552</v>
      </c>
      <c r="C216" s="555" t="s">
        <v>380</v>
      </c>
      <c r="D216" s="555" t="s">
        <v>380</v>
      </c>
      <c r="E216" s="556" t="s">
        <v>380</v>
      </c>
      <c r="F216" s="556" t="s">
        <v>380</v>
      </c>
      <c r="G216" s="557" t="s">
        <v>380</v>
      </c>
    </row>
    <row r="217" spans="1:8" s="518" customFormat="1" ht="15.75" thickBot="1">
      <c r="A217" s="544" t="s">
        <v>553</v>
      </c>
      <c r="B217" s="554" t="s">
        <v>543</v>
      </c>
      <c r="C217" s="555" t="s">
        <v>380</v>
      </c>
      <c r="D217" s="555" t="s">
        <v>380</v>
      </c>
      <c r="E217" s="556" t="s">
        <v>380</v>
      </c>
      <c r="F217" s="556" t="s">
        <v>380</v>
      </c>
      <c r="G217" s="557" t="s">
        <v>380</v>
      </c>
      <c r="H217" s="503"/>
    </row>
    <row r="218" spans="1:8" ht="15">
      <c r="A218" s="578" t="s">
        <v>554</v>
      </c>
      <c r="B218" s="579" t="s">
        <v>530</v>
      </c>
      <c r="C218" s="580"/>
      <c r="D218" s="580" t="s">
        <v>531</v>
      </c>
      <c r="E218" s="581" t="s">
        <v>380</v>
      </c>
      <c r="F218" s="581"/>
      <c r="G218" s="582"/>
    </row>
    <row r="219" spans="1:8" ht="15">
      <c r="A219" s="524" t="s">
        <v>555</v>
      </c>
      <c r="B219" s="525" t="s">
        <v>533</v>
      </c>
      <c r="C219" s="526"/>
      <c r="D219" s="526" t="s">
        <v>531</v>
      </c>
      <c r="E219" s="527" t="s">
        <v>380</v>
      </c>
      <c r="F219" s="527"/>
      <c r="G219" s="528"/>
    </row>
    <row r="220" spans="1:8" ht="15">
      <c r="A220" s="524" t="s">
        <v>556</v>
      </c>
      <c r="B220" s="525" t="s">
        <v>535</v>
      </c>
      <c r="C220" s="526"/>
      <c r="D220" s="526" t="s">
        <v>531</v>
      </c>
      <c r="E220" s="527" t="s">
        <v>380</v>
      </c>
      <c r="F220" s="527"/>
      <c r="G220" s="528"/>
    </row>
    <row r="221" spans="1:8" ht="15">
      <c r="A221" s="524" t="s">
        <v>557</v>
      </c>
      <c r="B221" s="525" t="s">
        <v>537</v>
      </c>
      <c r="C221" s="526"/>
      <c r="D221" s="526" t="s">
        <v>531</v>
      </c>
      <c r="E221" s="527" t="s">
        <v>380</v>
      </c>
      <c r="F221" s="527"/>
      <c r="G221" s="528"/>
    </row>
    <row r="222" spans="1:8" ht="15">
      <c r="A222" s="524" t="s">
        <v>558</v>
      </c>
      <c r="B222" s="525" t="s">
        <v>539</v>
      </c>
      <c r="C222" s="526"/>
      <c r="D222" s="526" t="s">
        <v>531</v>
      </c>
      <c r="E222" s="527" t="s">
        <v>380</v>
      </c>
      <c r="F222" s="527"/>
      <c r="G222" s="528"/>
    </row>
    <row r="223" spans="1:8" ht="15.75" thickBot="1">
      <c r="A223" s="539" t="s">
        <v>559</v>
      </c>
      <c r="B223" s="540" t="s">
        <v>541</v>
      </c>
      <c r="C223" s="541"/>
      <c r="D223" s="541" t="s">
        <v>531</v>
      </c>
      <c r="E223" s="542" t="s">
        <v>380</v>
      </c>
      <c r="F223" s="542"/>
      <c r="G223" s="543"/>
    </row>
    <row r="224" spans="1:8" s="518" customFormat="1" ht="15.75" thickBot="1">
      <c r="A224" s="544" t="s">
        <v>656</v>
      </c>
      <c r="B224" s="545" t="s">
        <v>604</v>
      </c>
      <c r="C224" s="546"/>
      <c r="D224" s="546"/>
      <c r="E224" s="556" t="s">
        <v>380</v>
      </c>
      <c r="F224" s="547"/>
      <c r="G224" s="548"/>
      <c r="H224" s="503"/>
    </row>
    <row r="225" spans="1:8" ht="15" hidden="1">
      <c r="A225" s="529" t="s">
        <v>657</v>
      </c>
      <c r="B225" s="530"/>
      <c r="C225" s="531"/>
      <c r="D225" s="531"/>
      <c r="E225" s="532" t="s">
        <v>380</v>
      </c>
      <c r="F225" s="532"/>
      <c r="G225" s="533"/>
    </row>
    <row r="226" spans="1:8" ht="15" hidden="1">
      <c r="A226" s="529" t="s">
        <v>658</v>
      </c>
      <c r="B226" s="530"/>
      <c r="C226" s="531"/>
      <c r="D226" s="531"/>
      <c r="E226" s="532" t="s">
        <v>380</v>
      </c>
      <c r="F226" s="532"/>
      <c r="G226" s="533"/>
    </row>
    <row r="227" spans="1:8" ht="15" hidden="1">
      <c r="A227" s="524" t="s">
        <v>659</v>
      </c>
      <c r="B227" s="525"/>
      <c r="C227" s="526"/>
      <c r="D227" s="526"/>
      <c r="E227" s="527" t="s">
        <v>380</v>
      </c>
      <c r="F227" s="527"/>
      <c r="G227" s="528"/>
    </row>
    <row r="228" spans="1:8" ht="15" hidden="1">
      <c r="A228" s="529" t="s">
        <v>660</v>
      </c>
      <c r="B228" s="525"/>
      <c r="C228" s="526"/>
      <c r="D228" s="526"/>
      <c r="E228" s="527" t="s">
        <v>380</v>
      </c>
      <c r="F228" s="527"/>
      <c r="G228" s="528"/>
    </row>
    <row r="229" spans="1:8" ht="15" hidden="1">
      <c r="A229" s="529" t="s">
        <v>661</v>
      </c>
      <c r="B229" s="525"/>
      <c r="C229" s="526"/>
      <c r="D229" s="526"/>
      <c r="E229" s="527" t="s">
        <v>380</v>
      </c>
      <c r="F229" s="527"/>
      <c r="G229" s="528"/>
    </row>
    <row r="230" spans="1:8" ht="15" hidden="1">
      <c r="A230" s="524" t="s">
        <v>662</v>
      </c>
      <c r="B230" s="525"/>
      <c r="C230" s="526"/>
      <c r="D230" s="526"/>
      <c r="E230" s="527" t="s">
        <v>380</v>
      </c>
      <c r="F230" s="527"/>
      <c r="G230" s="528"/>
    </row>
    <row r="231" spans="1:8" ht="15" hidden="1">
      <c r="A231" s="529" t="s">
        <v>663</v>
      </c>
      <c r="B231" s="525"/>
      <c r="C231" s="526"/>
      <c r="D231" s="526"/>
      <c r="E231" s="527" t="s">
        <v>380</v>
      </c>
      <c r="F231" s="527"/>
      <c r="G231" s="528"/>
    </row>
    <row r="232" spans="1:8" ht="15" hidden="1">
      <c r="A232" s="529" t="s">
        <v>664</v>
      </c>
      <c r="B232" s="525"/>
      <c r="C232" s="526"/>
      <c r="D232" s="526"/>
      <c r="E232" s="527" t="s">
        <v>380</v>
      </c>
      <c r="F232" s="527"/>
      <c r="G232" s="528"/>
    </row>
    <row r="233" spans="1:8" ht="15" hidden="1">
      <c r="A233" s="524" t="s">
        <v>665</v>
      </c>
      <c r="B233" s="525"/>
      <c r="C233" s="526"/>
      <c r="D233" s="526"/>
      <c r="E233" s="527" t="s">
        <v>380</v>
      </c>
      <c r="F233" s="527"/>
      <c r="G233" s="528"/>
    </row>
    <row r="234" spans="1:8" ht="15" hidden="1">
      <c r="A234" s="529" t="s">
        <v>666</v>
      </c>
      <c r="B234" s="525"/>
      <c r="C234" s="526"/>
      <c r="D234" s="526"/>
      <c r="E234" s="527" t="s">
        <v>380</v>
      </c>
      <c r="F234" s="527"/>
      <c r="G234" s="528"/>
    </row>
    <row r="235" spans="1:8" ht="15" hidden="1">
      <c r="A235" s="529" t="s">
        <v>667</v>
      </c>
      <c r="B235" s="525"/>
      <c r="C235" s="526"/>
      <c r="D235" s="526"/>
      <c r="E235" s="527" t="s">
        <v>380</v>
      </c>
      <c r="F235" s="527"/>
      <c r="G235" s="528"/>
    </row>
    <row r="236" spans="1:8" ht="15" hidden="1">
      <c r="A236" s="524" t="s">
        <v>668</v>
      </c>
      <c r="B236" s="525"/>
      <c r="C236" s="526"/>
      <c r="D236" s="526"/>
      <c r="E236" s="527" t="s">
        <v>380</v>
      </c>
      <c r="F236" s="527"/>
      <c r="G236" s="528"/>
    </row>
    <row r="237" spans="1:8" ht="15" hidden="1">
      <c r="A237" s="529" t="s">
        <v>669</v>
      </c>
      <c r="B237" s="525"/>
      <c r="C237" s="526"/>
      <c r="D237" s="526"/>
      <c r="E237" s="527" t="s">
        <v>380</v>
      </c>
      <c r="F237" s="527"/>
      <c r="G237" s="528"/>
    </row>
    <row r="238" spans="1:8" ht="15" hidden="1">
      <c r="A238" s="529" t="s">
        <v>670</v>
      </c>
      <c r="B238" s="525"/>
      <c r="C238" s="526"/>
      <c r="D238" s="526"/>
      <c r="E238" s="527" t="s">
        <v>380</v>
      </c>
      <c r="F238" s="527"/>
      <c r="G238" s="528"/>
    </row>
    <row r="239" spans="1:8" ht="15.75" thickBot="1">
      <c r="A239" s="524" t="s">
        <v>671</v>
      </c>
      <c r="B239" s="525"/>
      <c r="C239" s="526"/>
      <c r="D239" s="526"/>
      <c r="E239" s="527" t="s">
        <v>380</v>
      </c>
      <c r="F239" s="527"/>
      <c r="G239" s="528"/>
    </row>
    <row r="240" spans="1:8" s="518" customFormat="1" ht="30.75" thickBot="1">
      <c r="A240" s="589" t="s">
        <v>353</v>
      </c>
      <c r="B240" s="590" t="s">
        <v>560</v>
      </c>
      <c r="C240" s="591" t="s">
        <v>380</v>
      </c>
      <c r="D240" s="591" t="s">
        <v>380</v>
      </c>
      <c r="E240" s="592" t="s">
        <v>380</v>
      </c>
      <c r="F240" s="592" t="s">
        <v>380</v>
      </c>
      <c r="G240" s="593" t="s">
        <v>380</v>
      </c>
      <c r="H240" s="503"/>
    </row>
    <row r="241" spans="1:8" s="518" customFormat="1" ht="15.75" thickBot="1">
      <c r="A241" s="583" t="s">
        <v>561</v>
      </c>
      <c r="B241" s="584" t="s">
        <v>562</v>
      </c>
      <c r="C241" s="555" t="s">
        <v>380</v>
      </c>
      <c r="D241" s="555" t="s">
        <v>380</v>
      </c>
      <c r="E241" s="556" t="s">
        <v>380</v>
      </c>
      <c r="F241" s="556" t="s">
        <v>380</v>
      </c>
      <c r="G241" s="557" t="s">
        <v>380</v>
      </c>
      <c r="H241" s="503"/>
    </row>
    <row r="242" spans="1:8" ht="15.75" hidden="1" thickBot="1">
      <c r="A242" s="578" t="s">
        <v>672</v>
      </c>
      <c r="B242" s="579" t="s">
        <v>673</v>
      </c>
      <c r="C242" s="580"/>
      <c r="D242" s="580" t="s">
        <v>563</v>
      </c>
      <c r="E242" s="581" t="s">
        <v>380</v>
      </c>
      <c r="F242" s="581"/>
      <c r="G242" s="582"/>
    </row>
    <row r="243" spans="1:8" ht="15.75" hidden="1" thickBot="1">
      <c r="A243" s="524" t="s">
        <v>674</v>
      </c>
      <c r="B243" s="525" t="s">
        <v>675</v>
      </c>
      <c r="C243" s="526"/>
      <c r="D243" s="526" t="s">
        <v>563</v>
      </c>
      <c r="E243" s="527" t="s">
        <v>380</v>
      </c>
      <c r="F243" s="527"/>
      <c r="G243" s="528"/>
    </row>
    <row r="244" spans="1:8" ht="15.75" hidden="1" thickBot="1">
      <c r="A244" s="524" t="s">
        <v>564</v>
      </c>
      <c r="B244" s="525" t="s">
        <v>565</v>
      </c>
      <c r="C244" s="526"/>
      <c r="D244" s="526" t="s">
        <v>563</v>
      </c>
      <c r="E244" s="527" t="s">
        <v>380</v>
      </c>
      <c r="F244" s="527"/>
      <c r="G244" s="528"/>
    </row>
    <row r="245" spans="1:8" ht="15.75" hidden="1" thickBot="1">
      <c r="A245" s="524" t="s">
        <v>566</v>
      </c>
      <c r="B245" s="525" t="s">
        <v>567</v>
      </c>
      <c r="C245" s="526"/>
      <c r="D245" s="526" t="s">
        <v>563</v>
      </c>
      <c r="E245" s="527" t="s">
        <v>380</v>
      </c>
      <c r="F245" s="527"/>
      <c r="G245" s="528"/>
    </row>
    <row r="246" spans="1:8" s="518" customFormat="1" ht="15.75" thickBot="1">
      <c r="A246" s="544" t="s">
        <v>568</v>
      </c>
      <c r="B246" s="554" t="s">
        <v>562</v>
      </c>
      <c r="C246" s="555" t="s">
        <v>380</v>
      </c>
      <c r="D246" s="555" t="s">
        <v>380</v>
      </c>
      <c r="E246" s="556" t="s">
        <v>380</v>
      </c>
      <c r="F246" s="556" t="s">
        <v>380</v>
      </c>
      <c r="G246" s="557" t="s">
        <v>380</v>
      </c>
      <c r="H246" s="503"/>
    </row>
    <row r="247" spans="1:8" ht="15.75" hidden="1" thickBot="1">
      <c r="A247" s="578" t="s">
        <v>676</v>
      </c>
      <c r="B247" s="579" t="s">
        <v>677</v>
      </c>
      <c r="C247" s="580"/>
      <c r="D247" s="580" t="s">
        <v>569</v>
      </c>
      <c r="E247" s="581" t="s">
        <v>380</v>
      </c>
      <c r="F247" s="581"/>
      <c r="G247" s="582"/>
    </row>
    <row r="248" spans="1:8" ht="15.75" hidden="1" thickBot="1">
      <c r="A248" s="524" t="s">
        <v>570</v>
      </c>
      <c r="B248" s="525" t="s">
        <v>571</v>
      </c>
      <c r="C248" s="526"/>
      <c r="D248" s="526" t="s">
        <v>569</v>
      </c>
      <c r="E248" s="527" t="s">
        <v>380</v>
      </c>
      <c r="F248" s="527"/>
      <c r="G248" s="528"/>
    </row>
    <row r="249" spans="1:8" ht="15.75" hidden="1" thickBot="1">
      <c r="A249" s="524" t="s">
        <v>572</v>
      </c>
      <c r="B249" s="525" t="s">
        <v>573</v>
      </c>
      <c r="C249" s="526"/>
      <c r="D249" s="526" t="s">
        <v>569</v>
      </c>
      <c r="E249" s="527" t="s">
        <v>380</v>
      </c>
      <c r="F249" s="527"/>
      <c r="G249" s="528"/>
    </row>
    <row r="250" spans="1:8" ht="15.75" hidden="1" thickBot="1">
      <c r="A250" s="524" t="s">
        <v>574</v>
      </c>
      <c r="B250" s="525" t="s">
        <v>575</v>
      </c>
      <c r="C250" s="526"/>
      <c r="D250" s="526" t="s">
        <v>569</v>
      </c>
      <c r="E250" s="527" t="s">
        <v>380</v>
      </c>
      <c r="F250" s="527"/>
      <c r="G250" s="528"/>
    </row>
    <row r="251" spans="1:8" s="518" customFormat="1" ht="15.75" thickBot="1">
      <c r="A251" s="544" t="s">
        <v>678</v>
      </c>
      <c r="B251" s="554" t="s">
        <v>580</v>
      </c>
      <c r="C251" s="555" t="s">
        <v>380</v>
      </c>
      <c r="D251" s="555" t="s">
        <v>380</v>
      </c>
      <c r="E251" s="556" t="s">
        <v>380</v>
      </c>
      <c r="F251" s="556" t="s">
        <v>380</v>
      </c>
      <c r="G251" s="557" t="s">
        <v>380</v>
      </c>
      <c r="H251" s="503"/>
    </row>
    <row r="252" spans="1:8" ht="15" hidden="1">
      <c r="A252" s="578" t="s">
        <v>679</v>
      </c>
      <c r="B252" s="579" t="s">
        <v>680</v>
      </c>
      <c r="C252" s="580"/>
      <c r="D252" s="580" t="s">
        <v>583</v>
      </c>
      <c r="E252" s="581" t="s">
        <v>380</v>
      </c>
      <c r="F252" s="581"/>
      <c r="G252" s="582"/>
    </row>
    <row r="253" spans="1:8" ht="15" hidden="1">
      <c r="A253" s="524" t="s">
        <v>681</v>
      </c>
      <c r="B253" s="525" t="s">
        <v>682</v>
      </c>
      <c r="C253" s="526"/>
      <c r="D253" s="526" t="s">
        <v>583</v>
      </c>
      <c r="E253" s="527" t="s">
        <v>380</v>
      </c>
      <c r="F253" s="527"/>
      <c r="G253" s="528"/>
    </row>
    <row r="254" spans="1:8" ht="15" hidden="1">
      <c r="A254" s="524" t="s">
        <v>683</v>
      </c>
      <c r="B254" s="525" t="s">
        <v>684</v>
      </c>
      <c r="C254" s="526"/>
      <c r="D254" s="526" t="s">
        <v>583</v>
      </c>
      <c r="E254" s="527" t="s">
        <v>380</v>
      </c>
      <c r="F254" s="527"/>
      <c r="G254" s="528"/>
    </row>
    <row r="255" spans="1:8" ht="15" hidden="1">
      <c r="A255" s="524" t="s">
        <v>685</v>
      </c>
      <c r="B255" s="525" t="s">
        <v>686</v>
      </c>
      <c r="C255" s="526"/>
      <c r="D255" s="526" t="s">
        <v>583</v>
      </c>
      <c r="E255" s="527" t="s">
        <v>380</v>
      </c>
      <c r="F255" s="527"/>
      <c r="G255" s="528"/>
    </row>
    <row r="256" spans="1:8" ht="15" hidden="1">
      <c r="A256" s="524" t="s">
        <v>687</v>
      </c>
      <c r="B256" s="525" t="s">
        <v>688</v>
      </c>
      <c r="C256" s="526"/>
      <c r="D256" s="526" t="s">
        <v>583</v>
      </c>
      <c r="E256" s="527" t="s">
        <v>380</v>
      </c>
      <c r="F256" s="527"/>
      <c r="G256" s="528"/>
    </row>
    <row r="257" spans="1:8" ht="15" hidden="1">
      <c r="A257" s="524" t="s">
        <v>689</v>
      </c>
      <c r="B257" s="525" t="s">
        <v>573</v>
      </c>
      <c r="C257" s="526"/>
      <c r="D257" s="526" t="s">
        <v>583</v>
      </c>
      <c r="E257" s="527" t="s">
        <v>380</v>
      </c>
      <c r="F257" s="527"/>
      <c r="G257" s="528"/>
    </row>
    <row r="258" spans="1:8" ht="15" hidden="1">
      <c r="A258" s="524" t="s">
        <v>582</v>
      </c>
      <c r="B258" s="525" t="s">
        <v>575</v>
      </c>
      <c r="C258" s="526"/>
      <c r="D258" s="526" t="s">
        <v>583</v>
      </c>
      <c r="E258" s="527" t="s">
        <v>380</v>
      </c>
      <c r="F258" s="527"/>
      <c r="G258" s="528"/>
    </row>
    <row r="259" spans="1:8" ht="15" hidden="1">
      <c r="A259" s="524" t="s">
        <v>584</v>
      </c>
      <c r="B259" s="525" t="s">
        <v>585</v>
      </c>
      <c r="C259" s="526"/>
      <c r="D259" s="526" t="s">
        <v>583</v>
      </c>
      <c r="E259" s="527" t="s">
        <v>380</v>
      </c>
      <c r="F259" s="527"/>
      <c r="G259" s="528"/>
    </row>
    <row r="260" spans="1:8" ht="15" hidden="1">
      <c r="A260" s="524" t="s">
        <v>586</v>
      </c>
      <c r="B260" s="525" t="s">
        <v>587</v>
      </c>
      <c r="C260" s="526"/>
      <c r="D260" s="526" t="s">
        <v>583</v>
      </c>
      <c r="E260" s="527" t="s">
        <v>380</v>
      </c>
      <c r="F260" s="527"/>
      <c r="G260" s="528"/>
    </row>
    <row r="261" spans="1:8" s="518" customFormat="1" ht="15.75" hidden="1" thickBot="1">
      <c r="A261" s="544" t="s">
        <v>690</v>
      </c>
      <c r="B261" s="545" t="s">
        <v>604</v>
      </c>
      <c r="C261" s="546"/>
      <c r="D261" s="546"/>
      <c r="E261" s="556" t="s">
        <v>380</v>
      </c>
      <c r="F261" s="547"/>
      <c r="G261" s="548"/>
      <c r="H261" s="503"/>
    </row>
    <row r="262" spans="1:8" ht="15" hidden="1">
      <c r="A262" s="549" t="s">
        <v>691</v>
      </c>
      <c r="B262" s="550"/>
      <c r="C262" s="551"/>
      <c r="D262" s="551"/>
      <c r="E262" s="552" t="s">
        <v>380</v>
      </c>
      <c r="F262" s="552"/>
      <c r="G262" s="553"/>
    </row>
    <row r="263" spans="1:8" ht="15" hidden="1">
      <c r="A263" s="529" t="s">
        <v>692</v>
      </c>
      <c r="B263" s="530"/>
      <c r="C263" s="531"/>
      <c r="D263" s="531"/>
      <c r="E263" s="532" t="s">
        <v>380</v>
      </c>
      <c r="F263" s="532"/>
      <c r="G263" s="533"/>
    </row>
    <row r="264" spans="1:8" ht="15" hidden="1">
      <c r="A264" s="524" t="s">
        <v>693</v>
      </c>
      <c r="B264" s="525"/>
      <c r="C264" s="526"/>
      <c r="D264" s="526"/>
      <c r="E264" s="527" t="s">
        <v>380</v>
      </c>
      <c r="F264" s="527"/>
      <c r="G264" s="528"/>
    </row>
    <row r="265" spans="1:8" ht="15" hidden="1">
      <c r="A265" s="529" t="s">
        <v>694</v>
      </c>
      <c r="B265" s="525"/>
      <c r="C265" s="526"/>
      <c r="D265" s="526"/>
      <c r="E265" s="527" t="s">
        <v>380</v>
      </c>
      <c r="F265" s="527"/>
      <c r="G265" s="528"/>
    </row>
    <row r="266" spans="1:8" ht="15" hidden="1">
      <c r="A266" s="529" t="s">
        <v>695</v>
      </c>
      <c r="B266" s="525"/>
      <c r="C266" s="526"/>
      <c r="D266" s="526"/>
      <c r="E266" s="527" t="s">
        <v>380</v>
      </c>
      <c r="F266" s="527"/>
      <c r="G266" s="528"/>
    </row>
    <row r="267" spans="1:8" ht="15" hidden="1">
      <c r="A267" s="524" t="s">
        <v>696</v>
      </c>
      <c r="B267" s="525"/>
      <c r="C267" s="526"/>
      <c r="D267" s="526"/>
      <c r="E267" s="527" t="s">
        <v>380</v>
      </c>
      <c r="F267" s="527"/>
      <c r="G267" s="528"/>
    </row>
    <row r="268" spans="1:8" ht="15" hidden="1">
      <c r="A268" s="529" t="s">
        <v>697</v>
      </c>
      <c r="B268" s="525"/>
      <c r="C268" s="526"/>
      <c r="D268" s="526"/>
      <c r="E268" s="527" t="s">
        <v>380</v>
      </c>
      <c r="F268" s="527"/>
      <c r="G268" s="528"/>
    </row>
    <row r="269" spans="1:8" ht="15" hidden="1">
      <c r="A269" s="529" t="s">
        <v>698</v>
      </c>
      <c r="B269" s="525"/>
      <c r="C269" s="526"/>
      <c r="D269" s="526"/>
      <c r="E269" s="527" t="s">
        <v>380</v>
      </c>
      <c r="F269" s="527"/>
      <c r="G269" s="528"/>
    </row>
    <row r="270" spans="1:8" ht="15" hidden="1">
      <c r="A270" s="524" t="s">
        <v>699</v>
      </c>
      <c r="B270" s="525"/>
      <c r="C270" s="526"/>
      <c r="D270" s="526"/>
      <c r="E270" s="527" t="s">
        <v>380</v>
      </c>
      <c r="F270" s="527"/>
      <c r="G270" s="528"/>
    </row>
    <row r="271" spans="1:8" ht="15" hidden="1">
      <c r="A271" s="529" t="s">
        <v>700</v>
      </c>
      <c r="B271" s="525"/>
      <c r="C271" s="526"/>
      <c r="D271" s="526"/>
      <c r="E271" s="527" t="s">
        <v>380</v>
      </c>
      <c r="F271" s="527"/>
      <c r="G271" s="528"/>
    </row>
    <row r="272" spans="1:8" ht="15" hidden="1">
      <c r="A272" s="529" t="s">
        <v>701</v>
      </c>
      <c r="B272" s="525"/>
      <c r="C272" s="526"/>
      <c r="D272" s="526"/>
      <c r="E272" s="527" t="s">
        <v>380</v>
      </c>
      <c r="F272" s="527"/>
      <c r="G272" s="528"/>
    </row>
    <row r="273" spans="1:7" ht="15" hidden="1">
      <c r="A273" s="524" t="s">
        <v>702</v>
      </c>
      <c r="B273" s="525"/>
      <c r="C273" s="526"/>
      <c r="D273" s="526"/>
      <c r="E273" s="527" t="s">
        <v>380</v>
      </c>
      <c r="F273" s="527"/>
      <c r="G273" s="528"/>
    </row>
    <row r="274" spans="1:7" ht="15" hidden="1">
      <c r="A274" s="529" t="s">
        <v>703</v>
      </c>
      <c r="B274" s="525"/>
      <c r="C274" s="526"/>
      <c r="D274" s="526"/>
      <c r="E274" s="527" t="s">
        <v>380</v>
      </c>
      <c r="F274" s="527"/>
      <c r="G274" s="528"/>
    </row>
    <row r="275" spans="1:7" ht="15" hidden="1">
      <c r="A275" s="529" t="s">
        <v>704</v>
      </c>
      <c r="B275" s="525"/>
      <c r="C275" s="526"/>
      <c r="D275" s="526"/>
      <c r="E275" s="527" t="s">
        <v>380</v>
      </c>
      <c r="F275" s="527"/>
      <c r="G275" s="528"/>
    </row>
    <row r="276" spans="1:7" ht="15.75" hidden="1" thickBot="1">
      <c r="A276" s="539" t="s">
        <v>705</v>
      </c>
      <c r="B276" s="540"/>
      <c r="C276" s="541"/>
      <c r="D276" s="541"/>
      <c r="E276" s="542" t="s">
        <v>380</v>
      </c>
      <c r="F276" s="542"/>
      <c r="G276" s="543"/>
    </row>
    <row r="277" spans="1:7" ht="15">
      <c r="A277"/>
    </row>
    <row r="279" spans="1:7" ht="15.75">
      <c r="A279" s="722" t="s">
        <v>841</v>
      </c>
      <c r="B279" s="187"/>
      <c r="C279" s="187"/>
      <c r="D279" s="723"/>
      <c r="E279" s="724"/>
      <c r="F279" s="725"/>
      <c r="G279" s="726"/>
    </row>
    <row r="280" spans="1:7" ht="15.75">
      <c r="A280" s="722" t="s">
        <v>88</v>
      </c>
      <c r="B280" s="187"/>
      <c r="C280" s="187"/>
      <c r="D280" s="722"/>
      <c r="E280" s="722"/>
      <c r="G280" s="727" t="s">
        <v>842</v>
      </c>
    </row>
    <row r="281" spans="1:7" ht="15">
      <c r="A281" s="713"/>
      <c r="B281" s="714"/>
      <c r="C281" s="714"/>
      <c r="D281" s="714"/>
      <c r="E281" s="715"/>
      <c r="F281" s="715"/>
    </row>
    <row r="282" spans="1:7" ht="15">
      <c r="A282" s="716" t="s">
        <v>706</v>
      </c>
      <c r="B282" s="714"/>
      <c r="C282" s="714"/>
      <c r="D282" s="714"/>
      <c r="E282" s="715"/>
      <c r="F282" s="715"/>
    </row>
    <row r="283" spans="1:7" ht="15">
      <c r="A283" s="718" t="s">
        <v>843</v>
      </c>
      <c r="B283" s="714"/>
      <c r="C283" s="714"/>
      <c r="D283" s="714"/>
      <c r="E283" s="715"/>
      <c r="F283" s="715"/>
    </row>
    <row r="284" spans="1:7" ht="15">
      <c r="A284" s="719" t="s">
        <v>844</v>
      </c>
      <c r="B284" s="714"/>
      <c r="C284" s="714"/>
      <c r="D284" s="714"/>
      <c r="E284" s="715"/>
      <c r="F284" s="715"/>
    </row>
    <row r="285" spans="1:7" ht="19.5" hidden="1">
      <c r="A285" s="585" t="s">
        <v>200</v>
      </c>
      <c r="B285" s="585"/>
      <c r="C285" s="585"/>
      <c r="F285" s="585" t="s">
        <v>706</v>
      </c>
    </row>
  </sheetData>
  <mergeCells count="2">
    <mergeCell ref="A1:G1"/>
    <mergeCell ref="B2:F2"/>
  </mergeCells>
  <pageMargins left="0.7" right="0.7" top="0.54" bottom="0.34" header="0.3" footer="0.3"/>
  <pageSetup paperSize="8"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H297"/>
  <sheetViews>
    <sheetView zoomScale="85" zoomScaleNormal="85" workbookViewId="0">
      <pane ySplit="4" topLeftCell="A209" activePane="bottomLeft" state="frozen"/>
      <selection activeCell="A323" sqref="A323:G323"/>
      <selection pane="bottomLeft" activeCell="G287" sqref="G287"/>
    </sheetView>
  </sheetViews>
  <sheetFormatPr defaultRowHeight="12.75"/>
  <cols>
    <col min="1" max="1" width="11" style="505" customWidth="1"/>
    <col min="2" max="2" width="60.5703125" style="504" customWidth="1"/>
    <col min="3" max="3" width="16.28515625" style="504" customWidth="1"/>
    <col min="4" max="4" width="16.28515625" style="645" customWidth="1"/>
    <col min="5" max="7" width="16.28515625" style="634" customWidth="1"/>
    <col min="8" max="8" width="11.7109375" style="645" bestFit="1" customWidth="1"/>
    <col min="9" max="16384" width="9.140625" style="504"/>
  </cols>
  <sheetData>
    <row r="1" spans="1:8" ht="54" customHeight="1">
      <c r="A1" s="952" t="s">
        <v>595</v>
      </c>
      <c r="B1" s="952"/>
      <c r="C1" s="952"/>
      <c r="D1" s="952"/>
      <c r="E1" s="952"/>
      <c r="F1" s="952"/>
      <c r="G1" s="952"/>
    </row>
    <row r="2" spans="1:8" ht="24.75" customHeight="1">
      <c r="B2" s="1160" t="s">
        <v>726</v>
      </c>
      <c r="C2" s="1160"/>
      <c r="D2" s="1160"/>
      <c r="E2" s="1160"/>
      <c r="F2" s="1160"/>
    </row>
    <row r="3" spans="1:8" ht="13.5" thickBot="1"/>
    <row r="4" spans="1:8" ht="75.75" thickBot="1">
      <c r="A4" s="507" t="s">
        <v>597</v>
      </c>
      <c r="B4" s="508" t="s">
        <v>598</v>
      </c>
      <c r="C4" s="508" t="s">
        <v>599</v>
      </c>
      <c r="D4" s="646" t="s">
        <v>600</v>
      </c>
      <c r="E4" s="635" t="s">
        <v>601</v>
      </c>
      <c r="F4" s="635" t="s">
        <v>602</v>
      </c>
      <c r="G4" s="635" t="s">
        <v>603</v>
      </c>
    </row>
    <row r="5" spans="1:8" ht="15.75" thickBot="1">
      <c r="A5" s="510">
        <v>1</v>
      </c>
      <c r="B5" s="511">
        <v>2</v>
      </c>
      <c r="C5" s="511">
        <v>3</v>
      </c>
      <c r="D5" s="647">
        <v>4</v>
      </c>
      <c r="E5" s="675">
        <v>5</v>
      </c>
      <c r="F5" s="675">
        <v>6</v>
      </c>
      <c r="G5" s="675">
        <v>7</v>
      </c>
    </row>
    <row r="6" spans="1:8" ht="15.75" thickBot="1">
      <c r="A6" s="640" t="s">
        <v>14</v>
      </c>
      <c r="B6" s="641" t="s">
        <v>379</v>
      </c>
      <c r="C6" s="642" t="s">
        <v>380</v>
      </c>
      <c r="D6" s="642" t="s">
        <v>380</v>
      </c>
      <c r="E6" s="643" t="s">
        <v>380</v>
      </c>
      <c r="F6" s="643" t="s">
        <v>380</v>
      </c>
      <c r="G6" s="644" t="s">
        <v>380</v>
      </c>
    </row>
    <row r="7" spans="1:8" s="518" customFormat="1" ht="15">
      <c r="A7" s="512" t="s">
        <v>381</v>
      </c>
      <c r="B7" s="513" t="s">
        <v>382</v>
      </c>
      <c r="C7" s="514" t="s">
        <v>380</v>
      </c>
      <c r="D7" s="650" t="s">
        <v>380</v>
      </c>
      <c r="E7" s="624" t="s">
        <v>380</v>
      </c>
      <c r="F7" s="624" t="s">
        <v>380</v>
      </c>
      <c r="G7" s="651" t="s">
        <v>380</v>
      </c>
      <c r="H7" s="652"/>
    </row>
    <row r="8" spans="1:8" s="518" customFormat="1" ht="15">
      <c r="A8" s="519" t="s">
        <v>383</v>
      </c>
      <c r="B8" s="520" t="s">
        <v>384</v>
      </c>
      <c r="C8" s="521" t="s">
        <v>380</v>
      </c>
      <c r="D8" s="653" t="s">
        <v>380</v>
      </c>
      <c r="E8" s="625" t="s">
        <v>380</v>
      </c>
      <c r="F8" s="625" t="s">
        <v>380</v>
      </c>
      <c r="G8" s="654" t="s">
        <v>380</v>
      </c>
      <c r="H8" s="652"/>
    </row>
    <row r="9" spans="1:8" s="518" customFormat="1" ht="15.75" thickBot="1">
      <c r="A9" s="519" t="s">
        <v>385</v>
      </c>
      <c r="B9" s="520" t="s">
        <v>386</v>
      </c>
      <c r="C9" s="521" t="s">
        <v>380</v>
      </c>
      <c r="D9" s="653" t="s">
        <v>380</v>
      </c>
      <c r="E9" s="625" t="s">
        <v>380</v>
      </c>
      <c r="F9" s="625" t="s">
        <v>380</v>
      </c>
      <c r="G9" s="654" t="s">
        <v>380</v>
      </c>
      <c r="H9" s="652"/>
    </row>
    <row r="10" spans="1:8" ht="15.75" hidden="1" thickBot="1">
      <c r="A10" s="524" t="s">
        <v>579</v>
      </c>
      <c r="B10" s="525" t="s">
        <v>387</v>
      </c>
      <c r="C10" s="526">
        <v>2017</v>
      </c>
      <c r="D10" s="655">
        <v>35</v>
      </c>
      <c r="E10" s="626"/>
      <c r="F10" s="626"/>
      <c r="G10" s="656"/>
    </row>
    <row r="11" spans="1:8" ht="15.75" hidden="1" thickBot="1">
      <c r="A11" s="529" t="s">
        <v>388</v>
      </c>
      <c r="B11" s="530" t="s">
        <v>389</v>
      </c>
      <c r="C11" s="531">
        <v>2017</v>
      </c>
      <c r="D11" s="657">
        <v>35</v>
      </c>
      <c r="E11" s="627"/>
      <c r="F11" s="627"/>
      <c r="G11" s="658"/>
    </row>
    <row r="12" spans="1:8" ht="15.75" hidden="1" thickBot="1">
      <c r="A12" s="529" t="s">
        <v>390</v>
      </c>
      <c r="B12" s="530" t="s">
        <v>389</v>
      </c>
      <c r="C12" s="531">
        <v>2017</v>
      </c>
      <c r="D12" s="657">
        <v>110</v>
      </c>
      <c r="E12" s="627"/>
      <c r="F12" s="627"/>
      <c r="G12" s="658"/>
    </row>
    <row r="13" spans="1:8" ht="15.75" hidden="1" thickBot="1">
      <c r="A13" s="534" t="s">
        <v>391</v>
      </c>
      <c r="B13" s="535" t="s">
        <v>392</v>
      </c>
      <c r="C13" s="536">
        <v>2017</v>
      </c>
      <c r="D13" s="659">
        <v>110</v>
      </c>
      <c r="E13" s="636"/>
      <c r="F13" s="636"/>
      <c r="G13" s="660"/>
    </row>
    <row r="14" spans="1:8" s="518" customFormat="1" ht="15">
      <c r="A14" s="512" t="s">
        <v>393</v>
      </c>
      <c r="B14" s="513" t="s">
        <v>394</v>
      </c>
      <c r="C14" s="514" t="s">
        <v>380</v>
      </c>
      <c r="D14" s="650" t="s">
        <v>380</v>
      </c>
      <c r="E14" s="624" t="s">
        <v>380</v>
      </c>
      <c r="F14" s="624" t="s">
        <v>380</v>
      </c>
      <c r="G14" s="651" t="s">
        <v>380</v>
      </c>
      <c r="H14" s="652"/>
    </row>
    <row r="15" spans="1:8" s="518" customFormat="1" ht="15">
      <c r="A15" s="519" t="s">
        <v>395</v>
      </c>
      <c r="B15" s="520" t="s">
        <v>396</v>
      </c>
      <c r="C15" s="521" t="s">
        <v>380</v>
      </c>
      <c r="D15" s="653" t="s">
        <v>380</v>
      </c>
      <c r="E15" s="625" t="s">
        <v>380</v>
      </c>
      <c r="F15" s="625" t="s">
        <v>380</v>
      </c>
      <c r="G15" s="654" t="s">
        <v>380</v>
      </c>
      <c r="H15" s="652"/>
    </row>
    <row r="16" spans="1:8" s="518" customFormat="1" ht="15">
      <c r="A16" s="519" t="s">
        <v>397</v>
      </c>
      <c r="B16" s="520" t="s">
        <v>386</v>
      </c>
      <c r="C16" s="521" t="s">
        <v>380</v>
      </c>
      <c r="D16" s="653" t="s">
        <v>380</v>
      </c>
      <c r="E16" s="625" t="s">
        <v>380</v>
      </c>
      <c r="F16" s="625" t="s">
        <v>380</v>
      </c>
      <c r="G16" s="654" t="s">
        <v>380</v>
      </c>
      <c r="H16" s="652"/>
    </row>
    <row r="17" spans="1:8" ht="15">
      <c r="A17" s="529" t="s">
        <v>398</v>
      </c>
      <c r="B17" s="530" t="s">
        <v>399</v>
      </c>
      <c r="C17" s="531">
        <v>2017</v>
      </c>
      <c r="D17" s="657">
        <v>0.4</v>
      </c>
      <c r="E17" s="627">
        <v>4898</v>
      </c>
      <c r="F17" s="627">
        <v>655</v>
      </c>
      <c r="G17" s="658">
        <v>11101.27447</v>
      </c>
    </row>
    <row r="18" spans="1:8" ht="15">
      <c r="A18" s="529" t="s">
        <v>400</v>
      </c>
      <c r="B18" s="530" t="s">
        <v>399</v>
      </c>
      <c r="C18" s="531">
        <v>2017</v>
      </c>
      <c r="D18" s="657" t="s">
        <v>401</v>
      </c>
      <c r="E18" s="627">
        <f>2754+1910</f>
        <v>4664</v>
      </c>
      <c r="F18" s="627">
        <f>1720+302-320+120</f>
        <v>1822</v>
      </c>
      <c r="G18" s="658">
        <f>5563.74158+6525.00253</f>
        <v>12088.74411</v>
      </c>
    </row>
    <row r="19" spans="1:8" ht="15">
      <c r="A19" s="529" t="s">
        <v>402</v>
      </c>
      <c r="B19" s="530" t="s">
        <v>387</v>
      </c>
      <c r="C19" s="531">
        <v>2017</v>
      </c>
      <c r="D19" s="657">
        <v>0.4</v>
      </c>
      <c r="E19" s="627">
        <f>8580+4150</f>
        <v>12730</v>
      </c>
      <c r="F19" s="627">
        <f>1830+455-1230+400</f>
        <v>1455</v>
      </c>
      <c r="G19" s="658">
        <f>10176.696+10144.09356</f>
        <v>20320.789559999997</v>
      </c>
    </row>
    <row r="20" spans="1:8" ht="15">
      <c r="A20" s="524" t="s">
        <v>403</v>
      </c>
      <c r="B20" s="525" t="s">
        <v>387</v>
      </c>
      <c r="C20" s="526">
        <v>2017</v>
      </c>
      <c r="D20" s="655" t="s">
        <v>401</v>
      </c>
      <c r="E20" s="626">
        <v>3321</v>
      </c>
      <c r="F20" s="626">
        <v>165</v>
      </c>
      <c r="G20" s="656">
        <v>5542.9368599999998</v>
      </c>
    </row>
    <row r="21" spans="1:8" ht="15">
      <c r="A21" s="524" t="s">
        <v>404</v>
      </c>
      <c r="B21" s="525" t="s">
        <v>387</v>
      </c>
      <c r="C21" s="526">
        <v>2017</v>
      </c>
      <c r="D21" s="655">
        <v>35</v>
      </c>
      <c r="E21" s="626"/>
      <c r="F21" s="626"/>
      <c r="G21" s="656"/>
    </row>
    <row r="22" spans="1:8" ht="15">
      <c r="A22" s="524" t="s">
        <v>405</v>
      </c>
      <c r="B22" s="525" t="s">
        <v>389</v>
      </c>
      <c r="C22" s="526">
        <v>2017</v>
      </c>
      <c r="D22" s="655">
        <v>0.4</v>
      </c>
      <c r="E22" s="626"/>
      <c r="F22" s="626"/>
      <c r="G22" s="656"/>
    </row>
    <row r="23" spans="1:8" ht="15">
      <c r="A23" s="524" t="s">
        <v>406</v>
      </c>
      <c r="B23" s="525" t="s">
        <v>389</v>
      </c>
      <c r="C23" s="526">
        <v>2017</v>
      </c>
      <c r="D23" s="655" t="s">
        <v>401</v>
      </c>
      <c r="E23" s="626">
        <v>1860</v>
      </c>
      <c r="F23" s="626">
        <v>480</v>
      </c>
      <c r="G23" s="656">
        <v>3232.09917</v>
      </c>
    </row>
    <row r="24" spans="1:8" ht="15.75" thickBot="1">
      <c r="A24" s="524" t="s">
        <v>407</v>
      </c>
      <c r="B24" s="525" t="s">
        <v>389</v>
      </c>
      <c r="C24" s="526">
        <v>2017</v>
      </c>
      <c r="D24" s="655">
        <v>35</v>
      </c>
      <c r="E24" s="626"/>
      <c r="F24" s="626"/>
      <c r="G24" s="656"/>
    </row>
    <row r="25" spans="1:8" s="518" customFormat="1" ht="15">
      <c r="A25" s="512" t="s">
        <v>408</v>
      </c>
      <c r="B25" s="513" t="s">
        <v>384</v>
      </c>
      <c r="C25" s="514" t="s">
        <v>380</v>
      </c>
      <c r="D25" s="650" t="s">
        <v>380</v>
      </c>
      <c r="E25" s="624" t="s">
        <v>380</v>
      </c>
      <c r="F25" s="624" t="s">
        <v>380</v>
      </c>
      <c r="G25" s="651" t="s">
        <v>380</v>
      </c>
      <c r="H25" s="652"/>
    </row>
    <row r="26" spans="1:8" s="518" customFormat="1" ht="15">
      <c r="A26" s="519" t="s">
        <v>409</v>
      </c>
      <c r="B26" s="520" t="s">
        <v>386</v>
      </c>
      <c r="C26" s="521" t="s">
        <v>380</v>
      </c>
      <c r="D26" s="653" t="s">
        <v>380</v>
      </c>
      <c r="E26" s="625" t="s">
        <v>380</v>
      </c>
      <c r="F26" s="625" t="s">
        <v>380</v>
      </c>
      <c r="G26" s="654" t="s">
        <v>380</v>
      </c>
      <c r="H26" s="652"/>
    </row>
    <row r="27" spans="1:8" ht="15">
      <c r="A27" s="529" t="s">
        <v>410</v>
      </c>
      <c r="B27" s="530" t="s">
        <v>399</v>
      </c>
      <c r="C27" s="531">
        <v>2017</v>
      </c>
      <c r="D27" s="657">
        <v>0.4</v>
      </c>
      <c r="E27" s="627"/>
      <c r="F27" s="627"/>
      <c r="G27" s="658"/>
    </row>
    <row r="28" spans="1:8" ht="15">
      <c r="A28" s="529" t="s">
        <v>411</v>
      </c>
      <c r="B28" s="530" t="s">
        <v>399</v>
      </c>
      <c r="C28" s="531">
        <v>2017</v>
      </c>
      <c r="D28" s="657" t="s">
        <v>401</v>
      </c>
      <c r="E28" s="627">
        <v>510</v>
      </c>
      <c r="F28" s="627">
        <v>140</v>
      </c>
      <c r="G28" s="658">
        <v>1142.9483700000001</v>
      </c>
    </row>
    <row r="29" spans="1:8" ht="15">
      <c r="A29" s="596" t="s">
        <v>412</v>
      </c>
      <c r="B29" s="525" t="s">
        <v>387</v>
      </c>
      <c r="C29" s="526">
        <v>2017</v>
      </c>
      <c r="D29" s="655">
        <v>35</v>
      </c>
      <c r="E29" s="626"/>
      <c r="F29" s="626"/>
      <c r="G29" s="656"/>
    </row>
    <row r="30" spans="1:8" ht="18" customHeight="1">
      <c r="A30" s="596" t="s">
        <v>412</v>
      </c>
      <c r="B30" s="597" t="s">
        <v>387</v>
      </c>
      <c r="C30" s="598">
        <v>2017</v>
      </c>
      <c r="D30" s="655">
        <v>10</v>
      </c>
      <c r="E30" s="626">
        <v>5885</v>
      </c>
      <c r="F30" s="626">
        <f>F42+F44+F43</f>
        <v>1045</v>
      </c>
      <c r="G30" s="656">
        <f>G42+G43+G44</f>
        <v>6476.8065449999995</v>
      </c>
      <c r="H30" s="634"/>
    </row>
    <row r="31" spans="1:8" ht="18" customHeight="1">
      <c r="A31" s="596" t="s">
        <v>412</v>
      </c>
      <c r="B31" s="597" t="s">
        <v>387</v>
      </c>
      <c r="C31" s="598">
        <v>2017</v>
      </c>
      <c r="D31" s="655">
        <v>6</v>
      </c>
      <c r="E31" s="626"/>
      <c r="F31" s="626"/>
      <c r="G31" s="656"/>
    </row>
    <row r="32" spans="1:8" ht="15.75" thickBot="1">
      <c r="A32" s="539" t="s">
        <v>413</v>
      </c>
      <c r="B32" s="540" t="s">
        <v>389</v>
      </c>
      <c r="C32" s="541">
        <v>2017</v>
      </c>
      <c r="D32" s="661">
        <v>35</v>
      </c>
      <c r="E32" s="628"/>
      <c r="F32" s="628"/>
      <c r="G32" s="662"/>
    </row>
    <row r="33" spans="1:8" s="518" customFormat="1" ht="15.75" thickBot="1">
      <c r="A33" s="544" t="s">
        <v>21</v>
      </c>
      <c r="B33" s="545" t="s">
        <v>604</v>
      </c>
      <c r="C33" s="546"/>
      <c r="D33" s="663"/>
      <c r="E33" s="629"/>
      <c r="F33" s="629"/>
      <c r="G33" s="664"/>
      <c r="H33" s="652"/>
    </row>
    <row r="34" spans="1:8" ht="15">
      <c r="A34" s="549" t="s">
        <v>605</v>
      </c>
      <c r="B34" s="550" t="s">
        <v>727</v>
      </c>
      <c r="C34" s="551">
        <v>2017</v>
      </c>
      <c r="D34" s="665">
        <v>6</v>
      </c>
      <c r="E34" s="633">
        <v>311</v>
      </c>
      <c r="F34" s="633">
        <v>600</v>
      </c>
      <c r="G34" s="666">
        <v>1008.28056</v>
      </c>
    </row>
    <row r="35" spans="1:8" ht="15">
      <c r="A35" s="529" t="s">
        <v>607</v>
      </c>
      <c r="B35" s="530" t="s">
        <v>728</v>
      </c>
      <c r="C35" s="531">
        <v>2017</v>
      </c>
      <c r="D35" s="657">
        <v>6</v>
      </c>
      <c r="E35" s="627">
        <v>1043</v>
      </c>
      <c r="F35" s="627">
        <v>120</v>
      </c>
      <c r="G35" s="658">
        <v>1879.0392300000001</v>
      </c>
    </row>
    <row r="36" spans="1:8" ht="15">
      <c r="A36" s="524" t="s">
        <v>609</v>
      </c>
      <c r="B36" s="525" t="s">
        <v>729</v>
      </c>
      <c r="C36" s="526">
        <v>2017</v>
      </c>
      <c r="D36" s="655">
        <v>10</v>
      </c>
      <c r="E36" s="626">
        <v>1400</v>
      </c>
      <c r="F36" s="626">
        <v>800</v>
      </c>
      <c r="G36" s="656">
        <v>2676.4217899999999</v>
      </c>
    </row>
    <row r="37" spans="1:8" ht="15">
      <c r="A37" s="529" t="s">
        <v>610</v>
      </c>
      <c r="B37" s="525" t="s">
        <v>730</v>
      </c>
      <c r="C37" s="526">
        <v>2017</v>
      </c>
      <c r="D37" s="655">
        <v>0.4</v>
      </c>
      <c r="E37" s="626">
        <v>2680</v>
      </c>
      <c r="F37" s="626">
        <v>400</v>
      </c>
      <c r="G37" s="656">
        <v>4251.5429100000001</v>
      </c>
    </row>
    <row r="38" spans="1:8" ht="15">
      <c r="A38" s="529" t="s">
        <v>611</v>
      </c>
      <c r="B38" s="525" t="s">
        <v>731</v>
      </c>
      <c r="C38" s="526">
        <v>2017</v>
      </c>
      <c r="D38" s="655">
        <v>0.4</v>
      </c>
      <c r="E38" s="626">
        <v>5900</v>
      </c>
      <c r="F38" s="626">
        <v>600</v>
      </c>
      <c r="G38" s="656">
        <v>5925.1532049999996</v>
      </c>
      <c r="H38" s="634"/>
    </row>
    <row r="39" spans="1:8" ht="15">
      <c r="A39" s="524" t="s">
        <v>612</v>
      </c>
      <c r="B39" s="525" t="s">
        <v>732</v>
      </c>
      <c r="C39" s="526">
        <v>2017</v>
      </c>
      <c r="D39" s="655">
        <v>10</v>
      </c>
      <c r="E39" s="626">
        <v>1860</v>
      </c>
      <c r="F39" s="626">
        <v>480</v>
      </c>
      <c r="G39" s="656">
        <v>3232.09917</v>
      </c>
    </row>
    <row r="40" spans="1:8" ht="15">
      <c r="A40" s="529" t="s">
        <v>613</v>
      </c>
      <c r="B40" s="525" t="s">
        <v>733</v>
      </c>
      <c r="C40" s="526">
        <v>2017</v>
      </c>
      <c r="D40" s="655">
        <v>6</v>
      </c>
      <c r="E40" s="626">
        <v>450</v>
      </c>
      <c r="F40" s="626">
        <v>40</v>
      </c>
      <c r="G40" s="656">
        <v>1031.64687</v>
      </c>
    </row>
    <row r="41" spans="1:8" ht="15">
      <c r="A41" s="529" t="s">
        <v>614</v>
      </c>
      <c r="B41" s="525" t="s">
        <v>734</v>
      </c>
      <c r="C41" s="526">
        <v>2017</v>
      </c>
      <c r="D41" s="655">
        <v>6</v>
      </c>
      <c r="E41" s="626">
        <v>60</v>
      </c>
      <c r="F41" s="626">
        <v>100</v>
      </c>
      <c r="G41" s="656">
        <v>111.3015</v>
      </c>
    </row>
    <row r="42" spans="1:8" ht="15">
      <c r="A42" s="524" t="s">
        <v>615</v>
      </c>
      <c r="B42" s="601" t="s">
        <v>735</v>
      </c>
      <c r="C42" s="526">
        <v>2017</v>
      </c>
      <c r="D42" s="655">
        <v>10</v>
      </c>
      <c r="E42" s="626">
        <v>200</v>
      </c>
      <c r="F42" s="626">
        <v>145</v>
      </c>
      <c r="G42" s="656">
        <v>469.52659</v>
      </c>
    </row>
    <row r="43" spans="1:8" ht="15">
      <c r="A43" s="529" t="s">
        <v>616</v>
      </c>
      <c r="B43" s="597" t="s">
        <v>736</v>
      </c>
      <c r="C43" s="526">
        <v>2017</v>
      </c>
      <c r="D43" s="655">
        <v>6</v>
      </c>
      <c r="E43" s="626">
        <v>85</v>
      </c>
      <c r="F43" s="626">
        <v>300</v>
      </c>
      <c r="G43" s="656">
        <v>82.126750000000001</v>
      </c>
    </row>
    <row r="44" spans="1:8" ht="15">
      <c r="A44" s="529" t="s">
        <v>617</v>
      </c>
      <c r="B44" s="602" t="s">
        <v>737</v>
      </c>
      <c r="C44" s="531">
        <v>2017</v>
      </c>
      <c r="D44" s="657">
        <v>10</v>
      </c>
      <c r="E44" s="627">
        <v>5600</v>
      </c>
      <c r="F44" s="627">
        <v>600</v>
      </c>
      <c r="G44" s="658">
        <v>5925.1532049999996</v>
      </c>
    </row>
    <row r="45" spans="1:8" ht="15">
      <c r="A45" s="529" t="s">
        <v>618</v>
      </c>
      <c r="B45" s="530" t="s">
        <v>738</v>
      </c>
      <c r="C45" s="531">
        <v>2017</v>
      </c>
      <c r="D45" s="657">
        <v>0.4</v>
      </c>
      <c r="E45" s="627">
        <f>4898+4150</f>
        <v>9048</v>
      </c>
      <c r="F45" s="627">
        <f>655+455</f>
        <v>1110</v>
      </c>
      <c r="G45" s="658">
        <f>11101.27447+10144.09356</f>
        <v>21245.368029999998</v>
      </c>
    </row>
    <row r="46" spans="1:8" ht="15">
      <c r="A46" s="529" t="s">
        <v>619</v>
      </c>
      <c r="B46" s="530" t="s">
        <v>738</v>
      </c>
      <c r="C46" s="531">
        <v>2017</v>
      </c>
      <c r="D46" s="657" t="s">
        <v>401</v>
      </c>
      <c r="E46" s="627">
        <f>1910+3321</f>
        <v>5231</v>
      </c>
      <c r="F46" s="627">
        <f>302+165</f>
        <v>467</v>
      </c>
      <c r="G46" s="658">
        <f>6525.00256+5542.93686</f>
        <v>12067.939419999999</v>
      </c>
    </row>
    <row r="47" spans="1:8" ht="15.75" thickBot="1">
      <c r="A47" s="539"/>
      <c r="B47" s="540"/>
      <c r="C47" s="541"/>
      <c r="D47" s="661"/>
      <c r="E47" s="628"/>
      <c r="F47" s="628"/>
      <c r="G47" s="662"/>
    </row>
    <row r="48" spans="1:8" s="518" customFormat="1" ht="15.75" thickBot="1">
      <c r="A48" s="676" t="s">
        <v>135</v>
      </c>
      <c r="B48" s="677" t="s">
        <v>414</v>
      </c>
      <c r="C48" s="678" t="s">
        <v>380</v>
      </c>
      <c r="D48" s="678" t="s">
        <v>380</v>
      </c>
      <c r="E48" s="679" t="s">
        <v>380</v>
      </c>
      <c r="F48" s="679" t="s">
        <v>380</v>
      </c>
      <c r="G48" s="680" t="s">
        <v>380</v>
      </c>
      <c r="H48" s="652"/>
    </row>
    <row r="49" spans="1:8" s="518" customFormat="1" ht="15">
      <c r="A49" s="512" t="s">
        <v>167</v>
      </c>
      <c r="B49" s="513" t="s">
        <v>415</v>
      </c>
      <c r="C49" s="514" t="s">
        <v>380</v>
      </c>
      <c r="D49" s="650" t="s">
        <v>380</v>
      </c>
      <c r="E49" s="624" t="s">
        <v>380</v>
      </c>
      <c r="F49" s="624" t="s">
        <v>380</v>
      </c>
      <c r="G49" s="651" t="s">
        <v>380</v>
      </c>
      <c r="H49" s="652"/>
    </row>
    <row r="50" spans="1:8" s="518" customFormat="1" ht="15">
      <c r="A50" s="519" t="s">
        <v>168</v>
      </c>
      <c r="B50" s="520" t="s">
        <v>416</v>
      </c>
      <c r="C50" s="521" t="s">
        <v>380</v>
      </c>
      <c r="D50" s="653" t="s">
        <v>380</v>
      </c>
      <c r="E50" s="625" t="s">
        <v>380</v>
      </c>
      <c r="F50" s="625" t="s">
        <v>380</v>
      </c>
      <c r="G50" s="654" t="s">
        <v>380</v>
      </c>
      <c r="H50" s="652"/>
    </row>
    <row r="51" spans="1:8" s="518" customFormat="1" ht="15">
      <c r="A51" s="519" t="s">
        <v>169</v>
      </c>
      <c r="B51" s="520" t="s">
        <v>417</v>
      </c>
      <c r="C51" s="521" t="s">
        <v>380</v>
      </c>
      <c r="D51" s="653" t="s">
        <v>380</v>
      </c>
      <c r="E51" s="625" t="s">
        <v>380</v>
      </c>
      <c r="F51" s="625" t="s">
        <v>380</v>
      </c>
      <c r="G51" s="654" t="s">
        <v>380</v>
      </c>
      <c r="H51" s="652"/>
    </row>
    <row r="52" spans="1:8" ht="15" hidden="1">
      <c r="A52" s="529" t="s">
        <v>418</v>
      </c>
      <c r="B52" s="530" t="s">
        <v>399</v>
      </c>
      <c r="C52" s="531">
        <v>2017</v>
      </c>
      <c r="D52" s="657" t="s">
        <v>401</v>
      </c>
      <c r="E52" s="627"/>
      <c r="F52" s="627"/>
      <c r="G52" s="658"/>
    </row>
    <row r="53" spans="1:8" ht="15" hidden="1">
      <c r="A53" s="529" t="s">
        <v>419</v>
      </c>
      <c r="B53" s="530" t="s">
        <v>399</v>
      </c>
      <c r="C53" s="531">
        <v>2017</v>
      </c>
      <c r="D53" s="657">
        <v>35</v>
      </c>
      <c r="E53" s="627"/>
      <c r="F53" s="627"/>
      <c r="G53" s="658"/>
    </row>
    <row r="54" spans="1:8" ht="15" hidden="1">
      <c r="A54" s="529" t="s">
        <v>420</v>
      </c>
      <c r="B54" s="530" t="s">
        <v>399</v>
      </c>
      <c r="C54" s="531">
        <v>2017</v>
      </c>
      <c r="D54" s="657">
        <v>110</v>
      </c>
      <c r="E54" s="627"/>
      <c r="F54" s="627"/>
      <c r="G54" s="658"/>
    </row>
    <row r="55" spans="1:8" ht="15" hidden="1">
      <c r="A55" s="529" t="s">
        <v>421</v>
      </c>
      <c r="B55" s="530" t="s">
        <v>387</v>
      </c>
      <c r="C55" s="531">
        <v>2017</v>
      </c>
      <c r="D55" s="657" t="s">
        <v>401</v>
      </c>
      <c r="E55" s="627"/>
      <c r="F55" s="627"/>
      <c r="G55" s="658"/>
    </row>
    <row r="56" spans="1:8" ht="15" hidden="1">
      <c r="A56" s="529" t="s">
        <v>422</v>
      </c>
      <c r="B56" s="530" t="s">
        <v>387</v>
      </c>
      <c r="C56" s="531">
        <v>2017</v>
      </c>
      <c r="D56" s="657">
        <v>35</v>
      </c>
      <c r="E56" s="627"/>
      <c r="F56" s="627"/>
      <c r="G56" s="658"/>
    </row>
    <row r="57" spans="1:8" ht="15" hidden="1">
      <c r="A57" s="529" t="s">
        <v>423</v>
      </c>
      <c r="B57" s="530" t="s">
        <v>387</v>
      </c>
      <c r="C57" s="531">
        <v>2017</v>
      </c>
      <c r="D57" s="657">
        <v>110</v>
      </c>
      <c r="E57" s="627"/>
      <c r="F57" s="627"/>
      <c r="G57" s="658"/>
    </row>
    <row r="58" spans="1:8" ht="15" hidden="1">
      <c r="A58" s="529" t="s">
        <v>424</v>
      </c>
      <c r="B58" s="530" t="s">
        <v>389</v>
      </c>
      <c r="C58" s="531">
        <v>2017</v>
      </c>
      <c r="D58" s="657" t="s">
        <v>401</v>
      </c>
      <c r="E58" s="627"/>
      <c r="F58" s="627"/>
      <c r="G58" s="658"/>
    </row>
    <row r="59" spans="1:8" ht="15" hidden="1">
      <c r="A59" s="529" t="s">
        <v>425</v>
      </c>
      <c r="B59" s="530" t="s">
        <v>389</v>
      </c>
      <c r="C59" s="531">
        <v>2017</v>
      </c>
      <c r="D59" s="657">
        <v>35</v>
      </c>
      <c r="E59" s="627"/>
      <c r="F59" s="627"/>
      <c r="G59" s="658"/>
    </row>
    <row r="60" spans="1:8" ht="15" hidden="1">
      <c r="A60" s="529" t="s">
        <v>426</v>
      </c>
      <c r="B60" s="530" t="s">
        <v>389</v>
      </c>
      <c r="C60" s="531">
        <v>2017</v>
      </c>
      <c r="D60" s="657">
        <v>110</v>
      </c>
      <c r="E60" s="627"/>
      <c r="F60" s="627"/>
      <c r="G60" s="658"/>
    </row>
    <row r="61" spans="1:8" ht="15.75" thickBot="1">
      <c r="A61" s="539" t="s">
        <v>427</v>
      </c>
      <c r="B61" s="540" t="s">
        <v>392</v>
      </c>
      <c r="C61" s="541">
        <v>2017</v>
      </c>
      <c r="D61" s="661">
        <v>110</v>
      </c>
      <c r="E61" s="628"/>
      <c r="F61" s="628"/>
      <c r="G61" s="662"/>
    </row>
    <row r="62" spans="1:8" s="518" customFormat="1" ht="15">
      <c r="A62" s="512" t="s">
        <v>428</v>
      </c>
      <c r="B62" s="513" t="s">
        <v>429</v>
      </c>
      <c r="C62" s="514" t="s">
        <v>380</v>
      </c>
      <c r="D62" s="650" t="s">
        <v>380</v>
      </c>
      <c r="E62" s="624" t="s">
        <v>380</v>
      </c>
      <c r="F62" s="624" t="s">
        <v>380</v>
      </c>
      <c r="G62" s="651" t="s">
        <v>380</v>
      </c>
      <c r="H62" s="652"/>
    </row>
    <row r="63" spans="1:8" ht="15" hidden="1">
      <c r="A63" s="529" t="s">
        <v>430</v>
      </c>
      <c r="B63" s="530" t="s">
        <v>399</v>
      </c>
      <c r="C63" s="531">
        <v>2017</v>
      </c>
      <c r="D63" s="657" t="s">
        <v>401</v>
      </c>
      <c r="E63" s="627"/>
      <c r="F63" s="627"/>
      <c r="G63" s="658"/>
    </row>
    <row r="64" spans="1:8" ht="15" hidden="1">
      <c r="A64" s="529" t="s">
        <v>431</v>
      </c>
      <c r="B64" s="530" t="s">
        <v>399</v>
      </c>
      <c r="C64" s="531">
        <v>2017</v>
      </c>
      <c r="D64" s="657">
        <v>35</v>
      </c>
      <c r="E64" s="627"/>
      <c r="F64" s="627"/>
      <c r="G64" s="658"/>
    </row>
    <row r="65" spans="1:8" ht="15" hidden="1">
      <c r="A65" s="529" t="s">
        <v>432</v>
      </c>
      <c r="B65" s="530" t="s">
        <v>399</v>
      </c>
      <c r="C65" s="531">
        <v>2017</v>
      </c>
      <c r="D65" s="657">
        <v>110</v>
      </c>
      <c r="E65" s="627"/>
      <c r="F65" s="627"/>
      <c r="G65" s="658"/>
    </row>
    <row r="66" spans="1:8" ht="15" hidden="1">
      <c r="A66" s="529" t="s">
        <v>433</v>
      </c>
      <c r="B66" s="530" t="s">
        <v>387</v>
      </c>
      <c r="C66" s="531">
        <v>2017</v>
      </c>
      <c r="D66" s="657" t="s">
        <v>401</v>
      </c>
      <c r="E66" s="627"/>
      <c r="F66" s="627"/>
      <c r="G66" s="658"/>
    </row>
    <row r="67" spans="1:8" ht="15" hidden="1">
      <c r="A67" s="529" t="s">
        <v>434</v>
      </c>
      <c r="B67" s="530" t="s">
        <v>387</v>
      </c>
      <c r="C67" s="531">
        <v>2017</v>
      </c>
      <c r="D67" s="657">
        <v>35</v>
      </c>
      <c r="E67" s="627"/>
      <c r="F67" s="627"/>
      <c r="G67" s="658"/>
    </row>
    <row r="68" spans="1:8" ht="15" hidden="1">
      <c r="A68" s="529" t="s">
        <v>435</v>
      </c>
      <c r="B68" s="530" t="s">
        <v>387</v>
      </c>
      <c r="C68" s="531">
        <v>2017</v>
      </c>
      <c r="D68" s="657">
        <v>110</v>
      </c>
      <c r="E68" s="627"/>
      <c r="F68" s="627"/>
      <c r="G68" s="658"/>
    </row>
    <row r="69" spans="1:8" ht="15" hidden="1">
      <c r="A69" s="529" t="s">
        <v>436</v>
      </c>
      <c r="B69" s="530" t="s">
        <v>389</v>
      </c>
      <c r="C69" s="531">
        <v>2017</v>
      </c>
      <c r="D69" s="657" t="s">
        <v>401</v>
      </c>
      <c r="E69" s="627"/>
      <c r="F69" s="627"/>
      <c r="G69" s="658"/>
    </row>
    <row r="70" spans="1:8" ht="15" hidden="1">
      <c r="A70" s="529" t="s">
        <v>437</v>
      </c>
      <c r="B70" s="530" t="s">
        <v>389</v>
      </c>
      <c r="C70" s="531">
        <v>2017</v>
      </c>
      <c r="D70" s="657">
        <v>35</v>
      </c>
      <c r="E70" s="627"/>
      <c r="F70" s="627"/>
      <c r="G70" s="658"/>
    </row>
    <row r="71" spans="1:8" ht="15" hidden="1">
      <c r="A71" s="529" t="s">
        <v>438</v>
      </c>
      <c r="B71" s="530" t="s">
        <v>389</v>
      </c>
      <c r="C71" s="531">
        <v>2017</v>
      </c>
      <c r="D71" s="657">
        <v>110</v>
      </c>
      <c r="E71" s="627"/>
      <c r="F71" s="627"/>
      <c r="G71" s="658"/>
    </row>
    <row r="72" spans="1:8" ht="15.75" thickBot="1">
      <c r="A72" s="539" t="s">
        <v>439</v>
      </c>
      <c r="B72" s="540" t="s">
        <v>392</v>
      </c>
      <c r="C72" s="541">
        <v>2017</v>
      </c>
      <c r="D72" s="661">
        <v>110</v>
      </c>
      <c r="E72" s="628"/>
      <c r="F72" s="628"/>
      <c r="G72" s="662"/>
    </row>
    <row r="73" spans="1:8" s="518" customFormat="1" ht="15">
      <c r="A73" s="512" t="s">
        <v>170</v>
      </c>
      <c r="B73" s="513" t="s">
        <v>440</v>
      </c>
      <c r="C73" s="514" t="s">
        <v>380</v>
      </c>
      <c r="D73" s="650" t="s">
        <v>380</v>
      </c>
      <c r="E73" s="624" t="s">
        <v>380</v>
      </c>
      <c r="F73" s="624" t="s">
        <v>380</v>
      </c>
      <c r="G73" s="651" t="s">
        <v>380</v>
      </c>
      <c r="H73" s="652"/>
    </row>
    <row r="74" spans="1:8" s="518" customFormat="1" ht="15">
      <c r="A74" s="519" t="s">
        <v>171</v>
      </c>
      <c r="B74" s="520" t="s">
        <v>417</v>
      </c>
      <c r="C74" s="521" t="s">
        <v>380</v>
      </c>
      <c r="D74" s="653" t="s">
        <v>380</v>
      </c>
      <c r="E74" s="625" t="s">
        <v>380</v>
      </c>
      <c r="F74" s="625" t="s">
        <v>380</v>
      </c>
      <c r="G74" s="654" t="s">
        <v>380</v>
      </c>
      <c r="H74" s="652"/>
    </row>
    <row r="75" spans="1:8" ht="15">
      <c r="A75" s="529" t="s">
        <v>441</v>
      </c>
      <c r="B75" s="530" t="s">
        <v>399</v>
      </c>
      <c r="C75" s="531">
        <v>2017</v>
      </c>
      <c r="D75" s="657">
        <v>0.4</v>
      </c>
      <c r="E75" s="627"/>
      <c r="F75" s="627"/>
      <c r="G75" s="658"/>
    </row>
    <row r="76" spans="1:8" ht="15">
      <c r="A76" s="529" t="s">
        <v>442</v>
      </c>
      <c r="B76" s="530" t="s">
        <v>399</v>
      </c>
      <c r="C76" s="531">
        <v>2017</v>
      </c>
      <c r="D76" s="657" t="s">
        <v>401</v>
      </c>
      <c r="E76" s="627"/>
      <c r="F76" s="627"/>
      <c r="G76" s="658"/>
    </row>
    <row r="77" spans="1:8" ht="15">
      <c r="A77" s="529" t="s">
        <v>443</v>
      </c>
      <c r="B77" s="530" t="s">
        <v>399</v>
      </c>
      <c r="C77" s="531">
        <v>2017</v>
      </c>
      <c r="D77" s="657">
        <v>35</v>
      </c>
      <c r="E77" s="627"/>
      <c r="F77" s="627"/>
      <c r="G77" s="658"/>
    </row>
    <row r="78" spans="1:8" ht="15">
      <c r="A78" s="529" t="s">
        <v>444</v>
      </c>
      <c r="B78" s="530" t="s">
        <v>399</v>
      </c>
      <c r="C78" s="531">
        <v>2017</v>
      </c>
      <c r="D78" s="657">
        <v>110</v>
      </c>
      <c r="E78" s="627"/>
      <c r="F78" s="627"/>
      <c r="G78" s="658"/>
    </row>
    <row r="79" spans="1:8" ht="15">
      <c r="A79" s="529" t="s">
        <v>445</v>
      </c>
      <c r="B79" s="530" t="s">
        <v>387</v>
      </c>
      <c r="C79" s="531">
        <v>2017</v>
      </c>
      <c r="D79" s="657">
        <v>0.4</v>
      </c>
      <c r="E79" s="627">
        <v>200</v>
      </c>
      <c r="F79" s="627">
        <v>170</v>
      </c>
      <c r="G79" s="658">
        <v>385.47989000000001</v>
      </c>
    </row>
    <row r="80" spans="1:8" ht="15">
      <c r="A80" s="529" t="s">
        <v>446</v>
      </c>
      <c r="B80" s="530" t="s">
        <v>387</v>
      </c>
      <c r="C80" s="531">
        <v>2017</v>
      </c>
      <c r="D80" s="657" t="s">
        <v>401</v>
      </c>
      <c r="E80" s="627">
        <v>200</v>
      </c>
      <c r="F80" s="627">
        <v>165.4</v>
      </c>
      <c r="G80" s="658">
        <v>395.11894999999998</v>
      </c>
    </row>
    <row r="81" spans="1:8" ht="15" hidden="1">
      <c r="A81" s="529" t="s">
        <v>447</v>
      </c>
      <c r="B81" s="530" t="s">
        <v>387</v>
      </c>
      <c r="C81" s="531">
        <v>2017</v>
      </c>
      <c r="D81" s="657">
        <v>35</v>
      </c>
      <c r="E81" s="627"/>
      <c r="F81" s="627"/>
      <c r="G81" s="658"/>
    </row>
    <row r="82" spans="1:8" ht="15" hidden="1">
      <c r="A82" s="529" t="s">
        <v>448</v>
      </c>
      <c r="B82" s="530" t="s">
        <v>387</v>
      </c>
      <c r="C82" s="531">
        <v>2017</v>
      </c>
      <c r="D82" s="657">
        <v>110</v>
      </c>
      <c r="E82" s="627"/>
      <c r="F82" s="627"/>
      <c r="G82" s="658"/>
    </row>
    <row r="83" spans="1:8" ht="15" hidden="1">
      <c r="A83" s="529" t="s">
        <v>449</v>
      </c>
      <c r="B83" s="530" t="s">
        <v>389</v>
      </c>
      <c r="C83" s="531">
        <v>2017</v>
      </c>
      <c r="D83" s="657">
        <v>0.4</v>
      </c>
      <c r="E83" s="627"/>
      <c r="F83" s="627"/>
      <c r="G83" s="658"/>
    </row>
    <row r="84" spans="1:8" ht="15" hidden="1">
      <c r="A84" s="529" t="s">
        <v>450</v>
      </c>
      <c r="B84" s="530" t="s">
        <v>389</v>
      </c>
      <c r="C84" s="531">
        <v>2017</v>
      </c>
      <c r="D84" s="657" t="s">
        <v>401</v>
      </c>
      <c r="E84" s="627"/>
      <c r="F84" s="627"/>
      <c r="G84" s="658"/>
    </row>
    <row r="85" spans="1:8" ht="15" hidden="1">
      <c r="A85" s="529" t="s">
        <v>451</v>
      </c>
      <c r="B85" s="530" t="s">
        <v>389</v>
      </c>
      <c r="C85" s="531">
        <v>2017</v>
      </c>
      <c r="D85" s="657">
        <v>35</v>
      </c>
      <c r="E85" s="627"/>
      <c r="F85" s="627"/>
      <c r="G85" s="658"/>
    </row>
    <row r="86" spans="1:8" ht="15" hidden="1">
      <c r="A86" s="529" t="s">
        <v>452</v>
      </c>
      <c r="B86" s="530" t="s">
        <v>389</v>
      </c>
      <c r="C86" s="531">
        <v>2017</v>
      </c>
      <c r="D86" s="657">
        <v>110</v>
      </c>
      <c r="E86" s="627"/>
      <c r="F86" s="627"/>
      <c r="G86" s="658"/>
    </row>
    <row r="87" spans="1:8" ht="15">
      <c r="A87" s="529" t="s">
        <v>453</v>
      </c>
      <c r="B87" s="530" t="s">
        <v>392</v>
      </c>
      <c r="C87" s="531">
        <v>2017</v>
      </c>
      <c r="D87" s="657">
        <v>110</v>
      </c>
      <c r="E87" s="627"/>
      <c r="F87" s="627"/>
      <c r="G87" s="658"/>
    </row>
    <row r="88" spans="1:8" ht="15">
      <c r="A88" s="529" t="s">
        <v>453</v>
      </c>
      <c r="B88" s="603" t="s">
        <v>392</v>
      </c>
      <c r="C88" s="604">
        <v>2017</v>
      </c>
      <c r="D88" s="657">
        <v>0.4</v>
      </c>
      <c r="E88" s="627">
        <v>720</v>
      </c>
      <c r="F88" s="627">
        <v>125</v>
      </c>
      <c r="G88" s="658">
        <v>1000.3070300000001</v>
      </c>
    </row>
    <row r="89" spans="1:8" ht="15">
      <c r="A89" s="529" t="s">
        <v>453</v>
      </c>
      <c r="B89" s="603" t="s">
        <v>392</v>
      </c>
      <c r="C89" s="604">
        <v>2017</v>
      </c>
      <c r="D89" s="657">
        <v>10</v>
      </c>
      <c r="E89" s="627">
        <v>9200</v>
      </c>
      <c r="F89" s="627">
        <f>2110-510+125-1600+150</f>
        <v>275</v>
      </c>
      <c r="G89" s="658">
        <v>21077.631720000005</v>
      </c>
    </row>
    <row r="90" spans="1:8" ht="15.75" thickBot="1">
      <c r="A90" s="539" t="s">
        <v>453</v>
      </c>
      <c r="B90" s="605" t="s">
        <v>392</v>
      </c>
      <c r="C90" s="606">
        <v>2017</v>
      </c>
      <c r="D90" s="659">
        <v>6</v>
      </c>
      <c r="E90" s="636">
        <v>5360</v>
      </c>
      <c r="F90" s="636">
        <f>2700-800</f>
        <v>1900</v>
      </c>
      <c r="G90" s="660">
        <v>15751.089029999999</v>
      </c>
    </row>
    <row r="91" spans="1:8" s="518" customFormat="1" ht="15">
      <c r="A91" s="512" t="s">
        <v>172</v>
      </c>
      <c r="B91" s="513" t="s">
        <v>429</v>
      </c>
      <c r="C91" s="514" t="s">
        <v>380</v>
      </c>
      <c r="D91" s="650" t="s">
        <v>380</v>
      </c>
      <c r="E91" s="624" t="s">
        <v>380</v>
      </c>
      <c r="F91" s="624" t="s">
        <v>380</v>
      </c>
      <c r="G91" s="651" t="s">
        <v>380</v>
      </c>
      <c r="H91" s="652"/>
    </row>
    <row r="92" spans="1:8" ht="15">
      <c r="A92" s="529" t="s">
        <v>455</v>
      </c>
      <c r="B92" s="530" t="s">
        <v>399</v>
      </c>
      <c r="C92" s="531">
        <v>2017</v>
      </c>
      <c r="D92" s="657">
        <v>0.4</v>
      </c>
      <c r="E92" s="627">
        <v>40</v>
      </c>
      <c r="F92" s="627">
        <v>12</v>
      </c>
      <c r="G92" s="658">
        <v>79.739999999999995</v>
      </c>
    </row>
    <row r="93" spans="1:8" ht="15">
      <c r="A93" s="529" t="s">
        <v>456</v>
      </c>
      <c r="B93" s="530" t="s">
        <v>399</v>
      </c>
      <c r="C93" s="531">
        <v>2017</v>
      </c>
      <c r="D93" s="657" t="s">
        <v>401</v>
      </c>
      <c r="E93" s="627">
        <v>263</v>
      </c>
      <c r="F93" s="627">
        <v>12</v>
      </c>
      <c r="G93" s="658">
        <v>689.54080999999996</v>
      </c>
    </row>
    <row r="94" spans="1:8" ht="15">
      <c r="A94" s="529" t="s">
        <v>457</v>
      </c>
      <c r="B94" s="530" t="s">
        <v>399</v>
      </c>
      <c r="C94" s="531">
        <v>2017</v>
      </c>
      <c r="D94" s="657">
        <v>35</v>
      </c>
      <c r="E94" s="627"/>
      <c r="F94" s="627"/>
      <c r="G94" s="658"/>
    </row>
    <row r="95" spans="1:8" ht="15">
      <c r="A95" s="529" t="s">
        <v>458</v>
      </c>
      <c r="B95" s="530" t="s">
        <v>399</v>
      </c>
      <c r="C95" s="531">
        <v>2017</v>
      </c>
      <c r="D95" s="657">
        <v>110</v>
      </c>
      <c r="E95" s="627"/>
      <c r="F95" s="627"/>
      <c r="G95" s="658"/>
    </row>
    <row r="96" spans="1:8" ht="15">
      <c r="A96" s="529" t="s">
        <v>459</v>
      </c>
      <c r="B96" s="530" t="s">
        <v>387</v>
      </c>
      <c r="C96" s="531">
        <v>2017</v>
      </c>
      <c r="D96" s="657">
        <v>0.4</v>
      </c>
      <c r="E96" s="627">
        <v>280</v>
      </c>
      <c r="F96" s="627">
        <v>103</v>
      </c>
      <c r="G96" s="658">
        <v>692.04052999999999</v>
      </c>
    </row>
    <row r="97" spans="1:8" ht="15">
      <c r="A97" s="529" t="s">
        <v>460</v>
      </c>
      <c r="B97" s="530" t="s">
        <v>387</v>
      </c>
      <c r="C97" s="531">
        <v>2017</v>
      </c>
      <c r="D97" s="657" t="s">
        <v>401</v>
      </c>
      <c r="E97" s="627">
        <v>250</v>
      </c>
      <c r="F97" s="627">
        <v>86</v>
      </c>
      <c r="G97" s="658">
        <v>1670.2865099999999</v>
      </c>
    </row>
    <row r="98" spans="1:8" ht="15">
      <c r="A98" s="529" t="s">
        <v>461</v>
      </c>
      <c r="B98" s="530" t="s">
        <v>387</v>
      </c>
      <c r="C98" s="531">
        <v>2017</v>
      </c>
      <c r="D98" s="657">
        <v>35</v>
      </c>
      <c r="E98" s="627"/>
      <c r="F98" s="627"/>
      <c r="G98" s="658"/>
    </row>
    <row r="99" spans="1:8" ht="15">
      <c r="A99" s="529" t="s">
        <v>462</v>
      </c>
      <c r="B99" s="530" t="s">
        <v>387</v>
      </c>
      <c r="C99" s="531">
        <v>2017</v>
      </c>
      <c r="D99" s="657">
        <v>110</v>
      </c>
      <c r="E99" s="627"/>
      <c r="F99" s="627"/>
      <c r="G99" s="658"/>
    </row>
    <row r="100" spans="1:8" ht="15">
      <c r="A100" s="529" t="s">
        <v>463</v>
      </c>
      <c r="B100" s="530" t="s">
        <v>389</v>
      </c>
      <c r="C100" s="531">
        <v>2017</v>
      </c>
      <c r="D100" s="657">
        <v>0.4</v>
      </c>
      <c r="E100" s="627">
        <v>380</v>
      </c>
      <c r="F100" s="627">
        <v>55</v>
      </c>
      <c r="G100" s="658">
        <v>1577.5506800000001</v>
      </c>
    </row>
    <row r="101" spans="1:8" ht="15">
      <c r="A101" s="529" t="s">
        <v>464</v>
      </c>
      <c r="B101" s="530" t="s">
        <v>389</v>
      </c>
      <c r="C101" s="531">
        <v>2017</v>
      </c>
      <c r="D101" s="657" t="s">
        <v>401</v>
      </c>
      <c r="E101" s="627"/>
      <c r="F101" s="627"/>
      <c r="G101" s="658"/>
    </row>
    <row r="102" spans="1:8" ht="15">
      <c r="A102" s="529" t="s">
        <v>465</v>
      </c>
      <c r="B102" s="530" t="s">
        <v>389</v>
      </c>
      <c r="C102" s="531">
        <v>2017</v>
      </c>
      <c r="D102" s="657">
        <v>35</v>
      </c>
      <c r="E102" s="627"/>
      <c r="F102" s="627"/>
      <c r="G102" s="658"/>
    </row>
    <row r="103" spans="1:8" ht="15">
      <c r="A103" s="529" t="s">
        <v>466</v>
      </c>
      <c r="B103" s="530" t="s">
        <v>389</v>
      </c>
      <c r="C103" s="531">
        <v>2017</v>
      </c>
      <c r="D103" s="657">
        <v>110</v>
      </c>
      <c r="E103" s="627"/>
      <c r="F103" s="627"/>
      <c r="G103" s="658"/>
    </row>
    <row r="104" spans="1:8" ht="15.75" thickBot="1">
      <c r="A104" s="539" t="s">
        <v>467</v>
      </c>
      <c r="B104" s="540" t="s">
        <v>392</v>
      </c>
      <c r="C104" s="541">
        <v>2017</v>
      </c>
      <c r="D104" s="661">
        <v>110</v>
      </c>
      <c r="E104" s="628"/>
      <c r="F104" s="628"/>
      <c r="G104" s="662"/>
    </row>
    <row r="105" spans="1:8" s="518" customFormat="1" ht="15">
      <c r="A105" s="512" t="s">
        <v>173</v>
      </c>
      <c r="B105" s="513" t="s">
        <v>468</v>
      </c>
      <c r="C105" s="514" t="s">
        <v>380</v>
      </c>
      <c r="D105" s="650" t="s">
        <v>380</v>
      </c>
      <c r="E105" s="624" t="s">
        <v>380</v>
      </c>
      <c r="F105" s="624" t="s">
        <v>380</v>
      </c>
      <c r="G105" s="651" t="s">
        <v>380</v>
      </c>
      <c r="H105" s="652"/>
    </row>
    <row r="106" spans="1:8" s="518" customFormat="1" ht="15">
      <c r="A106" s="519" t="s">
        <v>174</v>
      </c>
      <c r="B106" s="520" t="s">
        <v>416</v>
      </c>
      <c r="C106" s="521" t="s">
        <v>380</v>
      </c>
      <c r="D106" s="653" t="s">
        <v>380</v>
      </c>
      <c r="E106" s="625" t="s">
        <v>380</v>
      </c>
      <c r="F106" s="625" t="s">
        <v>380</v>
      </c>
      <c r="G106" s="654" t="s">
        <v>380</v>
      </c>
      <c r="H106" s="652"/>
    </row>
    <row r="107" spans="1:8" s="518" customFormat="1" ht="15">
      <c r="A107" s="519" t="s">
        <v>175</v>
      </c>
      <c r="B107" s="520" t="s">
        <v>417</v>
      </c>
      <c r="C107" s="521" t="s">
        <v>380</v>
      </c>
      <c r="D107" s="653" t="s">
        <v>380</v>
      </c>
      <c r="E107" s="625" t="s">
        <v>380</v>
      </c>
      <c r="F107" s="625" t="s">
        <v>380</v>
      </c>
      <c r="G107" s="654" t="s">
        <v>380</v>
      </c>
      <c r="H107" s="652"/>
    </row>
    <row r="108" spans="1:8" ht="15">
      <c r="A108" s="529" t="s">
        <v>469</v>
      </c>
      <c r="B108" s="530" t="s">
        <v>399</v>
      </c>
      <c r="C108" s="531">
        <v>2017</v>
      </c>
      <c r="D108" s="657" t="s">
        <v>401</v>
      </c>
      <c r="E108" s="627"/>
      <c r="F108" s="627"/>
      <c r="G108" s="658"/>
    </row>
    <row r="109" spans="1:8" ht="15" hidden="1">
      <c r="A109" s="529" t="s">
        <v>470</v>
      </c>
      <c r="B109" s="530" t="s">
        <v>399</v>
      </c>
      <c r="C109" s="531">
        <v>2017</v>
      </c>
      <c r="D109" s="657">
        <v>35</v>
      </c>
      <c r="E109" s="627"/>
      <c r="F109" s="627"/>
      <c r="G109" s="658"/>
    </row>
    <row r="110" spans="1:8" ht="15" hidden="1">
      <c r="A110" s="529" t="s">
        <v>471</v>
      </c>
      <c r="B110" s="530" t="s">
        <v>399</v>
      </c>
      <c r="C110" s="531">
        <v>2017</v>
      </c>
      <c r="D110" s="657">
        <v>110</v>
      </c>
      <c r="E110" s="627"/>
      <c r="F110" s="627"/>
      <c r="G110" s="658"/>
    </row>
    <row r="111" spans="1:8" ht="15" hidden="1">
      <c r="A111" s="529" t="s">
        <v>472</v>
      </c>
      <c r="B111" s="530" t="s">
        <v>387</v>
      </c>
      <c r="C111" s="531">
        <v>2017</v>
      </c>
      <c r="D111" s="657" t="s">
        <v>401</v>
      </c>
      <c r="E111" s="627"/>
      <c r="F111" s="627"/>
      <c r="G111" s="658"/>
    </row>
    <row r="112" spans="1:8" ht="15" hidden="1">
      <c r="A112" s="529" t="s">
        <v>473</v>
      </c>
      <c r="B112" s="530" t="s">
        <v>387</v>
      </c>
      <c r="C112" s="531">
        <v>2017</v>
      </c>
      <c r="D112" s="657">
        <v>35</v>
      </c>
      <c r="E112" s="627"/>
      <c r="F112" s="627"/>
      <c r="G112" s="658"/>
    </row>
    <row r="113" spans="1:8" ht="15" hidden="1">
      <c r="A113" s="529" t="s">
        <v>474</v>
      </c>
      <c r="B113" s="530" t="s">
        <v>387</v>
      </c>
      <c r="C113" s="531">
        <v>2017</v>
      </c>
      <c r="D113" s="657">
        <v>110</v>
      </c>
      <c r="E113" s="627"/>
      <c r="F113" s="627"/>
      <c r="G113" s="658"/>
    </row>
    <row r="114" spans="1:8" ht="15" hidden="1">
      <c r="A114" s="529" t="s">
        <v>475</v>
      </c>
      <c r="B114" s="530" t="s">
        <v>389</v>
      </c>
      <c r="C114" s="531">
        <v>2017</v>
      </c>
      <c r="D114" s="657" t="s">
        <v>401</v>
      </c>
      <c r="E114" s="627"/>
      <c r="F114" s="627"/>
      <c r="G114" s="658"/>
    </row>
    <row r="115" spans="1:8" ht="15" hidden="1">
      <c r="A115" s="529" t="s">
        <v>476</v>
      </c>
      <c r="B115" s="530" t="s">
        <v>389</v>
      </c>
      <c r="C115" s="531">
        <v>2017</v>
      </c>
      <c r="D115" s="657">
        <v>35</v>
      </c>
      <c r="E115" s="627"/>
      <c r="F115" s="627"/>
      <c r="G115" s="658"/>
    </row>
    <row r="116" spans="1:8" ht="15" hidden="1">
      <c r="A116" s="529" t="s">
        <v>477</v>
      </c>
      <c r="B116" s="530" t="s">
        <v>389</v>
      </c>
      <c r="C116" s="531">
        <v>2017</v>
      </c>
      <c r="D116" s="657">
        <v>110</v>
      </c>
      <c r="E116" s="627"/>
      <c r="F116" s="627"/>
      <c r="G116" s="658"/>
    </row>
    <row r="117" spans="1:8" ht="15.75" thickBot="1">
      <c r="A117" s="539" t="s">
        <v>478</v>
      </c>
      <c r="B117" s="540" t="s">
        <v>392</v>
      </c>
      <c r="C117" s="541">
        <v>2017</v>
      </c>
      <c r="D117" s="661">
        <v>110</v>
      </c>
      <c r="E117" s="628"/>
      <c r="F117" s="628"/>
      <c r="G117" s="662"/>
    </row>
    <row r="118" spans="1:8" s="518" customFormat="1" ht="15">
      <c r="A118" s="512" t="s">
        <v>176</v>
      </c>
      <c r="B118" s="513" t="s">
        <v>429</v>
      </c>
      <c r="C118" s="514" t="s">
        <v>380</v>
      </c>
      <c r="D118" s="650" t="s">
        <v>380</v>
      </c>
      <c r="E118" s="624" t="s">
        <v>380</v>
      </c>
      <c r="F118" s="624" t="s">
        <v>380</v>
      </c>
      <c r="G118" s="651" t="s">
        <v>380</v>
      </c>
      <c r="H118" s="652"/>
    </row>
    <row r="119" spans="1:8" ht="15">
      <c r="A119" s="529" t="s">
        <v>480</v>
      </c>
      <c r="B119" s="530" t="s">
        <v>399</v>
      </c>
      <c r="C119" s="531">
        <v>2017</v>
      </c>
      <c r="D119" s="657" t="s">
        <v>401</v>
      </c>
      <c r="E119" s="627"/>
      <c r="F119" s="627"/>
      <c r="G119" s="658"/>
    </row>
    <row r="120" spans="1:8" ht="15" hidden="1">
      <c r="A120" s="529" t="s">
        <v>481</v>
      </c>
      <c r="B120" s="530" t="s">
        <v>399</v>
      </c>
      <c r="C120" s="531">
        <v>2017</v>
      </c>
      <c r="D120" s="657">
        <v>35</v>
      </c>
      <c r="E120" s="627"/>
      <c r="F120" s="627"/>
      <c r="G120" s="658"/>
    </row>
    <row r="121" spans="1:8" ht="15" hidden="1">
      <c r="A121" s="529" t="s">
        <v>482</v>
      </c>
      <c r="B121" s="530" t="s">
        <v>399</v>
      </c>
      <c r="C121" s="531">
        <v>2017</v>
      </c>
      <c r="D121" s="657">
        <v>110</v>
      </c>
      <c r="E121" s="627"/>
      <c r="F121" s="627"/>
      <c r="G121" s="658"/>
    </row>
    <row r="122" spans="1:8" ht="15" hidden="1">
      <c r="A122" s="529" t="s">
        <v>483</v>
      </c>
      <c r="B122" s="530" t="s">
        <v>387</v>
      </c>
      <c r="C122" s="531">
        <v>2017</v>
      </c>
      <c r="D122" s="657" t="s">
        <v>401</v>
      </c>
      <c r="E122" s="627"/>
      <c r="F122" s="627"/>
      <c r="G122" s="658"/>
    </row>
    <row r="123" spans="1:8" ht="15" hidden="1">
      <c r="A123" s="529" t="s">
        <v>484</v>
      </c>
      <c r="B123" s="530" t="s">
        <v>387</v>
      </c>
      <c r="C123" s="531">
        <v>2017</v>
      </c>
      <c r="D123" s="657">
        <v>35</v>
      </c>
      <c r="E123" s="627"/>
      <c r="F123" s="627"/>
      <c r="G123" s="658"/>
    </row>
    <row r="124" spans="1:8" ht="15" hidden="1">
      <c r="A124" s="529" t="s">
        <v>485</v>
      </c>
      <c r="B124" s="530" t="s">
        <v>387</v>
      </c>
      <c r="C124" s="531">
        <v>2017</v>
      </c>
      <c r="D124" s="657">
        <v>110</v>
      </c>
      <c r="E124" s="627"/>
      <c r="F124" s="627"/>
      <c r="G124" s="658"/>
    </row>
    <row r="125" spans="1:8" ht="15" hidden="1">
      <c r="A125" s="529" t="s">
        <v>486</v>
      </c>
      <c r="B125" s="530" t="s">
        <v>389</v>
      </c>
      <c r="C125" s="531">
        <v>2017</v>
      </c>
      <c r="D125" s="657" t="s">
        <v>401</v>
      </c>
      <c r="E125" s="627"/>
      <c r="F125" s="627"/>
      <c r="G125" s="658"/>
    </row>
    <row r="126" spans="1:8" ht="15" hidden="1">
      <c r="A126" s="529" t="s">
        <v>487</v>
      </c>
      <c r="B126" s="530" t="s">
        <v>389</v>
      </c>
      <c r="C126" s="531">
        <v>2017</v>
      </c>
      <c r="D126" s="657">
        <v>35</v>
      </c>
      <c r="E126" s="627"/>
      <c r="F126" s="627"/>
      <c r="G126" s="658"/>
    </row>
    <row r="127" spans="1:8" ht="15" hidden="1">
      <c r="A127" s="529" t="s">
        <v>488</v>
      </c>
      <c r="B127" s="530" t="s">
        <v>389</v>
      </c>
      <c r="C127" s="531">
        <v>2017</v>
      </c>
      <c r="D127" s="657">
        <v>110</v>
      </c>
      <c r="E127" s="627"/>
      <c r="F127" s="627"/>
      <c r="G127" s="658"/>
    </row>
    <row r="128" spans="1:8" ht="15.75" thickBot="1">
      <c r="A128" s="539" t="s">
        <v>489</v>
      </c>
      <c r="B128" s="540" t="s">
        <v>392</v>
      </c>
      <c r="C128" s="541">
        <v>2017</v>
      </c>
      <c r="D128" s="661">
        <v>110</v>
      </c>
      <c r="E128" s="628"/>
      <c r="F128" s="628"/>
      <c r="G128" s="662"/>
    </row>
    <row r="129" spans="1:8" s="518" customFormat="1" ht="15">
      <c r="A129" s="519" t="s">
        <v>177</v>
      </c>
      <c r="B129" s="520" t="s">
        <v>440</v>
      </c>
      <c r="C129" s="521" t="s">
        <v>380</v>
      </c>
      <c r="D129" s="653" t="s">
        <v>380</v>
      </c>
      <c r="E129" s="625" t="s">
        <v>380</v>
      </c>
      <c r="F129" s="625" t="s">
        <v>380</v>
      </c>
      <c r="G129" s="654" t="s">
        <v>380</v>
      </c>
      <c r="H129" s="652"/>
    </row>
    <row r="130" spans="1:8" s="518" customFormat="1" ht="15">
      <c r="A130" s="519" t="s">
        <v>178</v>
      </c>
      <c r="B130" s="520" t="s">
        <v>417</v>
      </c>
      <c r="C130" s="521" t="s">
        <v>380</v>
      </c>
      <c r="D130" s="653" t="s">
        <v>380</v>
      </c>
      <c r="E130" s="625" t="s">
        <v>380</v>
      </c>
      <c r="F130" s="625" t="s">
        <v>380</v>
      </c>
      <c r="G130" s="654" t="s">
        <v>380</v>
      </c>
      <c r="H130" s="652"/>
    </row>
    <row r="131" spans="1:8" ht="15">
      <c r="A131" s="529" t="s">
        <v>490</v>
      </c>
      <c r="B131" s="530" t="s">
        <v>399</v>
      </c>
      <c r="C131" s="531">
        <v>2017</v>
      </c>
      <c r="D131" s="657" t="s">
        <v>401</v>
      </c>
      <c r="E131" s="627"/>
      <c r="F131" s="627"/>
      <c r="G131" s="658"/>
    </row>
    <row r="132" spans="1:8" ht="15" hidden="1">
      <c r="A132" s="529" t="s">
        <v>491</v>
      </c>
      <c r="B132" s="530" t="s">
        <v>399</v>
      </c>
      <c r="C132" s="531">
        <v>2017</v>
      </c>
      <c r="D132" s="657">
        <v>35</v>
      </c>
      <c r="E132" s="627"/>
      <c r="F132" s="627"/>
      <c r="G132" s="658"/>
    </row>
    <row r="133" spans="1:8" ht="15" hidden="1">
      <c r="A133" s="529" t="s">
        <v>492</v>
      </c>
      <c r="B133" s="530" t="s">
        <v>399</v>
      </c>
      <c r="C133" s="531">
        <v>2017</v>
      </c>
      <c r="D133" s="657">
        <v>110</v>
      </c>
      <c r="E133" s="627"/>
      <c r="F133" s="627"/>
      <c r="G133" s="658"/>
    </row>
    <row r="134" spans="1:8" ht="15" hidden="1">
      <c r="A134" s="529" t="s">
        <v>493</v>
      </c>
      <c r="B134" s="530" t="s">
        <v>387</v>
      </c>
      <c r="C134" s="531">
        <v>2017</v>
      </c>
      <c r="D134" s="657" t="s">
        <v>401</v>
      </c>
      <c r="E134" s="627"/>
      <c r="F134" s="627"/>
      <c r="G134" s="658"/>
    </row>
    <row r="135" spans="1:8" ht="15" hidden="1">
      <c r="A135" s="529" t="s">
        <v>494</v>
      </c>
      <c r="B135" s="530" t="s">
        <v>387</v>
      </c>
      <c r="C135" s="531">
        <v>2017</v>
      </c>
      <c r="D135" s="657">
        <v>35</v>
      </c>
      <c r="E135" s="627"/>
      <c r="F135" s="627"/>
      <c r="G135" s="658"/>
    </row>
    <row r="136" spans="1:8" ht="15" hidden="1">
      <c r="A136" s="529" t="s">
        <v>495</v>
      </c>
      <c r="B136" s="530" t="s">
        <v>387</v>
      </c>
      <c r="C136" s="531">
        <v>2017</v>
      </c>
      <c r="D136" s="657">
        <v>110</v>
      </c>
      <c r="E136" s="627"/>
      <c r="F136" s="627"/>
      <c r="G136" s="658"/>
    </row>
    <row r="137" spans="1:8" ht="15" hidden="1">
      <c r="A137" s="529" t="s">
        <v>496</v>
      </c>
      <c r="B137" s="530" t="s">
        <v>389</v>
      </c>
      <c r="C137" s="531">
        <v>2017</v>
      </c>
      <c r="D137" s="657" t="s">
        <v>401</v>
      </c>
      <c r="E137" s="627"/>
      <c r="F137" s="627"/>
      <c r="G137" s="658"/>
    </row>
    <row r="138" spans="1:8" ht="15" hidden="1">
      <c r="A138" s="529" t="s">
        <v>497</v>
      </c>
      <c r="B138" s="530" t="s">
        <v>389</v>
      </c>
      <c r="C138" s="531">
        <v>2017</v>
      </c>
      <c r="D138" s="657">
        <v>35</v>
      </c>
      <c r="E138" s="627"/>
      <c r="F138" s="627"/>
      <c r="G138" s="658"/>
    </row>
    <row r="139" spans="1:8" ht="15" hidden="1">
      <c r="A139" s="529" t="s">
        <v>498</v>
      </c>
      <c r="B139" s="530" t="s">
        <v>389</v>
      </c>
      <c r="C139" s="531">
        <v>2017</v>
      </c>
      <c r="D139" s="657">
        <v>110</v>
      </c>
      <c r="E139" s="627"/>
      <c r="F139" s="627"/>
      <c r="G139" s="658"/>
    </row>
    <row r="140" spans="1:8" ht="15.75" thickBot="1">
      <c r="A140" s="539" t="s">
        <v>499</v>
      </c>
      <c r="B140" s="540" t="s">
        <v>392</v>
      </c>
      <c r="C140" s="541">
        <v>2017</v>
      </c>
      <c r="D140" s="661">
        <v>110</v>
      </c>
      <c r="E140" s="628"/>
      <c r="F140" s="628"/>
      <c r="G140" s="662"/>
    </row>
    <row r="141" spans="1:8" s="518" customFormat="1" ht="15">
      <c r="A141" s="512" t="s">
        <v>179</v>
      </c>
      <c r="B141" s="513" t="s">
        <v>429</v>
      </c>
      <c r="C141" s="514" t="s">
        <v>380</v>
      </c>
      <c r="D141" s="650" t="s">
        <v>380</v>
      </c>
      <c r="E141" s="624" t="s">
        <v>380</v>
      </c>
      <c r="F141" s="624" t="s">
        <v>380</v>
      </c>
      <c r="G141" s="651" t="s">
        <v>380</v>
      </c>
      <c r="H141" s="652"/>
    </row>
    <row r="142" spans="1:8" ht="15">
      <c r="A142" s="529" t="s">
        <v>500</v>
      </c>
      <c r="B142" s="530" t="s">
        <v>399</v>
      </c>
      <c r="C142" s="531">
        <v>2017</v>
      </c>
      <c r="D142" s="657" t="s">
        <v>401</v>
      </c>
      <c r="E142" s="627"/>
      <c r="F142" s="627"/>
      <c r="G142" s="658"/>
    </row>
    <row r="143" spans="1:8" ht="15" hidden="1">
      <c r="A143" s="529" t="s">
        <v>501</v>
      </c>
      <c r="B143" s="530" t="s">
        <v>399</v>
      </c>
      <c r="C143" s="531">
        <v>2017</v>
      </c>
      <c r="D143" s="657">
        <v>35</v>
      </c>
      <c r="E143" s="627"/>
      <c r="F143" s="627"/>
      <c r="G143" s="658"/>
    </row>
    <row r="144" spans="1:8" ht="15" hidden="1">
      <c r="A144" s="529" t="s">
        <v>502</v>
      </c>
      <c r="B144" s="530" t="s">
        <v>399</v>
      </c>
      <c r="C144" s="531">
        <v>2017</v>
      </c>
      <c r="D144" s="657">
        <v>110</v>
      </c>
      <c r="E144" s="627"/>
      <c r="F144" s="627"/>
      <c r="G144" s="658"/>
    </row>
    <row r="145" spans="1:8" ht="15" hidden="1">
      <c r="A145" s="529" t="s">
        <v>503</v>
      </c>
      <c r="B145" s="530" t="s">
        <v>387</v>
      </c>
      <c r="C145" s="531">
        <v>2017</v>
      </c>
      <c r="D145" s="657" t="s">
        <v>401</v>
      </c>
      <c r="E145" s="627"/>
      <c r="F145" s="627"/>
      <c r="G145" s="658"/>
    </row>
    <row r="146" spans="1:8" ht="15" hidden="1">
      <c r="A146" s="529" t="s">
        <v>504</v>
      </c>
      <c r="B146" s="530" t="s">
        <v>387</v>
      </c>
      <c r="C146" s="531">
        <v>2017</v>
      </c>
      <c r="D146" s="657">
        <v>35</v>
      </c>
      <c r="E146" s="627"/>
      <c r="F146" s="627"/>
      <c r="G146" s="658"/>
    </row>
    <row r="147" spans="1:8" ht="15" hidden="1">
      <c r="A147" s="529" t="s">
        <v>505</v>
      </c>
      <c r="B147" s="530" t="s">
        <v>387</v>
      </c>
      <c r="C147" s="531">
        <v>2017</v>
      </c>
      <c r="D147" s="657">
        <v>110</v>
      </c>
      <c r="E147" s="627"/>
      <c r="F147" s="627"/>
      <c r="G147" s="658"/>
    </row>
    <row r="148" spans="1:8" ht="15" hidden="1">
      <c r="A148" s="529" t="s">
        <v>506</v>
      </c>
      <c r="B148" s="530" t="s">
        <v>389</v>
      </c>
      <c r="C148" s="531">
        <v>2017</v>
      </c>
      <c r="D148" s="657" t="s">
        <v>401</v>
      </c>
      <c r="E148" s="627"/>
      <c r="F148" s="627"/>
      <c r="G148" s="658"/>
    </row>
    <row r="149" spans="1:8" ht="15" hidden="1">
      <c r="A149" s="529" t="s">
        <v>507</v>
      </c>
      <c r="B149" s="530" t="s">
        <v>389</v>
      </c>
      <c r="C149" s="531">
        <v>2017</v>
      </c>
      <c r="D149" s="657">
        <v>35</v>
      </c>
      <c r="E149" s="627"/>
      <c r="F149" s="627"/>
      <c r="G149" s="658"/>
    </row>
    <row r="150" spans="1:8" ht="15" hidden="1">
      <c r="A150" s="529" t="s">
        <v>508</v>
      </c>
      <c r="B150" s="530" t="s">
        <v>389</v>
      </c>
      <c r="C150" s="531">
        <v>2017</v>
      </c>
      <c r="D150" s="657">
        <v>110</v>
      </c>
      <c r="E150" s="627"/>
      <c r="F150" s="627"/>
      <c r="G150" s="658"/>
    </row>
    <row r="151" spans="1:8" ht="15.75" thickBot="1">
      <c r="A151" s="539" t="s">
        <v>509</v>
      </c>
      <c r="B151" s="540" t="s">
        <v>392</v>
      </c>
      <c r="C151" s="541">
        <v>2017</v>
      </c>
      <c r="D151" s="661">
        <v>110</v>
      </c>
      <c r="E151" s="628"/>
      <c r="F151" s="628"/>
      <c r="G151" s="662"/>
    </row>
    <row r="152" spans="1:8" s="518" customFormat="1" ht="30">
      <c r="A152" s="512" t="s">
        <v>180</v>
      </c>
      <c r="B152" s="513" t="s">
        <v>510</v>
      </c>
      <c r="C152" s="514" t="s">
        <v>380</v>
      </c>
      <c r="D152" s="650" t="s">
        <v>380</v>
      </c>
      <c r="E152" s="624" t="s">
        <v>380</v>
      </c>
      <c r="F152" s="624" t="s">
        <v>380</v>
      </c>
      <c r="G152" s="651" t="s">
        <v>380</v>
      </c>
      <c r="H152" s="652"/>
    </row>
    <row r="153" spans="1:8" s="518" customFormat="1" ht="15">
      <c r="A153" s="519" t="s">
        <v>181</v>
      </c>
      <c r="B153" s="520" t="s">
        <v>440</v>
      </c>
      <c r="C153" s="521" t="s">
        <v>380</v>
      </c>
      <c r="D153" s="653" t="s">
        <v>380</v>
      </c>
      <c r="E153" s="625" t="s">
        <v>380</v>
      </c>
      <c r="F153" s="625" t="s">
        <v>380</v>
      </c>
      <c r="G153" s="654" t="s">
        <v>380</v>
      </c>
      <c r="H153" s="652"/>
    </row>
    <row r="154" spans="1:8" s="518" customFormat="1" ht="15">
      <c r="A154" s="519" t="s">
        <v>511</v>
      </c>
      <c r="B154" s="520" t="s">
        <v>417</v>
      </c>
      <c r="C154" s="521" t="s">
        <v>380</v>
      </c>
      <c r="D154" s="653" t="s">
        <v>380</v>
      </c>
      <c r="E154" s="625" t="s">
        <v>380</v>
      </c>
      <c r="F154" s="625" t="s">
        <v>380</v>
      </c>
      <c r="G154" s="654" t="s">
        <v>380</v>
      </c>
      <c r="H154" s="652"/>
    </row>
    <row r="155" spans="1:8" ht="15" hidden="1">
      <c r="A155" s="529" t="s">
        <v>512</v>
      </c>
      <c r="B155" s="530" t="s">
        <v>392</v>
      </c>
      <c r="C155" s="531">
        <v>2017</v>
      </c>
      <c r="D155" s="657" t="s">
        <v>401</v>
      </c>
      <c r="E155" s="627"/>
      <c r="F155" s="627"/>
      <c r="G155" s="658"/>
    </row>
    <row r="156" spans="1:8" ht="15" hidden="1">
      <c r="A156" s="529" t="s">
        <v>513</v>
      </c>
      <c r="B156" s="530" t="s">
        <v>392</v>
      </c>
      <c r="C156" s="531">
        <v>2017</v>
      </c>
      <c r="D156" s="657">
        <v>35</v>
      </c>
      <c r="E156" s="627"/>
      <c r="F156" s="627"/>
      <c r="G156" s="658"/>
    </row>
    <row r="157" spans="1:8" ht="15" hidden="1">
      <c r="A157" s="529" t="s">
        <v>514</v>
      </c>
      <c r="B157" s="530" t="s">
        <v>392</v>
      </c>
      <c r="C157" s="531">
        <v>2017</v>
      </c>
      <c r="D157" s="657">
        <v>110</v>
      </c>
      <c r="E157" s="627"/>
      <c r="F157" s="627"/>
      <c r="G157" s="658"/>
    </row>
    <row r="158" spans="1:8" s="518" customFormat="1" ht="15">
      <c r="A158" s="519" t="s">
        <v>515</v>
      </c>
      <c r="B158" s="520" t="s">
        <v>429</v>
      </c>
      <c r="C158" s="521" t="s">
        <v>380</v>
      </c>
      <c r="D158" s="653" t="s">
        <v>380</v>
      </c>
      <c r="E158" s="625" t="s">
        <v>380</v>
      </c>
      <c r="F158" s="625" t="s">
        <v>380</v>
      </c>
      <c r="G158" s="654" t="s">
        <v>380</v>
      </c>
      <c r="H158" s="652"/>
    </row>
    <row r="159" spans="1:8" ht="15" hidden="1">
      <c r="A159" s="529" t="s">
        <v>516</v>
      </c>
      <c r="B159" s="530" t="s">
        <v>392</v>
      </c>
      <c r="C159" s="531">
        <v>2017</v>
      </c>
      <c r="D159" s="657" t="s">
        <v>401</v>
      </c>
      <c r="E159" s="627"/>
      <c r="F159" s="627"/>
      <c r="G159" s="658"/>
    </row>
    <row r="160" spans="1:8" ht="15" hidden="1">
      <c r="A160" s="529" t="s">
        <v>517</v>
      </c>
      <c r="B160" s="530" t="s">
        <v>392</v>
      </c>
      <c r="C160" s="531">
        <v>2017</v>
      </c>
      <c r="D160" s="657">
        <v>35</v>
      </c>
      <c r="E160" s="627"/>
      <c r="F160" s="627"/>
      <c r="G160" s="658"/>
    </row>
    <row r="161" spans="1:8" ht="15.75" thickBot="1">
      <c r="A161" s="529" t="s">
        <v>518</v>
      </c>
      <c r="B161" s="530" t="s">
        <v>392</v>
      </c>
      <c r="C161" s="531">
        <v>2017</v>
      </c>
      <c r="D161" s="657">
        <v>110</v>
      </c>
      <c r="E161" s="627"/>
      <c r="F161" s="627"/>
      <c r="G161" s="658"/>
    </row>
    <row r="162" spans="1:8" s="518" customFormat="1" ht="15.75" thickBot="1">
      <c r="A162" s="544" t="s">
        <v>182</v>
      </c>
      <c r="B162" s="545" t="s">
        <v>604</v>
      </c>
      <c r="C162" s="546"/>
      <c r="D162" s="663"/>
      <c r="E162" s="629"/>
      <c r="F162" s="629"/>
      <c r="G162" s="664"/>
      <c r="H162" s="652"/>
    </row>
    <row r="163" spans="1:8" ht="15">
      <c r="A163" s="529" t="s">
        <v>183</v>
      </c>
      <c r="B163" s="530" t="s">
        <v>739</v>
      </c>
      <c r="C163" s="531">
        <v>2017</v>
      </c>
      <c r="D163" s="657">
        <v>0.4</v>
      </c>
      <c r="E163" s="627">
        <v>200</v>
      </c>
      <c r="F163" s="627">
        <v>170</v>
      </c>
      <c r="G163" s="658">
        <v>385.47989000000001</v>
      </c>
    </row>
    <row r="164" spans="1:8" ht="15">
      <c r="A164" s="529" t="s">
        <v>184</v>
      </c>
      <c r="B164" s="530" t="s">
        <v>740</v>
      </c>
      <c r="C164" s="531">
        <v>2017</v>
      </c>
      <c r="D164" s="657">
        <v>10</v>
      </c>
      <c r="E164" s="627">
        <v>200</v>
      </c>
      <c r="F164" s="627">
        <v>165.4</v>
      </c>
      <c r="G164" s="658">
        <v>395.11894999999998</v>
      </c>
    </row>
    <row r="165" spans="1:8" ht="30">
      <c r="A165" s="524" t="s">
        <v>624</v>
      </c>
      <c r="B165" s="525" t="s">
        <v>741</v>
      </c>
      <c r="C165" s="526">
        <v>2017</v>
      </c>
      <c r="D165" s="655">
        <v>0.4</v>
      </c>
      <c r="E165" s="626">
        <v>720</v>
      </c>
      <c r="F165" s="626">
        <v>125</v>
      </c>
      <c r="G165" s="656">
        <v>1000.3070300000001</v>
      </c>
    </row>
    <row r="166" spans="1:8" ht="30">
      <c r="A166" s="529" t="s">
        <v>185</v>
      </c>
      <c r="B166" s="525" t="s">
        <v>742</v>
      </c>
      <c r="C166" s="526">
        <v>2017</v>
      </c>
      <c r="D166" s="655">
        <v>10</v>
      </c>
      <c r="E166" s="626">
        <v>800</v>
      </c>
      <c r="F166" s="626">
        <v>125</v>
      </c>
      <c r="G166" s="656">
        <v>1425.18319</v>
      </c>
    </row>
    <row r="167" spans="1:8" ht="15">
      <c r="A167" s="529" t="s">
        <v>628</v>
      </c>
      <c r="B167" s="525" t="s">
        <v>743</v>
      </c>
      <c r="C167" s="526">
        <v>2017</v>
      </c>
      <c r="D167" s="655">
        <v>6</v>
      </c>
      <c r="E167" s="626">
        <v>120</v>
      </c>
      <c r="F167" s="626">
        <v>400</v>
      </c>
      <c r="G167" s="656">
        <v>321.45954</v>
      </c>
    </row>
    <row r="168" spans="1:8" ht="15">
      <c r="A168" s="524" t="s">
        <v>186</v>
      </c>
      <c r="B168" s="525" t="s">
        <v>744</v>
      </c>
      <c r="C168" s="526">
        <v>2017</v>
      </c>
      <c r="D168" s="655">
        <v>6</v>
      </c>
      <c r="E168" s="626">
        <v>1040</v>
      </c>
      <c r="F168" s="626">
        <v>1000</v>
      </c>
      <c r="G168" s="656">
        <v>2643.3240299999998</v>
      </c>
    </row>
    <row r="169" spans="1:8" ht="15">
      <c r="A169" s="529" t="s">
        <v>187</v>
      </c>
      <c r="B169" s="525" t="s">
        <v>745</v>
      </c>
      <c r="C169" s="526">
        <v>2017</v>
      </c>
      <c r="D169" s="655">
        <v>10</v>
      </c>
      <c r="E169" s="626">
        <v>8400</v>
      </c>
      <c r="F169" s="626">
        <v>150</v>
      </c>
      <c r="G169" s="656">
        <v>19652.448530000001</v>
      </c>
    </row>
    <row r="170" spans="1:8" ht="15">
      <c r="A170" s="529" t="s">
        <v>188</v>
      </c>
      <c r="B170" s="525" t="s">
        <v>746</v>
      </c>
      <c r="C170" s="526">
        <v>2017</v>
      </c>
      <c r="D170" s="655">
        <v>6</v>
      </c>
      <c r="E170" s="626">
        <v>4200</v>
      </c>
      <c r="F170" s="626">
        <v>500</v>
      </c>
      <c r="G170" s="656">
        <v>12786.30546</v>
      </c>
    </row>
    <row r="171" spans="1:8" ht="15">
      <c r="A171" s="529" t="s">
        <v>189</v>
      </c>
      <c r="B171" s="530" t="s">
        <v>747</v>
      </c>
      <c r="C171" s="531">
        <v>2017</v>
      </c>
      <c r="D171" s="657">
        <v>0.4</v>
      </c>
      <c r="E171" s="627">
        <f>40+280+380</f>
        <v>700</v>
      </c>
      <c r="F171" s="627">
        <f>12+103+55</f>
        <v>170</v>
      </c>
      <c r="G171" s="658">
        <f>79.74+692.04053+1577.55068</f>
        <v>2349.3312100000003</v>
      </c>
    </row>
    <row r="172" spans="1:8" ht="15.75" thickBot="1">
      <c r="A172" s="529" t="s">
        <v>190</v>
      </c>
      <c r="B172" s="530" t="s">
        <v>747</v>
      </c>
      <c r="C172" s="531">
        <v>2017</v>
      </c>
      <c r="D172" s="657" t="s">
        <v>401</v>
      </c>
      <c r="E172" s="627">
        <f>263+250</f>
        <v>513</v>
      </c>
      <c r="F172" s="627">
        <f>12+86</f>
        <v>98</v>
      </c>
      <c r="G172" s="658">
        <f>689.54081+1670.28651</f>
        <v>2359.8273199999999</v>
      </c>
    </row>
    <row r="173" spans="1:8" s="518" customFormat="1" ht="15.75" thickBot="1">
      <c r="A173" s="640" t="s">
        <v>191</v>
      </c>
      <c r="B173" s="641" t="s">
        <v>519</v>
      </c>
      <c r="C173" s="642" t="s">
        <v>380</v>
      </c>
      <c r="D173" s="642" t="s">
        <v>380</v>
      </c>
      <c r="E173" s="643" t="s">
        <v>380</v>
      </c>
      <c r="F173" s="643" t="s">
        <v>380</v>
      </c>
      <c r="G173" s="644" t="s">
        <v>380</v>
      </c>
      <c r="H173" s="652"/>
    </row>
    <row r="174" spans="1:8" s="518" customFormat="1" ht="15">
      <c r="A174" s="558" t="s">
        <v>192</v>
      </c>
      <c r="B174" s="559" t="s">
        <v>520</v>
      </c>
      <c r="C174" s="560" t="s">
        <v>380</v>
      </c>
      <c r="D174" s="667" t="s">
        <v>380</v>
      </c>
      <c r="E174" s="637" t="s">
        <v>380</v>
      </c>
      <c r="F174" s="637" t="s">
        <v>380</v>
      </c>
      <c r="G174" s="668" t="s">
        <v>380</v>
      </c>
      <c r="H174" s="652"/>
    </row>
    <row r="175" spans="1:8" ht="15">
      <c r="A175" s="524" t="s">
        <v>193</v>
      </c>
      <c r="B175" s="525" t="s">
        <v>521</v>
      </c>
      <c r="C175" s="526">
        <v>2017</v>
      </c>
      <c r="D175" s="655" t="s">
        <v>401</v>
      </c>
      <c r="E175" s="626"/>
      <c r="F175" s="626"/>
      <c r="G175" s="656"/>
    </row>
    <row r="176" spans="1:8" ht="15.75" thickBot="1">
      <c r="A176" s="539" t="s">
        <v>194</v>
      </c>
      <c r="B176" s="540" t="s">
        <v>521</v>
      </c>
      <c r="C176" s="541">
        <v>2017</v>
      </c>
      <c r="D176" s="661">
        <v>35</v>
      </c>
      <c r="E176" s="628"/>
      <c r="F176" s="628"/>
      <c r="G176" s="662"/>
    </row>
    <row r="177" spans="1:8" s="518" customFormat="1" ht="15">
      <c r="A177" s="568" t="s">
        <v>195</v>
      </c>
      <c r="B177" s="569" t="s">
        <v>522</v>
      </c>
      <c r="C177" s="570" t="s">
        <v>380</v>
      </c>
      <c r="D177" s="669" t="s">
        <v>380</v>
      </c>
      <c r="E177" s="638" t="s">
        <v>380</v>
      </c>
      <c r="F177" s="638" t="s">
        <v>380</v>
      </c>
      <c r="G177" s="670" t="s">
        <v>380</v>
      </c>
      <c r="H177" s="652"/>
    </row>
    <row r="178" spans="1:8" ht="15">
      <c r="A178" s="524" t="s">
        <v>196</v>
      </c>
      <c r="B178" s="525" t="s">
        <v>523</v>
      </c>
      <c r="C178" s="526">
        <v>2017</v>
      </c>
      <c r="D178" s="655" t="s">
        <v>401</v>
      </c>
      <c r="E178" s="626"/>
      <c r="F178" s="626"/>
      <c r="G178" s="656"/>
    </row>
    <row r="179" spans="1:8" ht="15.75" thickBot="1">
      <c r="A179" s="539" t="s">
        <v>197</v>
      </c>
      <c r="B179" s="540" t="s">
        <v>524</v>
      </c>
      <c r="C179" s="541">
        <v>2017</v>
      </c>
      <c r="D179" s="661" t="s">
        <v>401</v>
      </c>
      <c r="E179" s="628"/>
      <c r="F179" s="628"/>
      <c r="G179" s="662"/>
    </row>
    <row r="180" spans="1:8" s="518" customFormat="1" ht="15.75" thickBot="1">
      <c r="A180" s="544" t="s">
        <v>631</v>
      </c>
      <c r="B180" s="545" t="s">
        <v>604</v>
      </c>
      <c r="C180" s="546"/>
      <c r="D180" s="663"/>
      <c r="E180" s="629"/>
      <c r="F180" s="629"/>
      <c r="G180" s="664"/>
      <c r="H180" s="652"/>
    </row>
    <row r="181" spans="1:8" ht="15.75" hidden="1" thickBot="1">
      <c r="A181" s="529" t="s">
        <v>632</v>
      </c>
      <c r="B181" s="530"/>
      <c r="C181" s="531">
        <v>2017</v>
      </c>
      <c r="D181" s="657"/>
      <c r="E181" s="627"/>
      <c r="F181" s="627"/>
      <c r="G181" s="658"/>
    </row>
    <row r="182" spans="1:8" ht="15.75" hidden="1" thickBot="1">
      <c r="A182" s="529" t="s">
        <v>633</v>
      </c>
      <c r="B182" s="530"/>
      <c r="C182" s="531">
        <v>2017</v>
      </c>
      <c r="D182" s="657"/>
      <c r="E182" s="627"/>
      <c r="F182" s="627"/>
      <c r="G182" s="658"/>
    </row>
    <row r="183" spans="1:8" ht="15.75" hidden="1" thickBot="1">
      <c r="A183" s="524" t="s">
        <v>634</v>
      </c>
      <c r="B183" s="525"/>
      <c r="C183" s="526">
        <v>2017</v>
      </c>
      <c r="D183" s="655"/>
      <c r="E183" s="626"/>
      <c r="F183" s="626"/>
      <c r="G183" s="656"/>
    </row>
    <row r="184" spans="1:8" ht="15.75" hidden="1" thickBot="1">
      <c r="A184" s="529" t="s">
        <v>635</v>
      </c>
      <c r="B184" s="525"/>
      <c r="C184" s="526">
        <v>2017</v>
      </c>
      <c r="D184" s="655"/>
      <c r="E184" s="626"/>
      <c r="F184" s="626"/>
      <c r="G184" s="656"/>
    </row>
    <row r="185" spans="1:8" ht="15.75" hidden="1" thickBot="1">
      <c r="A185" s="529" t="s">
        <v>636</v>
      </c>
      <c r="B185" s="525"/>
      <c r="C185" s="526">
        <v>2017</v>
      </c>
      <c r="D185" s="655"/>
      <c r="E185" s="626"/>
      <c r="F185" s="626"/>
      <c r="G185" s="656"/>
    </row>
    <row r="186" spans="1:8" s="518" customFormat="1" ht="45.75" thickBot="1">
      <c r="A186" s="640" t="s">
        <v>198</v>
      </c>
      <c r="B186" s="641" t="s">
        <v>525</v>
      </c>
      <c r="C186" s="642" t="s">
        <v>380</v>
      </c>
      <c r="D186" s="642" t="s">
        <v>380</v>
      </c>
      <c r="E186" s="643" t="s">
        <v>380</v>
      </c>
      <c r="F186" s="643" t="s">
        <v>380</v>
      </c>
      <c r="G186" s="644" t="s">
        <v>380</v>
      </c>
      <c r="H186" s="652"/>
    </row>
    <row r="187" spans="1:8" s="518" customFormat="1" ht="30.75" thickBot="1">
      <c r="A187" s="544" t="s">
        <v>199</v>
      </c>
      <c r="B187" s="554" t="s">
        <v>526</v>
      </c>
      <c r="C187" s="555" t="s">
        <v>380</v>
      </c>
      <c r="D187" s="648" t="s">
        <v>380</v>
      </c>
      <c r="E187" s="631" t="s">
        <v>380</v>
      </c>
      <c r="F187" s="631" t="s">
        <v>380</v>
      </c>
      <c r="G187" s="649" t="s">
        <v>380</v>
      </c>
      <c r="H187" s="652"/>
    </row>
    <row r="188" spans="1:8" s="518" customFormat="1" ht="15.75" thickBot="1">
      <c r="A188" s="544" t="s">
        <v>527</v>
      </c>
      <c r="B188" s="554" t="s">
        <v>528</v>
      </c>
      <c r="C188" s="555" t="s">
        <v>380</v>
      </c>
      <c r="D188" s="648" t="s">
        <v>380</v>
      </c>
      <c r="E188" s="631" t="s">
        <v>380</v>
      </c>
      <c r="F188" s="631" t="s">
        <v>380</v>
      </c>
      <c r="G188" s="649" t="s">
        <v>380</v>
      </c>
      <c r="H188" s="652"/>
    </row>
    <row r="189" spans="1:8" ht="15">
      <c r="A189" s="573" t="s">
        <v>529</v>
      </c>
      <c r="B189" s="574" t="s">
        <v>530</v>
      </c>
      <c r="C189" s="575">
        <v>2017</v>
      </c>
      <c r="D189" s="671" t="s">
        <v>531</v>
      </c>
      <c r="E189" s="630" t="s">
        <v>380</v>
      </c>
      <c r="F189" s="630"/>
      <c r="G189" s="672"/>
    </row>
    <row r="190" spans="1:8" ht="15">
      <c r="A190" s="524" t="s">
        <v>532</v>
      </c>
      <c r="B190" s="525" t="s">
        <v>533</v>
      </c>
      <c r="C190" s="526">
        <v>2017</v>
      </c>
      <c r="D190" s="655" t="s">
        <v>531</v>
      </c>
      <c r="E190" s="626" t="s">
        <v>380</v>
      </c>
      <c r="F190" s="626">
        <v>53</v>
      </c>
      <c r="G190" s="656">
        <v>892.13820999999996</v>
      </c>
    </row>
    <row r="191" spans="1:8" ht="15">
      <c r="A191" s="524" t="s">
        <v>534</v>
      </c>
      <c r="B191" s="525" t="s">
        <v>535</v>
      </c>
      <c r="C191" s="526">
        <v>2017</v>
      </c>
      <c r="D191" s="655" t="s">
        <v>531</v>
      </c>
      <c r="E191" s="626" t="s">
        <v>380</v>
      </c>
      <c r="F191" s="626">
        <v>102</v>
      </c>
      <c r="G191" s="656">
        <v>1731.2823100000001</v>
      </c>
    </row>
    <row r="192" spans="1:8" ht="15">
      <c r="A192" s="524" t="s">
        <v>536</v>
      </c>
      <c r="B192" s="525" t="s">
        <v>537</v>
      </c>
      <c r="C192" s="526">
        <v>2017</v>
      </c>
      <c r="D192" s="655" t="s">
        <v>531</v>
      </c>
      <c r="E192" s="626" t="s">
        <v>380</v>
      </c>
      <c r="F192" s="626">
        <f>1580-1230+350</f>
        <v>700</v>
      </c>
      <c r="G192" s="656">
        <v>4160.3831399999999</v>
      </c>
    </row>
    <row r="193" spans="1:8" ht="15">
      <c r="A193" s="524" t="s">
        <v>538</v>
      </c>
      <c r="B193" s="525" t="s">
        <v>539</v>
      </c>
      <c r="C193" s="526">
        <v>2017</v>
      </c>
      <c r="D193" s="655" t="s">
        <v>531</v>
      </c>
      <c r="E193" s="626" t="s">
        <v>380</v>
      </c>
      <c r="F193" s="626">
        <f>1935-1200</f>
        <v>735</v>
      </c>
      <c r="G193" s="656">
        <v>4396.8547099999996</v>
      </c>
    </row>
    <row r="194" spans="1:8" ht="15.75" thickBot="1">
      <c r="A194" s="524" t="s">
        <v>540</v>
      </c>
      <c r="B194" s="525" t="s">
        <v>541</v>
      </c>
      <c r="C194" s="526">
        <v>2017</v>
      </c>
      <c r="D194" s="655" t="s">
        <v>531</v>
      </c>
      <c r="E194" s="626" t="s">
        <v>380</v>
      </c>
      <c r="F194" s="626">
        <f>1365-1050</f>
        <v>315</v>
      </c>
      <c r="G194" s="656">
        <v>3993.0271899999998</v>
      </c>
    </row>
    <row r="195" spans="1:8" s="518" customFormat="1" ht="15.75" thickBot="1">
      <c r="A195" s="544" t="s">
        <v>542</v>
      </c>
      <c r="B195" s="554" t="s">
        <v>543</v>
      </c>
      <c r="C195" s="555" t="s">
        <v>380</v>
      </c>
      <c r="D195" s="648" t="s">
        <v>380</v>
      </c>
      <c r="E195" s="631" t="s">
        <v>380</v>
      </c>
      <c r="F195" s="631" t="s">
        <v>380</v>
      </c>
      <c r="G195" s="649" t="s">
        <v>380</v>
      </c>
      <c r="H195" s="652"/>
    </row>
    <row r="196" spans="1:8" ht="15">
      <c r="A196" s="607" t="s">
        <v>544</v>
      </c>
      <c r="B196" s="608" t="s">
        <v>530</v>
      </c>
      <c r="C196" s="609">
        <v>2017</v>
      </c>
      <c r="D196" s="671" t="s">
        <v>531</v>
      </c>
      <c r="E196" s="630" t="s">
        <v>380</v>
      </c>
      <c r="F196" s="630"/>
      <c r="G196" s="672"/>
    </row>
    <row r="197" spans="1:8" ht="15">
      <c r="A197" s="596" t="s">
        <v>545</v>
      </c>
      <c r="B197" s="597" t="s">
        <v>533</v>
      </c>
      <c r="C197" s="598">
        <v>2017</v>
      </c>
      <c r="D197" s="655" t="s">
        <v>531</v>
      </c>
      <c r="E197" s="626" t="s">
        <v>380</v>
      </c>
      <c r="F197" s="626"/>
      <c r="G197" s="656"/>
    </row>
    <row r="198" spans="1:8" ht="15">
      <c r="A198" s="596" t="s">
        <v>546</v>
      </c>
      <c r="B198" s="597" t="s">
        <v>535</v>
      </c>
      <c r="C198" s="598">
        <v>2017</v>
      </c>
      <c r="D198" s="655" t="s">
        <v>531</v>
      </c>
      <c r="E198" s="626" t="s">
        <v>380</v>
      </c>
      <c r="F198" s="626">
        <f>3500-1600-1600+150+150</f>
        <v>600</v>
      </c>
      <c r="G198" s="656">
        <v>12717.324000000001</v>
      </c>
    </row>
    <row r="199" spans="1:8" ht="15">
      <c r="A199" s="596" t="s">
        <v>547</v>
      </c>
      <c r="B199" s="597" t="s">
        <v>537</v>
      </c>
      <c r="C199" s="598">
        <v>2017</v>
      </c>
      <c r="D199" s="655" t="s">
        <v>531</v>
      </c>
      <c r="E199" s="626" t="s">
        <v>380</v>
      </c>
      <c r="F199" s="626">
        <f>1780-40-1600+150</f>
        <v>290</v>
      </c>
      <c r="G199" s="656">
        <f>3160.44+G211</f>
        <v>5074.1400000000003</v>
      </c>
    </row>
    <row r="200" spans="1:8" ht="15">
      <c r="A200" s="596" t="s">
        <v>548</v>
      </c>
      <c r="B200" s="597" t="s">
        <v>539</v>
      </c>
      <c r="C200" s="598">
        <v>2017</v>
      </c>
      <c r="D200" s="655" t="s">
        <v>531</v>
      </c>
      <c r="E200" s="626" t="s">
        <v>380</v>
      </c>
      <c r="F200" s="626">
        <f>2431.4-100-335.4-320+200</f>
        <v>1876</v>
      </c>
      <c r="G200" s="656">
        <v>6311.09537</v>
      </c>
      <c r="H200" s="634"/>
    </row>
    <row r="201" spans="1:8" ht="15.75" thickBot="1">
      <c r="A201" s="596" t="s">
        <v>549</v>
      </c>
      <c r="B201" s="597" t="s">
        <v>541</v>
      </c>
      <c r="C201" s="598">
        <v>2017</v>
      </c>
      <c r="D201" s="655" t="s">
        <v>531</v>
      </c>
      <c r="E201" s="626" t="s">
        <v>380</v>
      </c>
      <c r="F201" s="626">
        <f>1935.4-145-250</f>
        <v>1540.4</v>
      </c>
      <c r="G201" s="656">
        <v>3469.3190099999997</v>
      </c>
    </row>
    <row r="202" spans="1:8" s="518" customFormat="1" ht="15.75" thickBot="1">
      <c r="A202" s="544" t="s">
        <v>637</v>
      </c>
      <c r="B202" s="612" t="s">
        <v>604</v>
      </c>
      <c r="C202" s="546"/>
      <c r="D202" s="663"/>
      <c r="E202" s="631" t="s">
        <v>380</v>
      </c>
      <c r="F202" s="629"/>
      <c r="G202" s="664"/>
      <c r="H202" s="652"/>
    </row>
    <row r="203" spans="1:8" ht="15">
      <c r="A203" s="529" t="s">
        <v>638</v>
      </c>
      <c r="B203" s="530" t="s">
        <v>748</v>
      </c>
      <c r="C203" s="531">
        <v>2017</v>
      </c>
      <c r="D203" s="657" t="s">
        <v>723</v>
      </c>
      <c r="E203" s="627" t="s">
        <v>380</v>
      </c>
      <c r="F203" s="627">
        <v>110</v>
      </c>
      <c r="G203" s="658">
        <v>456.47365000000002</v>
      </c>
    </row>
    <row r="204" spans="1:8" ht="15">
      <c r="A204" s="529" t="s">
        <v>640</v>
      </c>
      <c r="B204" s="525" t="s">
        <v>749</v>
      </c>
      <c r="C204" s="526">
        <v>2017</v>
      </c>
      <c r="D204" s="655" t="s">
        <v>642</v>
      </c>
      <c r="E204" s="626" t="s">
        <v>380</v>
      </c>
      <c r="F204" s="626">
        <v>240</v>
      </c>
      <c r="G204" s="656">
        <v>416.58279999999996</v>
      </c>
    </row>
    <row r="205" spans="1:8" ht="15">
      <c r="A205" s="524" t="s">
        <v>643</v>
      </c>
      <c r="B205" s="525" t="s">
        <v>750</v>
      </c>
      <c r="C205" s="526">
        <v>2017</v>
      </c>
      <c r="D205" s="655" t="s">
        <v>723</v>
      </c>
      <c r="E205" s="626" t="s">
        <v>380</v>
      </c>
      <c r="F205" s="626">
        <v>350</v>
      </c>
      <c r="G205" s="656">
        <v>3287.3266899999999</v>
      </c>
    </row>
    <row r="206" spans="1:8" ht="15">
      <c r="A206" s="529" t="s">
        <v>644</v>
      </c>
      <c r="B206" s="525" t="s">
        <v>751</v>
      </c>
      <c r="C206" s="526">
        <v>2017</v>
      </c>
      <c r="D206" s="655" t="s">
        <v>642</v>
      </c>
      <c r="E206" s="626" t="s">
        <v>380</v>
      </c>
      <c r="F206" s="626">
        <v>735</v>
      </c>
      <c r="G206" s="656">
        <v>4396.8547099999996</v>
      </c>
    </row>
    <row r="207" spans="1:8" ht="15">
      <c r="A207" s="529" t="s">
        <v>645</v>
      </c>
      <c r="B207" s="525" t="s">
        <v>752</v>
      </c>
      <c r="C207" s="526">
        <v>2017</v>
      </c>
      <c r="D207" s="655" t="s">
        <v>642</v>
      </c>
      <c r="E207" s="626" t="s">
        <v>380</v>
      </c>
      <c r="F207" s="626">
        <f>720-100</f>
        <v>620</v>
      </c>
      <c r="G207" s="656">
        <v>1991.20685</v>
      </c>
    </row>
    <row r="208" spans="1:8" ht="15">
      <c r="A208" s="524" t="s">
        <v>646</v>
      </c>
      <c r="B208" s="525" t="s">
        <v>753</v>
      </c>
      <c r="C208" s="526">
        <v>2017</v>
      </c>
      <c r="D208" s="655" t="s">
        <v>723</v>
      </c>
      <c r="E208" s="626" t="s">
        <v>380</v>
      </c>
      <c r="F208" s="626">
        <v>500</v>
      </c>
      <c r="G208" s="656">
        <v>2001.82034</v>
      </c>
    </row>
    <row r="209" spans="1:8" ht="15">
      <c r="A209" s="529" t="s">
        <v>647</v>
      </c>
      <c r="B209" s="525" t="s">
        <v>754</v>
      </c>
      <c r="C209" s="526">
        <v>2017</v>
      </c>
      <c r="D209" s="655" t="s">
        <v>642</v>
      </c>
      <c r="E209" s="626" t="s">
        <v>380</v>
      </c>
      <c r="F209" s="626">
        <v>300</v>
      </c>
      <c r="G209" s="656">
        <v>2500</v>
      </c>
    </row>
    <row r="210" spans="1:8" ht="15">
      <c r="A210" s="529" t="s">
        <v>648</v>
      </c>
      <c r="B210" s="525" t="s">
        <v>755</v>
      </c>
      <c r="C210" s="526">
        <v>2017</v>
      </c>
      <c r="D210" s="655" t="s">
        <v>723</v>
      </c>
      <c r="E210" s="626" t="s">
        <v>380</v>
      </c>
      <c r="F210" s="626">
        <v>150</v>
      </c>
      <c r="G210" s="656">
        <v>6339.8499999999995</v>
      </c>
    </row>
    <row r="211" spans="1:8" ht="15">
      <c r="A211" s="524" t="s">
        <v>649</v>
      </c>
      <c r="B211" s="525" t="s">
        <v>756</v>
      </c>
      <c r="C211" s="526">
        <v>2017</v>
      </c>
      <c r="D211" s="655" t="s">
        <v>723</v>
      </c>
      <c r="E211" s="626" t="s">
        <v>380</v>
      </c>
      <c r="F211" s="626">
        <v>150</v>
      </c>
      <c r="G211" s="656">
        <v>1913.7</v>
      </c>
    </row>
    <row r="212" spans="1:8" ht="15">
      <c r="A212" s="529" t="s">
        <v>650</v>
      </c>
      <c r="B212" s="525" t="s">
        <v>757</v>
      </c>
      <c r="C212" s="526">
        <v>2017</v>
      </c>
      <c r="D212" s="655" t="s">
        <v>642</v>
      </c>
      <c r="E212" s="626" t="s">
        <v>380</v>
      </c>
      <c r="F212" s="626">
        <f>180-40</f>
        <v>140</v>
      </c>
      <c r="G212" s="656">
        <v>3160.44</v>
      </c>
    </row>
    <row r="213" spans="1:8" ht="15">
      <c r="A213" s="529" t="s">
        <v>651</v>
      </c>
      <c r="B213" s="525" t="s">
        <v>758</v>
      </c>
      <c r="C213" s="526">
        <v>2017</v>
      </c>
      <c r="D213" s="655" t="s">
        <v>723</v>
      </c>
      <c r="E213" s="626" t="s">
        <v>380</v>
      </c>
      <c r="F213" s="626">
        <v>150</v>
      </c>
      <c r="G213" s="656">
        <v>2247.4739999999997</v>
      </c>
    </row>
    <row r="214" spans="1:8" ht="15">
      <c r="A214" s="524" t="s">
        <v>652</v>
      </c>
      <c r="B214" s="525" t="s">
        <v>759</v>
      </c>
      <c r="C214" s="526">
        <v>2017</v>
      </c>
      <c r="D214" s="655" t="s">
        <v>642</v>
      </c>
      <c r="E214" s="626" t="s">
        <v>380</v>
      </c>
      <c r="F214" s="626">
        <v>200</v>
      </c>
      <c r="G214" s="656">
        <v>2691.1505200000001</v>
      </c>
    </row>
    <row r="215" spans="1:8" ht="15">
      <c r="A215" s="524" t="s">
        <v>653</v>
      </c>
      <c r="B215" s="525" t="s">
        <v>760</v>
      </c>
      <c r="C215" s="526">
        <v>2017</v>
      </c>
      <c r="D215" s="655" t="s">
        <v>642</v>
      </c>
      <c r="E215" s="626" t="s">
        <v>380</v>
      </c>
      <c r="F215" s="626">
        <v>301.39999999999998</v>
      </c>
      <c r="G215" s="656">
        <v>823.00201000000004</v>
      </c>
    </row>
    <row r="216" spans="1:8" ht="30">
      <c r="A216" s="524" t="s">
        <v>654</v>
      </c>
      <c r="B216" s="525" t="s">
        <v>761</v>
      </c>
      <c r="C216" s="526">
        <v>2017</v>
      </c>
      <c r="D216" s="655" t="s">
        <v>723</v>
      </c>
      <c r="E216" s="626" t="s">
        <v>380</v>
      </c>
      <c r="F216" s="626">
        <v>260</v>
      </c>
      <c r="G216" s="656">
        <v>2796.9428399999997</v>
      </c>
    </row>
    <row r="217" spans="1:8" ht="15">
      <c r="A217" s="524" t="s">
        <v>655</v>
      </c>
      <c r="B217" s="525" t="s">
        <v>762</v>
      </c>
      <c r="C217" s="526">
        <v>2017</v>
      </c>
      <c r="D217" s="655" t="s">
        <v>642</v>
      </c>
      <c r="E217" s="626" t="s">
        <v>380</v>
      </c>
      <c r="F217" s="626">
        <v>250</v>
      </c>
      <c r="G217" s="656">
        <v>1200</v>
      </c>
    </row>
    <row r="218" spans="1:8" ht="15">
      <c r="A218" s="524" t="s">
        <v>763</v>
      </c>
      <c r="B218" s="525" t="s">
        <v>764</v>
      </c>
      <c r="C218" s="526">
        <v>2017</v>
      </c>
      <c r="D218" s="655" t="s">
        <v>723</v>
      </c>
      <c r="E218" s="626" t="s">
        <v>380</v>
      </c>
      <c r="F218" s="626">
        <v>300</v>
      </c>
      <c r="G218" s="656">
        <v>3469.3190099999997</v>
      </c>
    </row>
    <row r="219" spans="1:8" ht="15">
      <c r="A219" s="524" t="s">
        <v>765</v>
      </c>
      <c r="B219" s="525" t="s">
        <v>766</v>
      </c>
      <c r="C219" s="526">
        <v>2017</v>
      </c>
      <c r="D219" s="655" t="s">
        <v>642</v>
      </c>
      <c r="E219" s="626" t="s">
        <v>380</v>
      </c>
      <c r="F219" s="626">
        <v>250</v>
      </c>
      <c r="G219" s="656">
        <v>430</v>
      </c>
    </row>
    <row r="220" spans="1:8" ht="15">
      <c r="A220" s="524" t="s">
        <v>767</v>
      </c>
      <c r="B220" s="525" t="s">
        <v>768</v>
      </c>
      <c r="C220" s="526">
        <v>2017</v>
      </c>
      <c r="D220" s="655" t="s">
        <v>531</v>
      </c>
      <c r="E220" s="626" t="s">
        <v>380</v>
      </c>
      <c r="F220" s="626">
        <f>53+102</f>
        <v>155</v>
      </c>
      <c r="G220" s="656">
        <f>892.13821+1731.28231</f>
        <v>2623.4205200000001</v>
      </c>
    </row>
    <row r="221" spans="1:8" ht="15.75" thickBot="1">
      <c r="A221" s="524" t="s">
        <v>769</v>
      </c>
      <c r="B221" s="681"/>
      <c r="C221" s="681"/>
      <c r="D221" s="682"/>
      <c r="E221" s="683"/>
      <c r="F221" s="683"/>
      <c r="G221" s="684"/>
    </row>
    <row r="222" spans="1:8" s="518" customFormat="1" ht="30.75" thickBot="1">
      <c r="A222" s="640" t="s">
        <v>351</v>
      </c>
      <c r="B222" s="641" t="s">
        <v>550</v>
      </c>
      <c r="C222" s="642" t="s">
        <v>380</v>
      </c>
      <c r="D222" s="642" t="s">
        <v>380</v>
      </c>
      <c r="E222" s="643" t="s">
        <v>380</v>
      </c>
      <c r="F222" s="643" t="s">
        <v>380</v>
      </c>
      <c r="G222" s="644" t="s">
        <v>380</v>
      </c>
      <c r="H222" s="652"/>
    </row>
    <row r="223" spans="1:8" ht="15.75" thickBot="1">
      <c r="A223" s="544" t="s">
        <v>551</v>
      </c>
      <c r="B223" s="554" t="s">
        <v>552</v>
      </c>
      <c r="C223" s="555" t="s">
        <v>380</v>
      </c>
      <c r="D223" s="648" t="s">
        <v>380</v>
      </c>
      <c r="E223" s="631" t="s">
        <v>380</v>
      </c>
      <c r="F223" s="631" t="s">
        <v>380</v>
      </c>
      <c r="G223" s="649" t="s">
        <v>380</v>
      </c>
    </row>
    <row r="224" spans="1:8" s="518" customFormat="1" ht="15.75" thickBot="1">
      <c r="A224" s="544" t="s">
        <v>553</v>
      </c>
      <c r="B224" s="554" t="s">
        <v>543</v>
      </c>
      <c r="C224" s="555" t="s">
        <v>380</v>
      </c>
      <c r="D224" s="648" t="s">
        <v>380</v>
      </c>
      <c r="E224" s="631" t="s">
        <v>380</v>
      </c>
      <c r="F224" s="631" t="s">
        <v>380</v>
      </c>
      <c r="G224" s="649" t="s">
        <v>380</v>
      </c>
      <c r="H224" s="652"/>
    </row>
    <row r="225" spans="1:8" ht="15">
      <c r="A225" s="578" t="s">
        <v>554</v>
      </c>
      <c r="B225" s="579" t="s">
        <v>530</v>
      </c>
      <c r="C225" s="580">
        <v>2017</v>
      </c>
      <c r="D225" s="673" t="s">
        <v>531</v>
      </c>
      <c r="E225" s="632" t="s">
        <v>380</v>
      </c>
      <c r="F225" s="632"/>
      <c r="G225" s="674"/>
    </row>
    <row r="226" spans="1:8" ht="15" hidden="1">
      <c r="A226" s="524" t="s">
        <v>555</v>
      </c>
      <c r="B226" s="525" t="s">
        <v>533</v>
      </c>
      <c r="C226" s="526">
        <v>2017</v>
      </c>
      <c r="D226" s="655" t="s">
        <v>531</v>
      </c>
      <c r="E226" s="626" t="s">
        <v>380</v>
      </c>
      <c r="F226" s="626"/>
      <c r="G226" s="656"/>
    </row>
    <row r="227" spans="1:8" ht="15.75" thickBot="1">
      <c r="A227" s="524" t="s">
        <v>556</v>
      </c>
      <c r="B227" s="525" t="s">
        <v>535</v>
      </c>
      <c r="C227" s="526">
        <v>2017</v>
      </c>
      <c r="D227" s="655" t="s">
        <v>531</v>
      </c>
      <c r="E227" s="626" t="s">
        <v>380</v>
      </c>
      <c r="F227" s="626">
        <v>200</v>
      </c>
      <c r="G227" s="656">
        <v>6097.12</v>
      </c>
    </row>
    <row r="228" spans="1:8" ht="15.75" hidden="1" thickBot="1">
      <c r="A228" s="524" t="s">
        <v>557</v>
      </c>
      <c r="B228" s="525" t="s">
        <v>537</v>
      </c>
      <c r="C228" s="526">
        <v>2017</v>
      </c>
      <c r="D228" s="655" t="s">
        <v>531</v>
      </c>
      <c r="E228" s="626" t="s">
        <v>380</v>
      </c>
      <c r="F228" s="626"/>
      <c r="G228" s="656"/>
    </row>
    <row r="229" spans="1:8" ht="15.75" hidden="1" thickBot="1">
      <c r="A229" s="524" t="s">
        <v>558</v>
      </c>
      <c r="B229" s="525" t="s">
        <v>539</v>
      </c>
      <c r="C229" s="526">
        <v>2017</v>
      </c>
      <c r="D229" s="655" t="s">
        <v>531</v>
      </c>
      <c r="E229" s="626" t="s">
        <v>380</v>
      </c>
      <c r="F229" s="626"/>
      <c r="G229" s="656"/>
    </row>
    <row r="230" spans="1:8" ht="15.75" hidden="1" thickBot="1">
      <c r="A230" s="539" t="s">
        <v>559</v>
      </c>
      <c r="B230" s="540" t="s">
        <v>541</v>
      </c>
      <c r="C230" s="541">
        <v>2017</v>
      </c>
      <c r="D230" s="661" t="s">
        <v>531</v>
      </c>
      <c r="E230" s="628" t="s">
        <v>380</v>
      </c>
      <c r="F230" s="628"/>
      <c r="G230" s="662"/>
    </row>
    <row r="231" spans="1:8" s="518" customFormat="1" ht="15.75" thickBot="1">
      <c r="A231" s="544" t="s">
        <v>656</v>
      </c>
      <c r="B231" s="612" t="s">
        <v>604</v>
      </c>
      <c r="C231" s="546"/>
      <c r="D231" s="663"/>
      <c r="E231" s="631" t="s">
        <v>380</v>
      </c>
      <c r="F231" s="629"/>
      <c r="G231" s="664"/>
      <c r="H231" s="652"/>
    </row>
    <row r="232" spans="1:8" ht="15">
      <c r="A232" s="529" t="s">
        <v>657</v>
      </c>
      <c r="B232" s="530" t="s">
        <v>770</v>
      </c>
      <c r="C232" s="531">
        <v>2017</v>
      </c>
      <c r="D232" s="657" t="s">
        <v>723</v>
      </c>
      <c r="E232" s="627" t="s">
        <v>380</v>
      </c>
      <c r="F232" s="627">
        <v>200</v>
      </c>
      <c r="G232" s="658">
        <v>6097.12</v>
      </c>
    </row>
    <row r="233" spans="1:8" ht="15.75" thickBot="1">
      <c r="A233" s="529" t="s">
        <v>658</v>
      </c>
      <c r="B233" s="530"/>
      <c r="C233" s="531">
        <v>2017</v>
      </c>
      <c r="D233" s="657"/>
      <c r="E233" s="627" t="s">
        <v>380</v>
      </c>
      <c r="F233" s="627"/>
      <c r="G233" s="658"/>
    </row>
    <row r="234" spans="1:8" ht="15.75" hidden="1" thickBot="1">
      <c r="A234" s="524" t="s">
        <v>659</v>
      </c>
      <c r="B234" s="525"/>
      <c r="C234" s="526">
        <v>2017</v>
      </c>
      <c r="D234" s="655"/>
      <c r="E234" s="626" t="s">
        <v>380</v>
      </c>
      <c r="F234" s="626"/>
      <c r="G234" s="656"/>
    </row>
    <row r="235" spans="1:8" ht="15.75" hidden="1" thickBot="1">
      <c r="A235" s="529" t="s">
        <v>660</v>
      </c>
      <c r="B235" s="525"/>
      <c r="C235" s="526">
        <v>2017</v>
      </c>
      <c r="D235" s="655"/>
      <c r="E235" s="626" t="s">
        <v>380</v>
      </c>
      <c r="F235" s="626"/>
      <c r="G235" s="656"/>
    </row>
    <row r="236" spans="1:8" ht="15.75" hidden="1" thickBot="1">
      <c r="A236" s="529" t="s">
        <v>661</v>
      </c>
      <c r="B236" s="525"/>
      <c r="C236" s="526">
        <v>2017</v>
      </c>
      <c r="D236" s="655"/>
      <c r="E236" s="626" t="s">
        <v>380</v>
      </c>
      <c r="F236" s="626"/>
      <c r="G236" s="656"/>
    </row>
    <row r="237" spans="1:8" ht="15.75" hidden="1" thickBot="1">
      <c r="A237" s="524" t="s">
        <v>662</v>
      </c>
      <c r="B237" s="525"/>
      <c r="C237" s="526">
        <v>2017</v>
      </c>
      <c r="D237" s="655"/>
      <c r="E237" s="626" t="s">
        <v>380</v>
      </c>
      <c r="F237" s="626"/>
      <c r="G237" s="656"/>
    </row>
    <row r="238" spans="1:8" ht="15.75" hidden="1" thickBot="1">
      <c r="A238" s="529" t="s">
        <v>663</v>
      </c>
      <c r="B238" s="525"/>
      <c r="C238" s="526">
        <v>2017</v>
      </c>
      <c r="D238" s="655"/>
      <c r="E238" s="626" t="s">
        <v>380</v>
      </c>
      <c r="F238" s="626"/>
      <c r="G238" s="656"/>
    </row>
    <row r="239" spans="1:8" ht="15.75" hidden="1" thickBot="1">
      <c r="A239" s="529" t="s">
        <v>664</v>
      </c>
      <c r="B239" s="525"/>
      <c r="C239" s="526">
        <v>2017</v>
      </c>
      <c r="D239" s="655"/>
      <c r="E239" s="626" t="s">
        <v>380</v>
      </c>
      <c r="F239" s="626"/>
      <c r="G239" s="656"/>
    </row>
    <row r="240" spans="1:8" ht="15.75" hidden="1" thickBot="1">
      <c r="A240" s="524" t="s">
        <v>665</v>
      </c>
      <c r="B240" s="525"/>
      <c r="C240" s="526">
        <v>2017</v>
      </c>
      <c r="D240" s="655"/>
      <c r="E240" s="626" t="s">
        <v>380</v>
      </c>
      <c r="F240" s="626"/>
      <c r="G240" s="656"/>
    </row>
    <row r="241" spans="1:8" ht="15.75" hidden="1" thickBot="1">
      <c r="A241" s="529" t="s">
        <v>666</v>
      </c>
      <c r="B241" s="525"/>
      <c r="C241" s="526">
        <v>2017</v>
      </c>
      <c r="D241" s="655"/>
      <c r="E241" s="626" t="s">
        <v>380</v>
      </c>
      <c r="F241" s="626"/>
      <c r="G241" s="656"/>
    </row>
    <row r="242" spans="1:8" ht="15.75" hidden="1" thickBot="1">
      <c r="A242" s="529" t="s">
        <v>667</v>
      </c>
      <c r="B242" s="525"/>
      <c r="C242" s="526">
        <v>2017</v>
      </c>
      <c r="D242" s="655"/>
      <c r="E242" s="626" t="s">
        <v>380</v>
      </c>
      <c r="F242" s="626"/>
      <c r="G242" s="656"/>
    </row>
    <row r="243" spans="1:8" ht="15.75" hidden="1" thickBot="1">
      <c r="A243" s="524" t="s">
        <v>668</v>
      </c>
      <c r="B243" s="525"/>
      <c r="C243" s="526">
        <v>2017</v>
      </c>
      <c r="D243" s="655"/>
      <c r="E243" s="626" t="s">
        <v>380</v>
      </c>
      <c r="F243" s="626"/>
      <c r="G243" s="656"/>
    </row>
    <row r="244" spans="1:8" ht="15.75" hidden="1" thickBot="1">
      <c r="A244" s="529" t="s">
        <v>669</v>
      </c>
      <c r="B244" s="525"/>
      <c r="C244" s="526">
        <v>2017</v>
      </c>
      <c r="D244" s="655"/>
      <c r="E244" s="626" t="s">
        <v>380</v>
      </c>
      <c r="F244" s="626"/>
      <c r="G244" s="656"/>
    </row>
    <row r="245" spans="1:8" ht="15.75" hidden="1" thickBot="1">
      <c r="A245" s="529" t="s">
        <v>670</v>
      </c>
      <c r="B245" s="525"/>
      <c r="C245" s="526">
        <v>2017</v>
      </c>
      <c r="D245" s="655"/>
      <c r="E245" s="626" t="s">
        <v>380</v>
      </c>
      <c r="F245" s="626"/>
      <c r="G245" s="656"/>
    </row>
    <row r="246" spans="1:8" ht="15.75" hidden="1" thickBot="1">
      <c r="A246" s="524" t="s">
        <v>671</v>
      </c>
      <c r="B246" s="525"/>
      <c r="C246" s="526">
        <v>2017</v>
      </c>
      <c r="D246" s="655"/>
      <c r="E246" s="626" t="s">
        <v>380</v>
      </c>
      <c r="F246" s="626"/>
      <c r="G246" s="656"/>
    </row>
    <row r="247" spans="1:8" s="518" customFormat="1" ht="30.75" thickBot="1">
      <c r="A247" s="640" t="s">
        <v>353</v>
      </c>
      <c r="B247" s="641" t="s">
        <v>560</v>
      </c>
      <c r="C247" s="642" t="s">
        <v>380</v>
      </c>
      <c r="D247" s="642" t="s">
        <v>380</v>
      </c>
      <c r="E247" s="643" t="s">
        <v>380</v>
      </c>
      <c r="F247" s="643" t="s">
        <v>380</v>
      </c>
      <c r="G247" s="644" t="s">
        <v>380</v>
      </c>
      <c r="H247" s="652"/>
    </row>
    <row r="248" spans="1:8" s="518" customFormat="1" ht="15.75" thickBot="1">
      <c r="A248" s="583" t="s">
        <v>561</v>
      </c>
      <c r="B248" s="584" t="s">
        <v>562</v>
      </c>
      <c r="C248" s="555" t="s">
        <v>380</v>
      </c>
      <c r="D248" s="648" t="s">
        <v>380</v>
      </c>
      <c r="E248" s="631" t="s">
        <v>380</v>
      </c>
      <c r="F248" s="631" t="s">
        <v>380</v>
      </c>
      <c r="G248" s="649" t="s">
        <v>380</v>
      </c>
      <c r="H248" s="652"/>
    </row>
    <row r="249" spans="1:8" ht="15.75" thickBot="1">
      <c r="A249" s="578" t="s">
        <v>672</v>
      </c>
      <c r="B249" s="579" t="s">
        <v>673</v>
      </c>
      <c r="C249" s="580">
        <v>2017</v>
      </c>
      <c r="D249" s="673" t="s">
        <v>563</v>
      </c>
      <c r="E249" s="632" t="s">
        <v>380</v>
      </c>
      <c r="F249" s="632"/>
      <c r="G249" s="674"/>
    </row>
    <row r="250" spans="1:8" ht="15.75" hidden="1" thickBot="1">
      <c r="A250" s="524" t="s">
        <v>674</v>
      </c>
      <c r="B250" s="525" t="s">
        <v>675</v>
      </c>
      <c r="C250" s="526">
        <v>2017</v>
      </c>
      <c r="D250" s="655" t="s">
        <v>563</v>
      </c>
      <c r="E250" s="626" t="s">
        <v>380</v>
      </c>
      <c r="F250" s="626"/>
      <c r="G250" s="656"/>
    </row>
    <row r="251" spans="1:8" ht="15.75" hidden="1" thickBot="1">
      <c r="A251" s="524" t="s">
        <v>564</v>
      </c>
      <c r="B251" s="525" t="s">
        <v>565</v>
      </c>
      <c r="C251" s="526">
        <v>2017</v>
      </c>
      <c r="D251" s="655" t="s">
        <v>563</v>
      </c>
      <c r="E251" s="626" t="s">
        <v>380</v>
      </c>
      <c r="F251" s="626"/>
      <c r="G251" s="656"/>
    </row>
    <row r="252" spans="1:8" ht="15.75" hidden="1" thickBot="1">
      <c r="A252" s="524" t="s">
        <v>566</v>
      </c>
      <c r="B252" s="525" t="s">
        <v>567</v>
      </c>
      <c r="C252" s="526">
        <v>2017</v>
      </c>
      <c r="D252" s="655" t="s">
        <v>563</v>
      </c>
      <c r="E252" s="626" t="s">
        <v>380</v>
      </c>
      <c r="F252" s="626"/>
      <c r="G252" s="656"/>
    </row>
    <row r="253" spans="1:8" s="518" customFormat="1" ht="15.75" thickBot="1">
      <c r="A253" s="544" t="s">
        <v>568</v>
      </c>
      <c r="B253" s="554" t="s">
        <v>562</v>
      </c>
      <c r="C253" s="555" t="s">
        <v>380</v>
      </c>
      <c r="D253" s="648" t="s">
        <v>380</v>
      </c>
      <c r="E253" s="631" t="s">
        <v>380</v>
      </c>
      <c r="F253" s="631" t="s">
        <v>380</v>
      </c>
      <c r="G253" s="649" t="s">
        <v>380</v>
      </c>
      <c r="H253" s="652"/>
    </row>
    <row r="254" spans="1:8" ht="15.75" thickBot="1">
      <c r="A254" s="578" t="s">
        <v>676</v>
      </c>
      <c r="B254" s="579" t="s">
        <v>677</v>
      </c>
      <c r="C254" s="580">
        <v>2017</v>
      </c>
      <c r="D254" s="673" t="s">
        <v>569</v>
      </c>
      <c r="E254" s="632" t="s">
        <v>380</v>
      </c>
      <c r="F254" s="632"/>
      <c r="G254" s="674"/>
    </row>
    <row r="255" spans="1:8" ht="15.75" hidden="1" thickBot="1">
      <c r="A255" s="524" t="s">
        <v>570</v>
      </c>
      <c r="B255" s="525" t="s">
        <v>571</v>
      </c>
      <c r="C255" s="526">
        <v>2017</v>
      </c>
      <c r="D255" s="655" t="s">
        <v>569</v>
      </c>
      <c r="E255" s="626" t="s">
        <v>380</v>
      </c>
      <c r="F255" s="626"/>
      <c r="G255" s="656"/>
    </row>
    <row r="256" spans="1:8" ht="15.75" hidden="1" thickBot="1">
      <c r="A256" s="524" t="s">
        <v>572</v>
      </c>
      <c r="B256" s="525" t="s">
        <v>573</v>
      </c>
      <c r="C256" s="526">
        <v>2017</v>
      </c>
      <c r="D256" s="655" t="s">
        <v>569</v>
      </c>
      <c r="E256" s="626" t="s">
        <v>380</v>
      </c>
      <c r="F256" s="626"/>
      <c r="G256" s="656"/>
    </row>
    <row r="257" spans="1:8" ht="15.75" hidden="1" thickBot="1">
      <c r="A257" s="524" t="s">
        <v>574</v>
      </c>
      <c r="B257" s="525" t="s">
        <v>575</v>
      </c>
      <c r="C257" s="526">
        <v>2017</v>
      </c>
      <c r="D257" s="655" t="s">
        <v>569</v>
      </c>
      <c r="E257" s="626" t="s">
        <v>380</v>
      </c>
      <c r="F257" s="626"/>
      <c r="G257" s="656"/>
    </row>
    <row r="258" spans="1:8" s="518" customFormat="1" ht="15.75" thickBot="1">
      <c r="A258" s="544" t="s">
        <v>678</v>
      </c>
      <c r="B258" s="554" t="s">
        <v>580</v>
      </c>
      <c r="C258" s="555" t="s">
        <v>380</v>
      </c>
      <c r="D258" s="648" t="s">
        <v>380</v>
      </c>
      <c r="E258" s="631" t="s">
        <v>380</v>
      </c>
      <c r="F258" s="631" t="s">
        <v>380</v>
      </c>
      <c r="G258" s="649" t="s">
        <v>380</v>
      </c>
      <c r="H258" s="652"/>
    </row>
    <row r="259" spans="1:8" ht="15.75" thickBot="1">
      <c r="A259" s="685" t="s">
        <v>679</v>
      </c>
      <c r="B259" s="686" t="s">
        <v>680</v>
      </c>
      <c r="C259" s="687">
        <v>2017</v>
      </c>
      <c r="D259" s="688" t="s">
        <v>583</v>
      </c>
      <c r="E259" s="689" t="s">
        <v>380</v>
      </c>
      <c r="F259" s="689"/>
      <c r="G259" s="690"/>
    </row>
    <row r="260" spans="1:8" ht="15.75" hidden="1" thickBot="1">
      <c r="A260" s="573" t="s">
        <v>681</v>
      </c>
      <c r="B260" s="574" t="s">
        <v>682</v>
      </c>
      <c r="C260" s="575">
        <v>2017</v>
      </c>
      <c r="D260" s="671" t="s">
        <v>583</v>
      </c>
      <c r="E260" s="630" t="s">
        <v>380</v>
      </c>
      <c r="F260" s="630"/>
      <c r="G260" s="672"/>
    </row>
    <row r="261" spans="1:8" ht="15.75" hidden="1" thickBot="1">
      <c r="A261" s="524" t="s">
        <v>683</v>
      </c>
      <c r="B261" s="525" t="s">
        <v>684</v>
      </c>
      <c r="C261" s="526">
        <v>2017</v>
      </c>
      <c r="D261" s="655" t="s">
        <v>583</v>
      </c>
      <c r="E261" s="626" t="s">
        <v>380</v>
      </c>
      <c r="F261" s="626"/>
      <c r="G261" s="656"/>
    </row>
    <row r="262" spans="1:8" ht="15.75" hidden="1" thickBot="1">
      <c r="A262" s="524" t="s">
        <v>685</v>
      </c>
      <c r="B262" s="525" t="s">
        <v>686</v>
      </c>
      <c r="C262" s="526">
        <v>2017</v>
      </c>
      <c r="D262" s="655" t="s">
        <v>583</v>
      </c>
      <c r="E262" s="626" t="s">
        <v>380</v>
      </c>
      <c r="F262" s="626"/>
      <c r="G262" s="656"/>
    </row>
    <row r="263" spans="1:8" ht="15.75" hidden="1" thickBot="1">
      <c r="A263" s="524" t="s">
        <v>687</v>
      </c>
      <c r="B263" s="525" t="s">
        <v>688</v>
      </c>
      <c r="C263" s="526">
        <v>2017</v>
      </c>
      <c r="D263" s="655" t="s">
        <v>583</v>
      </c>
      <c r="E263" s="626" t="s">
        <v>380</v>
      </c>
      <c r="F263" s="626"/>
      <c r="G263" s="656"/>
    </row>
    <row r="264" spans="1:8" ht="15.75" hidden="1" thickBot="1">
      <c r="A264" s="524" t="s">
        <v>689</v>
      </c>
      <c r="B264" s="525" t="s">
        <v>573</v>
      </c>
      <c r="C264" s="526">
        <v>2017</v>
      </c>
      <c r="D264" s="655" t="s">
        <v>583</v>
      </c>
      <c r="E264" s="626" t="s">
        <v>380</v>
      </c>
      <c r="F264" s="626"/>
      <c r="G264" s="656"/>
    </row>
    <row r="265" spans="1:8" ht="15.75" hidden="1" thickBot="1">
      <c r="A265" s="524" t="s">
        <v>582</v>
      </c>
      <c r="B265" s="525" t="s">
        <v>575</v>
      </c>
      <c r="C265" s="526">
        <v>2017</v>
      </c>
      <c r="D265" s="655" t="s">
        <v>583</v>
      </c>
      <c r="E265" s="626" t="s">
        <v>380</v>
      </c>
      <c r="F265" s="626"/>
      <c r="G265" s="656"/>
    </row>
    <row r="266" spans="1:8" ht="15.75" hidden="1" thickBot="1">
      <c r="A266" s="524" t="s">
        <v>584</v>
      </c>
      <c r="B266" s="525" t="s">
        <v>585</v>
      </c>
      <c r="C266" s="526">
        <v>2017</v>
      </c>
      <c r="D266" s="655" t="s">
        <v>583</v>
      </c>
      <c r="E266" s="626" t="s">
        <v>380</v>
      </c>
      <c r="F266" s="626"/>
      <c r="G266" s="656"/>
    </row>
    <row r="267" spans="1:8" ht="15.75" hidden="1" thickBot="1">
      <c r="A267" s="524" t="s">
        <v>586</v>
      </c>
      <c r="B267" s="525" t="s">
        <v>587</v>
      </c>
      <c r="C267" s="526">
        <v>2017</v>
      </c>
      <c r="D267" s="655" t="s">
        <v>583</v>
      </c>
      <c r="E267" s="626" t="s">
        <v>380</v>
      </c>
      <c r="F267" s="626"/>
      <c r="G267" s="656"/>
    </row>
    <row r="268" spans="1:8" s="518" customFormat="1" ht="15.75" hidden="1" thickBot="1">
      <c r="A268" s="544" t="s">
        <v>690</v>
      </c>
      <c r="B268" s="545" t="s">
        <v>604</v>
      </c>
      <c r="C268" s="546"/>
      <c r="D268" s="663"/>
      <c r="E268" s="631" t="s">
        <v>380</v>
      </c>
      <c r="F268" s="629"/>
      <c r="G268" s="664"/>
      <c r="H268" s="652"/>
    </row>
    <row r="269" spans="1:8" ht="15" hidden="1">
      <c r="A269" s="549" t="s">
        <v>691</v>
      </c>
      <c r="B269" s="550"/>
      <c r="C269" s="551">
        <v>2017</v>
      </c>
      <c r="D269" s="665"/>
      <c r="E269" s="633" t="s">
        <v>380</v>
      </c>
      <c r="F269" s="633"/>
      <c r="G269" s="666"/>
    </row>
    <row r="270" spans="1:8" ht="15" hidden="1">
      <c r="A270" s="529" t="s">
        <v>692</v>
      </c>
      <c r="B270" s="530"/>
      <c r="C270" s="531">
        <v>2017</v>
      </c>
      <c r="D270" s="657"/>
      <c r="E270" s="627" t="s">
        <v>380</v>
      </c>
      <c r="F270" s="627"/>
      <c r="G270" s="658"/>
    </row>
    <row r="271" spans="1:8" ht="15" hidden="1">
      <c r="A271" s="524" t="s">
        <v>693</v>
      </c>
      <c r="B271" s="525"/>
      <c r="C271" s="526">
        <v>2017</v>
      </c>
      <c r="D271" s="655"/>
      <c r="E271" s="626" t="s">
        <v>380</v>
      </c>
      <c r="F271" s="626"/>
      <c r="G271" s="656"/>
    </row>
    <row r="272" spans="1:8" ht="15" hidden="1">
      <c r="A272" s="529" t="s">
        <v>694</v>
      </c>
      <c r="B272" s="525"/>
      <c r="C272" s="526">
        <v>2017</v>
      </c>
      <c r="D272" s="655"/>
      <c r="E272" s="626" t="s">
        <v>380</v>
      </c>
      <c r="F272" s="626"/>
      <c r="G272" s="656"/>
    </row>
    <row r="273" spans="1:8" ht="15" hidden="1">
      <c r="A273" s="529" t="s">
        <v>695</v>
      </c>
      <c r="B273" s="525"/>
      <c r="C273" s="526">
        <v>2017</v>
      </c>
      <c r="D273" s="655"/>
      <c r="E273" s="626" t="s">
        <v>380</v>
      </c>
      <c r="F273" s="626"/>
      <c r="G273" s="656"/>
    </row>
    <row r="274" spans="1:8" ht="15" hidden="1">
      <c r="A274" s="524" t="s">
        <v>696</v>
      </c>
      <c r="B274" s="525"/>
      <c r="C274" s="526">
        <v>2017</v>
      </c>
      <c r="D274" s="655"/>
      <c r="E274" s="626" t="s">
        <v>380</v>
      </c>
      <c r="F274" s="626"/>
      <c r="G274" s="656"/>
    </row>
    <row r="275" spans="1:8" ht="15" hidden="1">
      <c r="A275" s="529" t="s">
        <v>697</v>
      </c>
      <c r="B275" s="525"/>
      <c r="C275" s="526">
        <v>2017</v>
      </c>
      <c r="D275" s="655"/>
      <c r="E275" s="626" t="s">
        <v>380</v>
      </c>
      <c r="F275" s="626"/>
      <c r="G275" s="656"/>
    </row>
    <row r="276" spans="1:8" ht="15" hidden="1">
      <c r="A276" s="529" t="s">
        <v>698</v>
      </c>
      <c r="B276" s="525"/>
      <c r="C276" s="526">
        <v>2017</v>
      </c>
      <c r="D276" s="655"/>
      <c r="E276" s="626" t="s">
        <v>380</v>
      </c>
      <c r="F276" s="626"/>
      <c r="G276" s="656"/>
    </row>
    <row r="277" spans="1:8" ht="15" hidden="1">
      <c r="A277" s="524" t="s">
        <v>699</v>
      </c>
      <c r="B277" s="525"/>
      <c r="C277" s="526">
        <v>2017</v>
      </c>
      <c r="D277" s="655"/>
      <c r="E277" s="626" t="s">
        <v>380</v>
      </c>
      <c r="F277" s="626"/>
      <c r="G277" s="656"/>
    </row>
    <row r="278" spans="1:8" ht="15" hidden="1">
      <c r="A278" s="529" t="s">
        <v>700</v>
      </c>
      <c r="B278" s="525"/>
      <c r="C278" s="526">
        <v>2017</v>
      </c>
      <c r="D278" s="655"/>
      <c r="E278" s="626" t="s">
        <v>380</v>
      </c>
      <c r="F278" s="626"/>
      <c r="G278" s="656"/>
    </row>
    <row r="279" spans="1:8" ht="15" hidden="1">
      <c r="A279" s="529" t="s">
        <v>701</v>
      </c>
      <c r="B279" s="525"/>
      <c r="C279" s="526">
        <v>2017</v>
      </c>
      <c r="D279" s="655"/>
      <c r="E279" s="626" t="s">
        <v>380</v>
      </c>
      <c r="F279" s="626"/>
      <c r="G279" s="656"/>
    </row>
    <row r="280" spans="1:8" ht="15" hidden="1">
      <c r="A280" s="524" t="s">
        <v>702</v>
      </c>
      <c r="B280" s="525"/>
      <c r="C280" s="526">
        <v>2017</v>
      </c>
      <c r="D280" s="655"/>
      <c r="E280" s="626" t="s">
        <v>380</v>
      </c>
      <c r="F280" s="626"/>
      <c r="G280" s="656"/>
    </row>
    <row r="281" spans="1:8" ht="15" hidden="1">
      <c r="A281" s="529" t="s">
        <v>703</v>
      </c>
      <c r="B281" s="525"/>
      <c r="C281" s="526">
        <v>2017</v>
      </c>
      <c r="D281" s="655"/>
      <c r="E281" s="626" t="s">
        <v>380</v>
      </c>
      <c r="F281" s="626"/>
      <c r="G281" s="656"/>
    </row>
    <row r="282" spans="1:8" ht="15" hidden="1">
      <c r="A282" s="529" t="s">
        <v>704</v>
      </c>
      <c r="B282" s="525"/>
      <c r="C282" s="526">
        <v>2017</v>
      </c>
      <c r="D282" s="655"/>
      <c r="E282" s="626" t="s">
        <v>380</v>
      </c>
      <c r="F282" s="626"/>
      <c r="G282" s="656"/>
    </row>
    <row r="283" spans="1:8" ht="15.75" hidden="1" thickBot="1">
      <c r="A283"/>
      <c r="B283" s="540"/>
      <c r="C283" s="541">
        <v>2017</v>
      </c>
      <c r="D283" s="661"/>
      <c r="E283" s="628" t="s">
        <v>380</v>
      </c>
      <c r="F283" s="628"/>
      <c r="G283" s="662"/>
    </row>
    <row r="286" spans="1:8" ht="15.75">
      <c r="A286" s="722" t="s">
        <v>841</v>
      </c>
      <c r="B286" s="187"/>
      <c r="C286" s="187"/>
      <c r="D286" s="723"/>
      <c r="E286" s="724"/>
      <c r="F286" s="725"/>
      <c r="G286" s="726"/>
      <c r="H286" s="503"/>
    </row>
    <row r="287" spans="1:8" ht="15.75">
      <c r="A287" s="722" t="s">
        <v>88</v>
      </c>
      <c r="B287" s="187"/>
      <c r="C287" s="187"/>
      <c r="D287" s="722"/>
      <c r="E287" s="722"/>
      <c r="G287" s="727" t="s">
        <v>842</v>
      </c>
      <c r="H287" s="503"/>
    </row>
    <row r="288" spans="1:8" ht="15">
      <c r="A288" s="713"/>
      <c r="B288" s="714"/>
      <c r="C288" s="714"/>
      <c r="D288" s="714"/>
      <c r="E288" s="715"/>
      <c r="F288" s="715"/>
      <c r="G288" s="506"/>
      <c r="H288" s="503"/>
    </row>
    <row r="289" spans="1:8" ht="15">
      <c r="A289" s="716" t="s">
        <v>706</v>
      </c>
      <c r="B289" s="714"/>
      <c r="C289" s="714"/>
      <c r="D289" s="714"/>
      <c r="E289" s="715"/>
      <c r="F289" s="715"/>
      <c r="G289" s="506"/>
      <c r="H289" s="503"/>
    </row>
    <row r="290" spans="1:8" ht="15">
      <c r="A290" s="718" t="s">
        <v>843</v>
      </c>
      <c r="B290" s="714"/>
      <c r="C290" s="714"/>
      <c r="D290" s="714"/>
      <c r="E290" s="715"/>
      <c r="F290" s="715"/>
      <c r="G290" s="506"/>
      <c r="H290" s="503"/>
    </row>
    <row r="291" spans="1:8" ht="15">
      <c r="A291" s="719" t="s">
        <v>844</v>
      </c>
      <c r="B291" s="714"/>
      <c r="C291" s="714"/>
      <c r="D291" s="714"/>
      <c r="E291" s="715"/>
      <c r="F291" s="715"/>
      <c r="G291" s="506"/>
      <c r="H291" s="503"/>
    </row>
    <row r="292" spans="1:8" hidden="1"/>
    <row r="293" spans="1:8" ht="19.5" hidden="1">
      <c r="A293" s="585" t="s">
        <v>200</v>
      </c>
      <c r="B293" s="585"/>
      <c r="C293" s="585"/>
      <c r="F293" s="639" t="s">
        <v>706</v>
      </c>
    </row>
    <row r="294" spans="1:8" hidden="1"/>
    <row r="295" spans="1:8" hidden="1"/>
    <row r="296" spans="1:8" hidden="1"/>
    <row r="297" spans="1:8" hidden="1"/>
  </sheetData>
  <mergeCells count="2">
    <mergeCell ref="A1:G1"/>
    <mergeCell ref="B2:F2"/>
  </mergeCells>
  <pageMargins left="0.7" right="0.7" top="0.54" bottom="0.34" header="0.3" footer="0.3"/>
  <pageSetup paperSize="9" scale="87"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Q287"/>
  <sheetViews>
    <sheetView zoomScale="85" zoomScaleNormal="85" workbookViewId="0">
      <pane ySplit="4" topLeftCell="A221" activePane="bottomLeft" state="frozen"/>
      <selection activeCell="A323" sqref="A323:G323"/>
      <selection pane="bottomLeft" activeCell="G283" sqref="G283"/>
    </sheetView>
  </sheetViews>
  <sheetFormatPr defaultRowHeight="12.75"/>
  <cols>
    <col min="1" max="1" width="11" style="505" customWidth="1"/>
    <col min="2" max="2" width="60.5703125" style="504" customWidth="1"/>
    <col min="3" max="4" width="16.28515625" style="504" customWidth="1"/>
    <col min="5" max="5" width="16.28515625" style="614" customWidth="1"/>
    <col min="6" max="7" width="16.28515625" style="506" customWidth="1"/>
    <col min="8" max="8" width="20.7109375" style="503" customWidth="1"/>
    <col min="9" max="43" width="9.140625" style="506"/>
    <col min="44" max="16384" width="9.140625" style="504"/>
  </cols>
  <sheetData>
    <row r="1" spans="1:43" ht="57.75" customHeight="1">
      <c r="A1" s="952" t="s">
        <v>595</v>
      </c>
      <c r="B1" s="952"/>
      <c r="C1" s="952"/>
      <c r="D1" s="952"/>
      <c r="E1" s="952"/>
      <c r="F1" s="952"/>
      <c r="G1" s="952"/>
    </row>
    <row r="2" spans="1:43" ht="24.75" customHeight="1">
      <c r="B2" s="1160" t="s">
        <v>790</v>
      </c>
      <c r="C2" s="1160"/>
      <c r="D2" s="1160"/>
      <c r="E2" s="1160"/>
      <c r="F2" s="1160"/>
    </row>
    <row r="3" spans="1:43" ht="13.5" thickBot="1"/>
    <row r="4" spans="1:43" ht="75.75" thickBot="1">
      <c r="A4" s="507" t="s">
        <v>597</v>
      </c>
      <c r="B4" s="508" t="s">
        <v>598</v>
      </c>
      <c r="C4" s="508" t="s">
        <v>599</v>
      </c>
      <c r="D4" s="508" t="s">
        <v>600</v>
      </c>
      <c r="E4" s="509" t="s">
        <v>601</v>
      </c>
      <c r="F4" s="509" t="s">
        <v>602</v>
      </c>
      <c r="G4" s="509" t="s">
        <v>603</v>
      </c>
    </row>
    <row r="5" spans="1:43" ht="15.75" thickBot="1">
      <c r="A5" s="510">
        <v>1</v>
      </c>
      <c r="B5" s="511">
        <v>2</v>
      </c>
      <c r="C5" s="511">
        <v>3</v>
      </c>
      <c r="D5" s="511">
        <v>4</v>
      </c>
      <c r="E5" s="691">
        <v>5</v>
      </c>
      <c r="F5" s="691">
        <v>6</v>
      </c>
      <c r="G5" s="691">
        <v>7</v>
      </c>
    </row>
    <row r="6" spans="1:43" ht="15.75" thickBot="1">
      <c r="A6" s="589" t="s">
        <v>14</v>
      </c>
      <c r="B6" s="590" t="s">
        <v>379</v>
      </c>
      <c r="C6" s="591" t="s">
        <v>380</v>
      </c>
      <c r="D6" s="591" t="s">
        <v>380</v>
      </c>
      <c r="E6" s="592" t="s">
        <v>380</v>
      </c>
      <c r="F6" s="592" t="s">
        <v>380</v>
      </c>
      <c r="G6" s="593" t="s">
        <v>380</v>
      </c>
    </row>
    <row r="7" spans="1:43" s="518" customFormat="1" ht="15">
      <c r="A7" s="512" t="s">
        <v>381</v>
      </c>
      <c r="B7" s="513" t="s">
        <v>382</v>
      </c>
      <c r="C7" s="514" t="s">
        <v>380</v>
      </c>
      <c r="D7" s="514" t="s">
        <v>380</v>
      </c>
      <c r="E7" s="515" t="s">
        <v>380</v>
      </c>
      <c r="F7" s="515" t="s">
        <v>380</v>
      </c>
      <c r="G7" s="516" t="s">
        <v>380</v>
      </c>
      <c r="H7" s="517"/>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row>
    <row r="8" spans="1:43" s="518" customFormat="1" ht="15">
      <c r="A8" s="519" t="s">
        <v>383</v>
      </c>
      <c r="B8" s="520" t="s">
        <v>384</v>
      </c>
      <c r="C8" s="521" t="s">
        <v>380</v>
      </c>
      <c r="D8" s="521" t="s">
        <v>380</v>
      </c>
      <c r="E8" s="522" t="s">
        <v>380</v>
      </c>
      <c r="F8" s="522" t="s">
        <v>380</v>
      </c>
      <c r="G8" s="523" t="s">
        <v>380</v>
      </c>
      <c r="H8" s="517"/>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row>
    <row r="9" spans="1:43" s="518" customFormat="1" ht="15">
      <c r="A9" s="519" t="s">
        <v>385</v>
      </c>
      <c r="B9" s="520" t="s">
        <v>386</v>
      </c>
      <c r="C9" s="521" t="s">
        <v>380</v>
      </c>
      <c r="D9" s="521" t="s">
        <v>380</v>
      </c>
      <c r="E9" s="522" t="s">
        <v>380</v>
      </c>
      <c r="F9" s="522" t="s">
        <v>380</v>
      </c>
      <c r="G9" s="523" t="s">
        <v>380</v>
      </c>
      <c r="H9" s="517"/>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row>
    <row r="10" spans="1:43" ht="15">
      <c r="A10" s="524" t="s">
        <v>579</v>
      </c>
      <c r="B10" s="525" t="s">
        <v>387</v>
      </c>
      <c r="C10" s="526">
        <v>2015</v>
      </c>
      <c r="D10" s="526">
        <v>35</v>
      </c>
      <c r="E10" s="527"/>
      <c r="F10" s="527"/>
      <c r="G10" s="528"/>
    </row>
    <row r="11" spans="1:43" ht="15" hidden="1">
      <c r="A11" s="529" t="s">
        <v>388</v>
      </c>
      <c r="B11" s="530" t="s">
        <v>389</v>
      </c>
      <c r="C11" s="531">
        <v>2015</v>
      </c>
      <c r="D11" s="531">
        <v>35</v>
      </c>
      <c r="E11" s="532"/>
      <c r="F11" s="532"/>
      <c r="G11" s="533"/>
    </row>
    <row r="12" spans="1:43" ht="15" hidden="1">
      <c r="A12" s="529" t="s">
        <v>390</v>
      </c>
      <c r="B12" s="530" t="s">
        <v>389</v>
      </c>
      <c r="C12" s="531">
        <v>2015</v>
      </c>
      <c r="D12" s="531">
        <v>110</v>
      </c>
      <c r="E12" s="532"/>
      <c r="F12" s="532"/>
      <c r="G12" s="533"/>
    </row>
    <row r="13" spans="1:43" ht="15.75" thickBot="1">
      <c r="A13" s="534" t="s">
        <v>391</v>
      </c>
      <c r="B13" s="535" t="s">
        <v>392</v>
      </c>
      <c r="C13" s="536">
        <v>2015</v>
      </c>
      <c r="D13" s="536">
        <v>110</v>
      </c>
      <c r="E13" s="537"/>
      <c r="F13" s="537"/>
      <c r="G13" s="538"/>
    </row>
    <row r="14" spans="1:43" s="518" customFormat="1" ht="15">
      <c r="A14" s="512" t="s">
        <v>393</v>
      </c>
      <c r="B14" s="513" t="s">
        <v>394</v>
      </c>
      <c r="C14" s="514" t="s">
        <v>380</v>
      </c>
      <c r="D14" s="514" t="s">
        <v>380</v>
      </c>
      <c r="E14" s="515" t="s">
        <v>380</v>
      </c>
      <c r="F14" s="515" t="s">
        <v>380</v>
      </c>
      <c r="G14" s="516" t="s">
        <v>380</v>
      </c>
      <c r="H14" s="517"/>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row>
    <row r="15" spans="1:43" s="518" customFormat="1" ht="15">
      <c r="A15" s="519" t="s">
        <v>395</v>
      </c>
      <c r="B15" s="520" t="s">
        <v>396</v>
      </c>
      <c r="C15" s="521" t="s">
        <v>380</v>
      </c>
      <c r="D15" s="521" t="s">
        <v>380</v>
      </c>
      <c r="E15" s="522" t="s">
        <v>380</v>
      </c>
      <c r="F15" s="522" t="s">
        <v>380</v>
      </c>
      <c r="G15" s="523" t="s">
        <v>380</v>
      </c>
      <c r="H15" s="517"/>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row>
    <row r="16" spans="1:43" s="518" customFormat="1" ht="15">
      <c r="A16" s="519" t="s">
        <v>397</v>
      </c>
      <c r="B16" s="520" t="s">
        <v>386</v>
      </c>
      <c r="C16" s="521" t="s">
        <v>380</v>
      </c>
      <c r="D16" s="521" t="s">
        <v>380</v>
      </c>
      <c r="E16" s="522" t="s">
        <v>380</v>
      </c>
      <c r="F16" s="522" t="s">
        <v>380</v>
      </c>
      <c r="G16" s="523" t="s">
        <v>380</v>
      </c>
      <c r="H16" s="517"/>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row>
    <row r="17" spans="1:43" ht="15">
      <c r="A17" s="529" t="s">
        <v>398</v>
      </c>
      <c r="B17" s="530" t="s">
        <v>399</v>
      </c>
      <c r="C17" s="531">
        <v>2015</v>
      </c>
      <c r="D17" s="531">
        <v>0.4</v>
      </c>
      <c r="E17" s="532">
        <v>58600</v>
      </c>
      <c r="F17" s="532">
        <v>7025</v>
      </c>
      <c r="G17" s="533">
        <v>81249.679999999993</v>
      </c>
    </row>
    <row r="18" spans="1:43" ht="15">
      <c r="A18" s="529" t="s">
        <v>400</v>
      </c>
      <c r="B18" s="530" t="s">
        <v>399</v>
      </c>
      <c r="C18" s="531">
        <v>2015</v>
      </c>
      <c r="D18" s="531" t="s">
        <v>401</v>
      </c>
      <c r="E18" s="532">
        <f>6850+E36+E40</f>
        <v>7429</v>
      </c>
      <c r="F18" s="532">
        <f>668+F36+F40</f>
        <v>898</v>
      </c>
      <c r="G18" s="533">
        <f>9280.63+G36+G40</f>
        <v>10610.23</v>
      </c>
    </row>
    <row r="19" spans="1:43" ht="15">
      <c r="A19" s="529" t="s">
        <v>402</v>
      </c>
      <c r="B19" s="530" t="s">
        <v>387</v>
      </c>
      <c r="C19" s="531">
        <v>2015</v>
      </c>
      <c r="D19" s="531">
        <v>0.4</v>
      </c>
      <c r="E19" s="532">
        <v>43600</v>
      </c>
      <c r="F19" s="532">
        <v>5188</v>
      </c>
      <c r="G19" s="533">
        <v>62694.29</v>
      </c>
    </row>
    <row r="20" spans="1:43" ht="15">
      <c r="A20" s="524" t="s">
        <v>403</v>
      </c>
      <c r="B20" s="525" t="s">
        <v>387</v>
      </c>
      <c r="C20" s="526">
        <v>2015</v>
      </c>
      <c r="D20" s="526" t="s">
        <v>401</v>
      </c>
      <c r="E20" s="527">
        <f>1000+E43</f>
        <v>1388</v>
      </c>
      <c r="F20" s="527">
        <f>475+F43</f>
        <v>1175</v>
      </c>
      <c r="G20" s="528">
        <f>1407.74+G43</f>
        <v>2352.973</v>
      </c>
    </row>
    <row r="21" spans="1:43" ht="15">
      <c r="A21" s="524" t="s">
        <v>404</v>
      </c>
      <c r="B21" s="525" t="s">
        <v>387</v>
      </c>
      <c r="C21" s="526">
        <v>2015</v>
      </c>
      <c r="D21" s="526">
        <v>35</v>
      </c>
      <c r="E21" s="527"/>
      <c r="F21" s="527"/>
      <c r="G21" s="528"/>
    </row>
    <row r="22" spans="1:43" s="587" customFormat="1" ht="15">
      <c r="A22" s="596" t="s">
        <v>405</v>
      </c>
      <c r="B22" s="597" t="s">
        <v>389</v>
      </c>
      <c r="C22" s="598">
        <v>2015</v>
      </c>
      <c r="D22" s="598">
        <v>0.4</v>
      </c>
      <c r="E22" s="599">
        <f>2100+E41</f>
        <v>2162</v>
      </c>
      <c r="F22" s="599">
        <f>247+F41</f>
        <v>277</v>
      </c>
      <c r="G22" s="600">
        <f>3012.48+G41</f>
        <v>3195.89</v>
      </c>
      <c r="H22" s="617"/>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row>
    <row r="23" spans="1:43" ht="15">
      <c r="A23" s="524" t="s">
        <v>406</v>
      </c>
      <c r="B23" s="525" t="s">
        <v>389</v>
      </c>
      <c r="C23" s="526">
        <v>2015</v>
      </c>
      <c r="D23" s="526" t="s">
        <v>401</v>
      </c>
      <c r="E23" s="527">
        <f>E37</f>
        <v>9405</v>
      </c>
      <c r="F23" s="527">
        <f>F37</f>
        <v>1300</v>
      </c>
      <c r="G23" s="528">
        <f>G37</f>
        <v>18375.509999999998</v>
      </c>
    </row>
    <row r="24" spans="1:43" ht="15.75" thickBot="1">
      <c r="A24" s="524" t="s">
        <v>407</v>
      </c>
      <c r="B24" s="525" t="s">
        <v>389</v>
      </c>
      <c r="C24" s="526">
        <v>2015</v>
      </c>
      <c r="D24" s="526">
        <v>35</v>
      </c>
      <c r="E24" s="527"/>
      <c r="F24" s="527"/>
      <c r="G24" s="528"/>
    </row>
    <row r="25" spans="1:43" s="518" customFormat="1" ht="15">
      <c r="A25" s="512" t="s">
        <v>408</v>
      </c>
      <c r="B25" s="513" t="s">
        <v>384</v>
      </c>
      <c r="C25" s="514" t="s">
        <v>380</v>
      </c>
      <c r="D25" s="514" t="s">
        <v>380</v>
      </c>
      <c r="E25" s="515" t="s">
        <v>380</v>
      </c>
      <c r="F25" s="515" t="s">
        <v>380</v>
      </c>
      <c r="G25" s="516" t="s">
        <v>380</v>
      </c>
      <c r="H25" s="517"/>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5"/>
      <c r="AL25" s="615"/>
      <c r="AM25" s="615"/>
      <c r="AN25" s="615"/>
      <c r="AO25" s="615"/>
      <c r="AP25" s="615"/>
      <c r="AQ25" s="615"/>
    </row>
    <row r="26" spans="1:43" s="518" customFormat="1" ht="15">
      <c r="A26" s="519" t="s">
        <v>409</v>
      </c>
      <c r="B26" s="520" t="s">
        <v>386</v>
      </c>
      <c r="C26" s="521" t="s">
        <v>380</v>
      </c>
      <c r="D26" s="521" t="s">
        <v>380</v>
      </c>
      <c r="E26" s="522" t="s">
        <v>380</v>
      </c>
      <c r="F26" s="522" t="s">
        <v>380</v>
      </c>
      <c r="G26" s="523" t="s">
        <v>380</v>
      </c>
      <c r="H26" s="517"/>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5"/>
    </row>
    <row r="27" spans="1:43" ht="15">
      <c r="A27" s="529" t="s">
        <v>410</v>
      </c>
      <c r="B27" s="530" t="s">
        <v>399</v>
      </c>
      <c r="C27" s="531">
        <v>2015</v>
      </c>
      <c r="D27" s="531">
        <v>0.4</v>
      </c>
      <c r="E27" s="532">
        <v>14000</v>
      </c>
      <c r="F27" s="532">
        <v>1684</v>
      </c>
      <c r="G27" s="533">
        <v>18005.23</v>
      </c>
    </row>
    <row r="28" spans="1:43" ht="15">
      <c r="A28" s="529" t="s">
        <v>411</v>
      </c>
      <c r="B28" s="530" t="s">
        <v>399</v>
      </c>
      <c r="C28" s="531">
        <v>2015</v>
      </c>
      <c r="D28" s="531" t="s">
        <v>401</v>
      </c>
      <c r="E28" s="532">
        <f>33200+E34+E39+E44</f>
        <v>35501.5</v>
      </c>
      <c r="F28" s="532">
        <f>3557+F34+F39+F44</f>
        <v>4082</v>
      </c>
      <c r="G28" s="533">
        <f>45026.47+G34+G39+G44</f>
        <v>48938.705999999998</v>
      </c>
    </row>
    <row r="29" spans="1:43" ht="15">
      <c r="A29" s="524" t="s">
        <v>412</v>
      </c>
      <c r="B29" s="525" t="s">
        <v>387</v>
      </c>
      <c r="C29" s="526">
        <v>2015</v>
      </c>
      <c r="D29" s="526" t="s">
        <v>401</v>
      </c>
      <c r="E29" s="527">
        <f>E38</f>
        <v>587</v>
      </c>
      <c r="F29" s="527">
        <f>F38</f>
        <v>50</v>
      </c>
      <c r="G29" s="528">
        <f>G38</f>
        <v>666.28700000000003</v>
      </c>
    </row>
    <row r="30" spans="1:43" ht="15.75" thickBot="1">
      <c r="A30" s="539" t="s">
        <v>413</v>
      </c>
      <c r="B30" s="540" t="s">
        <v>399</v>
      </c>
      <c r="C30" s="541">
        <v>2015</v>
      </c>
      <c r="D30" s="541">
        <v>35</v>
      </c>
      <c r="E30" s="542">
        <f>E42</f>
        <v>242</v>
      </c>
      <c r="F30" s="542">
        <f>F42</f>
        <v>100</v>
      </c>
      <c r="G30" s="543">
        <f>G42</f>
        <v>2297.3560000000002</v>
      </c>
    </row>
    <row r="31" spans="1:43" s="518" customFormat="1" ht="15.75" thickBot="1">
      <c r="A31" s="544" t="s">
        <v>21</v>
      </c>
      <c r="B31" s="545" t="s">
        <v>604</v>
      </c>
      <c r="C31" s="546"/>
      <c r="D31" s="546"/>
      <c r="E31" s="556"/>
      <c r="F31" s="547"/>
      <c r="G31" s="548"/>
      <c r="H31" s="503"/>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5"/>
      <c r="AL31" s="615"/>
      <c r="AM31" s="615"/>
      <c r="AN31" s="615"/>
      <c r="AO31" s="615"/>
      <c r="AP31" s="615"/>
      <c r="AQ31" s="615"/>
    </row>
    <row r="32" spans="1:43" ht="15">
      <c r="A32" s="529" t="s">
        <v>605</v>
      </c>
      <c r="B32" s="530" t="s">
        <v>606</v>
      </c>
      <c r="C32" s="531">
        <v>2015</v>
      </c>
      <c r="D32" s="531">
        <v>0.4</v>
      </c>
      <c r="E32" s="532">
        <v>118300</v>
      </c>
      <c r="F32" s="532">
        <v>14144</v>
      </c>
      <c r="G32" s="533">
        <v>164961.68000000002</v>
      </c>
    </row>
    <row r="33" spans="1:43" s="587" customFormat="1" ht="15">
      <c r="A33" s="613" t="s">
        <v>607</v>
      </c>
      <c r="B33" s="603" t="s">
        <v>608</v>
      </c>
      <c r="C33" s="604">
        <v>2015</v>
      </c>
      <c r="D33" s="604" t="s">
        <v>401</v>
      </c>
      <c r="E33" s="594">
        <v>41050</v>
      </c>
      <c r="F33" s="594">
        <v>4700</v>
      </c>
      <c r="G33" s="595">
        <v>55714.840000000004</v>
      </c>
      <c r="H33" s="503"/>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6"/>
      <c r="AQ33" s="616"/>
    </row>
    <row r="34" spans="1:43" s="587" customFormat="1" ht="15">
      <c r="A34" s="596" t="s">
        <v>609</v>
      </c>
      <c r="B34" s="597" t="s">
        <v>789</v>
      </c>
      <c r="C34" s="598">
        <v>2015</v>
      </c>
      <c r="D34" s="598">
        <v>10</v>
      </c>
      <c r="E34" s="599">
        <v>30</v>
      </c>
      <c r="F34" s="599">
        <f>400-380</f>
        <v>20</v>
      </c>
      <c r="G34" s="600">
        <v>61.21</v>
      </c>
      <c r="H34" s="503"/>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6"/>
      <c r="AP34" s="616"/>
      <c r="AQ34" s="616"/>
    </row>
    <row r="35" spans="1:43" s="587" customFormat="1" ht="15">
      <c r="A35" s="613" t="s">
        <v>610</v>
      </c>
      <c r="B35" s="597" t="s">
        <v>788</v>
      </c>
      <c r="C35" s="598">
        <v>2015</v>
      </c>
      <c r="D35" s="598">
        <v>6</v>
      </c>
      <c r="E35" s="599">
        <v>100</v>
      </c>
      <c r="F35" s="599">
        <v>300</v>
      </c>
      <c r="G35" s="600">
        <v>298.12</v>
      </c>
      <c r="H35" s="503"/>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6"/>
      <c r="AO35" s="616"/>
      <c r="AP35" s="616"/>
      <c r="AQ35" s="616"/>
    </row>
    <row r="36" spans="1:43" s="587" customFormat="1" ht="15">
      <c r="A36" s="613" t="s">
        <v>611</v>
      </c>
      <c r="B36" s="597" t="s">
        <v>787</v>
      </c>
      <c r="C36" s="598">
        <v>2015</v>
      </c>
      <c r="D36" s="598">
        <v>10</v>
      </c>
      <c r="E36" s="599">
        <v>313</v>
      </c>
      <c r="F36" s="599">
        <v>180</v>
      </c>
      <c r="G36" s="600">
        <f>1196.51-188.43</f>
        <v>1008.0799999999999</v>
      </c>
      <c r="H36" s="503"/>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row>
    <row r="37" spans="1:43" s="587" customFormat="1" ht="15">
      <c r="A37" s="596" t="s">
        <v>612</v>
      </c>
      <c r="B37" s="597" t="s">
        <v>786</v>
      </c>
      <c r="C37" s="598">
        <v>2015</v>
      </c>
      <c r="D37" s="598">
        <v>6</v>
      </c>
      <c r="E37" s="599">
        <v>9405</v>
      </c>
      <c r="F37" s="599">
        <f>1500-200</f>
        <v>1300</v>
      </c>
      <c r="G37" s="600">
        <f>21616.87-3241.36</f>
        <v>18375.509999999998</v>
      </c>
      <c r="H37" s="503"/>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row>
    <row r="38" spans="1:43" s="587" customFormat="1" ht="30">
      <c r="A38" s="613" t="s">
        <v>613</v>
      </c>
      <c r="B38" s="597" t="s">
        <v>785</v>
      </c>
      <c r="C38" s="598">
        <v>2015</v>
      </c>
      <c r="D38" s="598">
        <v>6</v>
      </c>
      <c r="E38" s="599">
        <v>587</v>
      </c>
      <c r="F38" s="599">
        <v>50</v>
      </c>
      <c r="G38" s="600">
        <v>666.28700000000003</v>
      </c>
      <c r="H38" s="503"/>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L38" s="616"/>
      <c r="AM38" s="616"/>
      <c r="AN38" s="616"/>
      <c r="AO38" s="616"/>
      <c r="AP38" s="616"/>
      <c r="AQ38" s="616"/>
    </row>
    <row r="39" spans="1:43" s="587" customFormat="1" ht="15">
      <c r="A39" s="613" t="s">
        <v>614</v>
      </c>
      <c r="B39" s="597" t="s">
        <v>784</v>
      </c>
      <c r="C39" s="598">
        <v>2015</v>
      </c>
      <c r="D39" s="598">
        <v>10</v>
      </c>
      <c r="E39" s="599">
        <v>36</v>
      </c>
      <c r="F39" s="599">
        <v>230</v>
      </c>
      <c r="G39" s="600">
        <f>16.32+197.2</f>
        <v>213.51999999999998</v>
      </c>
      <c r="H39" s="503"/>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6"/>
      <c r="AO39" s="616"/>
      <c r="AP39" s="616"/>
      <c r="AQ39" s="616"/>
    </row>
    <row r="40" spans="1:43" s="587" customFormat="1" ht="15">
      <c r="A40" s="596" t="s">
        <v>615</v>
      </c>
      <c r="B40" s="597" t="s">
        <v>783</v>
      </c>
      <c r="C40" s="598">
        <v>2015</v>
      </c>
      <c r="D40" s="598">
        <v>10</v>
      </c>
      <c r="E40" s="599">
        <v>266</v>
      </c>
      <c r="F40" s="599">
        <v>50</v>
      </c>
      <c r="G40" s="600">
        <v>321.52</v>
      </c>
      <c r="H40" s="503"/>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6"/>
      <c r="AO40" s="616"/>
      <c r="AP40" s="616"/>
      <c r="AQ40" s="616"/>
    </row>
    <row r="41" spans="1:43" s="587" customFormat="1" ht="15">
      <c r="A41" s="613" t="s">
        <v>616</v>
      </c>
      <c r="B41" s="597" t="s">
        <v>782</v>
      </c>
      <c r="C41" s="598">
        <v>2015</v>
      </c>
      <c r="D41" s="598">
        <v>0.4</v>
      </c>
      <c r="E41" s="599">
        <v>62</v>
      </c>
      <c r="F41" s="599">
        <v>30</v>
      </c>
      <c r="G41" s="600">
        <v>183.41</v>
      </c>
      <c r="H41" s="503"/>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c r="AQ41" s="616"/>
    </row>
    <row r="42" spans="1:43" s="587" customFormat="1" ht="30">
      <c r="A42" s="613" t="s">
        <v>617</v>
      </c>
      <c r="B42" s="597" t="s">
        <v>781</v>
      </c>
      <c r="C42" s="598">
        <v>2015</v>
      </c>
      <c r="D42" s="598">
        <v>35</v>
      </c>
      <c r="E42" s="599">
        <v>242</v>
      </c>
      <c r="F42" s="599">
        <f>595-495</f>
        <v>100</v>
      </c>
      <c r="G42" s="600">
        <v>2297.3560000000002</v>
      </c>
      <c r="H42" s="503"/>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row>
    <row r="43" spans="1:43" s="587" customFormat="1" ht="30">
      <c r="A43" s="596" t="s">
        <v>618</v>
      </c>
      <c r="B43" s="597" t="s">
        <v>780</v>
      </c>
      <c r="C43" s="598">
        <v>2015</v>
      </c>
      <c r="D43" s="598">
        <v>10</v>
      </c>
      <c r="E43" s="599">
        <v>388</v>
      </c>
      <c r="F43" s="599">
        <v>700</v>
      </c>
      <c r="G43" s="600">
        <v>945.23299999999995</v>
      </c>
      <c r="H43" s="503"/>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row>
    <row r="44" spans="1:43" s="587" customFormat="1" ht="15">
      <c r="A44" s="613" t="s">
        <v>619</v>
      </c>
      <c r="B44" s="597" t="s">
        <v>779</v>
      </c>
      <c r="C44" s="598">
        <v>2015</v>
      </c>
      <c r="D44" s="598">
        <v>10</v>
      </c>
      <c r="E44" s="599">
        <f>132.5+2103</f>
        <v>2235.5</v>
      </c>
      <c r="F44" s="599">
        <f>550/2</f>
        <v>275</v>
      </c>
      <c r="G44" s="600">
        <f>4463.115+489.071-1314.68</f>
        <v>3637.5059999999994</v>
      </c>
      <c r="H44" s="503"/>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6"/>
      <c r="AO44" s="616"/>
      <c r="AP44" s="616"/>
      <c r="AQ44" s="616"/>
    </row>
    <row r="45" spans="1:43" ht="15">
      <c r="A45" s="529" t="s">
        <v>620</v>
      </c>
      <c r="B45" s="525"/>
      <c r="C45" s="526"/>
      <c r="D45" s="526"/>
      <c r="E45" s="527"/>
      <c r="F45" s="527"/>
      <c r="G45" s="528"/>
    </row>
    <row r="46" spans="1:43" ht="15.75" thickBot="1">
      <c r="A46" s="524" t="s">
        <v>621</v>
      </c>
      <c r="B46" s="525"/>
      <c r="C46" s="526"/>
      <c r="D46" s="526"/>
      <c r="E46" s="527"/>
      <c r="F46" s="527"/>
      <c r="G46" s="528"/>
    </row>
    <row r="47" spans="1:43" s="518" customFormat="1" ht="15.75" thickBot="1">
      <c r="A47" s="589" t="s">
        <v>135</v>
      </c>
      <c r="B47" s="590" t="s">
        <v>414</v>
      </c>
      <c r="C47" s="591" t="s">
        <v>380</v>
      </c>
      <c r="D47" s="591" t="s">
        <v>380</v>
      </c>
      <c r="E47" s="592" t="s">
        <v>380</v>
      </c>
      <c r="F47" s="592" t="s">
        <v>380</v>
      </c>
      <c r="G47" s="593" t="s">
        <v>380</v>
      </c>
      <c r="H47" s="503"/>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row>
    <row r="48" spans="1:43" s="518" customFormat="1" ht="15">
      <c r="A48" s="512" t="s">
        <v>167</v>
      </c>
      <c r="B48" s="513" t="s">
        <v>415</v>
      </c>
      <c r="C48" s="514" t="s">
        <v>380</v>
      </c>
      <c r="D48" s="514" t="s">
        <v>380</v>
      </c>
      <c r="E48" s="515" t="s">
        <v>380</v>
      </c>
      <c r="F48" s="515" t="s">
        <v>380</v>
      </c>
      <c r="G48" s="516" t="s">
        <v>380</v>
      </c>
      <c r="H48" s="503"/>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row>
    <row r="49" spans="1:43" s="518" customFormat="1" ht="15">
      <c r="A49" s="519" t="s">
        <v>168</v>
      </c>
      <c r="B49" s="520" t="s">
        <v>416</v>
      </c>
      <c r="C49" s="521" t="s">
        <v>380</v>
      </c>
      <c r="D49" s="521" t="s">
        <v>380</v>
      </c>
      <c r="E49" s="522" t="s">
        <v>380</v>
      </c>
      <c r="F49" s="522" t="s">
        <v>380</v>
      </c>
      <c r="G49" s="523" t="s">
        <v>380</v>
      </c>
      <c r="H49" s="503"/>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row>
    <row r="50" spans="1:43" s="518" customFormat="1" ht="15">
      <c r="A50" s="519" t="s">
        <v>169</v>
      </c>
      <c r="B50" s="520" t="s">
        <v>417</v>
      </c>
      <c r="C50" s="521" t="s">
        <v>380</v>
      </c>
      <c r="D50" s="521" t="s">
        <v>380</v>
      </c>
      <c r="E50" s="522" t="s">
        <v>380</v>
      </c>
      <c r="F50" s="522" t="s">
        <v>380</v>
      </c>
      <c r="G50" s="523" t="s">
        <v>380</v>
      </c>
      <c r="H50" s="503"/>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row>
    <row r="51" spans="1:43" ht="15">
      <c r="A51" s="529" t="s">
        <v>418</v>
      </c>
      <c r="B51" s="530" t="s">
        <v>399</v>
      </c>
      <c r="C51" s="531">
        <v>2015</v>
      </c>
      <c r="D51" s="531" t="s">
        <v>401</v>
      </c>
      <c r="E51" s="532"/>
      <c r="F51" s="532"/>
      <c r="G51" s="533"/>
    </row>
    <row r="52" spans="1:43" ht="15" hidden="1">
      <c r="A52" s="529" t="s">
        <v>419</v>
      </c>
      <c r="B52" s="530" t="s">
        <v>399</v>
      </c>
      <c r="C52" s="531">
        <v>2015</v>
      </c>
      <c r="D52" s="531">
        <v>35</v>
      </c>
      <c r="E52" s="532"/>
      <c r="F52" s="532"/>
      <c r="G52" s="533"/>
    </row>
    <row r="53" spans="1:43" ht="15" hidden="1">
      <c r="A53" s="529" t="s">
        <v>420</v>
      </c>
      <c r="B53" s="530" t="s">
        <v>399</v>
      </c>
      <c r="C53" s="531">
        <v>2015</v>
      </c>
      <c r="D53" s="531">
        <v>110</v>
      </c>
      <c r="E53" s="532"/>
      <c r="F53" s="532"/>
      <c r="G53" s="533"/>
    </row>
    <row r="54" spans="1:43" ht="15" hidden="1">
      <c r="A54" s="529" t="s">
        <v>421</v>
      </c>
      <c r="B54" s="530" t="s">
        <v>387</v>
      </c>
      <c r="C54" s="531">
        <v>2015</v>
      </c>
      <c r="D54" s="531" t="s">
        <v>401</v>
      </c>
      <c r="E54" s="532"/>
      <c r="F54" s="532"/>
      <c r="G54" s="533"/>
    </row>
    <row r="55" spans="1:43" ht="15" hidden="1">
      <c r="A55" s="529" t="s">
        <v>422</v>
      </c>
      <c r="B55" s="530" t="s">
        <v>387</v>
      </c>
      <c r="C55" s="531">
        <v>2015</v>
      </c>
      <c r="D55" s="531">
        <v>35</v>
      </c>
      <c r="E55" s="532"/>
      <c r="F55" s="532"/>
      <c r="G55" s="533"/>
    </row>
    <row r="56" spans="1:43" ht="15" hidden="1">
      <c r="A56" s="529" t="s">
        <v>423</v>
      </c>
      <c r="B56" s="530" t="s">
        <v>387</v>
      </c>
      <c r="C56" s="531">
        <v>2015</v>
      </c>
      <c r="D56" s="531">
        <v>110</v>
      </c>
      <c r="E56" s="532"/>
      <c r="F56" s="532"/>
      <c r="G56" s="533"/>
    </row>
    <row r="57" spans="1:43" ht="15" hidden="1">
      <c r="A57" s="529" t="s">
        <v>424</v>
      </c>
      <c r="B57" s="530" t="s">
        <v>389</v>
      </c>
      <c r="C57" s="531">
        <v>2015</v>
      </c>
      <c r="D57" s="531" t="s">
        <v>401</v>
      </c>
      <c r="E57" s="532"/>
      <c r="F57" s="532"/>
      <c r="G57" s="533"/>
    </row>
    <row r="58" spans="1:43" ht="15" hidden="1">
      <c r="A58" s="529" t="s">
        <v>425</v>
      </c>
      <c r="B58" s="530" t="s">
        <v>389</v>
      </c>
      <c r="C58" s="531">
        <v>2015</v>
      </c>
      <c r="D58" s="531">
        <v>35</v>
      </c>
      <c r="E58" s="532"/>
      <c r="F58" s="532"/>
      <c r="G58" s="533"/>
    </row>
    <row r="59" spans="1:43" ht="15" hidden="1">
      <c r="A59" s="529" t="s">
        <v>426</v>
      </c>
      <c r="B59" s="530" t="s">
        <v>389</v>
      </c>
      <c r="C59" s="531">
        <v>2015</v>
      </c>
      <c r="D59" s="531">
        <v>110</v>
      </c>
      <c r="E59" s="532"/>
      <c r="F59" s="532"/>
      <c r="G59" s="533"/>
    </row>
    <row r="60" spans="1:43" ht="15.75" thickBot="1">
      <c r="A60" s="539" t="s">
        <v>427</v>
      </c>
      <c r="B60" s="540" t="s">
        <v>392</v>
      </c>
      <c r="C60" s="541">
        <v>2015</v>
      </c>
      <c r="D60" s="541">
        <v>110</v>
      </c>
      <c r="E60" s="542"/>
      <c r="F60" s="542"/>
      <c r="G60" s="543"/>
    </row>
    <row r="61" spans="1:43" s="518" customFormat="1" ht="15">
      <c r="A61" s="512" t="s">
        <v>428</v>
      </c>
      <c r="B61" s="513" t="s">
        <v>429</v>
      </c>
      <c r="C61" s="514" t="s">
        <v>380</v>
      </c>
      <c r="D61" s="514" t="s">
        <v>380</v>
      </c>
      <c r="E61" s="515" t="s">
        <v>380</v>
      </c>
      <c r="F61" s="515" t="s">
        <v>380</v>
      </c>
      <c r="G61" s="516" t="s">
        <v>380</v>
      </c>
      <c r="H61" s="503"/>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c r="AQ61" s="615"/>
    </row>
    <row r="62" spans="1:43" ht="15">
      <c r="A62" s="529" t="s">
        <v>430</v>
      </c>
      <c r="B62" s="530" t="s">
        <v>399</v>
      </c>
      <c r="C62" s="531">
        <v>2015</v>
      </c>
      <c r="D62" s="531" t="s">
        <v>401</v>
      </c>
      <c r="E62" s="532"/>
      <c r="F62" s="532"/>
      <c r="G62" s="533"/>
    </row>
    <row r="63" spans="1:43" ht="15" hidden="1">
      <c r="A63" s="529" t="s">
        <v>431</v>
      </c>
      <c r="B63" s="530" t="s">
        <v>399</v>
      </c>
      <c r="C63" s="531">
        <v>2015</v>
      </c>
      <c r="D63" s="531">
        <v>35</v>
      </c>
      <c r="E63" s="532"/>
      <c r="F63" s="532"/>
      <c r="G63" s="533"/>
    </row>
    <row r="64" spans="1:43" ht="15" hidden="1">
      <c r="A64" s="529" t="s">
        <v>432</v>
      </c>
      <c r="B64" s="530" t="s">
        <v>399</v>
      </c>
      <c r="C64" s="531">
        <v>2015</v>
      </c>
      <c r="D64" s="531">
        <v>110</v>
      </c>
      <c r="E64" s="532"/>
      <c r="F64" s="532"/>
      <c r="G64" s="533"/>
    </row>
    <row r="65" spans="1:43" ht="15" hidden="1">
      <c r="A65" s="529" t="s">
        <v>433</v>
      </c>
      <c r="B65" s="530" t="s">
        <v>387</v>
      </c>
      <c r="C65" s="531">
        <v>2015</v>
      </c>
      <c r="D65" s="531" t="s">
        <v>401</v>
      </c>
      <c r="E65" s="532"/>
      <c r="F65" s="532"/>
      <c r="G65" s="533"/>
    </row>
    <row r="66" spans="1:43" ht="15" hidden="1">
      <c r="A66" s="529" t="s">
        <v>434</v>
      </c>
      <c r="B66" s="530" t="s">
        <v>387</v>
      </c>
      <c r="C66" s="531">
        <v>2015</v>
      </c>
      <c r="D66" s="531">
        <v>35</v>
      </c>
      <c r="E66" s="532"/>
      <c r="F66" s="532"/>
      <c r="G66" s="533"/>
    </row>
    <row r="67" spans="1:43" ht="15" hidden="1">
      <c r="A67" s="529" t="s">
        <v>435</v>
      </c>
      <c r="B67" s="530" t="s">
        <v>387</v>
      </c>
      <c r="C67" s="531">
        <v>2015</v>
      </c>
      <c r="D67" s="531">
        <v>110</v>
      </c>
      <c r="E67" s="532"/>
      <c r="F67" s="532"/>
      <c r="G67" s="533"/>
    </row>
    <row r="68" spans="1:43" ht="15" hidden="1">
      <c r="A68" s="529" t="s">
        <v>436</v>
      </c>
      <c r="B68" s="530" t="s">
        <v>389</v>
      </c>
      <c r="C68" s="531">
        <v>2015</v>
      </c>
      <c r="D68" s="531" t="s">
        <v>401</v>
      </c>
      <c r="E68" s="532"/>
      <c r="F68" s="532"/>
      <c r="G68" s="533"/>
    </row>
    <row r="69" spans="1:43" ht="15" hidden="1">
      <c r="A69" s="529" t="s">
        <v>437</v>
      </c>
      <c r="B69" s="530" t="s">
        <v>389</v>
      </c>
      <c r="C69" s="531">
        <v>2015</v>
      </c>
      <c r="D69" s="531">
        <v>35</v>
      </c>
      <c r="E69" s="532"/>
      <c r="F69" s="532"/>
      <c r="G69" s="533"/>
    </row>
    <row r="70" spans="1:43" ht="15" hidden="1">
      <c r="A70" s="529" t="s">
        <v>438</v>
      </c>
      <c r="B70" s="530" t="s">
        <v>389</v>
      </c>
      <c r="C70" s="531">
        <v>2015</v>
      </c>
      <c r="D70" s="531">
        <v>110</v>
      </c>
      <c r="E70" s="532"/>
      <c r="F70" s="532"/>
      <c r="G70" s="533"/>
    </row>
    <row r="71" spans="1:43" ht="15.75" thickBot="1">
      <c r="A71" s="539" t="s">
        <v>439</v>
      </c>
      <c r="B71" s="540" t="s">
        <v>392</v>
      </c>
      <c r="C71" s="541">
        <v>2015</v>
      </c>
      <c r="D71" s="541">
        <v>110</v>
      </c>
      <c r="E71" s="542"/>
      <c r="F71" s="542"/>
      <c r="G71" s="543"/>
    </row>
    <row r="72" spans="1:43" s="518" customFormat="1" ht="15">
      <c r="A72" s="519" t="s">
        <v>170</v>
      </c>
      <c r="B72" s="520" t="s">
        <v>440</v>
      </c>
      <c r="C72" s="521" t="s">
        <v>380</v>
      </c>
      <c r="D72" s="521" t="s">
        <v>380</v>
      </c>
      <c r="E72" s="522" t="s">
        <v>380</v>
      </c>
      <c r="F72" s="522" t="s">
        <v>380</v>
      </c>
      <c r="G72" s="523" t="s">
        <v>380</v>
      </c>
      <c r="H72" s="503"/>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row>
    <row r="73" spans="1:43" s="518" customFormat="1" ht="15">
      <c r="A73" s="519" t="s">
        <v>171</v>
      </c>
      <c r="B73" s="520" t="s">
        <v>417</v>
      </c>
      <c r="C73" s="521" t="s">
        <v>380</v>
      </c>
      <c r="D73" s="521" t="s">
        <v>380</v>
      </c>
      <c r="E73" s="522" t="s">
        <v>380</v>
      </c>
      <c r="F73" s="522" t="s">
        <v>380</v>
      </c>
      <c r="G73" s="523" t="s">
        <v>380</v>
      </c>
      <c r="H73" s="503"/>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c r="AQ73" s="615"/>
    </row>
    <row r="74" spans="1:43" ht="15">
      <c r="A74" s="529" t="s">
        <v>441</v>
      </c>
      <c r="B74" s="530" t="s">
        <v>399</v>
      </c>
      <c r="C74" s="531">
        <v>2015</v>
      </c>
      <c r="D74" s="531">
        <v>0.4</v>
      </c>
      <c r="E74" s="532"/>
      <c r="F74" s="532"/>
      <c r="G74" s="533"/>
    </row>
    <row r="75" spans="1:43" ht="15">
      <c r="A75" s="529" t="s">
        <v>442</v>
      </c>
      <c r="B75" s="530" t="s">
        <v>399</v>
      </c>
      <c r="C75" s="531">
        <v>2015</v>
      </c>
      <c r="D75" s="531" t="s">
        <v>401</v>
      </c>
      <c r="E75" s="532"/>
      <c r="F75" s="532"/>
      <c r="G75" s="533"/>
    </row>
    <row r="76" spans="1:43" ht="15">
      <c r="A76" s="529" t="s">
        <v>443</v>
      </c>
      <c r="B76" s="530" t="s">
        <v>399</v>
      </c>
      <c r="C76" s="531">
        <v>2015</v>
      </c>
      <c r="D76" s="531">
        <v>35</v>
      </c>
      <c r="E76" s="532"/>
      <c r="F76" s="532"/>
      <c r="G76" s="533"/>
    </row>
    <row r="77" spans="1:43" ht="15">
      <c r="A77" s="529" t="s">
        <v>444</v>
      </c>
      <c r="B77" s="530" t="s">
        <v>399</v>
      </c>
      <c r="C77" s="531">
        <v>2015</v>
      </c>
      <c r="D77" s="531">
        <v>110</v>
      </c>
      <c r="E77" s="532"/>
      <c r="F77" s="532"/>
      <c r="G77" s="533"/>
    </row>
    <row r="78" spans="1:43" ht="15">
      <c r="A78" s="529" t="s">
        <v>445</v>
      </c>
      <c r="B78" s="530" t="s">
        <v>387</v>
      </c>
      <c r="C78" s="531">
        <v>2015</v>
      </c>
      <c r="D78" s="531">
        <v>0.4</v>
      </c>
      <c r="E78" s="532">
        <v>420</v>
      </c>
      <c r="F78" s="532">
        <v>175</v>
      </c>
      <c r="G78" s="533">
        <v>1323.8799999999999</v>
      </c>
    </row>
    <row r="79" spans="1:43" ht="15">
      <c r="A79" s="529" t="s">
        <v>446</v>
      </c>
      <c r="B79" s="530" t="s">
        <v>387</v>
      </c>
      <c r="C79" s="531">
        <v>2015</v>
      </c>
      <c r="D79" s="531" t="s">
        <v>401</v>
      </c>
      <c r="E79" s="532"/>
      <c r="F79" s="532"/>
      <c r="G79" s="533"/>
    </row>
    <row r="80" spans="1:43" ht="15">
      <c r="A80" s="529" t="s">
        <v>447</v>
      </c>
      <c r="B80" s="530" t="s">
        <v>387</v>
      </c>
      <c r="C80" s="531">
        <v>2015</v>
      </c>
      <c r="D80" s="531">
        <v>35</v>
      </c>
      <c r="E80" s="532"/>
      <c r="F80" s="532"/>
      <c r="G80" s="533"/>
    </row>
    <row r="81" spans="1:43" ht="15">
      <c r="A81" s="529" t="s">
        <v>448</v>
      </c>
      <c r="B81" s="530" t="s">
        <v>387</v>
      </c>
      <c r="C81" s="531">
        <v>2015</v>
      </c>
      <c r="D81" s="531">
        <v>110</v>
      </c>
      <c r="E81" s="532"/>
      <c r="F81" s="532"/>
      <c r="G81" s="533"/>
    </row>
    <row r="82" spans="1:43" ht="15">
      <c r="A82" s="529" t="s">
        <v>449</v>
      </c>
      <c r="B82" s="530" t="s">
        <v>389</v>
      </c>
      <c r="C82" s="531">
        <v>2015</v>
      </c>
      <c r="D82" s="531">
        <v>0.4</v>
      </c>
      <c r="E82" s="532">
        <v>700</v>
      </c>
      <c r="F82" s="532">
        <v>180</v>
      </c>
      <c r="G82" s="533">
        <v>2200.1400000000003</v>
      </c>
    </row>
    <row r="83" spans="1:43" ht="15">
      <c r="A83" s="529" t="s">
        <v>450</v>
      </c>
      <c r="B83" s="530" t="s">
        <v>389</v>
      </c>
      <c r="C83" s="531">
        <v>2015</v>
      </c>
      <c r="D83" s="531" t="s">
        <v>401</v>
      </c>
      <c r="E83" s="532"/>
      <c r="F83" s="532"/>
      <c r="G83" s="533"/>
    </row>
    <row r="84" spans="1:43" ht="15">
      <c r="A84" s="529" t="s">
        <v>451</v>
      </c>
      <c r="B84" s="530" t="s">
        <v>389</v>
      </c>
      <c r="C84" s="531">
        <v>2015</v>
      </c>
      <c r="D84" s="531">
        <v>35</v>
      </c>
      <c r="E84" s="532"/>
      <c r="F84" s="532"/>
      <c r="G84" s="533"/>
    </row>
    <row r="85" spans="1:43" ht="15">
      <c r="A85" s="529" t="s">
        <v>452</v>
      </c>
      <c r="B85" s="530" t="s">
        <v>389</v>
      </c>
      <c r="C85" s="531">
        <v>2015</v>
      </c>
      <c r="D85" s="531">
        <v>110</v>
      </c>
      <c r="E85" s="532"/>
      <c r="F85" s="532"/>
      <c r="G85" s="533"/>
    </row>
    <row r="86" spans="1:43" ht="15">
      <c r="A86" s="524" t="s">
        <v>453</v>
      </c>
      <c r="B86" s="525" t="s">
        <v>392</v>
      </c>
      <c r="C86" s="526">
        <v>2015</v>
      </c>
      <c r="D86" s="526">
        <v>0.4</v>
      </c>
      <c r="E86" s="527">
        <v>300</v>
      </c>
      <c r="F86" s="527">
        <v>100</v>
      </c>
      <c r="G86" s="528">
        <v>911.36</v>
      </c>
    </row>
    <row r="87" spans="1:43" ht="15.75" thickBot="1">
      <c r="A87" s="539" t="s">
        <v>454</v>
      </c>
      <c r="B87" s="540" t="s">
        <v>392</v>
      </c>
      <c r="C87" s="541">
        <v>2015</v>
      </c>
      <c r="D87" s="541">
        <v>110</v>
      </c>
      <c r="E87" s="542"/>
      <c r="F87" s="542"/>
      <c r="G87" s="543"/>
    </row>
    <row r="88" spans="1:43" s="518" customFormat="1" ht="15">
      <c r="A88" s="512" t="s">
        <v>172</v>
      </c>
      <c r="B88" s="513" t="s">
        <v>429</v>
      </c>
      <c r="C88" s="514" t="s">
        <v>380</v>
      </c>
      <c r="D88" s="514" t="s">
        <v>380</v>
      </c>
      <c r="E88" s="515" t="s">
        <v>380</v>
      </c>
      <c r="F88" s="515" t="s">
        <v>380</v>
      </c>
      <c r="G88" s="516" t="s">
        <v>380</v>
      </c>
      <c r="H88" s="503"/>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5"/>
      <c r="AL88" s="615"/>
      <c r="AM88" s="615"/>
      <c r="AN88" s="615"/>
      <c r="AO88" s="615"/>
      <c r="AP88" s="615"/>
      <c r="AQ88" s="615"/>
    </row>
    <row r="89" spans="1:43" ht="15">
      <c r="A89" s="529" t="s">
        <v>455</v>
      </c>
      <c r="B89" s="530" t="s">
        <v>399</v>
      </c>
      <c r="C89" s="531">
        <v>2015</v>
      </c>
      <c r="D89" s="531">
        <v>0.4</v>
      </c>
      <c r="E89" s="532"/>
      <c r="F89" s="532"/>
      <c r="G89" s="533"/>
    </row>
    <row r="90" spans="1:43" ht="15">
      <c r="A90" s="529" t="s">
        <v>456</v>
      </c>
      <c r="B90" s="530" t="s">
        <v>399</v>
      </c>
      <c r="C90" s="531">
        <v>2015</v>
      </c>
      <c r="D90" s="531" t="s">
        <v>401</v>
      </c>
      <c r="E90" s="532"/>
      <c r="F90" s="532"/>
      <c r="G90" s="533"/>
    </row>
    <row r="91" spans="1:43" ht="15">
      <c r="A91" s="529" t="s">
        <v>457</v>
      </c>
      <c r="B91" s="530" t="s">
        <v>399</v>
      </c>
      <c r="C91" s="531">
        <v>2015</v>
      </c>
      <c r="D91" s="531">
        <v>35</v>
      </c>
      <c r="E91" s="532"/>
      <c r="F91" s="532"/>
      <c r="G91" s="533"/>
    </row>
    <row r="92" spans="1:43" ht="15">
      <c r="A92" s="529" t="s">
        <v>458</v>
      </c>
      <c r="B92" s="530" t="s">
        <v>399</v>
      </c>
      <c r="C92" s="531">
        <v>2015</v>
      </c>
      <c r="D92" s="531">
        <v>110</v>
      </c>
      <c r="E92" s="532"/>
      <c r="F92" s="532"/>
      <c r="G92" s="533"/>
    </row>
    <row r="93" spans="1:43" ht="15">
      <c r="A93" s="529" t="s">
        <v>459</v>
      </c>
      <c r="B93" s="530" t="s">
        <v>387</v>
      </c>
      <c r="C93" s="531">
        <v>2015</v>
      </c>
      <c r="D93" s="531">
        <v>0.4</v>
      </c>
      <c r="E93" s="532"/>
      <c r="F93" s="532"/>
      <c r="G93" s="533"/>
    </row>
    <row r="94" spans="1:43" ht="15">
      <c r="A94" s="529" t="s">
        <v>460</v>
      </c>
      <c r="B94" s="530" t="s">
        <v>387</v>
      </c>
      <c r="C94" s="531">
        <v>2015</v>
      </c>
      <c r="D94" s="531" t="s">
        <v>401</v>
      </c>
      <c r="E94" s="532">
        <f>E162</f>
        <v>50</v>
      </c>
      <c r="F94" s="532">
        <f>F162</f>
        <v>20</v>
      </c>
      <c r="G94" s="533">
        <f>G162</f>
        <v>188.43</v>
      </c>
    </row>
    <row r="95" spans="1:43" ht="15">
      <c r="A95" s="529" t="s">
        <v>461</v>
      </c>
      <c r="B95" s="530" t="s">
        <v>387</v>
      </c>
      <c r="C95" s="531">
        <v>2015</v>
      </c>
      <c r="D95" s="531">
        <v>35</v>
      </c>
      <c r="E95" s="532"/>
      <c r="F95" s="532"/>
      <c r="G95" s="533"/>
    </row>
    <row r="96" spans="1:43" ht="15">
      <c r="A96" s="529" t="s">
        <v>462</v>
      </c>
      <c r="B96" s="530" t="s">
        <v>387</v>
      </c>
      <c r="C96" s="531">
        <v>2015</v>
      </c>
      <c r="D96" s="531">
        <v>110</v>
      </c>
      <c r="E96" s="532"/>
      <c r="F96" s="532"/>
      <c r="G96" s="533"/>
    </row>
    <row r="97" spans="1:43" ht="15">
      <c r="A97" s="529" t="s">
        <v>463</v>
      </c>
      <c r="B97" s="530" t="s">
        <v>389</v>
      </c>
      <c r="C97" s="531">
        <v>2015</v>
      </c>
      <c r="D97" s="531">
        <v>0.4</v>
      </c>
      <c r="E97" s="532"/>
      <c r="F97" s="532"/>
      <c r="G97" s="533"/>
    </row>
    <row r="98" spans="1:43" ht="15">
      <c r="A98" s="529" t="s">
        <v>464</v>
      </c>
      <c r="B98" s="530" t="s">
        <v>389</v>
      </c>
      <c r="C98" s="531">
        <v>2015</v>
      </c>
      <c r="D98" s="531" t="s">
        <v>401</v>
      </c>
      <c r="E98" s="532"/>
      <c r="F98" s="532"/>
      <c r="G98" s="533"/>
    </row>
    <row r="99" spans="1:43" ht="15">
      <c r="A99" s="529" t="s">
        <v>465</v>
      </c>
      <c r="B99" s="530" t="s">
        <v>389</v>
      </c>
      <c r="C99" s="531">
        <v>2015</v>
      </c>
      <c r="D99" s="531">
        <v>35</v>
      </c>
      <c r="E99" s="532"/>
      <c r="F99" s="532"/>
      <c r="G99" s="533"/>
    </row>
    <row r="100" spans="1:43" ht="15">
      <c r="A100" s="529" t="s">
        <v>466</v>
      </c>
      <c r="B100" s="530" t="s">
        <v>389</v>
      </c>
      <c r="C100" s="531">
        <v>2015</v>
      </c>
      <c r="D100" s="531">
        <v>110</v>
      </c>
      <c r="E100" s="532"/>
      <c r="F100" s="532"/>
      <c r="G100" s="533"/>
    </row>
    <row r="101" spans="1:43" ht="15.75" thickBot="1">
      <c r="A101" s="539" t="s">
        <v>467</v>
      </c>
      <c r="B101" s="540" t="s">
        <v>392</v>
      </c>
      <c r="C101" s="541">
        <v>2015</v>
      </c>
      <c r="D101" s="541" t="s">
        <v>401</v>
      </c>
      <c r="E101" s="542">
        <f>E163</f>
        <v>930</v>
      </c>
      <c r="F101" s="542">
        <f>F163</f>
        <v>200</v>
      </c>
      <c r="G101" s="543">
        <f>G163</f>
        <v>3241.36</v>
      </c>
    </row>
    <row r="102" spans="1:43" s="518" customFormat="1" ht="15.75" thickBot="1">
      <c r="A102" s="512" t="s">
        <v>173</v>
      </c>
      <c r="B102" s="513" t="s">
        <v>468</v>
      </c>
      <c r="C102" s="514" t="s">
        <v>380</v>
      </c>
      <c r="D102" s="514" t="s">
        <v>380</v>
      </c>
      <c r="E102" s="515" t="s">
        <v>380</v>
      </c>
      <c r="F102" s="515" t="s">
        <v>380</v>
      </c>
      <c r="G102" s="516" t="s">
        <v>380</v>
      </c>
      <c r="H102" s="503"/>
      <c r="I102" s="615"/>
      <c r="J102" s="615"/>
      <c r="K102" s="615"/>
      <c r="L102" s="615"/>
      <c r="M102" s="615"/>
      <c r="N102" s="615"/>
      <c r="O102" s="615"/>
      <c r="P102" s="615"/>
      <c r="Q102" s="615"/>
      <c r="R102" s="615"/>
      <c r="S102" s="615"/>
      <c r="T102" s="615"/>
      <c r="U102" s="615"/>
      <c r="V102" s="615"/>
      <c r="W102" s="615"/>
      <c r="X102" s="615"/>
      <c r="Y102" s="615"/>
      <c r="Z102" s="615"/>
      <c r="AA102" s="615"/>
      <c r="AB102" s="615"/>
      <c r="AC102" s="615"/>
      <c r="AD102" s="615"/>
      <c r="AE102" s="615"/>
      <c r="AF102" s="615"/>
      <c r="AG102" s="615"/>
      <c r="AH102" s="615"/>
      <c r="AI102" s="615"/>
      <c r="AJ102" s="615"/>
      <c r="AK102" s="615"/>
      <c r="AL102" s="615"/>
      <c r="AM102" s="615"/>
      <c r="AN102" s="615"/>
      <c r="AO102" s="615"/>
      <c r="AP102" s="615"/>
      <c r="AQ102" s="615"/>
    </row>
    <row r="103" spans="1:43" s="518" customFormat="1" ht="15.75" hidden="1" thickBot="1">
      <c r="A103" s="519" t="s">
        <v>174</v>
      </c>
      <c r="B103" s="520" t="s">
        <v>416</v>
      </c>
      <c r="C103" s="521" t="s">
        <v>380</v>
      </c>
      <c r="D103" s="521" t="s">
        <v>380</v>
      </c>
      <c r="E103" s="522" t="s">
        <v>380</v>
      </c>
      <c r="F103" s="522" t="s">
        <v>380</v>
      </c>
      <c r="G103" s="523" t="s">
        <v>380</v>
      </c>
      <c r="H103" s="503"/>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15"/>
      <c r="AL103" s="615"/>
      <c r="AM103" s="615"/>
      <c r="AN103" s="615"/>
      <c r="AO103" s="615"/>
      <c r="AP103" s="615"/>
      <c r="AQ103" s="615"/>
    </row>
    <row r="104" spans="1:43" s="518" customFormat="1" ht="15.75" hidden="1" thickBot="1">
      <c r="A104" s="519" t="s">
        <v>175</v>
      </c>
      <c r="B104" s="520" t="s">
        <v>417</v>
      </c>
      <c r="C104" s="521" t="s">
        <v>380</v>
      </c>
      <c r="D104" s="521" t="s">
        <v>380</v>
      </c>
      <c r="E104" s="522" t="s">
        <v>380</v>
      </c>
      <c r="F104" s="522" t="s">
        <v>380</v>
      </c>
      <c r="G104" s="523" t="s">
        <v>380</v>
      </c>
      <c r="H104" s="503"/>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15"/>
      <c r="AL104" s="615"/>
      <c r="AM104" s="615"/>
      <c r="AN104" s="615"/>
      <c r="AO104" s="615"/>
      <c r="AP104" s="615"/>
      <c r="AQ104" s="615"/>
    </row>
    <row r="105" spans="1:43" ht="15.75" hidden="1" thickBot="1">
      <c r="A105" s="529" t="s">
        <v>469</v>
      </c>
      <c r="B105" s="530" t="s">
        <v>399</v>
      </c>
      <c r="C105" s="531"/>
      <c r="D105" s="531" t="s">
        <v>401</v>
      </c>
      <c r="E105" s="532"/>
      <c r="F105" s="532"/>
      <c r="G105" s="533"/>
    </row>
    <row r="106" spans="1:43" ht="15.75" hidden="1" thickBot="1">
      <c r="A106" s="529" t="s">
        <v>470</v>
      </c>
      <c r="B106" s="530" t="s">
        <v>399</v>
      </c>
      <c r="C106" s="531"/>
      <c r="D106" s="531">
        <v>35</v>
      </c>
      <c r="E106" s="532"/>
      <c r="F106" s="532"/>
      <c r="G106" s="533"/>
    </row>
    <row r="107" spans="1:43" ht="15.75" hidden="1" thickBot="1">
      <c r="A107" s="529" t="s">
        <v>471</v>
      </c>
      <c r="B107" s="530" t="s">
        <v>399</v>
      </c>
      <c r="C107" s="531"/>
      <c r="D107" s="531">
        <v>110</v>
      </c>
      <c r="E107" s="532"/>
      <c r="F107" s="532"/>
      <c r="G107" s="533"/>
    </row>
    <row r="108" spans="1:43" ht="15.75" hidden="1" thickBot="1">
      <c r="A108" s="529" t="s">
        <v>472</v>
      </c>
      <c r="B108" s="530" t="s">
        <v>387</v>
      </c>
      <c r="C108" s="531"/>
      <c r="D108" s="531" t="s">
        <v>401</v>
      </c>
      <c r="E108" s="532"/>
      <c r="F108" s="532"/>
      <c r="G108" s="533"/>
    </row>
    <row r="109" spans="1:43" ht="15.75" hidden="1" thickBot="1">
      <c r="A109" s="529" t="s">
        <v>473</v>
      </c>
      <c r="B109" s="530" t="s">
        <v>387</v>
      </c>
      <c r="C109" s="531"/>
      <c r="D109" s="531">
        <v>35</v>
      </c>
      <c r="E109" s="532"/>
      <c r="F109" s="532"/>
      <c r="G109" s="533"/>
    </row>
    <row r="110" spans="1:43" ht="15.75" hidden="1" thickBot="1">
      <c r="A110" s="529" t="s">
        <v>474</v>
      </c>
      <c r="B110" s="530" t="s">
        <v>387</v>
      </c>
      <c r="C110" s="531"/>
      <c r="D110" s="531">
        <v>110</v>
      </c>
      <c r="E110" s="532"/>
      <c r="F110" s="532"/>
      <c r="G110" s="533"/>
    </row>
    <row r="111" spans="1:43" ht="15.75" hidden="1" thickBot="1">
      <c r="A111" s="529" t="s">
        <v>475</v>
      </c>
      <c r="B111" s="530" t="s">
        <v>389</v>
      </c>
      <c r="C111" s="531"/>
      <c r="D111" s="531" t="s">
        <v>401</v>
      </c>
      <c r="E111" s="532"/>
      <c r="F111" s="532"/>
      <c r="G111" s="533"/>
    </row>
    <row r="112" spans="1:43" ht="15.75" hidden="1" thickBot="1">
      <c r="A112" s="529" t="s">
        <v>476</v>
      </c>
      <c r="B112" s="530" t="s">
        <v>389</v>
      </c>
      <c r="C112" s="531"/>
      <c r="D112" s="531">
        <v>35</v>
      </c>
      <c r="E112" s="532"/>
      <c r="F112" s="532"/>
      <c r="G112" s="533"/>
    </row>
    <row r="113" spans="1:43" ht="15.75" hidden="1" thickBot="1">
      <c r="A113" s="529" t="s">
        <v>477</v>
      </c>
      <c r="B113" s="530" t="s">
        <v>389</v>
      </c>
      <c r="C113" s="531"/>
      <c r="D113" s="531">
        <v>110</v>
      </c>
      <c r="E113" s="532"/>
      <c r="F113" s="532"/>
      <c r="G113" s="533"/>
    </row>
    <row r="114" spans="1:43" ht="15.75" hidden="1" thickBot="1">
      <c r="A114" s="539" t="s">
        <v>478</v>
      </c>
      <c r="B114" s="540" t="s">
        <v>392</v>
      </c>
      <c r="C114" s="541"/>
      <c r="D114" s="541">
        <v>110</v>
      </c>
      <c r="E114" s="542"/>
      <c r="F114" s="542"/>
      <c r="G114" s="543"/>
    </row>
    <row r="115" spans="1:43" s="518" customFormat="1" ht="15.75" hidden="1" thickBot="1">
      <c r="A115" s="512" t="s">
        <v>176</v>
      </c>
      <c r="B115" s="513" t="s">
        <v>429</v>
      </c>
      <c r="C115" s="514" t="s">
        <v>380</v>
      </c>
      <c r="D115" s="514" t="s">
        <v>380</v>
      </c>
      <c r="E115" s="515" t="s">
        <v>380</v>
      </c>
      <c r="F115" s="515" t="s">
        <v>380</v>
      </c>
      <c r="G115" s="516" t="s">
        <v>380</v>
      </c>
      <c r="H115" s="503"/>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c r="AI115" s="615"/>
      <c r="AJ115" s="615"/>
      <c r="AK115" s="615"/>
      <c r="AL115" s="615"/>
      <c r="AM115" s="615"/>
      <c r="AN115" s="615"/>
      <c r="AO115" s="615"/>
      <c r="AP115" s="615"/>
      <c r="AQ115" s="615"/>
    </row>
    <row r="116" spans="1:43" ht="15.75" hidden="1" thickBot="1">
      <c r="A116" s="529" t="s">
        <v>480</v>
      </c>
      <c r="B116" s="530" t="s">
        <v>399</v>
      </c>
      <c r="C116" s="531"/>
      <c r="D116" s="531" t="s">
        <v>401</v>
      </c>
      <c r="E116" s="532"/>
      <c r="F116" s="532"/>
      <c r="G116" s="533"/>
    </row>
    <row r="117" spans="1:43" ht="15.75" hidden="1" thickBot="1">
      <c r="A117" s="529" t="s">
        <v>481</v>
      </c>
      <c r="B117" s="530" t="s">
        <v>399</v>
      </c>
      <c r="C117" s="531"/>
      <c r="D117" s="531">
        <v>35</v>
      </c>
      <c r="E117" s="532"/>
      <c r="F117" s="532"/>
      <c r="G117" s="533"/>
    </row>
    <row r="118" spans="1:43" ht="15.75" hidden="1" thickBot="1">
      <c r="A118" s="529" t="s">
        <v>482</v>
      </c>
      <c r="B118" s="530" t="s">
        <v>399</v>
      </c>
      <c r="C118" s="531"/>
      <c r="D118" s="531">
        <v>110</v>
      </c>
      <c r="E118" s="532"/>
      <c r="F118" s="532"/>
      <c r="G118" s="533"/>
    </row>
    <row r="119" spans="1:43" ht="15.75" hidden="1" thickBot="1">
      <c r="A119" s="529" t="s">
        <v>483</v>
      </c>
      <c r="B119" s="530" t="s">
        <v>387</v>
      </c>
      <c r="C119" s="531"/>
      <c r="D119" s="531" t="s">
        <v>401</v>
      </c>
      <c r="E119" s="532"/>
      <c r="F119" s="532"/>
      <c r="G119" s="533"/>
    </row>
    <row r="120" spans="1:43" ht="15.75" hidden="1" thickBot="1">
      <c r="A120" s="529" t="s">
        <v>484</v>
      </c>
      <c r="B120" s="530" t="s">
        <v>387</v>
      </c>
      <c r="C120" s="531"/>
      <c r="D120" s="531">
        <v>35</v>
      </c>
      <c r="E120" s="532"/>
      <c r="F120" s="532"/>
      <c r="G120" s="533"/>
    </row>
    <row r="121" spans="1:43" ht="15.75" hidden="1" thickBot="1">
      <c r="A121" s="529" t="s">
        <v>485</v>
      </c>
      <c r="B121" s="530" t="s">
        <v>387</v>
      </c>
      <c r="C121" s="531"/>
      <c r="D121" s="531">
        <v>110</v>
      </c>
      <c r="E121" s="532"/>
      <c r="F121" s="532"/>
      <c r="G121" s="533"/>
    </row>
    <row r="122" spans="1:43" ht="15.75" hidden="1" thickBot="1">
      <c r="A122" s="529" t="s">
        <v>486</v>
      </c>
      <c r="B122" s="530" t="s">
        <v>389</v>
      </c>
      <c r="C122" s="531"/>
      <c r="D122" s="531" t="s">
        <v>401</v>
      </c>
      <c r="E122" s="532"/>
      <c r="F122" s="532"/>
      <c r="G122" s="533"/>
    </row>
    <row r="123" spans="1:43" ht="15.75" hidden="1" thickBot="1">
      <c r="A123" s="529" t="s">
        <v>487</v>
      </c>
      <c r="B123" s="530" t="s">
        <v>389</v>
      </c>
      <c r="C123" s="531"/>
      <c r="D123" s="531">
        <v>35</v>
      </c>
      <c r="E123" s="532"/>
      <c r="F123" s="532"/>
      <c r="G123" s="533"/>
    </row>
    <row r="124" spans="1:43" ht="15.75" hidden="1" thickBot="1">
      <c r="A124" s="529" t="s">
        <v>488</v>
      </c>
      <c r="B124" s="530" t="s">
        <v>389</v>
      </c>
      <c r="C124" s="531"/>
      <c r="D124" s="531">
        <v>110</v>
      </c>
      <c r="E124" s="532"/>
      <c r="F124" s="532"/>
      <c r="G124" s="533"/>
    </row>
    <row r="125" spans="1:43" ht="15.75" hidden="1" thickBot="1">
      <c r="A125" s="539" t="s">
        <v>489</v>
      </c>
      <c r="B125" s="540" t="s">
        <v>392</v>
      </c>
      <c r="C125" s="541"/>
      <c r="D125" s="541">
        <v>110</v>
      </c>
      <c r="E125" s="542"/>
      <c r="F125" s="542"/>
      <c r="G125" s="543"/>
    </row>
    <row r="126" spans="1:43" s="518" customFormat="1" ht="15.75" hidden="1" thickBot="1">
      <c r="A126" s="519" t="s">
        <v>177</v>
      </c>
      <c r="B126" s="520" t="s">
        <v>440</v>
      </c>
      <c r="C126" s="521" t="s">
        <v>380</v>
      </c>
      <c r="D126" s="521" t="s">
        <v>380</v>
      </c>
      <c r="E126" s="522" t="s">
        <v>380</v>
      </c>
      <c r="F126" s="522" t="s">
        <v>380</v>
      </c>
      <c r="G126" s="523" t="s">
        <v>380</v>
      </c>
      <c r="H126" s="503"/>
      <c r="I126" s="615"/>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5"/>
      <c r="AK126" s="615"/>
      <c r="AL126" s="615"/>
      <c r="AM126" s="615"/>
      <c r="AN126" s="615"/>
      <c r="AO126" s="615"/>
      <c r="AP126" s="615"/>
      <c r="AQ126" s="615"/>
    </row>
    <row r="127" spans="1:43" s="518" customFormat="1" ht="15.75" hidden="1" thickBot="1">
      <c r="A127" s="519" t="s">
        <v>178</v>
      </c>
      <c r="B127" s="520" t="s">
        <v>417</v>
      </c>
      <c r="C127" s="521" t="s">
        <v>380</v>
      </c>
      <c r="D127" s="521" t="s">
        <v>380</v>
      </c>
      <c r="E127" s="522" t="s">
        <v>380</v>
      </c>
      <c r="F127" s="522" t="s">
        <v>380</v>
      </c>
      <c r="G127" s="523" t="s">
        <v>380</v>
      </c>
      <c r="H127" s="503"/>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row>
    <row r="128" spans="1:43" ht="15.75" hidden="1" thickBot="1">
      <c r="A128" s="529" t="s">
        <v>490</v>
      </c>
      <c r="B128" s="530" t="s">
        <v>399</v>
      </c>
      <c r="C128" s="531"/>
      <c r="D128" s="531" t="s">
        <v>401</v>
      </c>
      <c r="E128" s="532"/>
      <c r="F128" s="532"/>
      <c r="G128" s="533"/>
    </row>
    <row r="129" spans="1:43" ht="15.75" hidden="1" thickBot="1">
      <c r="A129" s="529" t="s">
        <v>491</v>
      </c>
      <c r="B129" s="530" t="s">
        <v>399</v>
      </c>
      <c r="C129" s="531"/>
      <c r="D129" s="531">
        <v>35</v>
      </c>
      <c r="E129" s="532"/>
      <c r="F129" s="532"/>
      <c r="G129" s="533"/>
    </row>
    <row r="130" spans="1:43" ht="15.75" hidden="1" thickBot="1">
      <c r="A130" s="529" t="s">
        <v>492</v>
      </c>
      <c r="B130" s="530" t="s">
        <v>399</v>
      </c>
      <c r="C130" s="531"/>
      <c r="D130" s="531">
        <v>110</v>
      </c>
      <c r="E130" s="532"/>
      <c r="F130" s="532"/>
      <c r="G130" s="533"/>
    </row>
    <row r="131" spans="1:43" ht="15.75" hidden="1" thickBot="1">
      <c r="A131" s="529" t="s">
        <v>493</v>
      </c>
      <c r="B131" s="530" t="s">
        <v>387</v>
      </c>
      <c r="C131" s="531"/>
      <c r="D131" s="531" t="s">
        <v>401</v>
      </c>
      <c r="E131" s="532"/>
      <c r="F131" s="532"/>
      <c r="G131" s="533"/>
    </row>
    <row r="132" spans="1:43" ht="15.75" hidden="1" thickBot="1">
      <c r="A132" s="529" t="s">
        <v>494</v>
      </c>
      <c r="B132" s="530" t="s">
        <v>387</v>
      </c>
      <c r="C132" s="531"/>
      <c r="D132" s="531">
        <v>35</v>
      </c>
      <c r="E132" s="532"/>
      <c r="F132" s="532"/>
      <c r="G132" s="533"/>
    </row>
    <row r="133" spans="1:43" ht="15.75" hidden="1" thickBot="1">
      <c r="A133" s="529" t="s">
        <v>495</v>
      </c>
      <c r="B133" s="530" t="s">
        <v>387</v>
      </c>
      <c r="C133" s="531"/>
      <c r="D133" s="531">
        <v>110</v>
      </c>
      <c r="E133" s="532"/>
      <c r="F133" s="532"/>
      <c r="G133" s="533"/>
    </row>
    <row r="134" spans="1:43" ht="15.75" hidden="1" thickBot="1">
      <c r="A134" s="529" t="s">
        <v>496</v>
      </c>
      <c r="B134" s="530" t="s">
        <v>389</v>
      </c>
      <c r="C134" s="531"/>
      <c r="D134" s="531" t="s">
        <v>401</v>
      </c>
      <c r="E134" s="532"/>
      <c r="F134" s="532"/>
      <c r="G134" s="533"/>
    </row>
    <row r="135" spans="1:43" ht="15.75" hidden="1" thickBot="1">
      <c r="A135" s="529" t="s">
        <v>497</v>
      </c>
      <c r="B135" s="530" t="s">
        <v>389</v>
      </c>
      <c r="C135" s="531"/>
      <c r="D135" s="531">
        <v>35</v>
      </c>
      <c r="E135" s="532"/>
      <c r="F135" s="532"/>
      <c r="G135" s="533"/>
    </row>
    <row r="136" spans="1:43" ht="15.75" hidden="1" thickBot="1">
      <c r="A136" s="529" t="s">
        <v>498</v>
      </c>
      <c r="B136" s="530" t="s">
        <v>389</v>
      </c>
      <c r="C136" s="531"/>
      <c r="D136" s="531">
        <v>110</v>
      </c>
      <c r="E136" s="532"/>
      <c r="F136" s="532"/>
      <c r="G136" s="533"/>
    </row>
    <row r="137" spans="1:43" ht="15.75" hidden="1" thickBot="1">
      <c r="A137" s="539" t="s">
        <v>499</v>
      </c>
      <c r="B137" s="540" t="s">
        <v>392</v>
      </c>
      <c r="C137" s="541"/>
      <c r="D137" s="541">
        <v>110</v>
      </c>
      <c r="E137" s="542"/>
      <c r="F137" s="542"/>
      <c r="G137" s="543"/>
    </row>
    <row r="138" spans="1:43" s="518" customFormat="1" ht="15.75" hidden="1" thickBot="1">
      <c r="A138" s="512" t="s">
        <v>179</v>
      </c>
      <c r="B138" s="513" t="s">
        <v>429</v>
      </c>
      <c r="C138" s="514" t="s">
        <v>380</v>
      </c>
      <c r="D138" s="514" t="s">
        <v>380</v>
      </c>
      <c r="E138" s="515" t="s">
        <v>380</v>
      </c>
      <c r="F138" s="515" t="s">
        <v>380</v>
      </c>
      <c r="G138" s="516" t="s">
        <v>380</v>
      </c>
      <c r="H138" s="503"/>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5"/>
      <c r="AL138" s="615"/>
      <c r="AM138" s="615"/>
      <c r="AN138" s="615"/>
      <c r="AO138" s="615"/>
      <c r="AP138" s="615"/>
      <c r="AQ138" s="615"/>
    </row>
    <row r="139" spans="1:43" ht="15.75" hidden="1" thickBot="1">
      <c r="A139" s="529" t="s">
        <v>500</v>
      </c>
      <c r="B139" s="530" t="s">
        <v>399</v>
      </c>
      <c r="C139" s="531"/>
      <c r="D139" s="531" t="s">
        <v>401</v>
      </c>
      <c r="E139" s="532"/>
      <c r="F139" s="532"/>
      <c r="G139" s="533"/>
    </row>
    <row r="140" spans="1:43" ht="15.75" hidden="1" thickBot="1">
      <c r="A140" s="529" t="s">
        <v>501</v>
      </c>
      <c r="B140" s="530" t="s">
        <v>399</v>
      </c>
      <c r="C140" s="531"/>
      <c r="D140" s="531">
        <v>35</v>
      </c>
      <c r="E140" s="532"/>
      <c r="F140" s="532"/>
      <c r="G140" s="533"/>
    </row>
    <row r="141" spans="1:43" ht="15.75" hidden="1" thickBot="1">
      <c r="A141" s="529" t="s">
        <v>502</v>
      </c>
      <c r="B141" s="530" t="s">
        <v>399</v>
      </c>
      <c r="C141" s="531"/>
      <c r="D141" s="531">
        <v>110</v>
      </c>
      <c r="E141" s="532"/>
      <c r="F141" s="532"/>
      <c r="G141" s="533"/>
    </row>
    <row r="142" spans="1:43" ht="15.75" hidden="1" thickBot="1">
      <c r="A142" s="529" t="s">
        <v>503</v>
      </c>
      <c r="B142" s="530" t="s">
        <v>387</v>
      </c>
      <c r="C142" s="531"/>
      <c r="D142" s="531" t="s">
        <v>401</v>
      </c>
      <c r="E142" s="532"/>
      <c r="F142" s="532"/>
      <c r="G142" s="533"/>
    </row>
    <row r="143" spans="1:43" ht="15.75" hidden="1" thickBot="1">
      <c r="A143" s="529" t="s">
        <v>504</v>
      </c>
      <c r="B143" s="530" t="s">
        <v>387</v>
      </c>
      <c r="C143" s="531"/>
      <c r="D143" s="531">
        <v>35</v>
      </c>
      <c r="E143" s="532"/>
      <c r="F143" s="532"/>
      <c r="G143" s="533"/>
    </row>
    <row r="144" spans="1:43" ht="15.75" hidden="1" thickBot="1">
      <c r="A144" s="529" t="s">
        <v>505</v>
      </c>
      <c r="B144" s="530" t="s">
        <v>387</v>
      </c>
      <c r="C144" s="531"/>
      <c r="D144" s="531">
        <v>110</v>
      </c>
      <c r="E144" s="532"/>
      <c r="F144" s="532"/>
      <c r="G144" s="533"/>
    </row>
    <row r="145" spans="1:43" ht="15.75" hidden="1" thickBot="1">
      <c r="A145" s="529" t="s">
        <v>506</v>
      </c>
      <c r="B145" s="530" t="s">
        <v>389</v>
      </c>
      <c r="C145" s="531"/>
      <c r="D145" s="531" t="s">
        <v>401</v>
      </c>
      <c r="E145" s="532"/>
      <c r="F145" s="532"/>
      <c r="G145" s="533"/>
    </row>
    <row r="146" spans="1:43" ht="15.75" hidden="1" thickBot="1">
      <c r="A146" s="529" t="s">
        <v>507</v>
      </c>
      <c r="B146" s="530" t="s">
        <v>389</v>
      </c>
      <c r="C146" s="531"/>
      <c r="D146" s="531">
        <v>35</v>
      </c>
      <c r="E146" s="532"/>
      <c r="F146" s="532"/>
      <c r="G146" s="533"/>
    </row>
    <row r="147" spans="1:43" ht="15.75" hidden="1" thickBot="1">
      <c r="A147" s="529" t="s">
        <v>508</v>
      </c>
      <c r="B147" s="530" t="s">
        <v>389</v>
      </c>
      <c r="C147" s="531"/>
      <c r="D147" s="531">
        <v>110</v>
      </c>
      <c r="E147" s="532"/>
      <c r="F147" s="532"/>
      <c r="G147" s="533"/>
    </row>
    <row r="148" spans="1:43" ht="15.75" hidden="1" thickBot="1">
      <c r="A148" s="539" t="s">
        <v>509</v>
      </c>
      <c r="B148" s="540" t="s">
        <v>392</v>
      </c>
      <c r="C148" s="541"/>
      <c r="D148" s="541">
        <v>110</v>
      </c>
      <c r="E148" s="542"/>
      <c r="F148" s="542"/>
      <c r="G148" s="543"/>
    </row>
    <row r="149" spans="1:43" s="518" customFormat="1" ht="30.75" hidden="1" thickBot="1">
      <c r="A149" s="512" t="s">
        <v>180</v>
      </c>
      <c r="B149" s="513" t="s">
        <v>510</v>
      </c>
      <c r="C149" s="514" t="s">
        <v>380</v>
      </c>
      <c r="D149" s="514" t="s">
        <v>380</v>
      </c>
      <c r="E149" s="515" t="s">
        <v>380</v>
      </c>
      <c r="F149" s="515" t="s">
        <v>380</v>
      </c>
      <c r="G149" s="516" t="s">
        <v>380</v>
      </c>
      <c r="H149" s="503"/>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615"/>
      <c r="AL149" s="615"/>
      <c r="AM149" s="615"/>
      <c r="AN149" s="615"/>
      <c r="AO149" s="615"/>
      <c r="AP149" s="615"/>
      <c r="AQ149" s="615"/>
    </row>
    <row r="150" spans="1:43" s="518" customFormat="1" ht="15.75" hidden="1" thickBot="1">
      <c r="A150" s="519" t="s">
        <v>181</v>
      </c>
      <c r="B150" s="520" t="s">
        <v>440</v>
      </c>
      <c r="C150" s="521" t="s">
        <v>380</v>
      </c>
      <c r="D150" s="521" t="s">
        <v>380</v>
      </c>
      <c r="E150" s="522" t="s">
        <v>380</v>
      </c>
      <c r="F150" s="522" t="s">
        <v>380</v>
      </c>
      <c r="G150" s="523" t="s">
        <v>380</v>
      </c>
      <c r="H150" s="503"/>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15"/>
      <c r="AL150" s="615"/>
      <c r="AM150" s="615"/>
      <c r="AN150" s="615"/>
      <c r="AO150" s="615"/>
      <c r="AP150" s="615"/>
      <c r="AQ150" s="615"/>
    </row>
    <row r="151" spans="1:43" s="518" customFormat="1" ht="15.75" hidden="1" thickBot="1">
      <c r="A151" s="519" t="s">
        <v>511</v>
      </c>
      <c r="B151" s="520" t="s">
        <v>417</v>
      </c>
      <c r="C151" s="521" t="s">
        <v>380</v>
      </c>
      <c r="D151" s="521" t="s">
        <v>380</v>
      </c>
      <c r="E151" s="522" t="s">
        <v>380</v>
      </c>
      <c r="F151" s="522" t="s">
        <v>380</v>
      </c>
      <c r="G151" s="523" t="s">
        <v>380</v>
      </c>
      <c r="H151" s="503"/>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615"/>
      <c r="AL151" s="615"/>
      <c r="AM151" s="615"/>
      <c r="AN151" s="615"/>
      <c r="AO151" s="615"/>
      <c r="AP151" s="615"/>
      <c r="AQ151" s="615"/>
    </row>
    <row r="152" spans="1:43" ht="15.75" hidden="1" thickBot="1">
      <c r="A152" s="529" t="s">
        <v>512</v>
      </c>
      <c r="B152" s="530" t="s">
        <v>392</v>
      </c>
      <c r="C152" s="531"/>
      <c r="D152" s="531" t="s">
        <v>401</v>
      </c>
      <c r="E152" s="532"/>
      <c r="F152" s="532"/>
      <c r="G152" s="533"/>
    </row>
    <row r="153" spans="1:43" ht="15.75" hidden="1" thickBot="1">
      <c r="A153" s="529" t="s">
        <v>513</v>
      </c>
      <c r="B153" s="530" t="s">
        <v>392</v>
      </c>
      <c r="C153" s="531"/>
      <c r="D153" s="531">
        <v>35</v>
      </c>
      <c r="E153" s="532"/>
      <c r="F153" s="532"/>
      <c r="G153" s="533"/>
    </row>
    <row r="154" spans="1:43" ht="15.75" hidden="1" thickBot="1">
      <c r="A154" s="529" t="s">
        <v>514</v>
      </c>
      <c r="B154" s="530" t="s">
        <v>392</v>
      </c>
      <c r="C154" s="531"/>
      <c r="D154" s="531">
        <v>110</v>
      </c>
      <c r="E154" s="532"/>
      <c r="F154" s="532"/>
      <c r="G154" s="533"/>
    </row>
    <row r="155" spans="1:43" s="518" customFormat="1" ht="15.75" hidden="1" thickBot="1">
      <c r="A155" s="519" t="s">
        <v>515</v>
      </c>
      <c r="B155" s="520" t="s">
        <v>429</v>
      </c>
      <c r="C155" s="521" t="s">
        <v>380</v>
      </c>
      <c r="D155" s="521" t="s">
        <v>380</v>
      </c>
      <c r="E155" s="522" t="s">
        <v>380</v>
      </c>
      <c r="F155" s="522" t="s">
        <v>380</v>
      </c>
      <c r="G155" s="523" t="s">
        <v>380</v>
      </c>
      <c r="H155" s="503"/>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15"/>
      <c r="AL155" s="615"/>
      <c r="AM155" s="615"/>
      <c r="AN155" s="615"/>
      <c r="AO155" s="615"/>
      <c r="AP155" s="615"/>
      <c r="AQ155" s="615"/>
    </row>
    <row r="156" spans="1:43" ht="15.75" hidden="1" thickBot="1">
      <c r="A156" s="529" t="s">
        <v>516</v>
      </c>
      <c r="B156" s="530" t="s">
        <v>392</v>
      </c>
      <c r="C156" s="531"/>
      <c r="D156" s="531" t="s">
        <v>401</v>
      </c>
      <c r="E156" s="532">
        <f>E161</f>
        <v>80</v>
      </c>
      <c r="F156" s="532">
        <f>F161</f>
        <v>300</v>
      </c>
      <c r="G156" s="533">
        <f>G161</f>
        <v>904.21999999999991</v>
      </c>
    </row>
    <row r="157" spans="1:43" ht="15.75" hidden="1" thickBot="1">
      <c r="A157" s="529" t="s">
        <v>517</v>
      </c>
      <c r="B157" s="530" t="s">
        <v>392</v>
      </c>
      <c r="C157" s="531"/>
      <c r="D157" s="531">
        <v>35</v>
      </c>
      <c r="E157" s="532"/>
      <c r="F157" s="532"/>
      <c r="G157" s="533"/>
    </row>
    <row r="158" spans="1:43" ht="15.75" hidden="1" thickBot="1">
      <c r="A158" s="529" t="s">
        <v>518</v>
      </c>
      <c r="B158" s="530" t="s">
        <v>392</v>
      </c>
      <c r="C158" s="531"/>
      <c r="D158" s="531">
        <v>110</v>
      </c>
      <c r="E158" s="532"/>
      <c r="F158" s="532"/>
      <c r="G158" s="533"/>
    </row>
    <row r="159" spans="1:43" s="518" customFormat="1" ht="15.75" thickBot="1">
      <c r="A159" s="544" t="s">
        <v>182</v>
      </c>
      <c r="B159" s="545" t="s">
        <v>604</v>
      </c>
      <c r="C159" s="546"/>
      <c r="D159" s="546"/>
      <c r="E159" s="556"/>
      <c r="F159" s="547"/>
      <c r="G159" s="548"/>
      <c r="H159" s="503"/>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615"/>
      <c r="AL159" s="615"/>
      <c r="AM159" s="615"/>
      <c r="AN159" s="615"/>
      <c r="AO159" s="615"/>
      <c r="AP159" s="615"/>
      <c r="AQ159" s="615"/>
    </row>
    <row r="160" spans="1:43" ht="15">
      <c r="A160" s="529" t="s">
        <v>183</v>
      </c>
      <c r="B160" s="530" t="s">
        <v>622</v>
      </c>
      <c r="C160" s="531">
        <v>2015</v>
      </c>
      <c r="D160" s="531">
        <v>0.4</v>
      </c>
      <c r="E160" s="532">
        <v>1420</v>
      </c>
      <c r="F160" s="532">
        <v>455</v>
      </c>
      <c r="G160" s="533">
        <v>4435.38</v>
      </c>
    </row>
    <row r="161" spans="1:43" ht="15">
      <c r="A161" s="529" t="s">
        <v>184</v>
      </c>
      <c r="B161" s="530" t="s">
        <v>778</v>
      </c>
      <c r="C161" s="531">
        <v>2015</v>
      </c>
      <c r="D161" s="531">
        <v>6</v>
      </c>
      <c r="E161" s="532">
        <v>80</v>
      </c>
      <c r="F161" s="532">
        <v>300</v>
      </c>
      <c r="G161" s="533">
        <f>1202.34-298.12</f>
        <v>904.21999999999991</v>
      </c>
    </row>
    <row r="162" spans="1:43" ht="15">
      <c r="A162" s="524" t="s">
        <v>624</v>
      </c>
      <c r="B162" s="525" t="s">
        <v>777</v>
      </c>
      <c r="C162" s="526">
        <v>2015</v>
      </c>
      <c r="D162" s="526">
        <v>10</v>
      </c>
      <c r="E162" s="527">
        <v>50</v>
      </c>
      <c r="F162" s="527">
        <v>20</v>
      </c>
      <c r="G162" s="528">
        <v>188.43</v>
      </c>
    </row>
    <row r="163" spans="1:43" ht="15.75" thickBot="1">
      <c r="A163" s="529" t="s">
        <v>185</v>
      </c>
      <c r="B163" s="525" t="s">
        <v>776</v>
      </c>
      <c r="C163" s="526">
        <v>2015</v>
      </c>
      <c r="D163" s="526">
        <v>6</v>
      </c>
      <c r="E163" s="527">
        <v>930</v>
      </c>
      <c r="F163" s="527">
        <v>200</v>
      </c>
      <c r="G163" s="528">
        <v>3241.36</v>
      </c>
    </row>
    <row r="164" spans="1:43" ht="15.75" hidden="1" thickBot="1">
      <c r="A164" s="529" t="s">
        <v>628</v>
      </c>
      <c r="B164" s="525"/>
      <c r="C164" s="526"/>
      <c r="D164" s="526"/>
      <c r="E164" s="527"/>
      <c r="F164" s="527"/>
      <c r="G164" s="528"/>
    </row>
    <row r="165" spans="1:43" ht="15.75" hidden="1" thickBot="1">
      <c r="A165" s="524" t="s">
        <v>186</v>
      </c>
      <c r="B165" s="525"/>
      <c r="C165" s="526"/>
      <c r="D165" s="526"/>
      <c r="E165" s="527"/>
      <c r="F165" s="527"/>
      <c r="G165" s="528"/>
    </row>
    <row r="166" spans="1:43" ht="15.75" hidden="1" thickBot="1">
      <c r="A166" s="529" t="s">
        <v>187</v>
      </c>
      <c r="B166" s="525"/>
      <c r="C166" s="526"/>
      <c r="D166" s="526"/>
      <c r="E166" s="527"/>
      <c r="F166" s="527"/>
      <c r="G166" s="528"/>
    </row>
    <row r="167" spans="1:43" ht="15.75" hidden="1" thickBot="1">
      <c r="A167" s="529" t="s">
        <v>188</v>
      </c>
      <c r="B167" s="525"/>
      <c r="C167" s="526"/>
      <c r="D167" s="526"/>
      <c r="E167" s="527"/>
      <c r="F167" s="527"/>
      <c r="G167" s="528"/>
    </row>
    <row r="168" spans="1:43" ht="15.75" hidden="1" thickBot="1">
      <c r="A168" s="524" t="s">
        <v>189</v>
      </c>
      <c r="B168" s="525"/>
      <c r="C168" s="526"/>
      <c r="D168" s="526"/>
      <c r="E168" s="527"/>
      <c r="F168" s="527"/>
      <c r="G168" s="528"/>
    </row>
    <row r="169" spans="1:43" ht="15.75" hidden="1" thickBot="1">
      <c r="A169" s="529" t="s">
        <v>190</v>
      </c>
      <c r="B169" s="525"/>
      <c r="C169" s="526"/>
      <c r="D169" s="526"/>
      <c r="E169" s="527"/>
      <c r="F169" s="527"/>
      <c r="G169" s="528"/>
    </row>
    <row r="170" spans="1:43" s="518" customFormat="1" ht="15.75" thickBot="1">
      <c r="A170" s="589" t="s">
        <v>191</v>
      </c>
      <c r="B170" s="590" t="s">
        <v>519</v>
      </c>
      <c r="C170" s="591" t="s">
        <v>380</v>
      </c>
      <c r="D170" s="591" t="s">
        <v>380</v>
      </c>
      <c r="E170" s="592" t="s">
        <v>380</v>
      </c>
      <c r="F170" s="592" t="s">
        <v>380</v>
      </c>
      <c r="G170" s="593" t="s">
        <v>380</v>
      </c>
      <c r="H170" s="517"/>
      <c r="I170" s="615"/>
      <c r="J170" s="615"/>
      <c r="K170" s="615"/>
      <c r="L170" s="615"/>
      <c r="M170" s="615"/>
      <c r="N170" s="615"/>
      <c r="O170" s="615"/>
      <c r="P170" s="615"/>
      <c r="Q170" s="615"/>
      <c r="R170" s="615"/>
      <c r="S170" s="615"/>
      <c r="T170" s="615"/>
      <c r="U170" s="615"/>
      <c r="V170" s="615"/>
      <c r="W170" s="615"/>
      <c r="X170" s="615"/>
      <c r="Y170" s="615"/>
      <c r="Z170" s="615"/>
      <c r="AA170" s="615"/>
      <c r="AB170" s="615"/>
      <c r="AC170" s="615"/>
      <c r="AD170" s="615"/>
      <c r="AE170" s="615"/>
      <c r="AF170" s="615"/>
      <c r="AG170" s="615"/>
      <c r="AH170" s="615"/>
      <c r="AI170" s="615"/>
      <c r="AJ170" s="615"/>
      <c r="AK170" s="615"/>
      <c r="AL170" s="615"/>
      <c r="AM170" s="615"/>
      <c r="AN170" s="615"/>
      <c r="AO170" s="615"/>
      <c r="AP170" s="615"/>
      <c r="AQ170" s="615"/>
    </row>
    <row r="171" spans="1:43" s="518" customFormat="1" ht="15">
      <c r="A171" s="558" t="s">
        <v>192</v>
      </c>
      <c r="B171" s="559" t="s">
        <v>520</v>
      </c>
      <c r="C171" s="560" t="s">
        <v>380</v>
      </c>
      <c r="D171" s="560" t="s">
        <v>380</v>
      </c>
      <c r="E171" s="561" t="s">
        <v>380</v>
      </c>
      <c r="F171" s="561" t="s">
        <v>380</v>
      </c>
      <c r="G171" s="562" t="s">
        <v>380</v>
      </c>
      <c r="H171" s="517"/>
      <c r="I171" s="615"/>
      <c r="J171" s="615"/>
      <c r="K171" s="615"/>
      <c r="L171" s="615"/>
      <c r="M171" s="615"/>
      <c r="N171" s="615"/>
      <c r="O171" s="615"/>
      <c r="P171" s="615"/>
      <c r="Q171" s="615"/>
      <c r="R171" s="615"/>
      <c r="S171" s="615"/>
      <c r="T171" s="615"/>
      <c r="U171" s="615"/>
      <c r="V171" s="615"/>
      <c r="W171" s="615"/>
      <c r="X171" s="615"/>
      <c r="Y171" s="615"/>
      <c r="Z171" s="615"/>
      <c r="AA171" s="615"/>
      <c r="AB171" s="615"/>
      <c r="AC171" s="615"/>
      <c r="AD171" s="615"/>
      <c r="AE171" s="615"/>
      <c r="AF171" s="615"/>
      <c r="AG171" s="615"/>
      <c r="AH171" s="615"/>
      <c r="AI171" s="615"/>
      <c r="AJ171" s="615"/>
      <c r="AK171" s="615"/>
      <c r="AL171" s="615"/>
      <c r="AM171" s="615"/>
      <c r="AN171" s="615"/>
      <c r="AO171" s="615"/>
      <c r="AP171" s="615"/>
      <c r="AQ171" s="615"/>
    </row>
    <row r="172" spans="1:43" ht="15">
      <c r="A172" s="524" t="s">
        <v>193</v>
      </c>
      <c r="B172" s="525" t="s">
        <v>521</v>
      </c>
      <c r="C172" s="526">
        <v>2015</v>
      </c>
      <c r="D172" s="526" t="s">
        <v>401</v>
      </c>
      <c r="E172" s="527" t="s">
        <v>380</v>
      </c>
      <c r="F172" s="527"/>
      <c r="G172" s="528"/>
    </row>
    <row r="173" spans="1:43" ht="15.75" thickBot="1">
      <c r="A173" s="539" t="s">
        <v>194</v>
      </c>
      <c r="B173" s="540" t="s">
        <v>521</v>
      </c>
      <c r="C173" s="541">
        <v>2015</v>
      </c>
      <c r="D173" s="541">
        <v>35</v>
      </c>
      <c r="E173" s="542" t="s">
        <v>380</v>
      </c>
      <c r="F173" s="542"/>
      <c r="G173" s="543"/>
    </row>
    <row r="174" spans="1:43" s="518" customFormat="1" ht="15">
      <c r="A174" s="568" t="s">
        <v>195</v>
      </c>
      <c r="B174" s="569" t="s">
        <v>522</v>
      </c>
      <c r="C174" s="570" t="s">
        <v>380</v>
      </c>
      <c r="D174" s="570" t="s">
        <v>380</v>
      </c>
      <c r="E174" s="571" t="s">
        <v>380</v>
      </c>
      <c r="F174" s="571" t="s">
        <v>380</v>
      </c>
      <c r="G174" s="572" t="s">
        <v>380</v>
      </c>
      <c r="H174" s="517"/>
      <c r="I174" s="615"/>
      <c r="J174" s="615"/>
      <c r="K174" s="615"/>
      <c r="L174" s="615"/>
      <c r="M174" s="615"/>
      <c r="N174" s="615"/>
      <c r="O174" s="615"/>
      <c r="P174" s="615"/>
      <c r="Q174" s="615"/>
      <c r="R174" s="615"/>
      <c r="S174" s="615"/>
      <c r="T174" s="615"/>
      <c r="U174" s="615"/>
      <c r="V174" s="615"/>
      <c r="W174" s="615"/>
      <c r="X174" s="615"/>
      <c r="Y174" s="615"/>
      <c r="Z174" s="615"/>
      <c r="AA174" s="615"/>
      <c r="AB174" s="615"/>
      <c r="AC174" s="615"/>
      <c r="AD174" s="615"/>
      <c r="AE174" s="615"/>
      <c r="AF174" s="615"/>
      <c r="AG174" s="615"/>
      <c r="AH174" s="615"/>
      <c r="AI174" s="615"/>
      <c r="AJ174" s="615"/>
      <c r="AK174" s="615"/>
      <c r="AL174" s="615"/>
      <c r="AM174" s="615"/>
      <c r="AN174" s="615"/>
      <c r="AO174" s="615"/>
      <c r="AP174" s="615"/>
      <c r="AQ174" s="615"/>
    </row>
    <row r="175" spans="1:43" ht="15">
      <c r="A175" s="524" t="s">
        <v>196</v>
      </c>
      <c r="B175" s="525" t="s">
        <v>523</v>
      </c>
      <c r="C175" s="526">
        <v>2015</v>
      </c>
      <c r="D175" s="526" t="s">
        <v>401</v>
      </c>
      <c r="E175" s="527" t="s">
        <v>380</v>
      </c>
      <c r="F175" s="527"/>
      <c r="G175" s="528"/>
    </row>
    <row r="176" spans="1:43" ht="15.75" thickBot="1">
      <c r="A176" s="539" t="s">
        <v>197</v>
      </c>
      <c r="B176" s="540" t="s">
        <v>524</v>
      </c>
      <c r="C176" s="541">
        <v>2015</v>
      </c>
      <c r="D176" s="541" t="s">
        <v>401</v>
      </c>
      <c r="E176" s="542" t="s">
        <v>380</v>
      </c>
      <c r="F176" s="542"/>
      <c r="G176" s="543"/>
    </row>
    <row r="177" spans="1:43" s="518" customFormat="1" ht="15.75" hidden="1" thickBot="1">
      <c r="A177" s="544" t="s">
        <v>631</v>
      </c>
      <c r="B177" s="545" t="s">
        <v>604</v>
      </c>
      <c r="C177" s="546"/>
      <c r="D177" s="546"/>
      <c r="E177" s="556" t="s">
        <v>380</v>
      </c>
      <c r="F177" s="547"/>
      <c r="G177" s="548"/>
      <c r="H177" s="517"/>
      <c r="I177" s="615"/>
      <c r="J177" s="615"/>
      <c r="K177" s="615"/>
      <c r="L177" s="615"/>
      <c r="M177" s="615"/>
      <c r="N177" s="615"/>
      <c r="O177" s="615"/>
      <c r="P177" s="615"/>
      <c r="Q177" s="615"/>
      <c r="R177" s="615"/>
      <c r="S177" s="615"/>
      <c r="T177" s="615"/>
      <c r="U177" s="615"/>
      <c r="V177" s="615"/>
      <c r="W177" s="615"/>
      <c r="X177" s="615"/>
      <c r="Y177" s="615"/>
      <c r="Z177" s="615"/>
      <c r="AA177" s="615"/>
      <c r="AB177" s="615"/>
      <c r="AC177" s="615"/>
      <c r="AD177" s="615"/>
      <c r="AE177" s="615"/>
      <c r="AF177" s="615"/>
      <c r="AG177" s="615"/>
      <c r="AH177" s="615"/>
      <c r="AI177" s="615"/>
      <c r="AJ177" s="615"/>
      <c r="AK177" s="615"/>
      <c r="AL177" s="615"/>
      <c r="AM177" s="615"/>
      <c r="AN177" s="615"/>
      <c r="AO177" s="615"/>
      <c r="AP177" s="615"/>
      <c r="AQ177" s="615"/>
    </row>
    <row r="178" spans="1:43" ht="15.75" hidden="1" thickBot="1">
      <c r="A178" s="529" t="s">
        <v>632</v>
      </c>
      <c r="B178" s="530"/>
      <c r="C178" s="531"/>
      <c r="D178" s="531"/>
      <c r="E178" s="532" t="s">
        <v>380</v>
      </c>
      <c r="F178" s="532"/>
      <c r="G178" s="533"/>
    </row>
    <row r="179" spans="1:43" ht="15.75" hidden="1" thickBot="1">
      <c r="A179" s="529" t="s">
        <v>633</v>
      </c>
      <c r="B179" s="530"/>
      <c r="C179" s="531"/>
      <c r="D179" s="531"/>
      <c r="E179" s="532" t="s">
        <v>380</v>
      </c>
      <c r="F179" s="532"/>
      <c r="G179" s="533"/>
    </row>
    <row r="180" spans="1:43" ht="15.75" hidden="1" thickBot="1">
      <c r="A180" s="524" t="s">
        <v>634</v>
      </c>
      <c r="B180" s="525"/>
      <c r="C180" s="526"/>
      <c r="D180" s="526"/>
      <c r="E180" s="527" t="s">
        <v>380</v>
      </c>
      <c r="F180" s="527"/>
      <c r="G180" s="528"/>
    </row>
    <row r="181" spans="1:43" ht="15.75" hidden="1" thickBot="1">
      <c r="A181" s="529" t="s">
        <v>635</v>
      </c>
      <c r="B181" s="525"/>
      <c r="C181" s="526"/>
      <c r="D181" s="526"/>
      <c r="E181" s="527" t="s">
        <v>380</v>
      </c>
      <c r="F181" s="527"/>
      <c r="G181" s="528"/>
    </row>
    <row r="182" spans="1:43" ht="15.75" hidden="1" thickBot="1">
      <c r="A182" s="529" t="s">
        <v>636</v>
      </c>
      <c r="B182" s="525"/>
      <c r="C182" s="526"/>
      <c r="D182" s="526"/>
      <c r="E182" s="527" t="s">
        <v>380</v>
      </c>
      <c r="F182" s="527"/>
      <c r="G182" s="528"/>
    </row>
    <row r="183" spans="1:43" s="518" customFormat="1" ht="45.75" thickBot="1">
      <c r="A183" s="589" t="s">
        <v>198</v>
      </c>
      <c r="B183" s="590" t="s">
        <v>525</v>
      </c>
      <c r="C183" s="591" t="s">
        <v>380</v>
      </c>
      <c r="D183" s="591" t="s">
        <v>380</v>
      </c>
      <c r="E183" s="592" t="s">
        <v>380</v>
      </c>
      <c r="F183" s="592" t="s">
        <v>380</v>
      </c>
      <c r="G183" s="593" t="s">
        <v>380</v>
      </c>
      <c r="H183" s="517"/>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15"/>
      <c r="AL183" s="615"/>
      <c r="AM183" s="615"/>
      <c r="AN183" s="615"/>
      <c r="AO183" s="615"/>
      <c r="AP183" s="615"/>
      <c r="AQ183" s="615"/>
    </row>
    <row r="184" spans="1:43" s="518" customFormat="1" ht="30.75" thickBot="1">
      <c r="A184" s="544" t="s">
        <v>199</v>
      </c>
      <c r="B184" s="554" t="s">
        <v>526</v>
      </c>
      <c r="C184" s="555" t="s">
        <v>380</v>
      </c>
      <c r="D184" s="555" t="s">
        <v>380</v>
      </c>
      <c r="E184" s="556" t="s">
        <v>380</v>
      </c>
      <c r="F184" s="556" t="s">
        <v>380</v>
      </c>
      <c r="G184" s="557" t="s">
        <v>380</v>
      </c>
      <c r="H184" s="517"/>
      <c r="I184" s="615"/>
      <c r="J184" s="615"/>
      <c r="K184" s="615"/>
      <c r="L184" s="615"/>
      <c r="M184" s="615"/>
      <c r="N184" s="615"/>
      <c r="O184" s="615"/>
      <c r="P184" s="615"/>
      <c r="Q184" s="615"/>
      <c r="R184" s="615"/>
      <c r="S184" s="615"/>
      <c r="T184" s="615"/>
      <c r="U184" s="615"/>
      <c r="V184" s="615"/>
      <c r="W184" s="615"/>
      <c r="X184" s="615"/>
      <c r="Y184" s="615"/>
      <c r="Z184" s="615"/>
      <c r="AA184" s="615"/>
      <c r="AB184" s="615"/>
      <c r="AC184" s="615"/>
      <c r="AD184" s="615"/>
      <c r="AE184" s="615"/>
      <c r="AF184" s="615"/>
      <c r="AG184" s="615"/>
      <c r="AH184" s="615"/>
      <c r="AI184" s="615"/>
      <c r="AJ184" s="615"/>
      <c r="AK184" s="615"/>
      <c r="AL184" s="615"/>
      <c r="AM184" s="615"/>
      <c r="AN184" s="615"/>
      <c r="AO184" s="615"/>
      <c r="AP184" s="615"/>
      <c r="AQ184" s="615"/>
    </row>
    <row r="185" spans="1:43" s="518" customFormat="1" ht="15.75" thickBot="1">
      <c r="A185" s="544" t="s">
        <v>527</v>
      </c>
      <c r="B185" s="554" t="s">
        <v>528</v>
      </c>
      <c r="C185" s="555" t="s">
        <v>380</v>
      </c>
      <c r="D185" s="555" t="s">
        <v>380</v>
      </c>
      <c r="E185" s="556" t="s">
        <v>380</v>
      </c>
      <c r="F185" s="556" t="s">
        <v>380</v>
      </c>
      <c r="G185" s="557" t="s">
        <v>380</v>
      </c>
      <c r="H185" s="517"/>
      <c r="I185" s="615"/>
      <c r="J185" s="615"/>
      <c r="K185" s="615"/>
      <c r="L185" s="615"/>
      <c r="M185" s="615"/>
      <c r="N185" s="615"/>
      <c r="O185" s="615"/>
      <c r="P185" s="615"/>
      <c r="Q185" s="615"/>
      <c r="R185" s="615"/>
      <c r="S185" s="615"/>
      <c r="T185" s="615"/>
      <c r="U185" s="615"/>
      <c r="V185" s="615"/>
      <c r="W185" s="615"/>
      <c r="X185" s="615"/>
      <c r="Y185" s="615"/>
      <c r="Z185" s="615"/>
      <c r="AA185" s="615"/>
      <c r="AB185" s="615"/>
      <c r="AC185" s="615"/>
      <c r="AD185" s="615"/>
      <c r="AE185" s="615"/>
      <c r="AF185" s="615"/>
      <c r="AG185" s="615"/>
      <c r="AH185" s="615"/>
      <c r="AI185" s="615"/>
      <c r="AJ185" s="615"/>
      <c r="AK185" s="615"/>
      <c r="AL185" s="615"/>
      <c r="AM185" s="615"/>
      <c r="AN185" s="615"/>
      <c r="AO185" s="615"/>
      <c r="AP185" s="615"/>
      <c r="AQ185" s="615"/>
    </row>
    <row r="186" spans="1:43" ht="15">
      <c r="A186" s="573" t="s">
        <v>529</v>
      </c>
      <c r="B186" s="574" t="s">
        <v>530</v>
      </c>
      <c r="C186" s="575">
        <v>2015</v>
      </c>
      <c r="D186" s="575" t="s">
        <v>531</v>
      </c>
      <c r="E186" s="576" t="s">
        <v>380</v>
      </c>
      <c r="F186" s="576">
        <v>132</v>
      </c>
      <c r="G186" s="577">
        <v>2897.12</v>
      </c>
    </row>
    <row r="187" spans="1:43" ht="15">
      <c r="A187" s="524" t="s">
        <v>532</v>
      </c>
      <c r="B187" s="525" t="s">
        <v>533</v>
      </c>
      <c r="C187" s="526">
        <v>2015</v>
      </c>
      <c r="D187" s="526" t="s">
        <v>531</v>
      </c>
      <c r="E187" s="527" t="s">
        <v>380</v>
      </c>
      <c r="F187" s="527">
        <v>1364</v>
      </c>
      <c r="G187" s="528">
        <v>9336.1</v>
      </c>
    </row>
    <row r="188" spans="1:43" ht="15">
      <c r="A188" s="524" t="s">
        <v>534</v>
      </c>
      <c r="B188" s="525" t="s">
        <v>535</v>
      </c>
      <c r="C188" s="526">
        <v>2015</v>
      </c>
      <c r="D188" s="526" t="s">
        <v>531</v>
      </c>
      <c r="E188" s="527" t="s">
        <v>380</v>
      </c>
      <c r="F188" s="527">
        <v>1680</v>
      </c>
      <c r="G188" s="528">
        <v>15179.33</v>
      </c>
    </row>
    <row r="189" spans="1:43" ht="15">
      <c r="A189" s="524" t="s">
        <v>536</v>
      </c>
      <c r="B189" s="525" t="s">
        <v>537</v>
      </c>
      <c r="C189" s="526">
        <v>2015</v>
      </c>
      <c r="D189" s="526" t="s">
        <v>531</v>
      </c>
      <c r="E189" s="527" t="s">
        <v>380</v>
      </c>
      <c r="F189" s="527">
        <f>654+F203</f>
        <v>854</v>
      </c>
      <c r="G189" s="528">
        <f>3044.74+G203</f>
        <v>5116.8279999999995</v>
      </c>
    </row>
    <row r="190" spans="1:43" ht="15">
      <c r="A190" s="524" t="s">
        <v>538</v>
      </c>
      <c r="B190" s="525" t="s">
        <v>539</v>
      </c>
      <c r="C190" s="526">
        <v>2015</v>
      </c>
      <c r="D190" s="526" t="s">
        <v>531</v>
      </c>
      <c r="E190" s="527" t="s">
        <v>380</v>
      </c>
      <c r="F190" s="527">
        <f>168+F201+F202+F204+F205</f>
        <v>1693</v>
      </c>
      <c r="G190" s="528">
        <f>1102.21+G201+G202+G204+G205</f>
        <v>6429.4780000000001</v>
      </c>
    </row>
    <row r="191" spans="1:43" ht="15.75" thickBot="1">
      <c r="A191" s="524" t="s">
        <v>540</v>
      </c>
      <c r="B191" s="525" t="s">
        <v>541</v>
      </c>
      <c r="C191" s="526">
        <v>2015</v>
      </c>
      <c r="D191" s="526" t="s">
        <v>531</v>
      </c>
      <c r="E191" s="527" t="s">
        <v>380</v>
      </c>
      <c r="F191" s="527"/>
      <c r="G191" s="528"/>
    </row>
    <row r="192" spans="1:43" s="518" customFormat="1" ht="15.75" thickBot="1">
      <c r="A192" s="544" t="s">
        <v>542</v>
      </c>
      <c r="B192" s="554" t="s">
        <v>543</v>
      </c>
      <c r="C192" s="555" t="s">
        <v>380</v>
      </c>
      <c r="D192" s="555" t="s">
        <v>380</v>
      </c>
      <c r="E192" s="556" t="s">
        <v>380</v>
      </c>
      <c r="F192" s="556" t="s">
        <v>380</v>
      </c>
      <c r="G192" s="557" t="s">
        <v>380</v>
      </c>
      <c r="H192" s="503"/>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5"/>
      <c r="AE192" s="615"/>
      <c r="AF192" s="615"/>
      <c r="AG192" s="615"/>
      <c r="AH192" s="615"/>
      <c r="AI192" s="615"/>
      <c r="AJ192" s="615"/>
      <c r="AK192" s="615"/>
      <c r="AL192" s="615"/>
      <c r="AM192" s="615"/>
      <c r="AN192" s="615"/>
      <c r="AO192" s="615"/>
      <c r="AP192" s="615"/>
      <c r="AQ192" s="615"/>
    </row>
    <row r="193" spans="1:43" ht="16.5" customHeight="1">
      <c r="A193" s="573" t="s">
        <v>544</v>
      </c>
      <c r="B193" s="574" t="s">
        <v>530</v>
      </c>
      <c r="C193" s="575">
        <v>2015</v>
      </c>
      <c r="D193" s="575" t="s">
        <v>531</v>
      </c>
      <c r="E193" s="576" t="s">
        <v>380</v>
      </c>
      <c r="F193" s="576"/>
      <c r="G193" s="577"/>
    </row>
    <row r="194" spans="1:43" ht="15" hidden="1">
      <c r="A194" s="524" t="s">
        <v>545</v>
      </c>
      <c r="B194" s="525" t="s">
        <v>533</v>
      </c>
      <c r="C194" s="526">
        <v>2015</v>
      </c>
      <c r="D194" s="526" t="s">
        <v>531</v>
      </c>
      <c r="E194" s="527" t="s">
        <v>380</v>
      </c>
      <c r="F194" s="527"/>
      <c r="G194" s="528"/>
    </row>
    <row r="195" spans="1:43" ht="15" hidden="1">
      <c r="A195" s="524" t="s">
        <v>546</v>
      </c>
      <c r="B195" s="525" t="s">
        <v>535</v>
      </c>
      <c r="C195" s="526">
        <v>2015</v>
      </c>
      <c r="D195" s="526" t="s">
        <v>531</v>
      </c>
      <c r="E195" s="527" t="s">
        <v>380</v>
      </c>
      <c r="F195" s="527"/>
      <c r="G195" s="528"/>
    </row>
    <row r="196" spans="1:43" ht="15" hidden="1">
      <c r="A196" s="524" t="s">
        <v>547</v>
      </c>
      <c r="B196" s="525" t="s">
        <v>537</v>
      </c>
      <c r="C196" s="526">
        <v>2015</v>
      </c>
      <c r="D196" s="526" t="s">
        <v>531</v>
      </c>
      <c r="E196" s="527" t="s">
        <v>380</v>
      </c>
      <c r="F196" s="527"/>
      <c r="G196" s="528"/>
    </row>
    <row r="197" spans="1:43" ht="15" hidden="1">
      <c r="A197" s="524" t="s">
        <v>548</v>
      </c>
      <c r="B197" s="525" t="s">
        <v>539</v>
      </c>
      <c r="C197" s="526">
        <v>2015</v>
      </c>
      <c r="D197" s="526" t="s">
        <v>531</v>
      </c>
      <c r="E197" s="527" t="s">
        <v>380</v>
      </c>
      <c r="F197" s="527"/>
      <c r="G197" s="528"/>
    </row>
    <row r="198" spans="1:43" ht="15.75" thickBot="1">
      <c r="A198" s="524" t="s">
        <v>549</v>
      </c>
      <c r="B198" s="525" t="s">
        <v>541</v>
      </c>
      <c r="C198" s="526">
        <v>2015</v>
      </c>
      <c r="D198" s="526" t="s">
        <v>531</v>
      </c>
      <c r="E198" s="527" t="s">
        <v>380</v>
      </c>
      <c r="F198" s="527"/>
      <c r="G198" s="528"/>
    </row>
    <row r="199" spans="1:43" s="518" customFormat="1" ht="15.75" thickBot="1">
      <c r="A199" s="544" t="s">
        <v>637</v>
      </c>
      <c r="B199" s="545" t="s">
        <v>604</v>
      </c>
      <c r="C199" s="546"/>
      <c r="D199" s="546"/>
      <c r="E199" s="556" t="s">
        <v>380</v>
      </c>
      <c r="F199" s="547"/>
      <c r="G199" s="548"/>
      <c r="H199" s="517"/>
      <c r="I199" s="615"/>
      <c r="J199" s="615"/>
      <c r="K199" s="615"/>
      <c r="L199" s="615"/>
      <c r="M199" s="615"/>
      <c r="N199" s="615"/>
      <c r="O199" s="615"/>
      <c r="P199" s="615"/>
      <c r="Q199" s="615"/>
      <c r="R199" s="615"/>
      <c r="S199" s="615"/>
      <c r="T199" s="615"/>
      <c r="U199" s="615"/>
      <c r="V199" s="615"/>
      <c r="W199" s="615"/>
      <c r="X199" s="615"/>
      <c r="Y199" s="615"/>
      <c r="Z199" s="615"/>
      <c r="AA199" s="615"/>
      <c r="AB199" s="615"/>
      <c r="AC199" s="615"/>
      <c r="AD199" s="615"/>
      <c r="AE199" s="615"/>
      <c r="AF199" s="615"/>
      <c r="AG199" s="615"/>
      <c r="AH199" s="615"/>
      <c r="AI199" s="615"/>
      <c r="AJ199" s="615"/>
      <c r="AK199" s="615"/>
      <c r="AL199" s="615"/>
      <c r="AM199" s="615"/>
      <c r="AN199" s="615"/>
      <c r="AO199" s="615"/>
      <c r="AP199" s="615"/>
      <c r="AQ199" s="615"/>
    </row>
    <row r="200" spans="1:43" ht="30">
      <c r="A200" s="529" t="s">
        <v>638</v>
      </c>
      <c r="B200" s="530" t="s">
        <v>639</v>
      </c>
      <c r="C200" s="531">
        <v>2015</v>
      </c>
      <c r="D200" s="531" t="s">
        <v>531</v>
      </c>
      <c r="E200" s="532" t="s">
        <v>380</v>
      </c>
      <c r="F200" s="532">
        <v>3998</v>
      </c>
      <c r="G200" s="533">
        <v>31559.5</v>
      </c>
    </row>
    <row r="201" spans="1:43" ht="30">
      <c r="A201" s="529" t="s">
        <v>640</v>
      </c>
      <c r="B201" s="530" t="s">
        <v>775</v>
      </c>
      <c r="C201" s="531">
        <v>2015</v>
      </c>
      <c r="D201" s="531" t="s">
        <v>723</v>
      </c>
      <c r="E201" s="532" t="s">
        <v>380</v>
      </c>
      <c r="F201" s="532">
        <f>400-20</f>
        <v>380</v>
      </c>
      <c r="G201" s="533">
        <f>1219.58+56.25-61.21</f>
        <v>1214.6199999999999</v>
      </c>
    </row>
    <row r="202" spans="1:43" ht="30">
      <c r="A202" s="524" t="s">
        <v>643</v>
      </c>
      <c r="B202" s="525" t="s">
        <v>774</v>
      </c>
      <c r="C202" s="526">
        <v>2015</v>
      </c>
      <c r="D202" s="526" t="s">
        <v>642</v>
      </c>
      <c r="E202" s="527" t="s">
        <v>380</v>
      </c>
      <c r="F202" s="527">
        <v>550</v>
      </c>
      <c r="G202" s="528">
        <v>1238.3</v>
      </c>
    </row>
    <row r="203" spans="1:43" ht="30">
      <c r="A203" s="529" t="s">
        <v>644</v>
      </c>
      <c r="B203" s="525" t="s">
        <v>773</v>
      </c>
      <c r="C203" s="526">
        <v>2015</v>
      </c>
      <c r="D203" s="526" t="s">
        <v>642</v>
      </c>
      <c r="E203" s="527" t="s">
        <v>380</v>
      </c>
      <c r="F203" s="527">
        <f>250-50</f>
        <v>200</v>
      </c>
      <c r="G203" s="528">
        <v>2072.0880000000002</v>
      </c>
    </row>
    <row r="204" spans="1:43" ht="15">
      <c r="A204" s="529" t="s">
        <v>645</v>
      </c>
      <c r="B204" s="525" t="s">
        <v>772</v>
      </c>
      <c r="C204" s="526">
        <v>2015</v>
      </c>
      <c r="D204" s="526" t="s">
        <v>723</v>
      </c>
      <c r="E204" s="527" t="s">
        <v>380</v>
      </c>
      <c r="F204" s="527">
        <v>320</v>
      </c>
      <c r="G204" s="528">
        <f>1981.562+83.036-321.52-183.41</f>
        <v>1559.6679999999999</v>
      </c>
    </row>
    <row r="205" spans="1:43" ht="30.75" thickBot="1">
      <c r="A205" s="524" t="s">
        <v>646</v>
      </c>
      <c r="B205" s="525" t="s">
        <v>771</v>
      </c>
      <c r="C205" s="526">
        <v>2015</v>
      </c>
      <c r="D205" s="526" t="s">
        <v>723</v>
      </c>
      <c r="E205" s="527" t="s">
        <v>380</v>
      </c>
      <c r="F205" s="527">
        <v>275</v>
      </c>
      <c r="G205" s="528">
        <v>1314.68</v>
      </c>
    </row>
    <row r="206" spans="1:43" ht="15.75" hidden="1" thickBot="1">
      <c r="A206" s="529" t="s">
        <v>647</v>
      </c>
      <c r="B206" s="525"/>
      <c r="C206" s="526"/>
      <c r="D206" s="526"/>
      <c r="E206" s="527" t="s">
        <v>380</v>
      </c>
      <c r="F206" s="527"/>
      <c r="G206" s="528"/>
    </row>
    <row r="207" spans="1:43" ht="15.75" hidden="1" thickBot="1">
      <c r="A207" s="529" t="s">
        <v>648</v>
      </c>
      <c r="B207" s="525"/>
      <c r="C207" s="526"/>
      <c r="D207" s="526"/>
      <c r="E207" s="527" t="s">
        <v>380</v>
      </c>
      <c r="F207" s="527"/>
      <c r="G207" s="528"/>
    </row>
    <row r="208" spans="1:43" ht="15.75" hidden="1" thickBot="1">
      <c r="A208" s="524" t="s">
        <v>649</v>
      </c>
      <c r="B208" s="525"/>
      <c r="C208" s="526"/>
      <c r="D208" s="526"/>
      <c r="E208" s="527" t="s">
        <v>380</v>
      </c>
      <c r="F208" s="527"/>
      <c r="G208" s="528"/>
    </row>
    <row r="209" spans="1:43" ht="15.75" hidden="1" thickBot="1">
      <c r="A209" s="529" t="s">
        <v>650</v>
      </c>
      <c r="B209" s="525"/>
      <c r="C209" s="526"/>
      <c r="D209" s="526"/>
      <c r="E209" s="527" t="s">
        <v>380</v>
      </c>
      <c r="F209" s="527"/>
      <c r="G209" s="528"/>
    </row>
    <row r="210" spans="1:43" ht="15.75" hidden="1" thickBot="1">
      <c r="A210" s="529" t="s">
        <v>651</v>
      </c>
      <c r="B210" s="525"/>
      <c r="C210" s="526"/>
      <c r="D210" s="526"/>
      <c r="E210" s="527" t="s">
        <v>380</v>
      </c>
      <c r="F210" s="527"/>
      <c r="G210" s="528"/>
    </row>
    <row r="211" spans="1:43" ht="15.75" hidden="1" thickBot="1">
      <c r="A211" s="524" t="s">
        <v>652</v>
      </c>
      <c r="B211" s="525"/>
      <c r="C211" s="526"/>
      <c r="D211" s="526"/>
      <c r="E211" s="527" t="s">
        <v>380</v>
      </c>
      <c r="F211" s="527"/>
      <c r="G211" s="528"/>
    </row>
    <row r="212" spans="1:43" ht="15.75" hidden="1" thickBot="1">
      <c r="A212" s="529" t="s">
        <v>653</v>
      </c>
      <c r="B212" s="525"/>
      <c r="C212" s="526"/>
      <c r="D212" s="526"/>
      <c r="E212" s="527" t="s">
        <v>380</v>
      </c>
      <c r="F212" s="527"/>
      <c r="G212" s="528"/>
    </row>
    <row r="213" spans="1:43" ht="15.75" hidden="1" thickBot="1">
      <c r="A213" s="529" t="s">
        <v>654</v>
      </c>
      <c r="B213" s="525"/>
      <c r="C213" s="526"/>
      <c r="D213" s="526"/>
      <c r="E213" s="527" t="s">
        <v>380</v>
      </c>
      <c r="F213" s="527"/>
      <c r="G213" s="528"/>
    </row>
    <row r="214" spans="1:43" ht="15.75" hidden="1" thickBot="1">
      <c r="A214" s="524" t="s">
        <v>655</v>
      </c>
      <c r="B214" s="525"/>
      <c r="C214" s="526"/>
      <c r="D214" s="526"/>
      <c r="E214" s="527" t="s">
        <v>380</v>
      </c>
      <c r="F214" s="527"/>
      <c r="G214" s="528"/>
    </row>
    <row r="215" spans="1:43" s="518" customFormat="1" ht="30.75" thickBot="1">
      <c r="A215" s="589" t="s">
        <v>351</v>
      </c>
      <c r="B215" s="590" t="s">
        <v>550</v>
      </c>
      <c r="C215" s="591" t="s">
        <v>380</v>
      </c>
      <c r="D215" s="591" t="s">
        <v>380</v>
      </c>
      <c r="E215" s="592" t="s">
        <v>380</v>
      </c>
      <c r="F215" s="592" t="s">
        <v>380</v>
      </c>
      <c r="G215" s="593" t="s">
        <v>380</v>
      </c>
      <c r="H215" s="517"/>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row>
    <row r="216" spans="1:43" ht="15.75" thickBot="1">
      <c r="A216" s="544" t="s">
        <v>551</v>
      </c>
      <c r="B216" s="554" t="s">
        <v>552</v>
      </c>
      <c r="C216" s="555" t="s">
        <v>380</v>
      </c>
      <c r="D216" s="555" t="s">
        <v>380</v>
      </c>
      <c r="E216" s="556" t="s">
        <v>380</v>
      </c>
      <c r="F216" s="556" t="s">
        <v>380</v>
      </c>
      <c r="G216" s="557" t="s">
        <v>380</v>
      </c>
    </row>
    <row r="217" spans="1:43" s="518" customFormat="1" ht="15.75" thickBot="1">
      <c r="A217" s="544" t="s">
        <v>553</v>
      </c>
      <c r="B217" s="554" t="s">
        <v>543</v>
      </c>
      <c r="C217" s="555" t="s">
        <v>380</v>
      </c>
      <c r="D217" s="555" t="s">
        <v>380</v>
      </c>
      <c r="E217" s="556" t="s">
        <v>380</v>
      </c>
      <c r="F217" s="556" t="s">
        <v>380</v>
      </c>
      <c r="G217" s="557" t="s">
        <v>380</v>
      </c>
      <c r="H217" s="517"/>
      <c r="I217" s="615"/>
      <c r="J217" s="615"/>
      <c r="K217" s="615"/>
      <c r="L217" s="615"/>
      <c r="M217" s="615"/>
      <c r="N217" s="615"/>
      <c r="O217" s="615"/>
      <c r="P217" s="615"/>
      <c r="Q217" s="615"/>
      <c r="R217" s="615"/>
      <c r="S217" s="615"/>
      <c r="T217" s="615"/>
      <c r="U217" s="615"/>
      <c r="V217" s="615"/>
      <c r="W217" s="615"/>
      <c r="X217" s="615"/>
      <c r="Y217" s="615"/>
      <c r="Z217" s="615"/>
      <c r="AA217" s="615"/>
      <c r="AB217" s="615"/>
      <c r="AC217" s="615"/>
      <c r="AD217" s="615"/>
      <c r="AE217" s="615"/>
      <c r="AF217" s="615"/>
      <c r="AG217" s="615"/>
      <c r="AH217" s="615"/>
      <c r="AI217" s="615"/>
      <c r="AJ217" s="615"/>
      <c r="AK217" s="615"/>
      <c r="AL217" s="615"/>
      <c r="AM217" s="615"/>
      <c r="AN217" s="615"/>
      <c r="AO217" s="615"/>
      <c r="AP217" s="615"/>
      <c r="AQ217" s="615"/>
    </row>
    <row r="218" spans="1:43" ht="15">
      <c r="A218" s="578" t="s">
        <v>554</v>
      </c>
      <c r="B218" s="579" t="s">
        <v>530</v>
      </c>
      <c r="C218" s="580">
        <v>2015</v>
      </c>
      <c r="D218" s="580" t="s">
        <v>531</v>
      </c>
      <c r="E218" s="581" t="s">
        <v>380</v>
      </c>
      <c r="F218" s="581"/>
      <c r="G218" s="582"/>
    </row>
    <row r="219" spans="1:43" ht="15">
      <c r="A219" s="524" t="s">
        <v>555</v>
      </c>
      <c r="B219" s="525" t="s">
        <v>533</v>
      </c>
      <c r="C219" s="526">
        <v>2015</v>
      </c>
      <c r="D219" s="526" t="s">
        <v>531</v>
      </c>
      <c r="E219" s="527" t="s">
        <v>380</v>
      </c>
      <c r="F219" s="527"/>
      <c r="G219" s="528"/>
    </row>
    <row r="220" spans="1:43" ht="15">
      <c r="A220" s="524" t="s">
        <v>556</v>
      </c>
      <c r="B220" s="525" t="s">
        <v>535</v>
      </c>
      <c r="C220" s="526">
        <v>2015</v>
      </c>
      <c r="D220" s="526" t="s">
        <v>531</v>
      </c>
      <c r="E220" s="527" t="s">
        <v>380</v>
      </c>
      <c r="F220" s="527"/>
      <c r="G220" s="528"/>
    </row>
    <row r="221" spans="1:43" ht="15">
      <c r="A221" s="524" t="s">
        <v>557</v>
      </c>
      <c r="B221" s="525" t="s">
        <v>537</v>
      </c>
      <c r="C221" s="526">
        <v>2015</v>
      </c>
      <c r="D221" s="526" t="s">
        <v>531</v>
      </c>
      <c r="E221" s="527" t="s">
        <v>380</v>
      </c>
      <c r="F221" s="527"/>
      <c r="G221" s="528"/>
    </row>
    <row r="222" spans="1:43" ht="15">
      <c r="A222" s="524" t="s">
        <v>558</v>
      </c>
      <c r="B222" s="525" t="s">
        <v>539</v>
      </c>
      <c r="C222" s="526">
        <v>2015</v>
      </c>
      <c r="D222" s="526" t="s">
        <v>531</v>
      </c>
      <c r="E222" s="527" t="s">
        <v>380</v>
      </c>
      <c r="F222" s="527"/>
      <c r="G222" s="528"/>
    </row>
    <row r="223" spans="1:43" ht="15.75" thickBot="1">
      <c r="A223" s="539" t="s">
        <v>559</v>
      </c>
      <c r="B223" s="540" t="s">
        <v>541</v>
      </c>
      <c r="C223" s="541">
        <v>2015</v>
      </c>
      <c r="D223" s="541" t="s">
        <v>531</v>
      </c>
      <c r="E223" s="542" t="s">
        <v>380</v>
      </c>
      <c r="F223" s="542"/>
      <c r="G223" s="543"/>
    </row>
    <row r="224" spans="1:43" s="518" customFormat="1" ht="15.75" hidden="1" thickBot="1">
      <c r="A224" s="544" t="s">
        <v>656</v>
      </c>
      <c r="B224" s="545" t="s">
        <v>604</v>
      </c>
      <c r="C224" s="546"/>
      <c r="D224" s="546"/>
      <c r="E224" s="556" t="s">
        <v>380</v>
      </c>
      <c r="F224" s="547"/>
      <c r="G224" s="548"/>
      <c r="H224" s="517"/>
      <c r="I224" s="615"/>
      <c r="J224" s="615"/>
      <c r="K224" s="615"/>
      <c r="L224" s="615"/>
      <c r="M224" s="615"/>
      <c r="N224" s="615"/>
      <c r="O224" s="615"/>
      <c r="P224" s="615"/>
      <c r="Q224" s="615"/>
      <c r="R224" s="615"/>
      <c r="S224" s="615"/>
      <c r="T224" s="615"/>
      <c r="U224" s="615"/>
      <c r="V224" s="615"/>
      <c r="W224" s="615"/>
      <c r="X224" s="615"/>
      <c r="Y224" s="615"/>
      <c r="Z224" s="615"/>
      <c r="AA224" s="615"/>
      <c r="AB224" s="615"/>
      <c r="AC224" s="615"/>
      <c r="AD224" s="615"/>
      <c r="AE224" s="615"/>
      <c r="AF224" s="615"/>
      <c r="AG224" s="615"/>
      <c r="AH224" s="615"/>
      <c r="AI224" s="615"/>
      <c r="AJ224" s="615"/>
      <c r="AK224" s="615"/>
      <c r="AL224" s="615"/>
      <c r="AM224" s="615"/>
      <c r="AN224" s="615"/>
      <c r="AO224" s="615"/>
      <c r="AP224" s="615"/>
      <c r="AQ224" s="615"/>
    </row>
    <row r="225" spans="1:43" ht="15.75" hidden="1" thickBot="1">
      <c r="A225" s="529" t="s">
        <v>657</v>
      </c>
      <c r="B225" s="530"/>
      <c r="C225" s="531"/>
      <c r="D225" s="531"/>
      <c r="E225" s="532" t="s">
        <v>380</v>
      </c>
      <c r="F225" s="532"/>
      <c r="G225" s="533"/>
    </row>
    <row r="226" spans="1:43" ht="15.75" hidden="1" thickBot="1">
      <c r="A226" s="529" t="s">
        <v>658</v>
      </c>
      <c r="B226" s="530"/>
      <c r="C226" s="531"/>
      <c r="D226" s="531"/>
      <c r="E226" s="532" t="s">
        <v>380</v>
      </c>
      <c r="F226" s="532"/>
      <c r="G226" s="533"/>
    </row>
    <row r="227" spans="1:43" ht="15.75" hidden="1" thickBot="1">
      <c r="A227" s="524" t="s">
        <v>659</v>
      </c>
      <c r="B227" s="525"/>
      <c r="C227" s="526"/>
      <c r="D227" s="526"/>
      <c r="E227" s="527" t="s">
        <v>380</v>
      </c>
      <c r="F227" s="527"/>
      <c r="G227" s="528"/>
    </row>
    <row r="228" spans="1:43" ht="15.75" hidden="1" thickBot="1">
      <c r="A228" s="529" t="s">
        <v>660</v>
      </c>
      <c r="B228" s="525"/>
      <c r="C228" s="526"/>
      <c r="D228" s="526"/>
      <c r="E228" s="527" t="s">
        <v>380</v>
      </c>
      <c r="F228" s="527"/>
      <c r="G228" s="528"/>
    </row>
    <row r="229" spans="1:43" ht="15.75" hidden="1" thickBot="1">
      <c r="A229" s="529" t="s">
        <v>661</v>
      </c>
      <c r="B229" s="525"/>
      <c r="C229" s="526"/>
      <c r="D229" s="526"/>
      <c r="E229" s="527" t="s">
        <v>380</v>
      </c>
      <c r="F229" s="527"/>
      <c r="G229" s="528"/>
    </row>
    <row r="230" spans="1:43" ht="15.75" hidden="1" thickBot="1">
      <c r="A230" s="524" t="s">
        <v>662</v>
      </c>
      <c r="B230" s="525"/>
      <c r="C230" s="526"/>
      <c r="D230" s="526"/>
      <c r="E230" s="527" t="s">
        <v>380</v>
      </c>
      <c r="F230" s="527"/>
      <c r="G230" s="528"/>
    </row>
    <row r="231" spans="1:43" ht="15.75" hidden="1" thickBot="1">
      <c r="A231" s="529" t="s">
        <v>663</v>
      </c>
      <c r="B231" s="525"/>
      <c r="C231" s="526"/>
      <c r="D231" s="526"/>
      <c r="E231" s="527" t="s">
        <v>380</v>
      </c>
      <c r="F231" s="527"/>
      <c r="G231" s="528"/>
    </row>
    <row r="232" spans="1:43" ht="15.75" hidden="1" thickBot="1">
      <c r="A232" s="529" t="s">
        <v>664</v>
      </c>
      <c r="B232" s="525"/>
      <c r="C232" s="526"/>
      <c r="D232" s="526"/>
      <c r="E232" s="527" t="s">
        <v>380</v>
      </c>
      <c r="F232" s="527"/>
      <c r="G232" s="528"/>
    </row>
    <row r="233" spans="1:43" ht="15.75" hidden="1" thickBot="1">
      <c r="A233" s="524" t="s">
        <v>665</v>
      </c>
      <c r="B233" s="525"/>
      <c r="C233" s="526"/>
      <c r="D233" s="526"/>
      <c r="E233" s="527" t="s">
        <v>380</v>
      </c>
      <c r="F233" s="527"/>
      <c r="G233" s="528"/>
    </row>
    <row r="234" spans="1:43" ht="15.75" hidden="1" thickBot="1">
      <c r="A234" s="529" t="s">
        <v>666</v>
      </c>
      <c r="B234" s="525"/>
      <c r="C234" s="526"/>
      <c r="D234" s="526"/>
      <c r="E234" s="527" t="s">
        <v>380</v>
      </c>
      <c r="F234" s="527"/>
      <c r="G234" s="528"/>
    </row>
    <row r="235" spans="1:43" ht="15.75" hidden="1" thickBot="1">
      <c r="A235" s="529" t="s">
        <v>667</v>
      </c>
      <c r="B235" s="525"/>
      <c r="C235" s="526"/>
      <c r="D235" s="526"/>
      <c r="E235" s="527" t="s">
        <v>380</v>
      </c>
      <c r="F235" s="527"/>
      <c r="G235" s="528"/>
    </row>
    <row r="236" spans="1:43" ht="15.75" hidden="1" thickBot="1">
      <c r="A236" s="524" t="s">
        <v>668</v>
      </c>
      <c r="B236" s="525"/>
      <c r="C236" s="526"/>
      <c r="D236" s="526"/>
      <c r="E236" s="527" t="s">
        <v>380</v>
      </c>
      <c r="F236" s="527"/>
      <c r="G236" s="528"/>
    </row>
    <row r="237" spans="1:43" ht="15.75" hidden="1" thickBot="1">
      <c r="A237" s="529" t="s">
        <v>669</v>
      </c>
      <c r="B237" s="525"/>
      <c r="C237" s="526"/>
      <c r="D237" s="526"/>
      <c r="E237" s="527" t="s">
        <v>380</v>
      </c>
      <c r="F237" s="527"/>
      <c r="G237" s="528"/>
    </row>
    <row r="238" spans="1:43" ht="15.75" hidden="1" thickBot="1">
      <c r="A238" s="529" t="s">
        <v>670</v>
      </c>
      <c r="B238" s="525"/>
      <c r="C238" s="526"/>
      <c r="D238" s="526"/>
      <c r="E238" s="527" t="s">
        <v>380</v>
      </c>
      <c r="F238" s="527"/>
      <c r="G238" s="528"/>
    </row>
    <row r="239" spans="1:43" ht="15.75" hidden="1" thickBot="1">
      <c r="A239" s="524" t="s">
        <v>671</v>
      </c>
      <c r="B239" s="525"/>
      <c r="C239" s="526"/>
      <c r="D239" s="526"/>
      <c r="E239" s="527" t="s">
        <v>380</v>
      </c>
      <c r="F239" s="527"/>
      <c r="G239" s="528"/>
    </row>
    <row r="240" spans="1:43" s="518" customFormat="1" ht="30.75" thickBot="1">
      <c r="A240" s="589" t="s">
        <v>353</v>
      </c>
      <c r="B240" s="590" t="s">
        <v>560</v>
      </c>
      <c r="C240" s="591" t="s">
        <v>380</v>
      </c>
      <c r="D240" s="591" t="s">
        <v>380</v>
      </c>
      <c r="E240" s="592" t="s">
        <v>380</v>
      </c>
      <c r="F240" s="592" t="s">
        <v>380</v>
      </c>
      <c r="G240" s="593" t="s">
        <v>380</v>
      </c>
      <c r="H240" s="517"/>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5"/>
      <c r="AL240" s="615"/>
      <c r="AM240" s="615"/>
      <c r="AN240" s="615"/>
      <c r="AO240" s="615"/>
      <c r="AP240" s="615"/>
      <c r="AQ240" s="615"/>
    </row>
    <row r="241" spans="1:43" s="518" customFormat="1" ht="15.75" thickBot="1">
      <c r="A241" s="583" t="s">
        <v>561</v>
      </c>
      <c r="B241" s="584" t="s">
        <v>839</v>
      </c>
      <c r="C241" s="555" t="s">
        <v>380</v>
      </c>
      <c r="D241" s="555" t="s">
        <v>380</v>
      </c>
      <c r="E241" s="556" t="s">
        <v>380</v>
      </c>
      <c r="F241" s="556" t="s">
        <v>380</v>
      </c>
      <c r="G241" s="557" t="s">
        <v>380</v>
      </c>
      <c r="H241" s="517"/>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5"/>
      <c r="AL241" s="615"/>
      <c r="AM241" s="615"/>
      <c r="AN241" s="615"/>
      <c r="AO241" s="615"/>
      <c r="AP241" s="615"/>
      <c r="AQ241" s="615"/>
    </row>
    <row r="242" spans="1:43" ht="15">
      <c r="A242" s="578" t="s">
        <v>672</v>
      </c>
      <c r="B242" s="579" t="s">
        <v>673</v>
      </c>
      <c r="C242" s="580">
        <v>2015</v>
      </c>
      <c r="D242" s="580" t="s">
        <v>563</v>
      </c>
      <c r="E242" s="581" t="s">
        <v>380</v>
      </c>
      <c r="F242" s="581"/>
      <c r="G242" s="582"/>
    </row>
    <row r="243" spans="1:43" ht="15">
      <c r="A243" s="524" t="s">
        <v>674</v>
      </c>
      <c r="B243" s="525" t="s">
        <v>675</v>
      </c>
      <c r="C243" s="526">
        <v>2015</v>
      </c>
      <c r="D243" s="526" t="s">
        <v>563</v>
      </c>
      <c r="E243" s="527" t="s">
        <v>380</v>
      </c>
      <c r="F243" s="527"/>
      <c r="G243" s="528"/>
    </row>
    <row r="244" spans="1:43" ht="15">
      <c r="A244" s="524" t="s">
        <v>564</v>
      </c>
      <c r="B244" s="525" t="s">
        <v>565</v>
      </c>
      <c r="C244" s="526">
        <v>2015</v>
      </c>
      <c r="D244" s="526" t="s">
        <v>563</v>
      </c>
      <c r="E244" s="527" t="s">
        <v>380</v>
      </c>
      <c r="F244" s="527"/>
      <c r="G244" s="528"/>
    </row>
    <row r="245" spans="1:43" ht="15.75" thickBot="1">
      <c r="A245" s="524" t="s">
        <v>566</v>
      </c>
      <c r="B245" s="525" t="s">
        <v>567</v>
      </c>
      <c r="C245" s="526">
        <v>2015</v>
      </c>
      <c r="D245" s="526" t="s">
        <v>563</v>
      </c>
      <c r="E245" s="527" t="s">
        <v>380</v>
      </c>
      <c r="F245" s="527"/>
      <c r="G245" s="528"/>
    </row>
    <row r="246" spans="1:43" s="518" customFormat="1" ht="15.75" thickBot="1">
      <c r="A246" s="544" t="s">
        <v>568</v>
      </c>
      <c r="B246" s="554" t="s">
        <v>562</v>
      </c>
      <c r="C246" s="555" t="s">
        <v>380</v>
      </c>
      <c r="D246" s="555" t="s">
        <v>380</v>
      </c>
      <c r="E246" s="556" t="s">
        <v>380</v>
      </c>
      <c r="F246" s="556" t="s">
        <v>380</v>
      </c>
      <c r="G246" s="557" t="s">
        <v>380</v>
      </c>
      <c r="H246" s="517"/>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5"/>
      <c r="AL246" s="615"/>
      <c r="AM246" s="615"/>
      <c r="AN246" s="615"/>
      <c r="AO246" s="615"/>
      <c r="AP246" s="615"/>
      <c r="AQ246" s="615"/>
    </row>
    <row r="247" spans="1:43" ht="15">
      <c r="A247" s="578" t="s">
        <v>676</v>
      </c>
      <c r="B247" s="579" t="s">
        <v>677</v>
      </c>
      <c r="C247" s="580">
        <v>2015</v>
      </c>
      <c r="D247" s="580" t="s">
        <v>569</v>
      </c>
      <c r="E247" s="581" t="s">
        <v>380</v>
      </c>
      <c r="F247" s="581"/>
      <c r="G247" s="582"/>
    </row>
    <row r="248" spans="1:43" ht="15">
      <c r="A248" s="524" t="s">
        <v>570</v>
      </c>
      <c r="B248" s="525" t="s">
        <v>571</v>
      </c>
      <c r="C248" s="526">
        <v>2015</v>
      </c>
      <c r="D248" s="526" t="s">
        <v>569</v>
      </c>
      <c r="E248" s="527" t="s">
        <v>380</v>
      </c>
      <c r="F248" s="527"/>
      <c r="G248" s="528"/>
    </row>
    <row r="249" spans="1:43" ht="15">
      <c r="A249" s="524" t="s">
        <v>572</v>
      </c>
      <c r="B249" s="525" t="s">
        <v>573</v>
      </c>
      <c r="C249" s="526">
        <v>2015</v>
      </c>
      <c r="D249" s="526" t="s">
        <v>569</v>
      </c>
      <c r="E249" s="527" t="s">
        <v>380</v>
      </c>
      <c r="F249" s="527"/>
      <c r="G249" s="528"/>
    </row>
    <row r="250" spans="1:43" ht="15.75" thickBot="1">
      <c r="A250" s="524" t="s">
        <v>574</v>
      </c>
      <c r="B250" s="525" t="s">
        <v>575</v>
      </c>
      <c r="C250" s="526">
        <v>2015</v>
      </c>
      <c r="D250" s="526" t="s">
        <v>569</v>
      </c>
      <c r="E250" s="527" t="s">
        <v>380</v>
      </c>
      <c r="F250" s="527"/>
      <c r="G250" s="528"/>
    </row>
    <row r="251" spans="1:43" s="518" customFormat="1" ht="15.75" thickBot="1">
      <c r="A251" s="544" t="s">
        <v>678</v>
      </c>
      <c r="B251" s="554" t="s">
        <v>580</v>
      </c>
      <c r="C251" s="555" t="s">
        <v>380</v>
      </c>
      <c r="D251" s="555" t="s">
        <v>380</v>
      </c>
      <c r="E251" s="556" t="s">
        <v>380</v>
      </c>
      <c r="F251" s="556" t="s">
        <v>380</v>
      </c>
      <c r="G251" s="557" t="s">
        <v>380</v>
      </c>
      <c r="H251" s="517"/>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5"/>
      <c r="AL251" s="615"/>
      <c r="AM251" s="615"/>
      <c r="AN251" s="615"/>
      <c r="AO251" s="615"/>
      <c r="AP251" s="615"/>
      <c r="AQ251" s="615"/>
    </row>
    <row r="252" spans="1:43" ht="15">
      <c r="A252" s="578" t="s">
        <v>679</v>
      </c>
      <c r="B252" s="579" t="s">
        <v>680</v>
      </c>
      <c r="C252" s="580">
        <v>2015</v>
      </c>
      <c r="D252" s="580" t="s">
        <v>583</v>
      </c>
      <c r="E252" s="581" t="s">
        <v>380</v>
      </c>
      <c r="F252" s="581"/>
      <c r="G252" s="582"/>
    </row>
    <row r="253" spans="1:43" ht="15">
      <c r="A253" s="524" t="s">
        <v>681</v>
      </c>
      <c r="B253" s="525" t="s">
        <v>682</v>
      </c>
      <c r="C253" s="526">
        <v>2015</v>
      </c>
      <c r="D253" s="526" t="s">
        <v>583</v>
      </c>
      <c r="E253" s="527" t="s">
        <v>380</v>
      </c>
      <c r="F253" s="527"/>
      <c r="G253" s="528"/>
    </row>
    <row r="254" spans="1:43" ht="15">
      <c r="A254" s="524" t="s">
        <v>683</v>
      </c>
      <c r="B254" s="525" t="s">
        <v>684</v>
      </c>
      <c r="C254" s="526">
        <v>2015</v>
      </c>
      <c r="D254" s="526" t="s">
        <v>583</v>
      </c>
      <c r="E254" s="527" t="s">
        <v>380</v>
      </c>
      <c r="F254" s="527"/>
      <c r="G254" s="528"/>
    </row>
    <row r="255" spans="1:43" ht="15">
      <c r="A255" s="524" t="s">
        <v>685</v>
      </c>
      <c r="B255" s="525" t="s">
        <v>686</v>
      </c>
      <c r="C255" s="526">
        <v>2015</v>
      </c>
      <c r="D255" s="526" t="s">
        <v>583</v>
      </c>
      <c r="E255" s="527" t="s">
        <v>380</v>
      </c>
      <c r="F255" s="527"/>
      <c r="G255" s="528"/>
    </row>
    <row r="256" spans="1:43" ht="15">
      <c r="A256" s="524" t="s">
        <v>687</v>
      </c>
      <c r="B256" s="525" t="s">
        <v>688</v>
      </c>
      <c r="C256" s="526">
        <v>2015</v>
      </c>
      <c r="D256" s="526" t="s">
        <v>583</v>
      </c>
      <c r="E256" s="527" t="s">
        <v>380</v>
      </c>
      <c r="F256" s="527"/>
      <c r="G256" s="528"/>
    </row>
    <row r="257" spans="1:43" ht="15">
      <c r="A257" s="524" t="s">
        <v>689</v>
      </c>
      <c r="B257" s="525" t="s">
        <v>573</v>
      </c>
      <c r="C257" s="526">
        <v>2015</v>
      </c>
      <c r="D257" s="526" t="s">
        <v>583</v>
      </c>
      <c r="E257" s="527" t="s">
        <v>380</v>
      </c>
      <c r="F257" s="527"/>
      <c r="G257" s="528"/>
    </row>
    <row r="258" spans="1:43" ht="15">
      <c r="A258" s="524" t="s">
        <v>582</v>
      </c>
      <c r="B258" s="525" t="s">
        <v>575</v>
      </c>
      <c r="C258" s="526">
        <v>2015</v>
      </c>
      <c r="D258" s="526" t="s">
        <v>583</v>
      </c>
      <c r="E258" s="527" t="s">
        <v>380</v>
      </c>
      <c r="F258" s="527"/>
      <c r="G258" s="528"/>
    </row>
    <row r="259" spans="1:43" ht="15">
      <c r="A259" s="524" t="s">
        <v>584</v>
      </c>
      <c r="B259" s="525" t="s">
        <v>585</v>
      </c>
      <c r="C259" s="526">
        <v>2015</v>
      </c>
      <c r="D259" s="526" t="s">
        <v>583</v>
      </c>
      <c r="E259" s="527" t="s">
        <v>380</v>
      </c>
      <c r="F259" s="527"/>
      <c r="G259" s="528"/>
    </row>
    <row r="260" spans="1:43" ht="15.75" thickBot="1">
      <c r="A260" s="524" t="s">
        <v>586</v>
      </c>
      <c r="B260" s="525" t="s">
        <v>587</v>
      </c>
      <c r="C260" s="526">
        <v>2015</v>
      </c>
      <c r="D260" s="526" t="s">
        <v>583</v>
      </c>
      <c r="E260" s="527" t="s">
        <v>380</v>
      </c>
      <c r="F260" s="527"/>
      <c r="G260" s="528"/>
    </row>
    <row r="261" spans="1:43" s="518" customFormat="1" ht="15.75" thickBot="1">
      <c r="A261" s="544" t="s">
        <v>690</v>
      </c>
      <c r="B261" s="545" t="s">
        <v>604</v>
      </c>
      <c r="C261" s="546"/>
      <c r="D261" s="546"/>
      <c r="E261" s="556" t="s">
        <v>380</v>
      </c>
      <c r="F261" s="547"/>
      <c r="G261" s="548"/>
      <c r="H261" s="517"/>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5"/>
      <c r="AL261" s="615"/>
      <c r="AM261" s="615"/>
      <c r="AN261" s="615"/>
      <c r="AO261" s="615"/>
      <c r="AP261" s="615"/>
      <c r="AQ261" s="615"/>
    </row>
    <row r="262" spans="1:43" ht="15" hidden="1">
      <c r="A262" s="549" t="s">
        <v>691</v>
      </c>
      <c r="B262" s="550"/>
      <c r="C262" s="551"/>
      <c r="D262" s="551"/>
      <c r="E262" s="552" t="s">
        <v>380</v>
      </c>
      <c r="F262" s="552"/>
      <c r="G262" s="553"/>
    </row>
    <row r="263" spans="1:43" ht="15" hidden="1">
      <c r="A263" s="529" t="s">
        <v>692</v>
      </c>
      <c r="B263" s="530"/>
      <c r="C263" s="531"/>
      <c r="D263" s="531"/>
      <c r="E263" s="532" t="s">
        <v>380</v>
      </c>
      <c r="F263" s="532"/>
      <c r="G263" s="533"/>
    </row>
    <row r="264" spans="1:43" ht="15" hidden="1">
      <c r="A264" s="524" t="s">
        <v>693</v>
      </c>
      <c r="B264" s="525"/>
      <c r="C264" s="526"/>
      <c r="D264" s="526"/>
      <c r="E264" s="527" t="s">
        <v>380</v>
      </c>
      <c r="F264" s="527"/>
      <c r="G264" s="528"/>
    </row>
    <row r="265" spans="1:43" ht="15" hidden="1">
      <c r="A265" s="529" t="s">
        <v>694</v>
      </c>
      <c r="B265" s="525"/>
      <c r="C265" s="526"/>
      <c r="D265" s="526"/>
      <c r="E265" s="527" t="s">
        <v>380</v>
      </c>
      <c r="F265" s="527"/>
      <c r="G265" s="528"/>
    </row>
    <row r="266" spans="1:43" ht="15" hidden="1">
      <c r="A266" s="529" t="s">
        <v>695</v>
      </c>
      <c r="B266" s="525"/>
      <c r="C266" s="526"/>
      <c r="D266" s="526"/>
      <c r="E266" s="527" t="s">
        <v>380</v>
      </c>
      <c r="F266" s="527"/>
      <c r="G266" s="528"/>
    </row>
    <row r="267" spans="1:43" ht="15" hidden="1">
      <c r="A267" s="524" t="s">
        <v>696</v>
      </c>
      <c r="B267" s="525"/>
      <c r="C267" s="526"/>
      <c r="D267" s="526"/>
      <c r="E267" s="527" t="s">
        <v>380</v>
      </c>
      <c r="F267" s="527"/>
      <c r="G267" s="528"/>
    </row>
    <row r="268" spans="1:43" ht="15" hidden="1">
      <c r="A268" s="529" t="s">
        <v>697</v>
      </c>
      <c r="B268" s="525"/>
      <c r="C268" s="526"/>
      <c r="D268" s="526"/>
      <c r="E268" s="527" t="s">
        <v>380</v>
      </c>
      <c r="F268" s="527"/>
      <c r="G268" s="528"/>
    </row>
    <row r="269" spans="1:43" ht="15" hidden="1">
      <c r="A269" s="529" t="s">
        <v>698</v>
      </c>
      <c r="B269" s="525"/>
      <c r="C269" s="526"/>
      <c r="D269" s="526"/>
      <c r="E269" s="527" t="s">
        <v>380</v>
      </c>
      <c r="F269" s="527"/>
      <c r="G269" s="528"/>
    </row>
    <row r="270" spans="1:43" ht="15" hidden="1">
      <c r="A270" s="524" t="s">
        <v>699</v>
      </c>
      <c r="B270" s="525"/>
      <c r="C270" s="526"/>
      <c r="D270" s="526"/>
      <c r="E270" s="527" t="s">
        <v>380</v>
      </c>
      <c r="F270" s="527"/>
      <c r="G270" s="528"/>
    </row>
    <row r="271" spans="1:43" ht="15" hidden="1">
      <c r="A271" s="529" t="s">
        <v>700</v>
      </c>
      <c r="B271" s="525"/>
      <c r="C271" s="526"/>
      <c r="D271" s="526"/>
      <c r="E271" s="527" t="s">
        <v>380</v>
      </c>
      <c r="F271" s="527"/>
      <c r="G271" s="528"/>
    </row>
    <row r="272" spans="1:43" ht="15" hidden="1">
      <c r="A272" s="529" t="s">
        <v>701</v>
      </c>
      <c r="B272" s="525"/>
      <c r="C272" s="526"/>
      <c r="D272" s="526"/>
      <c r="E272" s="527" t="s">
        <v>380</v>
      </c>
      <c r="F272" s="527"/>
      <c r="G272" s="528"/>
    </row>
    <row r="273" spans="1:7" ht="15" hidden="1">
      <c r="A273" s="524" t="s">
        <v>702</v>
      </c>
      <c r="B273" s="525"/>
      <c r="C273" s="526"/>
      <c r="D273" s="526"/>
      <c r="E273" s="527" t="s">
        <v>380</v>
      </c>
      <c r="F273" s="527"/>
      <c r="G273" s="528"/>
    </row>
    <row r="274" spans="1:7" ht="15" hidden="1">
      <c r="A274" s="529" t="s">
        <v>703</v>
      </c>
      <c r="B274" s="525"/>
      <c r="C274" s="526"/>
      <c r="D274" s="526"/>
      <c r="E274" s="527" t="s">
        <v>380</v>
      </c>
      <c r="F274" s="527"/>
      <c r="G274" s="528"/>
    </row>
    <row r="275" spans="1:7" ht="15" hidden="1">
      <c r="A275" s="529" t="s">
        <v>704</v>
      </c>
      <c r="B275" s="525"/>
      <c r="C275" s="526"/>
      <c r="D275" s="526"/>
      <c r="E275" s="527" t="s">
        <v>380</v>
      </c>
      <c r="F275" s="527"/>
      <c r="G275" s="528"/>
    </row>
    <row r="276" spans="1:7" ht="15.75" thickBot="1">
      <c r="A276" s="539" t="s">
        <v>705</v>
      </c>
      <c r="B276" s="540"/>
      <c r="C276" s="541"/>
      <c r="D276" s="541"/>
      <c r="E276" s="542" t="s">
        <v>380</v>
      </c>
      <c r="F276" s="542"/>
      <c r="G276" s="543"/>
    </row>
    <row r="279" spans="1:7" hidden="1"/>
    <row r="280" spans="1:7" ht="19.5" hidden="1">
      <c r="A280" s="585" t="s">
        <v>200</v>
      </c>
      <c r="B280" s="585"/>
      <c r="C280" s="585"/>
      <c r="E280" s="506"/>
      <c r="F280" s="585" t="s">
        <v>706</v>
      </c>
    </row>
    <row r="282" spans="1:7" ht="15.75">
      <c r="A282" s="722" t="s">
        <v>841</v>
      </c>
      <c r="B282" s="187"/>
      <c r="C282" s="187"/>
      <c r="D282" s="723"/>
      <c r="E282" s="724"/>
      <c r="F282" s="725"/>
      <c r="G282" s="726"/>
    </row>
    <row r="283" spans="1:7" ht="15.75">
      <c r="A283" s="722" t="s">
        <v>88</v>
      </c>
      <c r="B283" s="187"/>
      <c r="C283" s="187"/>
      <c r="D283" s="722"/>
      <c r="E283" s="722"/>
      <c r="G283" s="727" t="s">
        <v>842</v>
      </c>
    </row>
    <row r="284" spans="1:7" ht="15">
      <c r="A284" s="713"/>
      <c r="B284" s="714"/>
      <c r="C284" s="714"/>
      <c r="D284" s="714"/>
      <c r="E284" s="715"/>
      <c r="F284" s="715"/>
    </row>
    <row r="285" spans="1:7" ht="15">
      <c r="A285" s="716" t="s">
        <v>706</v>
      </c>
      <c r="B285" s="714"/>
      <c r="C285" s="714"/>
      <c r="D285" s="714"/>
      <c r="E285" s="715"/>
      <c r="F285" s="715"/>
    </row>
    <row r="286" spans="1:7" ht="15">
      <c r="A286" s="718" t="s">
        <v>843</v>
      </c>
      <c r="B286" s="714"/>
      <c r="C286" s="714"/>
      <c r="D286" s="714"/>
      <c r="E286" s="715"/>
      <c r="F286" s="715"/>
    </row>
    <row r="287" spans="1:7" ht="15">
      <c r="A287" s="719" t="s">
        <v>844</v>
      </c>
      <c r="B287" s="714"/>
      <c r="C287" s="714"/>
      <c r="D287" s="714"/>
      <c r="E287" s="715"/>
      <c r="F287" s="715"/>
    </row>
  </sheetData>
  <mergeCells count="2">
    <mergeCell ref="A1:G1"/>
    <mergeCell ref="B2:F2"/>
  </mergeCells>
  <pageMargins left="0.7" right="0.7" top="0.75" bottom="0.75" header="0.3" footer="0.3"/>
  <pageSetup paperSize="9" scale="77" fitToHeight="0" orientation="landscape"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L287"/>
  <sheetViews>
    <sheetView zoomScale="85" zoomScaleNormal="85" workbookViewId="0">
      <pane ySplit="4" topLeftCell="A249" activePane="bottomLeft" state="frozen"/>
      <selection activeCell="A323" sqref="A323:G323"/>
      <selection pane="bottomLeft" activeCell="G295" sqref="G295"/>
    </sheetView>
  </sheetViews>
  <sheetFormatPr defaultRowHeight="12.75"/>
  <cols>
    <col min="1" max="1" width="11" style="505" customWidth="1"/>
    <col min="2" max="2" width="60.5703125" style="504" customWidth="1"/>
    <col min="3" max="4" width="16.28515625" style="504" customWidth="1"/>
    <col min="5" max="7" width="16.28515625" style="506" customWidth="1"/>
    <col min="8" max="8" width="16.5703125" style="506" customWidth="1"/>
    <col min="9" max="9" width="43.7109375" style="618" customWidth="1"/>
    <col min="10" max="38" width="9.140625" style="506"/>
    <col min="39" max="16384" width="9.140625" style="504"/>
  </cols>
  <sheetData>
    <row r="1" spans="1:38" ht="59.25" customHeight="1">
      <c r="A1" s="952" t="s">
        <v>595</v>
      </c>
      <c r="B1" s="952"/>
      <c r="C1" s="952"/>
      <c r="D1" s="952"/>
      <c r="E1" s="952"/>
      <c r="F1" s="952"/>
      <c r="G1" s="952"/>
    </row>
    <row r="2" spans="1:38" ht="24.75" customHeight="1">
      <c r="B2" s="1160" t="s">
        <v>820</v>
      </c>
      <c r="C2" s="1160"/>
      <c r="D2" s="1160"/>
      <c r="E2" s="1160"/>
      <c r="F2" s="1160"/>
    </row>
    <row r="3" spans="1:38" ht="13.5" thickBot="1"/>
    <row r="4" spans="1:38" ht="75.75" thickBot="1">
      <c r="A4" s="507" t="s">
        <v>597</v>
      </c>
      <c r="B4" s="508" t="s">
        <v>598</v>
      </c>
      <c r="C4" s="508" t="s">
        <v>599</v>
      </c>
      <c r="D4" s="508" t="s">
        <v>600</v>
      </c>
      <c r="E4" s="509" t="s">
        <v>601</v>
      </c>
      <c r="F4" s="509" t="s">
        <v>602</v>
      </c>
      <c r="G4" s="509" t="s">
        <v>603</v>
      </c>
    </row>
    <row r="5" spans="1:38" ht="15.75" thickBot="1">
      <c r="A5" s="510">
        <v>1</v>
      </c>
      <c r="B5" s="511">
        <v>2</v>
      </c>
      <c r="C5" s="511">
        <v>3</v>
      </c>
      <c r="D5" s="511">
        <v>4</v>
      </c>
      <c r="E5" s="691">
        <v>5</v>
      </c>
      <c r="F5" s="691">
        <v>6</v>
      </c>
      <c r="G5" s="691">
        <v>7</v>
      </c>
    </row>
    <row r="6" spans="1:38" ht="15.75" thickBot="1">
      <c r="A6" s="589" t="s">
        <v>14</v>
      </c>
      <c r="B6" s="590" t="s">
        <v>379</v>
      </c>
      <c r="C6" s="591" t="s">
        <v>380</v>
      </c>
      <c r="D6" s="591" t="s">
        <v>380</v>
      </c>
      <c r="E6" s="592" t="s">
        <v>380</v>
      </c>
      <c r="F6" s="592" t="s">
        <v>380</v>
      </c>
      <c r="G6" s="593" t="s">
        <v>380</v>
      </c>
    </row>
    <row r="7" spans="1:38" s="518" customFormat="1" ht="15">
      <c r="A7" s="512" t="s">
        <v>381</v>
      </c>
      <c r="B7" s="513" t="s">
        <v>382</v>
      </c>
      <c r="C7" s="514" t="s">
        <v>380</v>
      </c>
      <c r="D7" s="514" t="s">
        <v>380</v>
      </c>
      <c r="E7" s="515" t="s">
        <v>380</v>
      </c>
      <c r="F7" s="515" t="s">
        <v>380</v>
      </c>
      <c r="G7" s="516" t="s">
        <v>380</v>
      </c>
      <c r="H7" s="615"/>
      <c r="I7" s="619"/>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row>
    <row r="8" spans="1:38" s="518" customFormat="1" ht="15">
      <c r="A8" s="519" t="s">
        <v>383</v>
      </c>
      <c r="B8" s="520" t="s">
        <v>384</v>
      </c>
      <c r="C8" s="521" t="s">
        <v>380</v>
      </c>
      <c r="D8" s="521" t="s">
        <v>380</v>
      </c>
      <c r="E8" s="522" t="s">
        <v>380</v>
      </c>
      <c r="F8" s="522" t="s">
        <v>380</v>
      </c>
      <c r="G8" s="523" t="s">
        <v>380</v>
      </c>
      <c r="H8" s="615"/>
      <c r="I8" s="619"/>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row>
    <row r="9" spans="1:38" s="518" customFormat="1" ht="15">
      <c r="A9" s="519" t="s">
        <v>385</v>
      </c>
      <c r="B9" s="520" t="s">
        <v>386</v>
      </c>
      <c r="C9" s="521" t="s">
        <v>380</v>
      </c>
      <c r="D9" s="521" t="s">
        <v>380</v>
      </c>
      <c r="E9" s="522" t="s">
        <v>380</v>
      </c>
      <c r="F9" s="522" t="s">
        <v>380</v>
      </c>
      <c r="G9" s="523" t="s">
        <v>380</v>
      </c>
      <c r="H9" s="615"/>
      <c r="I9" s="619"/>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row>
    <row r="10" spans="1:38" ht="15">
      <c r="A10" s="524" t="s">
        <v>579</v>
      </c>
      <c r="B10" s="525" t="s">
        <v>387</v>
      </c>
      <c r="C10" s="526"/>
      <c r="D10" s="526">
        <v>35</v>
      </c>
      <c r="E10" s="527"/>
      <c r="F10" s="527"/>
      <c r="G10" s="528"/>
    </row>
    <row r="11" spans="1:38" ht="15">
      <c r="A11" s="529" t="s">
        <v>388</v>
      </c>
      <c r="B11" s="530" t="s">
        <v>389</v>
      </c>
      <c r="C11" s="531"/>
      <c r="D11" s="531">
        <v>35</v>
      </c>
      <c r="E11" s="532"/>
      <c r="F11" s="532"/>
      <c r="G11" s="533"/>
    </row>
    <row r="12" spans="1:38" ht="15">
      <c r="A12" s="529" t="s">
        <v>390</v>
      </c>
      <c r="B12" s="530" t="s">
        <v>389</v>
      </c>
      <c r="C12" s="531"/>
      <c r="D12" s="531">
        <v>110</v>
      </c>
      <c r="E12" s="532"/>
      <c r="F12" s="532"/>
      <c r="G12" s="533"/>
    </row>
    <row r="13" spans="1:38" ht="15.75" thickBot="1">
      <c r="A13" s="534" t="s">
        <v>391</v>
      </c>
      <c r="B13" s="535" t="s">
        <v>392</v>
      </c>
      <c r="C13" s="536"/>
      <c r="D13" s="536">
        <v>110</v>
      </c>
      <c r="E13" s="537"/>
      <c r="F13" s="537"/>
      <c r="G13" s="538"/>
    </row>
    <row r="14" spans="1:38" s="518" customFormat="1" ht="15">
      <c r="A14" s="512" t="s">
        <v>393</v>
      </c>
      <c r="B14" s="513" t="s">
        <v>394</v>
      </c>
      <c r="C14" s="514" t="s">
        <v>380</v>
      </c>
      <c r="D14" s="514" t="s">
        <v>380</v>
      </c>
      <c r="E14" s="515" t="s">
        <v>380</v>
      </c>
      <c r="F14" s="515" t="s">
        <v>380</v>
      </c>
      <c r="G14" s="516" t="s">
        <v>380</v>
      </c>
      <c r="H14" s="615"/>
      <c r="I14" s="619"/>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row>
    <row r="15" spans="1:38" s="518" customFormat="1" ht="15">
      <c r="A15" s="519" t="s">
        <v>395</v>
      </c>
      <c r="B15" s="520" t="s">
        <v>396</v>
      </c>
      <c r="C15" s="521" t="s">
        <v>380</v>
      </c>
      <c r="D15" s="521" t="s">
        <v>380</v>
      </c>
      <c r="E15" s="522" t="s">
        <v>380</v>
      </c>
      <c r="F15" s="522" t="s">
        <v>380</v>
      </c>
      <c r="G15" s="523" t="s">
        <v>380</v>
      </c>
      <c r="H15" s="615"/>
      <c r="I15" s="619"/>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row>
    <row r="16" spans="1:38" s="518" customFormat="1" ht="15">
      <c r="A16" s="519" t="s">
        <v>397</v>
      </c>
      <c r="B16" s="520" t="s">
        <v>386</v>
      </c>
      <c r="C16" s="521" t="s">
        <v>380</v>
      </c>
      <c r="D16" s="521" t="s">
        <v>380</v>
      </c>
      <c r="E16" s="522" t="s">
        <v>380</v>
      </c>
      <c r="F16" s="522" t="s">
        <v>380</v>
      </c>
      <c r="G16" s="523" t="s">
        <v>380</v>
      </c>
      <c r="H16" s="615"/>
      <c r="I16" s="619"/>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row>
    <row r="17" spans="1:38" ht="15">
      <c r="A17" s="529" t="s">
        <v>398</v>
      </c>
      <c r="B17" s="530" t="s">
        <v>399</v>
      </c>
      <c r="C17" s="531"/>
      <c r="D17" s="531">
        <v>0.4</v>
      </c>
      <c r="E17" s="532">
        <f>26500+422</f>
        <v>26922</v>
      </c>
      <c r="F17" s="532">
        <f>2716+20</f>
        <v>2736</v>
      </c>
      <c r="G17" s="533">
        <f>60234.1+G34*0.2</f>
        <v>61688.862000000001</v>
      </c>
    </row>
    <row r="18" spans="1:38" ht="15">
      <c r="A18" s="529" t="s">
        <v>400</v>
      </c>
      <c r="B18" s="530" t="s">
        <v>399</v>
      </c>
      <c r="C18" s="531"/>
      <c r="D18" s="531" t="s">
        <v>401</v>
      </c>
      <c r="E18" s="532">
        <f>11800+E36+E39+E42</f>
        <v>12590</v>
      </c>
      <c r="F18" s="532">
        <f>1352+F36+F39+F42</f>
        <v>2164</v>
      </c>
      <c r="G18" s="533">
        <f>27611.54+G36+G39+G42</f>
        <v>29315.350000000002</v>
      </c>
    </row>
    <row r="19" spans="1:38" ht="15">
      <c r="A19" s="529" t="s">
        <v>402</v>
      </c>
      <c r="B19" s="530" t="s">
        <v>387</v>
      </c>
      <c r="C19" s="531"/>
      <c r="D19" s="531">
        <v>0.4</v>
      </c>
      <c r="E19" s="532">
        <f>19500+1870+E37</f>
        <v>21884</v>
      </c>
      <c r="F19" s="532">
        <f>1135+30+F37</f>
        <v>1195</v>
      </c>
      <c r="G19" s="533">
        <f>42943.23+G34*0.3+G37</f>
        <v>46023.533000000003</v>
      </c>
    </row>
    <row r="20" spans="1:38" ht="15">
      <c r="A20" s="524" t="s">
        <v>403</v>
      </c>
      <c r="B20" s="525" t="s">
        <v>387</v>
      </c>
      <c r="C20" s="526"/>
      <c r="D20" s="526" t="s">
        <v>401</v>
      </c>
      <c r="E20" s="527">
        <f>1400+176</f>
        <v>1576</v>
      </c>
      <c r="F20" s="527">
        <f>226+80</f>
        <v>306</v>
      </c>
      <c r="G20" s="528">
        <f>3158+G38*0.3</f>
        <v>6011.384</v>
      </c>
    </row>
    <row r="21" spans="1:38" ht="15">
      <c r="A21" s="524" t="s">
        <v>404</v>
      </c>
      <c r="B21" s="525" t="s">
        <v>387</v>
      </c>
      <c r="C21" s="526"/>
      <c r="D21" s="526">
        <v>35</v>
      </c>
      <c r="E21" s="527"/>
      <c r="F21" s="527"/>
      <c r="G21" s="528"/>
    </row>
    <row r="22" spans="1:38" ht="15">
      <c r="A22" s="524" t="s">
        <v>405</v>
      </c>
      <c r="B22" s="525" t="s">
        <v>389</v>
      </c>
      <c r="C22" s="526"/>
      <c r="D22" s="526">
        <v>0.4</v>
      </c>
      <c r="E22" s="527">
        <f>2260+E41</f>
        <v>2325</v>
      </c>
      <c r="F22" s="527">
        <f>50+F41</f>
        <v>70</v>
      </c>
      <c r="G22" s="528">
        <f>G34*0.5+G41</f>
        <v>3722.7649999999999</v>
      </c>
    </row>
    <row r="23" spans="1:38" ht="15">
      <c r="A23" s="524" t="s">
        <v>406</v>
      </c>
      <c r="B23" s="525" t="s">
        <v>389</v>
      </c>
      <c r="C23" s="526"/>
      <c r="D23" s="526" t="s">
        <v>401</v>
      </c>
      <c r="E23" s="527">
        <f>E35</f>
        <v>1334</v>
      </c>
      <c r="F23" s="527">
        <f>F35</f>
        <v>1000</v>
      </c>
      <c r="G23" s="528">
        <f>G35</f>
        <v>2013.4199999999998</v>
      </c>
    </row>
    <row r="24" spans="1:38" ht="15.75" thickBot="1">
      <c r="A24" s="524" t="s">
        <v>407</v>
      </c>
      <c r="B24" s="525" t="s">
        <v>389</v>
      </c>
      <c r="C24" s="526"/>
      <c r="D24" s="526">
        <v>35</v>
      </c>
      <c r="E24" s="527"/>
      <c r="F24" s="527"/>
      <c r="G24" s="528"/>
    </row>
    <row r="25" spans="1:38" s="518" customFormat="1" ht="15">
      <c r="A25" s="512" t="s">
        <v>408</v>
      </c>
      <c r="B25" s="513" t="s">
        <v>384</v>
      </c>
      <c r="C25" s="514" t="s">
        <v>380</v>
      </c>
      <c r="D25" s="514" t="s">
        <v>380</v>
      </c>
      <c r="E25" s="515" t="s">
        <v>380</v>
      </c>
      <c r="F25" s="515" t="s">
        <v>380</v>
      </c>
      <c r="G25" s="516" t="s">
        <v>380</v>
      </c>
      <c r="H25" s="615"/>
      <c r="I25" s="618"/>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5"/>
      <c r="AL25" s="615"/>
    </row>
    <row r="26" spans="1:38" s="518" customFormat="1" ht="15">
      <c r="A26" s="519" t="s">
        <v>409</v>
      </c>
      <c r="B26" s="520" t="s">
        <v>386</v>
      </c>
      <c r="C26" s="521" t="s">
        <v>380</v>
      </c>
      <c r="D26" s="521" t="s">
        <v>380</v>
      </c>
      <c r="E26" s="522" t="s">
        <v>380</v>
      </c>
      <c r="F26" s="522" t="s">
        <v>380</v>
      </c>
      <c r="G26" s="523" t="s">
        <v>380</v>
      </c>
      <c r="H26" s="615"/>
      <c r="I26" s="618"/>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5"/>
    </row>
    <row r="27" spans="1:38" ht="15">
      <c r="A27" s="529" t="s">
        <v>410</v>
      </c>
      <c r="B27" s="530" t="s">
        <v>399</v>
      </c>
      <c r="C27" s="531"/>
      <c r="D27" s="531">
        <v>0.4</v>
      </c>
      <c r="E27" s="532">
        <v>5300</v>
      </c>
      <c r="F27" s="532">
        <v>986</v>
      </c>
      <c r="G27" s="533">
        <v>11424.87</v>
      </c>
    </row>
    <row r="28" spans="1:38" ht="15">
      <c r="A28" s="529" t="s">
        <v>411</v>
      </c>
      <c r="B28" s="530" t="s">
        <v>399</v>
      </c>
      <c r="C28" s="531"/>
      <c r="D28" s="531" t="s">
        <v>401</v>
      </c>
      <c r="E28" s="532">
        <f>8400+47+E43</f>
        <v>8472</v>
      </c>
      <c r="F28" s="532">
        <f>1109+20+F43</f>
        <v>1457</v>
      </c>
      <c r="G28" s="533">
        <f>18938.47+G38*0.08+G43</f>
        <v>19737.382399999999</v>
      </c>
    </row>
    <row r="29" spans="1:38" ht="15">
      <c r="A29" s="524" t="s">
        <v>412</v>
      </c>
      <c r="B29" s="525" t="s">
        <v>387</v>
      </c>
      <c r="C29" s="526"/>
      <c r="D29" s="526" t="s">
        <v>401</v>
      </c>
      <c r="E29" s="527">
        <f>4077+E40</f>
        <v>4089</v>
      </c>
      <c r="F29" s="527">
        <f>160+F40</f>
        <v>180</v>
      </c>
      <c r="G29" s="528">
        <f>G38*0.62+G40</f>
        <v>5967.5035999999991</v>
      </c>
    </row>
    <row r="30" spans="1:38" ht="15.75" thickBot="1">
      <c r="A30" s="539" t="s">
        <v>413</v>
      </c>
      <c r="B30" s="540" t="s">
        <v>389</v>
      </c>
      <c r="C30" s="541"/>
      <c r="D30" s="541">
        <v>35</v>
      </c>
      <c r="E30" s="542"/>
      <c r="F30" s="542"/>
      <c r="G30" s="543"/>
    </row>
    <row r="31" spans="1:38" s="518" customFormat="1" ht="15.75" thickBot="1">
      <c r="A31" s="544" t="s">
        <v>21</v>
      </c>
      <c r="B31" s="545" t="s">
        <v>604</v>
      </c>
      <c r="C31" s="546"/>
      <c r="D31" s="546"/>
      <c r="E31" s="547"/>
      <c r="F31" s="547"/>
      <c r="G31" s="548"/>
      <c r="H31" s="615"/>
      <c r="I31" s="618"/>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5"/>
      <c r="AL31" s="615"/>
    </row>
    <row r="32" spans="1:38" ht="15">
      <c r="A32" s="529" t="s">
        <v>605</v>
      </c>
      <c r="B32" s="530" t="s">
        <v>606</v>
      </c>
      <c r="C32" s="531"/>
      <c r="D32" s="531">
        <v>0.4</v>
      </c>
      <c r="E32" s="532">
        <v>51300</v>
      </c>
      <c r="F32" s="532">
        <v>4837</v>
      </c>
      <c r="G32" s="533">
        <v>114602.2</v>
      </c>
      <c r="H32" s="616"/>
    </row>
    <row r="33" spans="1:38" ht="15">
      <c r="A33" s="529" t="s">
        <v>607</v>
      </c>
      <c r="B33" s="530" t="s">
        <v>608</v>
      </c>
      <c r="C33" s="531"/>
      <c r="D33" s="531" t="s">
        <v>401</v>
      </c>
      <c r="E33" s="532">
        <v>21600</v>
      </c>
      <c r="F33" s="532">
        <v>2687</v>
      </c>
      <c r="G33" s="533">
        <v>49708.01</v>
      </c>
      <c r="H33" s="616"/>
    </row>
    <row r="34" spans="1:38" ht="63.75">
      <c r="A34" s="524" t="s">
        <v>609</v>
      </c>
      <c r="B34" s="525" t="s">
        <v>819</v>
      </c>
      <c r="C34" s="526"/>
      <c r="D34" s="526">
        <v>0.4</v>
      </c>
      <c r="E34" s="527">
        <v>4552</v>
      </c>
      <c r="F34" s="527">
        <v>100</v>
      </c>
      <c r="G34" s="528">
        <f>3627.41+10168.38-2453.54-4068.44</f>
        <v>7273.8099999999995</v>
      </c>
      <c r="H34" s="616" t="s">
        <v>818</v>
      </c>
    </row>
    <row r="35" spans="1:38" ht="15">
      <c r="A35" s="529" t="s">
        <v>610</v>
      </c>
      <c r="B35" s="525" t="s">
        <v>788</v>
      </c>
      <c r="C35" s="526"/>
      <c r="D35" s="526">
        <v>6</v>
      </c>
      <c r="E35" s="527">
        <f>1309+25</f>
        <v>1334</v>
      </c>
      <c r="F35" s="527">
        <v>1000</v>
      </c>
      <c r="G35" s="528">
        <f>4107-1591.34-502.24</f>
        <v>2013.4199999999998</v>
      </c>
      <c r="H35" s="616" t="s">
        <v>808</v>
      </c>
    </row>
    <row r="36" spans="1:38" ht="15">
      <c r="A36" s="529" t="s">
        <v>611</v>
      </c>
      <c r="B36" s="525" t="s">
        <v>817</v>
      </c>
      <c r="C36" s="526"/>
      <c r="D36" s="526">
        <v>6</v>
      </c>
      <c r="E36" s="527">
        <v>270</v>
      </c>
      <c r="F36" s="527">
        <f>270/2</f>
        <v>135</v>
      </c>
      <c r="G36" s="528">
        <v>705.57</v>
      </c>
      <c r="H36" s="616" t="s">
        <v>806</v>
      </c>
    </row>
    <row r="37" spans="1:38" ht="30">
      <c r="A37" s="524" t="s">
        <v>612</v>
      </c>
      <c r="B37" s="525" t="s">
        <v>816</v>
      </c>
      <c r="C37" s="526"/>
      <c r="D37" s="526">
        <v>0.4</v>
      </c>
      <c r="E37" s="527">
        <v>514</v>
      </c>
      <c r="F37" s="527">
        <v>30</v>
      </c>
      <c r="G37" s="528">
        <v>898.16</v>
      </c>
      <c r="H37" s="616" t="s">
        <v>815</v>
      </c>
    </row>
    <row r="38" spans="1:38" ht="63.75">
      <c r="A38" s="529" t="s">
        <v>613</v>
      </c>
      <c r="B38" s="525" t="s">
        <v>814</v>
      </c>
      <c r="C38" s="526"/>
      <c r="D38" s="526">
        <v>10</v>
      </c>
      <c r="E38" s="527">
        <f>47+4077+176+2017</f>
        <v>6317</v>
      </c>
      <c r="F38" s="527">
        <f>408-18-30-100</f>
        <v>260</v>
      </c>
      <c r="G38" s="528">
        <f>64.52+284.21+3085.56+6076.99</f>
        <v>9511.2799999999988</v>
      </c>
      <c r="H38" s="616" t="s">
        <v>813</v>
      </c>
    </row>
    <row r="39" spans="1:38" ht="15">
      <c r="A39" s="529" t="s">
        <v>614</v>
      </c>
      <c r="B39" s="525" t="s">
        <v>812</v>
      </c>
      <c r="C39" s="526"/>
      <c r="D39" s="526">
        <v>6</v>
      </c>
      <c r="E39" s="527">
        <v>18</v>
      </c>
      <c r="F39" s="527">
        <v>500</v>
      </c>
      <c r="G39" s="528">
        <v>129.97</v>
      </c>
      <c r="H39" s="616" t="s">
        <v>806</v>
      </c>
    </row>
    <row r="40" spans="1:38" ht="15">
      <c r="A40" s="524" t="s">
        <v>615</v>
      </c>
      <c r="B40" s="525" t="s">
        <v>811</v>
      </c>
      <c r="C40" s="526"/>
      <c r="D40" s="526">
        <v>10</v>
      </c>
      <c r="E40" s="527">
        <v>12</v>
      </c>
      <c r="F40" s="527">
        <v>20</v>
      </c>
      <c r="G40" s="528">
        <v>70.510000000000005</v>
      </c>
      <c r="H40" s="616" t="s">
        <v>810</v>
      </c>
    </row>
    <row r="41" spans="1:38" ht="15">
      <c r="A41" s="529" t="s">
        <v>616</v>
      </c>
      <c r="B41" s="525" t="s">
        <v>809</v>
      </c>
      <c r="C41" s="526"/>
      <c r="D41" s="526">
        <v>0.4</v>
      </c>
      <c r="E41" s="527">
        <v>65</v>
      </c>
      <c r="F41" s="527">
        <v>20</v>
      </c>
      <c r="G41" s="528">
        <v>85.86</v>
      </c>
      <c r="H41" s="616" t="s">
        <v>808</v>
      </c>
    </row>
    <row r="42" spans="1:38" ht="15">
      <c r="A42" s="529" t="s">
        <v>617</v>
      </c>
      <c r="B42" s="525" t="s">
        <v>807</v>
      </c>
      <c r="C42" s="526"/>
      <c r="D42" s="526">
        <v>10</v>
      </c>
      <c r="E42" s="527">
        <v>502</v>
      </c>
      <c r="F42" s="527">
        <f>354/2</f>
        <v>177</v>
      </c>
      <c r="G42" s="528">
        <v>868.27</v>
      </c>
      <c r="H42" s="616" t="s">
        <v>806</v>
      </c>
    </row>
    <row r="43" spans="1:38" ht="15">
      <c r="A43" s="524" t="s">
        <v>618</v>
      </c>
      <c r="B43" s="525" t="s">
        <v>805</v>
      </c>
      <c r="C43" s="526"/>
      <c r="D43" s="526">
        <v>10</v>
      </c>
      <c r="E43" s="527">
        <v>25</v>
      </c>
      <c r="F43" s="527">
        <v>328</v>
      </c>
      <c r="G43" s="528">
        <v>38.01</v>
      </c>
      <c r="H43" s="616" t="s">
        <v>804</v>
      </c>
    </row>
    <row r="44" spans="1:38" ht="15">
      <c r="A44" s="529" t="s">
        <v>619</v>
      </c>
      <c r="B44" s="525"/>
      <c r="C44" s="526"/>
      <c r="D44" s="526"/>
      <c r="E44" s="527"/>
      <c r="F44" s="527"/>
      <c r="G44" s="528"/>
      <c r="H44" s="616"/>
    </row>
    <row r="45" spans="1:38" ht="15">
      <c r="A45" s="529" t="s">
        <v>620</v>
      </c>
      <c r="B45" s="525"/>
      <c r="C45" s="526"/>
      <c r="D45" s="526"/>
      <c r="E45" s="527"/>
      <c r="F45" s="527"/>
      <c r="G45" s="528"/>
      <c r="H45" s="616"/>
    </row>
    <row r="46" spans="1:38" ht="15.75" thickBot="1">
      <c r="A46" s="524" t="s">
        <v>621</v>
      </c>
      <c r="B46" s="525"/>
      <c r="C46" s="526"/>
      <c r="D46" s="526"/>
      <c r="E46" s="527"/>
      <c r="F46" s="527"/>
      <c r="G46" s="528"/>
    </row>
    <row r="47" spans="1:38" s="518" customFormat="1" ht="15.75" thickBot="1">
      <c r="A47" s="589" t="s">
        <v>135</v>
      </c>
      <c r="B47" s="590" t="s">
        <v>414</v>
      </c>
      <c r="C47" s="591" t="s">
        <v>380</v>
      </c>
      <c r="D47" s="591" t="s">
        <v>380</v>
      </c>
      <c r="E47" s="592" t="s">
        <v>380</v>
      </c>
      <c r="F47" s="592" t="s">
        <v>380</v>
      </c>
      <c r="G47" s="593" t="s">
        <v>380</v>
      </c>
      <c r="H47" s="615"/>
      <c r="I47" s="618"/>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row>
    <row r="48" spans="1:38" s="518" customFormat="1" ht="15">
      <c r="A48" s="512" t="s">
        <v>167</v>
      </c>
      <c r="B48" s="513" t="s">
        <v>415</v>
      </c>
      <c r="C48" s="514" t="s">
        <v>380</v>
      </c>
      <c r="D48" s="514" t="s">
        <v>380</v>
      </c>
      <c r="E48" s="515" t="s">
        <v>380</v>
      </c>
      <c r="F48" s="515" t="s">
        <v>380</v>
      </c>
      <c r="G48" s="516" t="s">
        <v>380</v>
      </c>
      <c r="H48" s="615"/>
      <c r="I48" s="618"/>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row>
    <row r="49" spans="1:38" s="518" customFormat="1" ht="15">
      <c r="A49" s="519" t="s">
        <v>168</v>
      </c>
      <c r="B49" s="520" t="s">
        <v>416</v>
      </c>
      <c r="C49" s="521" t="s">
        <v>380</v>
      </c>
      <c r="D49" s="521" t="s">
        <v>380</v>
      </c>
      <c r="E49" s="522" t="s">
        <v>380</v>
      </c>
      <c r="F49" s="522" t="s">
        <v>380</v>
      </c>
      <c r="G49" s="523" t="s">
        <v>380</v>
      </c>
      <c r="H49" s="615"/>
      <c r="I49" s="618"/>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row>
    <row r="50" spans="1:38" s="518" customFormat="1" ht="15">
      <c r="A50" s="519" t="s">
        <v>169</v>
      </c>
      <c r="B50" s="520" t="s">
        <v>417</v>
      </c>
      <c r="C50" s="521" t="s">
        <v>380</v>
      </c>
      <c r="D50" s="521" t="s">
        <v>380</v>
      </c>
      <c r="E50" s="522" t="s">
        <v>380</v>
      </c>
      <c r="F50" s="522" t="s">
        <v>380</v>
      </c>
      <c r="G50" s="523" t="s">
        <v>380</v>
      </c>
      <c r="H50" s="615"/>
      <c r="I50" s="618"/>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row>
    <row r="51" spans="1:38" ht="15.75" thickBot="1">
      <c r="A51" s="529" t="s">
        <v>418</v>
      </c>
      <c r="B51" s="530" t="s">
        <v>399</v>
      </c>
      <c r="C51" s="531"/>
      <c r="D51" s="531" t="s">
        <v>401</v>
      </c>
      <c r="E51" s="532"/>
      <c r="F51" s="532"/>
      <c r="G51" s="533"/>
    </row>
    <row r="52" spans="1:38" ht="15.75" hidden="1" thickBot="1">
      <c r="A52" s="529" t="s">
        <v>419</v>
      </c>
      <c r="B52" s="530" t="s">
        <v>399</v>
      </c>
      <c r="C52" s="531"/>
      <c r="D52" s="531">
        <v>35</v>
      </c>
      <c r="E52" s="532"/>
      <c r="F52" s="532"/>
      <c r="G52" s="533"/>
    </row>
    <row r="53" spans="1:38" ht="15.75" hidden="1" thickBot="1">
      <c r="A53" s="529" t="s">
        <v>420</v>
      </c>
      <c r="B53" s="530" t="s">
        <v>399</v>
      </c>
      <c r="C53" s="531"/>
      <c r="D53" s="531">
        <v>110</v>
      </c>
      <c r="E53" s="532"/>
      <c r="F53" s="532"/>
      <c r="G53" s="533"/>
    </row>
    <row r="54" spans="1:38" ht="15.75" hidden="1" thickBot="1">
      <c r="A54" s="529" t="s">
        <v>421</v>
      </c>
      <c r="B54" s="530" t="s">
        <v>387</v>
      </c>
      <c r="C54" s="531"/>
      <c r="D54" s="531" t="s">
        <v>401</v>
      </c>
      <c r="E54" s="532"/>
      <c r="F54" s="532"/>
      <c r="G54" s="533"/>
    </row>
    <row r="55" spans="1:38" ht="15.75" hidden="1" thickBot="1">
      <c r="A55" s="529" t="s">
        <v>422</v>
      </c>
      <c r="B55" s="530" t="s">
        <v>387</v>
      </c>
      <c r="C55" s="531"/>
      <c r="D55" s="531">
        <v>35</v>
      </c>
      <c r="E55" s="532"/>
      <c r="F55" s="532"/>
      <c r="G55" s="533"/>
    </row>
    <row r="56" spans="1:38" ht="15.75" hidden="1" thickBot="1">
      <c r="A56" s="529" t="s">
        <v>423</v>
      </c>
      <c r="B56" s="530" t="s">
        <v>387</v>
      </c>
      <c r="C56" s="531"/>
      <c r="D56" s="531">
        <v>110</v>
      </c>
      <c r="E56" s="532"/>
      <c r="F56" s="532"/>
      <c r="G56" s="533"/>
    </row>
    <row r="57" spans="1:38" ht="15.75" hidden="1" thickBot="1">
      <c r="A57" s="529" t="s">
        <v>424</v>
      </c>
      <c r="B57" s="530" t="s">
        <v>389</v>
      </c>
      <c r="C57" s="531"/>
      <c r="D57" s="531" t="s">
        <v>401</v>
      </c>
      <c r="E57" s="532"/>
      <c r="F57" s="532"/>
      <c r="G57" s="533"/>
    </row>
    <row r="58" spans="1:38" ht="15.75" hidden="1" thickBot="1">
      <c r="A58" s="529" t="s">
        <v>425</v>
      </c>
      <c r="B58" s="530" t="s">
        <v>389</v>
      </c>
      <c r="C58" s="531"/>
      <c r="D58" s="531">
        <v>35</v>
      </c>
      <c r="E58" s="532"/>
      <c r="F58" s="532"/>
      <c r="G58" s="533"/>
    </row>
    <row r="59" spans="1:38" ht="15.75" hidden="1" thickBot="1">
      <c r="A59" s="529" t="s">
        <v>426</v>
      </c>
      <c r="B59" s="530" t="s">
        <v>389</v>
      </c>
      <c r="C59" s="531"/>
      <c r="D59" s="531">
        <v>110</v>
      </c>
      <c r="E59" s="532"/>
      <c r="F59" s="532"/>
      <c r="G59" s="533"/>
    </row>
    <row r="60" spans="1:38" ht="15.75" hidden="1" thickBot="1">
      <c r="A60" s="539" t="s">
        <v>427</v>
      </c>
      <c r="B60" s="540" t="s">
        <v>392</v>
      </c>
      <c r="C60" s="541"/>
      <c r="D60" s="541">
        <v>110</v>
      </c>
      <c r="E60" s="542"/>
      <c r="F60" s="542"/>
      <c r="G60" s="543"/>
    </row>
    <row r="61" spans="1:38" s="518" customFormat="1" ht="15">
      <c r="A61" s="512" t="s">
        <v>428</v>
      </c>
      <c r="B61" s="513" t="s">
        <v>429</v>
      </c>
      <c r="C61" s="514" t="s">
        <v>380</v>
      </c>
      <c r="D61" s="514" t="s">
        <v>380</v>
      </c>
      <c r="E61" s="515" t="s">
        <v>380</v>
      </c>
      <c r="F61" s="515" t="s">
        <v>380</v>
      </c>
      <c r="G61" s="516" t="s">
        <v>380</v>
      </c>
      <c r="H61" s="615"/>
      <c r="I61" s="618"/>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row>
    <row r="62" spans="1:38" ht="15">
      <c r="A62" s="529" t="s">
        <v>430</v>
      </c>
      <c r="B62" s="530" t="s">
        <v>399</v>
      </c>
      <c r="C62" s="531"/>
      <c r="D62" s="531" t="s">
        <v>401</v>
      </c>
      <c r="E62" s="532"/>
      <c r="F62" s="532"/>
      <c r="G62" s="533"/>
    </row>
    <row r="63" spans="1:38" ht="15" hidden="1">
      <c r="A63" s="529" t="s">
        <v>431</v>
      </c>
      <c r="B63" s="530" t="s">
        <v>399</v>
      </c>
      <c r="C63" s="531"/>
      <c r="D63" s="531">
        <v>35</v>
      </c>
      <c r="E63" s="532"/>
      <c r="F63" s="532"/>
      <c r="G63" s="533"/>
    </row>
    <row r="64" spans="1:38" ht="15" hidden="1">
      <c r="A64" s="529" t="s">
        <v>432</v>
      </c>
      <c r="B64" s="530" t="s">
        <v>399</v>
      </c>
      <c r="C64" s="531"/>
      <c r="D64" s="531">
        <v>110</v>
      </c>
      <c r="E64" s="532"/>
      <c r="F64" s="532"/>
      <c r="G64" s="533"/>
    </row>
    <row r="65" spans="1:38" ht="15" hidden="1">
      <c r="A65" s="529" t="s">
        <v>433</v>
      </c>
      <c r="B65" s="530" t="s">
        <v>387</v>
      </c>
      <c r="C65" s="531"/>
      <c r="D65" s="531" t="s">
        <v>401</v>
      </c>
      <c r="E65" s="532"/>
      <c r="F65" s="532"/>
      <c r="G65" s="533"/>
    </row>
    <row r="66" spans="1:38" ht="15" hidden="1">
      <c r="A66" s="529" t="s">
        <v>434</v>
      </c>
      <c r="B66" s="530" t="s">
        <v>387</v>
      </c>
      <c r="C66" s="531"/>
      <c r="D66" s="531">
        <v>35</v>
      </c>
      <c r="E66" s="532"/>
      <c r="F66" s="532"/>
      <c r="G66" s="533"/>
    </row>
    <row r="67" spans="1:38" ht="15" hidden="1">
      <c r="A67" s="529" t="s">
        <v>435</v>
      </c>
      <c r="B67" s="530" t="s">
        <v>387</v>
      </c>
      <c r="C67" s="531"/>
      <c r="D67" s="531">
        <v>110</v>
      </c>
      <c r="E67" s="532"/>
      <c r="F67" s="532"/>
      <c r="G67" s="533"/>
    </row>
    <row r="68" spans="1:38" ht="15" hidden="1">
      <c r="A68" s="529" t="s">
        <v>436</v>
      </c>
      <c r="B68" s="530" t="s">
        <v>389</v>
      </c>
      <c r="C68" s="531"/>
      <c r="D68" s="531" t="s">
        <v>401</v>
      </c>
      <c r="E68" s="532"/>
      <c r="F68" s="532"/>
      <c r="G68" s="533"/>
    </row>
    <row r="69" spans="1:38" ht="15" hidden="1">
      <c r="A69" s="529" t="s">
        <v>437</v>
      </c>
      <c r="B69" s="530" t="s">
        <v>389</v>
      </c>
      <c r="C69" s="531"/>
      <c r="D69" s="531">
        <v>35</v>
      </c>
      <c r="E69" s="532"/>
      <c r="F69" s="532"/>
      <c r="G69" s="533"/>
    </row>
    <row r="70" spans="1:38" ht="15" hidden="1">
      <c r="A70" s="529" t="s">
        <v>438</v>
      </c>
      <c r="B70" s="530" t="s">
        <v>389</v>
      </c>
      <c r="C70" s="531"/>
      <c r="D70" s="531">
        <v>110</v>
      </c>
      <c r="E70" s="532"/>
      <c r="F70" s="532"/>
      <c r="G70" s="533"/>
    </row>
    <row r="71" spans="1:38" ht="15.75" hidden="1" thickBot="1">
      <c r="A71" s="539" t="s">
        <v>439</v>
      </c>
      <c r="B71" s="540" t="s">
        <v>392</v>
      </c>
      <c r="C71" s="541"/>
      <c r="D71" s="541">
        <v>110</v>
      </c>
      <c r="E71" s="542"/>
      <c r="F71" s="542"/>
      <c r="G71" s="543"/>
    </row>
    <row r="72" spans="1:38" s="518" customFormat="1" ht="15">
      <c r="A72" s="519" t="s">
        <v>170</v>
      </c>
      <c r="B72" s="520" t="s">
        <v>440</v>
      </c>
      <c r="C72" s="521" t="s">
        <v>380</v>
      </c>
      <c r="D72" s="521" t="s">
        <v>380</v>
      </c>
      <c r="E72" s="522" t="s">
        <v>380</v>
      </c>
      <c r="F72" s="522" t="s">
        <v>380</v>
      </c>
      <c r="G72" s="523" t="s">
        <v>380</v>
      </c>
      <c r="H72" s="615"/>
      <c r="I72" s="618"/>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row>
    <row r="73" spans="1:38" s="518" customFormat="1" ht="15.75" thickBot="1">
      <c r="A73" s="519" t="s">
        <v>171</v>
      </c>
      <c r="B73" s="520" t="s">
        <v>417</v>
      </c>
      <c r="C73" s="521" t="s">
        <v>380</v>
      </c>
      <c r="D73" s="521" t="s">
        <v>380</v>
      </c>
      <c r="E73" s="522" t="s">
        <v>380</v>
      </c>
      <c r="F73" s="522" t="s">
        <v>380</v>
      </c>
      <c r="G73" s="523" t="s">
        <v>380</v>
      </c>
      <c r="H73" s="615"/>
      <c r="I73" s="618"/>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row>
    <row r="74" spans="1:38" ht="15.75" hidden="1" thickBot="1">
      <c r="A74" s="529" t="s">
        <v>441</v>
      </c>
      <c r="B74" s="530" t="s">
        <v>399</v>
      </c>
      <c r="C74" s="531"/>
      <c r="D74" s="531">
        <v>0.4</v>
      </c>
      <c r="E74" s="532"/>
      <c r="F74" s="532"/>
      <c r="G74" s="533"/>
    </row>
    <row r="75" spans="1:38" ht="15.75" hidden="1" thickBot="1">
      <c r="A75" s="529" t="s">
        <v>442</v>
      </c>
      <c r="B75" s="530" t="s">
        <v>399</v>
      </c>
      <c r="C75" s="531"/>
      <c r="D75" s="531" t="s">
        <v>401</v>
      </c>
      <c r="E75" s="532"/>
      <c r="F75" s="532"/>
      <c r="G75" s="533"/>
    </row>
    <row r="76" spans="1:38" ht="15.75" hidden="1" thickBot="1">
      <c r="A76" s="529" t="s">
        <v>443</v>
      </c>
      <c r="B76" s="530" t="s">
        <v>399</v>
      </c>
      <c r="C76" s="531"/>
      <c r="D76" s="531">
        <v>35</v>
      </c>
      <c r="E76" s="532"/>
      <c r="F76" s="532"/>
      <c r="G76" s="533"/>
    </row>
    <row r="77" spans="1:38" ht="15.75" hidden="1" thickBot="1">
      <c r="A77" s="529" t="s">
        <v>444</v>
      </c>
      <c r="B77" s="530" t="s">
        <v>399</v>
      </c>
      <c r="C77" s="531"/>
      <c r="D77" s="531">
        <v>110</v>
      </c>
      <c r="E77" s="532"/>
      <c r="F77" s="532"/>
      <c r="G77" s="533"/>
    </row>
    <row r="78" spans="1:38" ht="15.75" hidden="1" thickBot="1">
      <c r="A78" s="529" t="s">
        <v>445</v>
      </c>
      <c r="B78" s="530" t="s">
        <v>387</v>
      </c>
      <c r="C78" s="531"/>
      <c r="D78" s="531">
        <v>0.4</v>
      </c>
      <c r="E78" s="532"/>
      <c r="F78" s="532"/>
      <c r="G78" s="533"/>
    </row>
    <row r="79" spans="1:38" ht="15.75" hidden="1" thickBot="1">
      <c r="A79" s="529" t="s">
        <v>446</v>
      </c>
      <c r="B79" s="530" t="s">
        <v>387</v>
      </c>
      <c r="C79" s="531"/>
      <c r="D79" s="531" t="s">
        <v>401</v>
      </c>
      <c r="E79" s="532"/>
      <c r="F79" s="532"/>
      <c r="G79" s="533"/>
    </row>
    <row r="80" spans="1:38" ht="15.75" hidden="1" thickBot="1">
      <c r="A80" s="529" t="s">
        <v>447</v>
      </c>
      <c r="B80" s="530" t="s">
        <v>387</v>
      </c>
      <c r="C80" s="531"/>
      <c r="D80" s="531">
        <v>35</v>
      </c>
      <c r="E80" s="532"/>
      <c r="F80" s="532"/>
      <c r="G80" s="533"/>
    </row>
    <row r="81" spans="1:38" ht="15.75" hidden="1" thickBot="1">
      <c r="A81" s="529" t="s">
        <v>448</v>
      </c>
      <c r="B81" s="530" t="s">
        <v>387</v>
      </c>
      <c r="C81" s="531"/>
      <c r="D81" s="531">
        <v>110</v>
      </c>
      <c r="E81" s="532"/>
      <c r="F81" s="532"/>
      <c r="G81" s="533"/>
    </row>
    <row r="82" spans="1:38" ht="15.75" hidden="1" thickBot="1">
      <c r="A82" s="529" t="s">
        <v>449</v>
      </c>
      <c r="B82" s="530" t="s">
        <v>389</v>
      </c>
      <c r="C82" s="531"/>
      <c r="D82" s="531">
        <v>0.4</v>
      </c>
      <c r="E82" s="532"/>
      <c r="F82" s="532"/>
      <c r="G82" s="533"/>
    </row>
    <row r="83" spans="1:38" ht="15.75" hidden="1" thickBot="1">
      <c r="A83" s="529" t="s">
        <v>450</v>
      </c>
      <c r="B83" s="530" t="s">
        <v>389</v>
      </c>
      <c r="C83" s="531"/>
      <c r="D83" s="531" t="s">
        <v>401</v>
      </c>
      <c r="E83" s="532"/>
      <c r="F83" s="532"/>
      <c r="G83" s="533"/>
    </row>
    <row r="84" spans="1:38" ht="15.75" hidden="1" thickBot="1">
      <c r="A84" s="529" t="s">
        <v>451</v>
      </c>
      <c r="B84" s="530" t="s">
        <v>389</v>
      </c>
      <c r="C84" s="531"/>
      <c r="D84" s="531">
        <v>35</v>
      </c>
      <c r="E84" s="532"/>
      <c r="F84" s="532"/>
      <c r="G84" s="533"/>
    </row>
    <row r="85" spans="1:38" ht="15.75" hidden="1" thickBot="1">
      <c r="A85" s="529" t="s">
        <v>452</v>
      </c>
      <c r="B85" s="530" t="s">
        <v>389</v>
      </c>
      <c r="C85" s="531"/>
      <c r="D85" s="531">
        <v>110</v>
      </c>
      <c r="E85" s="532"/>
      <c r="F85" s="532"/>
      <c r="G85" s="533"/>
    </row>
    <row r="86" spans="1:38" ht="15.75" hidden="1" thickBot="1">
      <c r="A86" s="524" t="s">
        <v>453</v>
      </c>
      <c r="B86" s="525" t="s">
        <v>392</v>
      </c>
      <c r="C86" s="526">
        <v>2014</v>
      </c>
      <c r="D86" s="526">
        <v>0.4</v>
      </c>
      <c r="E86" s="527"/>
      <c r="F86" s="527"/>
      <c r="G86" s="528"/>
    </row>
    <row r="87" spans="1:38" ht="15.75" hidden="1" thickBot="1">
      <c r="A87" s="539" t="s">
        <v>454</v>
      </c>
      <c r="B87" s="540" t="s">
        <v>392</v>
      </c>
      <c r="C87" s="541"/>
      <c r="D87" s="541">
        <v>110</v>
      </c>
      <c r="E87" s="542"/>
      <c r="F87" s="542"/>
      <c r="G87" s="543"/>
    </row>
    <row r="88" spans="1:38" s="518" customFormat="1" ht="15">
      <c r="A88" s="512" t="s">
        <v>172</v>
      </c>
      <c r="B88" s="513" t="s">
        <v>429</v>
      </c>
      <c r="C88" s="514" t="s">
        <v>380</v>
      </c>
      <c r="D88" s="514" t="s">
        <v>380</v>
      </c>
      <c r="E88" s="515" t="s">
        <v>380</v>
      </c>
      <c r="F88" s="515" t="s">
        <v>380</v>
      </c>
      <c r="G88" s="516" t="s">
        <v>380</v>
      </c>
      <c r="H88" s="615"/>
      <c r="I88" s="618"/>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5"/>
      <c r="AL88" s="615"/>
    </row>
    <row r="89" spans="1:38" ht="15">
      <c r="A89" s="529" t="s">
        <v>455</v>
      </c>
      <c r="B89" s="530" t="s">
        <v>399</v>
      </c>
      <c r="C89" s="531"/>
      <c r="D89" s="531">
        <v>0.4</v>
      </c>
      <c r="E89" s="532"/>
      <c r="F89" s="532"/>
      <c r="G89" s="533"/>
    </row>
    <row r="90" spans="1:38" ht="15" hidden="1">
      <c r="A90" s="529" t="s">
        <v>456</v>
      </c>
      <c r="B90" s="530" t="s">
        <v>399</v>
      </c>
      <c r="C90" s="531"/>
      <c r="D90" s="531" t="s">
        <v>401</v>
      </c>
      <c r="E90" s="532"/>
      <c r="F90" s="532"/>
      <c r="G90" s="533"/>
    </row>
    <row r="91" spans="1:38" ht="15" hidden="1">
      <c r="A91" s="529" t="s">
        <v>457</v>
      </c>
      <c r="B91" s="530" t="s">
        <v>399</v>
      </c>
      <c r="C91" s="531"/>
      <c r="D91" s="531">
        <v>35</v>
      </c>
      <c r="E91" s="532"/>
      <c r="F91" s="532"/>
      <c r="G91" s="533"/>
    </row>
    <row r="92" spans="1:38" ht="15" hidden="1">
      <c r="A92" s="529" t="s">
        <v>458</v>
      </c>
      <c r="B92" s="530" t="s">
        <v>399</v>
      </c>
      <c r="C92" s="531"/>
      <c r="D92" s="531">
        <v>110</v>
      </c>
      <c r="E92" s="532"/>
      <c r="F92" s="532"/>
      <c r="G92" s="533"/>
    </row>
    <row r="93" spans="1:38" ht="15">
      <c r="A93" s="529" t="s">
        <v>459</v>
      </c>
      <c r="B93" s="530" t="s">
        <v>387</v>
      </c>
      <c r="C93" s="531"/>
      <c r="D93" s="531">
        <v>0.4</v>
      </c>
      <c r="E93" s="532">
        <f>E162</f>
        <v>195.4</v>
      </c>
      <c r="F93" s="532">
        <f>F162</f>
        <v>18</v>
      </c>
      <c r="G93" s="533">
        <f>G162</f>
        <v>456.23</v>
      </c>
    </row>
    <row r="94" spans="1:38" ht="15">
      <c r="A94" s="529" t="s">
        <v>460</v>
      </c>
      <c r="B94" s="530" t="s">
        <v>387</v>
      </c>
      <c r="C94" s="531"/>
      <c r="D94" s="531" t="s">
        <v>401</v>
      </c>
      <c r="E94" s="532"/>
      <c r="F94" s="532"/>
      <c r="G94" s="533"/>
    </row>
    <row r="95" spans="1:38" ht="15" hidden="1">
      <c r="A95" s="529" t="s">
        <v>461</v>
      </c>
      <c r="B95" s="530" t="s">
        <v>387</v>
      </c>
      <c r="C95" s="531"/>
      <c r="D95" s="531">
        <v>35</v>
      </c>
      <c r="E95" s="532"/>
      <c r="F95" s="532"/>
      <c r="G95" s="533"/>
    </row>
    <row r="96" spans="1:38" ht="15" hidden="1">
      <c r="A96" s="529" t="s">
        <v>462</v>
      </c>
      <c r="B96" s="530" t="s">
        <v>387</v>
      </c>
      <c r="C96" s="531"/>
      <c r="D96" s="531">
        <v>110</v>
      </c>
      <c r="E96" s="532"/>
      <c r="F96" s="532"/>
      <c r="G96" s="533"/>
    </row>
    <row r="97" spans="1:38" ht="15" hidden="1">
      <c r="A97" s="529" t="s">
        <v>463</v>
      </c>
      <c r="B97" s="530" t="s">
        <v>389</v>
      </c>
      <c r="C97" s="531"/>
      <c r="D97" s="531">
        <v>0.4</v>
      </c>
      <c r="E97" s="532"/>
      <c r="F97" s="532"/>
      <c r="G97" s="533"/>
    </row>
    <row r="98" spans="1:38" ht="15" hidden="1">
      <c r="A98" s="529" t="s">
        <v>464</v>
      </c>
      <c r="B98" s="530" t="s">
        <v>389</v>
      </c>
      <c r="C98" s="531"/>
      <c r="D98" s="531" t="s">
        <v>401</v>
      </c>
      <c r="E98" s="532"/>
      <c r="F98" s="532"/>
      <c r="G98" s="533"/>
    </row>
    <row r="99" spans="1:38" ht="15" hidden="1">
      <c r="A99" s="529" t="s">
        <v>465</v>
      </c>
      <c r="B99" s="530" t="s">
        <v>389</v>
      </c>
      <c r="C99" s="531"/>
      <c r="D99" s="531">
        <v>35</v>
      </c>
      <c r="E99" s="532"/>
      <c r="F99" s="532"/>
      <c r="G99" s="533"/>
    </row>
    <row r="100" spans="1:38" ht="15">
      <c r="A100" s="529" t="s">
        <v>466</v>
      </c>
      <c r="B100" s="530" t="s">
        <v>389</v>
      </c>
      <c r="C100" s="531"/>
      <c r="D100" s="531">
        <v>110</v>
      </c>
      <c r="E100" s="532"/>
      <c r="F100" s="532"/>
      <c r="G100" s="533"/>
    </row>
    <row r="101" spans="1:38" ht="15.75" thickBot="1">
      <c r="A101" s="539" t="s">
        <v>467</v>
      </c>
      <c r="B101" s="540" t="s">
        <v>392</v>
      </c>
      <c r="C101" s="541"/>
      <c r="D101" s="541">
        <v>0.4</v>
      </c>
      <c r="E101" s="542">
        <f>E163</f>
        <v>240.7</v>
      </c>
      <c r="F101" s="542">
        <f>F163</f>
        <v>301.39999999999998</v>
      </c>
      <c r="G101" s="543">
        <f>G163</f>
        <v>1850.4760000000001</v>
      </c>
    </row>
    <row r="102" spans="1:38" s="518" customFormat="1" ht="15">
      <c r="A102" s="512" t="s">
        <v>173</v>
      </c>
      <c r="B102" s="513" t="s">
        <v>468</v>
      </c>
      <c r="C102" s="514" t="s">
        <v>380</v>
      </c>
      <c r="D102" s="514" t="s">
        <v>380</v>
      </c>
      <c r="E102" s="515" t="s">
        <v>380</v>
      </c>
      <c r="F102" s="515" t="s">
        <v>380</v>
      </c>
      <c r="G102" s="516" t="s">
        <v>380</v>
      </c>
      <c r="H102" s="615"/>
      <c r="I102" s="618"/>
      <c r="J102" s="615"/>
      <c r="K102" s="615"/>
      <c r="L102" s="615"/>
      <c r="M102" s="615"/>
      <c r="N102" s="615"/>
      <c r="O102" s="615"/>
      <c r="P102" s="615"/>
      <c r="Q102" s="615"/>
      <c r="R102" s="615"/>
      <c r="S102" s="615"/>
      <c r="T102" s="615"/>
      <c r="U102" s="615"/>
      <c r="V102" s="615"/>
      <c r="W102" s="615"/>
      <c r="X102" s="615"/>
      <c r="Y102" s="615"/>
      <c r="Z102" s="615"/>
      <c r="AA102" s="615"/>
      <c r="AB102" s="615"/>
      <c r="AC102" s="615"/>
      <c r="AD102" s="615"/>
      <c r="AE102" s="615"/>
      <c r="AF102" s="615"/>
      <c r="AG102" s="615"/>
      <c r="AH102" s="615"/>
      <c r="AI102" s="615"/>
      <c r="AJ102" s="615"/>
      <c r="AK102" s="615"/>
      <c r="AL102" s="615"/>
    </row>
    <row r="103" spans="1:38" s="518" customFormat="1" ht="15">
      <c r="A103" s="519" t="s">
        <v>174</v>
      </c>
      <c r="B103" s="520" t="s">
        <v>416</v>
      </c>
      <c r="C103" s="521" t="s">
        <v>380</v>
      </c>
      <c r="D103" s="521" t="s">
        <v>380</v>
      </c>
      <c r="E103" s="522" t="s">
        <v>380</v>
      </c>
      <c r="F103" s="522" t="s">
        <v>380</v>
      </c>
      <c r="G103" s="523" t="s">
        <v>380</v>
      </c>
      <c r="H103" s="615"/>
      <c r="I103" s="618"/>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15"/>
      <c r="AL103" s="615"/>
    </row>
    <row r="104" spans="1:38" s="518" customFormat="1" ht="15.75" thickBot="1">
      <c r="A104" s="519" t="s">
        <v>175</v>
      </c>
      <c r="B104" s="520" t="s">
        <v>417</v>
      </c>
      <c r="C104" s="521" t="s">
        <v>380</v>
      </c>
      <c r="D104" s="521" t="s">
        <v>380</v>
      </c>
      <c r="E104" s="522" t="s">
        <v>380</v>
      </c>
      <c r="F104" s="522" t="s">
        <v>380</v>
      </c>
      <c r="G104" s="523" t="s">
        <v>380</v>
      </c>
      <c r="H104" s="615"/>
      <c r="I104" s="618"/>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15"/>
      <c r="AL104" s="615"/>
    </row>
    <row r="105" spans="1:38" ht="15.75" hidden="1" thickBot="1">
      <c r="A105" s="529" t="s">
        <v>469</v>
      </c>
      <c r="B105" s="530" t="s">
        <v>399</v>
      </c>
      <c r="C105" s="531"/>
      <c r="D105" s="531" t="s">
        <v>401</v>
      </c>
      <c r="E105" s="532"/>
      <c r="F105" s="532"/>
      <c r="G105" s="533"/>
    </row>
    <row r="106" spans="1:38" ht="15.75" hidden="1" thickBot="1">
      <c r="A106" s="529" t="s">
        <v>470</v>
      </c>
      <c r="B106" s="530" t="s">
        <v>399</v>
      </c>
      <c r="C106" s="531"/>
      <c r="D106" s="531">
        <v>35</v>
      </c>
      <c r="E106" s="532"/>
      <c r="F106" s="532"/>
      <c r="G106" s="533"/>
    </row>
    <row r="107" spans="1:38" ht="15.75" hidden="1" thickBot="1">
      <c r="A107" s="529" t="s">
        <v>471</v>
      </c>
      <c r="B107" s="530" t="s">
        <v>399</v>
      </c>
      <c r="C107" s="531"/>
      <c r="D107" s="531">
        <v>110</v>
      </c>
      <c r="E107" s="532"/>
      <c r="F107" s="532"/>
      <c r="G107" s="533"/>
    </row>
    <row r="108" spans="1:38" ht="15.75" hidden="1" thickBot="1">
      <c r="A108" s="529" t="s">
        <v>472</v>
      </c>
      <c r="B108" s="530" t="s">
        <v>387</v>
      </c>
      <c r="C108" s="531"/>
      <c r="D108" s="531" t="s">
        <v>401</v>
      </c>
      <c r="E108" s="532"/>
      <c r="F108" s="532"/>
      <c r="G108" s="533"/>
    </row>
    <row r="109" spans="1:38" ht="15.75" hidden="1" thickBot="1">
      <c r="A109" s="529" t="s">
        <v>473</v>
      </c>
      <c r="B109" s="530" t="s">
        <v>387</v>
      </c>
      <c r="C109" s="531"/>
      <c r="D109" s="531">
        <v>35</v>
      </c>
      <c r="E109" s="532"/>
      <c r="F109" s="532"/>
      <c r="G109" s="533"/>
    </row>
    <row r="110" spans="1:38" ht="15.75" hidden="1" thickBot="1">
      <c r="A110" s="529" t="s">
        <v>474</v>
      </c>
      <c r="B110" s="530" t="s">
        <v>387</v>
      </c>
      <c r="C110" s="531"/>
      <c r="D110" s="531">
        <v>110</v>
      </c>
      <c r="E110" s="532"/>
      <c r="F110" s="532"/>
      <c r="G110" s="533"/>
    </row>
    <row r="111" spans="1:38" ht="15.75" hidden="1" thickBot="1">
      <c r="A111" s="529" t="s">
        <v>475</v>
      </c>
      <c r="B111" s="530" t="s">
        <v>389</v>
      </c>
      <c r="C111" s="531"/>
      <c r="D111" s="531" t="s">
        <v>401</v>
      </c>
      <c r="E111" s="532"/>
      <c r="F111" s="532"/>
      <c r="G111" s="533"/>
    </row>
    <row r="112" spans="1:38" ht="15.75" hidden="1" thickBot="1">
      <c r="A112" s="529" t="s">
        <v>476</v>
      </c>
      <c r="B112" s="530" t="s">
        <v>389</v>
      </c>
      <c r="C112" s="531"/>
      <c r="D112" s="531">
        <v>35</v>
      </c>
      <c r="E112" s="532"/>
      <c r="F112" s="532"/>
      <c r="G112" s="533"/>
    </row>
    <row r="113" spans="1:38" ht="15.75" hidden="1" thickBot="1">
      <c r="A113" s="529" t="s">
        <v>477</v>
      </c>
      <c r="B113" s="530" t="s">
        <v>389</v>
      </c>
      <c r="C113" s="531"/>
      <c r="D113" s="531">
        <v>110</v>
      </c>
      <c r="E113" s="532"/>
      <c r="F113" s="532"/>
      <c r="G113" s="533"/>
    </row>
    <row r="114" spans="1:38" ht="15.75" hidden="1" thickBot="1">
      <c r="A114" s="539" t="s">
        <v>478</v>
      </c>
      <c r="B114" s="540" t="s">
        <v>392</v>
      </c>
      <c r="C114" s="541"/>
      <c r="D114" s="541">
        <v>110</v>
      </c>
      <c r="E114" s="542"/>
      <c r="F114" s="542"/>
      <c r="G114" s="543"/>
    </row>
    <row r="115" spans="1:38" s="518" customFormat="1" ht="15">
      <c r="A115" s="512" t="s">
        <v>176</v>
      </c>
      <c r="B115" s="513" t="s">
        <v>429</v>
      </c>
      <c r="C115" s="514" t="s">
        <v>380</v>
      </c>
      <c r="D115" s="514" t="s">
        <v>380</v>
      </c>
      <c r="E115" s="515" t="s">
        <v>380</v>
      </c>
      <c r="F115" s="515" t="s">
        <v>380</v>
      </c>
      <c r="G115" s="516" t="s">
        <v>380</v>
      </c>
      <c r="H115" s="615"/>
      <c r="I115" s="618"/>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c r="AI115" s="615"/>
      <c r="AJ115" s="615"/>
      <c r="AK115" s="615"/>
      <c r="AL115" s="615"/>
    </row>
    <row r="116" spans="1:38" ht="15" hidden="1">
      <c r="A116" s="529" t="s">
        <v>480</v>
      </c>
      <c r="B116" s="530" t="s">
        <v>399</v>
      </c>
      <c r="C116" s="531"/>
      <c r="D116" s="531" t="s">
        <v>401</v>
      </c>
      <c r="E116" s="532"/>
      <c r="F116" s="532"/>
      <c r="G116" s="533"/>
    </row>
    <row r="117" spans="1:38" ht="15" hidden="1">
      <c r="A117" s="529" t="s">
        <v>481</v>
      </c>
      <c r="B117" s="530" t="s">
        <v>399</v>
      </c>
      <c r="C117" s="531"/>
      <c r="D117" s="531">
        <v>35</v>
      </c>
      <c r="E117" s="532"/>
      <c r="F117" s="532"/>
      <c r="G117" s="533"/>
    </row>
    <row r="118" spans="1:38" ht="15" hidden="1">
      <c r="A118" s="529" t="s">
        <v>482</v>
      </c>
      <c r="B118" s="530" t="s">
        <v>399</v>
      </c>
      <c r="C118" s="531"/>
      <c r="D118" s="531">
        <v>110</v>
      </c>
      <c r="E118" s="532"/>
      <c r="F118" s="532"/>
      <c r="G118" s="533"/>
    </row>
    <row r="119" spans="1:38" ht="15" hidden="1">
      <c r="A119" s="529" t="s">
        <v>483</v>
      </c>
      <c r="B119" s="530" t="s">
        <v>387</v>
      </c>
      <c r="C119" s="531"/>
      <c r="D119" s="531" t="s">
        <v>401</v>
      </c>
      <c r="E119" s="532"/>
      <c r="F119" s="532"/>
      <c r="G119" s="533"/>
    </row>
    <row r="120" spans="1:38" ht="15" hidden="1">
      <c r="A120" s="529" t="s">
        <v>484</v>
      </c>
      <c r="B120" s="530" t="s">
        <v>387</v>
      </c>
      <c r="C120" s="531"/>
      <c r="D120" s="531">
        <v>35</v>
      </c>
      <c r="E120" s="532"/>
      <c r="F120" s="532"/>
      <c r="G120" s="533"/>
    </row>
    <row r="121" spans="1:38" ht="15" hidden="1">
      <c r="A121" s="529" t="s">
        <v>485</v>
      </c>
      <c r="B121" s="530" t="s">
        <v>387</v>
      </c>
      <c r="C121" s="531"/>
      <c r="D121" s="531">
        <v>110</v>
      </c>
      <c r="E121" s="532"/>
      <c r="F121" s="532"/>
      <c r="G121" s="533"/>
    </row>
    <row r="122" spans="1:38" ht="15" hidden="1">
      <c r="A122" s="529" t="s">
        <v>486</v>
      </c>
      <c r="B122" s="530" t="s">
        <v>389</v>
      </c>
      <c r="C122" s="531"/>
      <c r="D122" s="531" t="s">
        <v>401</v>
      </c>
      <c r="E122" s="532"/>
      <c r="F122" s="532"/>
      <c r="G122" s="533"/>
    </row>
    <row r="123" spans="1:38" ht="15" hidden="1">
      <c r="A123" s="529" t="s">
        <v>487</v>
      </c>
      <c r="B123" s="530" t="s">
        <v>389</v>
      </c>
      <c r="C123" s="531"/>
      <c r="D123" s="531">
        <v>35</v>
      </c>
      <c r="E123" s="532"/>
      <c r="F123" s="532"/>
      <c r="G123" s="533"/>
    </row>
    <row r="124" spans="1:38" ht="15" hidden="1">
      <c r="A124" s="529" t="s">
        <v>488</v>
      </c>
      <c r="B124" s="530" t="s">
        <v>389</v>
      </c>
      <c r="C124" s="531"/>
      <c r="D124" s="531">
        <v>110</v>
      </c>
      <c r="E124" s="532"/>
      <c r="F124" s="532"/>
      <c r="G124" s="533"/>
    </row>
    <row r="125" spans="1:38" ht="15.75" hidden="1" thickBot="1">
      <c r="A125" s="539" t="s">
        <v>489</v>
      </c>
      <c r="B125" s="540" t="s">
        <v>392</v>
      </c>
      <c r="C125" s="541"/>
      <c r="D125" s="541">
        <v>110</v>
      </c>
      <c r="E125" s="542"/>
      <c r="F125" s="542"/>
      <c r="G125" s="543"/>
    </row>
    <row r="126" spans="1:38" s="518" customFormat="1" ht="15">
      <c r="A126" s="519" t="s">
        <v>177</v>
      </c>
      <c r="B126" s="520" t="s">
        <v>440</v>
      </c>
      <c r="C126" s="521" t="s">
        <v>380</v>
      </c>
      <c r="D126" s="521" t="s">
        <v>380</v>
      </c>
      <c r="E126" s="522" t="s">
        <v>380</v>
      </c>
      <c r="F126" s="522" t="s">
        <v>380</v>
      </c>
      <c r="G126" s="523" t="s">
        <v>380</v>
      </c>
      <c r="H126" s="615"/>
      <c r="I126" s="618"/>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5"/>
      <c r="AK126" s="615"/>
      <c r="AL126" s="615"/>
    </row>
    <row r="127" spans="1:38" s="518" customFormat="1" ht="15.75" thickBot="1">
      <c r="A127" s="519" t="s">
        <v>178</v>
      </c>
      <c r="B127" s="520" t="s">
        <v>417</v>
      </c>
      <c r="C127" s="521" t="s">
        <v>380</v>
      </c>
      <c r="D127" s="521" t="s">
        <v>380</v>
      </c>
      <c r="E127" s="522" t="s">
        <v>380</v>
      </c>
      <c r="F127" s="522" t="s">
        <v>380</v>
      </c>
      <c r="G127" s="523" t="s">
        <v>380</v>
      </c>
      <c r="H127" s="615"/>
      <c r="I127" s="618"/>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row>
    <row r="128" spans="1:38" ht="15.75" hidden="1" thickBot="1">
      <c r="A128" s="529" t="s">
        <v>490</v>
      </c>
      <c r="B128" s="530" t="s">
        <v>399</v>
      </c>
      <c r="C128" s="531"/>
      <c r="D128" s="531" t="s">
        <v>401</v>
      </c>
      <c r="E128" s="532"/>
      <c r="F128" s="532"/>
      <c r="G128" s="533"/>
    </row>
    <row r="129" spans="1:38" ht="15.75" hidden="1" thickBot="1">
      <c r="A129" s="529" t="s">
        <v>491</v>
      </c>
      <c r="B129" s="530" t="s">
        <v>399</v>
      </c>
      <c r="C129" s="531"/>
      <c r="D129" s="531">
        <v>35</v>
      </c>
      <c r="E129" s="532"/>
      <c r="F129" s="532"/>
      <c r="G129" s="533"/>
    </row>
    <row r="130" spans="1:38" ht="15.75" hidden="1" thickBot="1">
      <c r="A130" s="529" t="s">
        <v>492</v>
      </c>
      <c r="B130" s="530" t="s">
        <v>399</v>
      </c>
      <c r="C130" s="531"/>
      <c r="D130" s="531">
        <v>110</v>
      </c>
      <c r="E130" s="532"/>
      <c r="F130" s="532"/>
      <c r="G130" s="533"/>
    </row>
    <row r="131" spans="1:38" ht="15.75" hidden="1" thickBot="1">
      <c r="A131" s="529" t="s">
        <v>493</v>
      </c>
      <c r="B131" s="530" t="s">
        <v>387</v>
      </c>
      <c r="C131" s="531"/>
      <c r="D131" s="531" t="s">
        <v>401</v>
      </c>
      <c r="E131" s="532"/>
      <c r="F131" s="532"/>
      <c r="G131" s="533"/>
    </row>
    <row r="132" spans="1:38" ht="15.75" hidden="1" thickBot="1">
      <c r="A132" s="529" t="s">
        <v>494</v>
      </c>
      <c r="B132" s="530" t="s">
        <v>387</v>
      </c>
      <c r="C132" s="531"/>
      <c r="D132" s="531">
        <v>35</v>
      </c>
      <c r="E132" s="532"/>
      <c r="F132" s="532"/>
      <c r="G132" s="533"/>
    </row>
    <row r="133" spans="1:38" ht="15.75" hidden="1" thickBot="1">
      <c r="A133" s="529" t="s">
        <v>495</v>
      </c>
      <c r="B133" s="530" t="s">
        <v>387</v>
      </c>
      <c r="C133" s="531"/>
      <c r="D133" s="531">
        <v>110</v>
      </c>
      <c r="E133" s="532"/>
      <c r="F133" s="532"/>
      <c r="G133" s="533"/>
    </row>
    <row r="134" spans="1:38" ht="15.75" hidden="1" thickBot="1">
      <c r="A134" s="529" t="s">
        <v>496</v>
      </c>
      <c r="B134" s="530" t="s">
        <v>389</v>
      </c>
      <c r="C134" s="531"/>
      <c r="D134" s="531" t="s">
        <v>401</v>
      </c>
      <c r="E134" s="532"/>
      <c r="F134" s="532"/>
      <c r="G134" s="533"/>
    </row>
    <row r="135" spans="1:38" ht="15.75" hidden="1" thickBot="1">
      <c r="A135" s="529" t="s">
        <v>497</v>
      </c>
      <c r="B135" s="530" t="s">
        <v>389</v>
      </c>
      <c r="C135" s="531"/>
      <c r="D135" s="531">
        <v>35</v>
      </c>
      <c r="E135" s="532"/>
      <c r="F135" s="532"/>
      <c r="G135" s="533"/>
    </row>
    <row r="136" spans="1:38" ht="15.75" hidden="1" thickBot="1">
      <c r="A136" s="529" t="s">
        <v>498</v>
      </c>
      <c r="B136" s="530" t="s">
        <v>389</v>
      </c>
      <c r="C136" s="531"/>
      <c r="D136" s="531">
        <v>110</v>
      </c>
      <c r="E136" s="532"/>
      <c r="F136" s="532"/>
      <c r="G136" s="533"/>
    </row>
    <row r="137" spans="1:38" ht="15.75" hidden="1" thickBot="1">
      <c r="A137" s="539" t="s">
        <v>499</v>
      </c>
      <c r="B137" s="540" t="s">
        <v>392</v>
      </c>
      <c r="C137" s="541"/>
      <c r="D137" s="541">
        <v>110</v>
      </c>
      <c r="E137" s="542"/>
      <c r="F137" s="542"/>
      <c r="G137" s="543"/>
    </row>
    <row r="138" spans="1:38" s="518" customFormat="1" ht="15.75" thickBot="1">
      <c r="A138" s="512" t="s">
        <v>179</v>
      </c>
      <c r="B138" s="513" t="s">
        <v>429</v>
      </c>
      <c r="C138" s="514" t="s">
        <v>380</v>
      </c>
      <c r="D138" s="514" t="s">
        <v>380</v>
      </c>
      <c r="E138" s="515" t="s">
        <v>380</v>
      </c>
      <c r="F138" s="515" t="s">
        <v>380</v>
      </c>
      <c r="G138" s="516" t="s">
        <v>380</v>
      </c>
      <c r="H138" s="615"/>
      <c r="I138" s="618"/>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5"/>
      <c r="AL138" s="615"/>
    </row>
    <row r="139" spans="1:38" ht="16.5" hidden="1" customHeight="1">
      <c r="A139" s="529" t="s">
        <v>500</v>
      </c>
      <c r="B139" s="530" t="s">
        <v>399</v>
      </c>
      <c r="C139" s="531"/>
      <c r="D139" s="531" t="s">
        <v>401</v>
      </c>
      <c r="E139" s="532"/>
      <c r="F139" s="532"/>
      <c r="G139" s="533"/>
    </row>
    <row r="140" spans="1:38" ht="15.75" hidden="1" thickBot="1">
      <c r="A140" s="529" t="s">
        <v>501</v>
      </c>
      <c r="B140" s="530" t="s">
        <v>399</v>
      </c>
      <c r="C140" s="531"/>
      <c r="D140" s="531">
        <v>35</v>
      </c>
      <c r="E140" s="532"/>
      <c r="F140" s="532"/>
      <c r="G140" s="533"/>
    </row>
    <row r="141" spans="1:38" ht="15.75" hidden="1" thickBot="1">
      <c r="A141" s="529" t="s">
        <v>502</v>
      </c>
      <c r="B141" s="530" t="s">
        <v>399</v>
      </c>
      <c r="C141" s="531"/>
      <c r="D141" s="531">
        <v>110</v>
      </c>
      <c r="E141" s="532"/>
      <c r="F141" s="532"/>
      <c r="G141" s="533"/>
    </row>
    <row r="142" spans="1:38" ht="15.75" hidden="1" thickBot="1">
      <c r="A142" s="529" t="s">
        <v>503</v>
      </c>
      <c r="B142" s="530" t="s">
        <v>387</v>
      </c>
      <c r="C142" s="531"/>
      <c r="D142" s="531" t="s">
        <v>401</v>
      </c>
      <c r="E142" s="532"/>
      <c r="F142" s="532"/>
      <c r="G142" s="533"/>
    </row>
    <row r="143" spans="1:38" ht="15.75" hidden="1" thickBot="1">
      <c r="A143" s="529" t="s">
        <v>504</v>
      </c>
      <c r="B143" s="530" t="s">
        <v>387</v>
      </c>
      <c r="C143" s="531"/>
      <c r="D143" s="531">
        <v>35</v>
      </c>
      <c r="E143" s="532"/>
      <c r="F143" s="532"/>
      <c r="G143" s="533"/>
    </row>
    <row r="144" spans="1:38" ht="15.75" hidden="1" thickBot="1">
      <c r="A144" s="529" t="s">
        <v>505</v>
      </c>
      <c r="B144" s="530" t="s">
        <v>387</v>
      </c>
      <c r="C144" s="531"/>
      <c r="D144" s="531">
        <v>110</v>
      </c>
      <c r="E144" s="532"/>
      <c r="F144" s="532"/>
      <c r="G144" s="533"/>
    </row>
    <row r="145" spans="1:38" ht="15.75" hidden="1" thickBot="1">
      <c r="A145" s="529" t="s">
        <v>506</v>
      </c>
      <c r="B145" s="530" t="s">
        <v>389</v>
      </c>
      <c r="C145" s="531"/>
      <c r="D145" s="531" t="s">
        <v>401</v>
      </c>
      <c r="E145" s="532"/>
      <c r="F145" s="532"/>
      <c r="G145" s="533"/>
    </row>
    <row r="146" spans="1:38" ht="15.75" hidden="1" thickBot="1">
      <c r="A146" s="529" t="s">
        <v>507</v>
      </c>
      <c r="B146" s="530" t="s">
        <v>389</v>
      </c>
      <c r="C146" s="531"/>
      <c r="D146" s="531">
        <v>35</v>
      </c>
      <c r="E146" s="532"/>
      <c r="F146" s="532"/>
      <c r="G146" s="533"/>
    </row>
    <row r="147" spans="1:38" ht="15.75" hidden="1" thickBot="1">
      <c r="A147" s="529" t="s">
        <v>508</v>
      </c>
      <c r="B147" s="530" t="s">
        <v>389</v>
      </c>
      <c r="C147" s="531"/>
      <c r="D147" s="531">
        <v>110</v>
      </c>
      <c r="E147" s="532"/>
      <c r="F147" s="532"/>
      <c r="G147" s="533"/>
    </row>
    <row r="148" spans="1:38" ht="15.75" hidden="1" thickBot="1">
      <c r="A148" s="539" t="s">
        <v>509</v>
      </c>
      <c r="B148" s="540" t="s">
        <v>392</v>
      </c>
      <c r="C148" s="541"/>
      <c r="D148" s="541">
        <v>110</v>
      </c>
      <c r="E148" s="542"/>
      <c r="F148" s="542"/>
      <c r="G148" s="543"/>
    </row>
    <row r="149" spans="1:38" s="518" customFormat="1" ht="30">
      <c r="A149" s="512" t="s">
        <v>180</v>
      </c>
      <c r="B149" s="513" t="s">
        <v>510</v>
      </c>
      <c r="C149" s="514" t="s">
        <v>380</v>
      </c>
      <c r="D149" s="514" t="s">
        <v>380</v>
      </c>
      <c r="E149" s="515" t="s">
        <v>380</v>
      </c>
      <c r="F149" s="515" t="s">
        <v>380</v>
      </c>
      <c r="G149" s="516" t="s">
        <v>380</v>
      </c>
      <c r="H149" s="615"/>
      <c r="I149" s="618"/>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615"/>
      <c r="AL149" s="615"/>
    </row>
    <row r="150" spans="1:38" s="518" customFormat="1" ht="15">
      <c r="A150" s="519" t="s">
        <v>181</v>
      </c>
      <c r="B150" s="520" t="s">
        <v>440</v>
      </c>
      <c r="C150" s="521" t="s">
        <v>380</v>
      </c>
      <c r="D150" s="521" t="s">
        <v>380</v>
      </c>
      <c r="E150" s="522" t="s">
        <v>380</v>
      </c>
      <c r="F150" s="522" t="s">
        <v>380</v>
      </c>
      <c r="G150" s="523" t="s">
        <v>380</v>
      </c>
      <c r="H150" s="615"/>
      <c r="I150" s="618"/>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15"/>
      <c r="AL150" s="615"/>
    </row>
    <row r="151" spans="1:38" s="518" customFormat="1" ht="15">
      <c r="A151" s="519" t="s">
        <v>511</v>
      </c>
      <c r="B151" s="520" t="s">
        <v>417</v>
      </c>
      <c r="C151" s="521" t="s">
        <v>380</v>
      </c>
      <c r="D151" s="521" t="s">
        <v>380</v>
      </c>
      <c r="E151" s="522" t="s">
        <v>380</v>
      </c>
      <c r="F151" s="522" t="s">
        <v>380</v>
      </c>
      <c r="G151" s="523" t="s">
        <v>380</v>
      </c>
      <c r="H151" s="615"/>
      <c r="I151" s="618"/>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615"/>
      <c r="AL151" s="615"/>
    </row>
    <row r="152" spans="1:38" ht="15" hidden="1">
      <c r="A152" s="529" t="s">
        <v>512</v>
      </c>
      <c r="B152" s="530" t="s">
        <v>392</v>
      </c>
      <c r="C152" s="531"/>
      <c r="D152" s="531" t="s">
        <v>401</v>
      </c>
      <c r="E152" s="532"/>
      <c r="F152" s="532"/>
      <c r="G152" s="533"/>
    </row>
    <row r="153" spans="1:38" ht="15" hidden="1">
      <c r="A153" s="529" t="s">
        <v>513</v>
      </c>
      <c r="B153" s="530" t="s">
        <v>392</v>
      </c>
      <c r="C153" s="531"/>
      <c r="D153" s="531">
        <v>35</v>
      </c>
      <c r="E153" s="532"/>
      <c r="F153" s="532"/>
      <c r="G153" s="533"/>
    </row>
    <row r="154" spans="1:38" ht="15" hidden="1">
      <c r="A154" s="529" t="s">
        <v>514</v>
      </c>
      <c r="B154" s="530" t="s">
        <v>392</v>
      </c>
      <c r="C154" s="531"/>
      <c r="D154" s="531">
        <v>110</v>
      </c>
      <c r="E154" s="532"/>
      <c r="F154" s="532"/>
      <c r="G154" s="533"/>
    </row>
    <row r="155" spans="1:38" s="518" customFormat="1" ht="15">
      <c r="A155" s="519" t="s">
        <v>515</v>
      </c>
      <c r="B155" s="520" t="s">
        <v>429</v>
      </c>
      <c r="C155" s="521" t="s">
        <v>380</v>
      </c>
      <c r="D155" s="521" t="s">
        <v>380</v>
      </c>
      <c r="E155" s="522" t="s">
        <v>380</v>
      </c>
      <c r="F155" s="522" t="s">
        <v>380</v>
      </c>
      <c r="G155" s="523" t="s">
        <v>380</v>
      </c>
      <c r="H155" s="615"/>
      <c r="I155" s="618"/>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15"/>
      <c r="AL155" s="615"/>
    </row>
    <row r="156" spans="1:38" ht="15">
      <c r="A156" s="529" t="s">
        <v>516</v>
      </c>
      <c r="B156" s="530" t="s">
        <v>392</v>
      </c>
      <c r="C156" s="531"/>
      <c r="D156" s="531" t="s">
        <v>401</v>
      </c>
      <c r="E156" s="532">
        <f>E161</f>
        <v>137</v>
      </c>
      <c r="F156" s="532">
        <f>F161</f>
        <v>500</v>
      </c>
      <c r="G156" s="533">
        <f>G161</f>
        <v>1591.34</v>
      </c>
    </row>
    <row r="157" spans="1:38" ht="15">
      <c r="A157" s="529" t="s">
        <v>517</v>
      </c>
      <c r="B157" s="530" t="s">
        <v>392</v>
      </c>
      <c r="C157" s="531"/>
      <c r="D157" s="531">
        <v>35</v>
      </c>
      <c r="E157" s="532"/>
      <c r="F157" s="532"/>
      <c r="G157" s="533"/>
    </row>
    <row r="158" spans="1:38" ht="15.75" thickBot="1">
      <c r="A158" s="529" t="s">
        <v>518</v>
      </c>
      <c r="B158" s="530" t="s">
        <v>392</v>
      </c>
      <c r="C158" s="531"/>
      <c r="D158" s="531">
        <v>110</v>
      </c>
      <c r="E158" s="532"/>
      <c r="F158" s="532"/>
      <c r="G158" s="533"/>
    </row>
    <row r="159" spans="1:38" s="518" customFormat="1" ht="15.75" thickBot="1">
      <c r="A159" s="544" t="s">
        <v>182</v>
      </c>
      <c r="B159" s="545" t="s">
        <v>604</v>
      </c>
      <c r="C159" s="546"/>
      <c r="D159" s="546"/>
      <c r="E159" s="547"/>
      <c r="F159" s="547"/>
      <c r="G159" s="548"/>
      <c r="H159" s="615"/>
      <c r="I159" s="618"/>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615"/>
      <c r="AL159" s="615"/>
    </row>
    <row r="160" spans="1:38" ht="15">
      <c r="A160" s="529" t="s">
        <v>183</v>
      </c>
      <c r="B160" s="530" t="s">
        <v>778</v>
      </c>
      <c r="C160" s="531"/>
      <c r="D160" s="531">
        <v>6</v>
      </c>
      <c r="E160" s="532">
        <v>276</v>
      </c>
      <c r="F160" s="532">
        <v>500</v>
      </c>
      <c r="G160" s="533">
        <v>502.24</v>
      </c>
    </row>
    <row r="161" spans="1:38" ht="25.5">
      <c r="A161" s="529" t="s">
        <v>184</v>
      </c>
      <c r="B161" s="530" t="s">
        <v>803</v>
      </c>
      <c r="C161" s="531"/>
      <c r="D161" s="531">
        <v>6</v>
      </c>
      <c r="E161" s="532">
        <v>137</v>
      </c>
      <c r="F161" s="532">
        <v>500</v>
      </c>
      <c r="G161" s="533">
        <v>1591.34</v>
      </c>
      <c r="H161" s="506" t="s">
        <v>802</v>
      </c>
    </row>
    <row r="162" spans="1:38" ht="30">
      <c r="A162" s="524" t="s">
        <v>624</v>
      </c>
      <c r="B162" s="525" t="s">
        <v>801</v>
      </c>
      <c r="C162" s="526"/>
      <c r="D162" s="526">
        <v>0.4</v>
      </c>
      <c r="E162" s="527">
        <v>195.4</v>
      </c>
      <c r="F162" s="527">
        <v>18</v>
      </c>
      <c r="G162" s="528">
        <v>456.23</v>
      </c>
      <c r="H162" s="506" t="s">
        <v>800</v>
      </c>
    </row>
    <row r="163" spans="1:38" ht="30.75" thickBot="1">
      <c r="A163" s="529" t="s">
        <v>185</v>
      </c>
      <c r="B163" s="525" t="s">
        <v>799</v>
      </c>
      <c r="C163" s="526"/>
      <c r="D163" s="526">
        <v>0.4</v>
      </c>
      <c r="E163" s="527">
        <v>240.7</v>
      </c>
      <c r="F163" s="527">
        <v>301.39999999999998</v>
      </c>
      <c r="G163" s="528">
        <v>1850.4760000000001</v>
      </c>
      <c r="H163" s="506" t="s">
        <v>798</v>
      </c>
    </row>
    <row r="164" spans="1:38" ht="15.75" hidden="1" thickBot="1">
      <c r="A164" s="529" t="s">
        <v>628</v>
      </c>
      <c r="B164" s="525"/>
      <c r="C164" s="526"/>
      <c r="D164" s="526"/>
      <c r="E164" s="527"/>
      <c r="F164" s="527"/>
      <c r="G164" s="528"/>
    </row>
    <row r="165" spans="1:38" ht="15.75" hidden="1" thickBot="1">
      <c r="A165" s="524" t="s">
        <v>186</v>
      </c>
      <c r="B165" s="525"/>
      <c r="C165" s="526"/>
      <c r="D165" s="526"/>
      <c r="E165" s="527"/>
      <c r="F165" s="527"/>
      <c r="G165" s="528"/>
    </row>
    <row r="166" spans="1:38" ht="15.75" hidden="1" thickBot="1">
      <c r="A166" s="529" t="s">
        <v>187</v>
      </c>
      <c r="B166" s="525"/>
      <c r="C166" s="526"/>
      <c r="D166" s="526"/>
      <c r="E166" s="527"/>
      <c r="F166" s="527"/>
      <c r="G166" s="528"/>
    </row>
    <row r="167" spans="1:38" ht="15.75" hidden="1" thickBot="1">
      <c r="A167" s="529" t="s">
        <v>188</v>
      </c>
      <c r="B167" s="525"/>
      <c r="C167" s="526"/>
      <c r="D167" s="526"/>
      <c r="E167" s="527"/>
      <c r="F167" s="527"/>
      <c r="G167" s="528"/>
    </row>
    <row r="168" spans="1:38" ht="15.75" hidden="1" thickBot="1">
      <c r="A168" s="524" t="s">
        <v>189</v>
      </c>
      <c r="B168" s="525"/>
      <c r="C168" s="526"/>
      <c r="D168" s="526"/>
      <c r="E168" s="527"/>
      <c r="F168" s="527"/>
      <c r="G168" s="528"/>
    </row>
    <row r="169" spans="1:38" ht="15.75" hidden="1" thickBot="1">
      <c r="A169" s="529" t="s">
        <v>190</v>
      </c>
      <c r="B169" s="525"/>
      <c r="C169" s="526"/>
      <c r="D169" s="526"/>
      <c r="E169" s="527"/>
      <c r="F169" s="527"/>
      <c r="G169" s="528"/>
    </row>
    <row r="170" spans="1:38" s="518" customFormat="1" ht="15.75" thickBot="1">
      <c r="A170" s="589" t="s">
        <v>191</v>
      </c>
      <c r="B170" s="590" t="s">
        <v>519</v>
      </c>
      <c r="C170" s="591" t="s">
        <v>380</v>
      </c>
      <c r="D170" s="591" t="s">
        <v>380</v>
      </c>
      <c r="E170" s="592" t="s">
        <v>380</v>
      </c>
      <c r="F170" s="592" t="s">
        <v>380</v>
      </c>
      <c r="G170" s="593" t="s">
        <v>380</v>
      </c>
      <c r="H170" s="615"/>
      <c r="I170" s="619"/>
      <c r="J170" s="615"/>
      <c r="K170" s="615"/>
      <c r="L170" s="615"/>
      <c r="M170" s="615"/>
      <c r="N170" s="615"/>
      <c r="O170" s="615"/>
      <c r="P170" s="615"/>
      <c r="Q170" s="615"/>
      <c r="R170" s="615"/>
      <c r="S170" s="615"/>
      <c r="T170" s="615"/>
      <c r="U170" s="615"/>
      <c r="V170" s="615"/>
      <c r="W170" s="615"/>
      <c r="X170" s="615"/>
      <c r="Y170" s="615"/>
      <c r="Z170" s="615"/>
      <c r="AA170" s="615"/>
      <c r="AB170" s="615"/>
      <c r="AC170" s="615"/>
      <c r="AD170" s="615"/>
      <c r="AE170" s="615"/>
      <c r="AF170" s="615"/>
      <c r="AG170" s="615"/>
      <c r="AH170" s="615"/>
      <c r="AI170" s="615"/>
      <c r="AJ170" s="615"/>
      <c r="AK170" s="615"/>
      <c r="AL170" s="615"/>
    </row>
    <row r="171" spans="1:38" s="518" customFormat="1" ht="15">
      <c r="A171" s="558" t="s">
        <v>192</v>
      </c>
      <c r="B171" s="559" t="s">
        <v>520</v>
      </c>
      <c r="C171" s="560" t="s">
        <v>380</v>
      </c>
      <c r="D171" s="560" t="s">
        <v>380</v>
      </c>
      <c r="E171" s="561" t="s">
        <v>380</v>
      </c>
      <c r="F171" s="561" t="s">
        <v>380</v>
      </c>
      <c r="G171" s="562" t="s">
        <v>380</v>
      </c>
      <c r="H171" s="615"/>
      <c r="I171" s="619"/>
      <c r="J171" s="615"/>
      <c r="K171" s="615"/>
      <c r="L171" s="615"/>
      <c r="M171" s="615"/>
      <c r="N171" s="615"/>
      <c r="O171" s="615"/>
      <c r="P171" s="615"/>
      <c r="Q171" s="615"/>
      <c r="R171" s="615"/>
      <c r="S171" s="615"/>
      <c r="T171" s="615"/>
      <c r="U171" s="615"/>
      <c r="V171" s="615"/>
      <c r="W171" s="615"/>
      <c r="X171" s="615"/>
      <c r="Y171" s="615"/>
      <c r="Z171" s="615"/>
      <c r="AA171" s="615"/>
      <c r="AB171" s="615"/>
      <c r="AC171" s="615"/>
      <c r="AD171" s="615"/>
      <c r="AE171" s="615"/>
      <c r="AF171" s="615"/>
      <c r="AG171" s="615"/>
      <c r="AH171" s="615"/>
      <c r="AI171" s="615"/>
      <c r="AJ171" s="615"/>
      <c r="AK171" s="615"/>
      <c r="AL171" s="615"/>
    </row>
    <row r="172" spans="1:38" ht="15">
      <c r="A172" s="524" t="s">
        <v>193</v>
      </c>
      <c r="B172" s="525" t="s">
        <v>521</v>
      </c>
      <c r="C172" s="526"/>
      <c r="D172" s="526" t="s">
        <v>401</v>
      </c>
      <c r="E172" s="527" t="s">
        <v>380</v>
      </c>
      <c r="F172" s="527"/>
      <c r="G172" s="528"/>
    </row>
    <row r="173" spans="1:38" ht="15.75" thickBot="1">
      <c r="A173" s="539" t="s">
        <v>194</v>
      </c>
      <c r="B173" s="540" t="s">
        <v>521</v>
      </c>
      <c r="C173" s="541"/>
      <c r="D173" s="541">
        <v>35</v>
      </c>
      <c r="E173" s="542" t="s">
        <v>380</v>
      </c>
      <c r="F173" s="542">
        <f>F178</f>
        <v>100</v>
      </c>
      <c r="G173" s="543">
        <f>G178</f>
        <v>2453.54</v>
      </c>
    </row>
    <row r="174" spans="1:38" s="518" customFormat="1" ht="15">
      <c r="A174" s="568" t="s">
        <v>195</v>
      </c>
      <c r="B174" s="569" t="s">
        <v>522</v>
      </c>
      <c r="C174" s="570" t="s">
        <v>380</v>
      </c>
      <c r="D174" s="570" t="s">
        <v>380</v>
      </c>
      <c r="E174" s="571" t="s">
        <v>380</v>
      </c>
      <c r="F174" s="571" t="s">
        <v>380</v>
      </c>
      <c r="G174" s="572" t="s">
        <v>380</v>
      </c>
      <c r="H174" s="615"/>
      <c r="I174" s="619"/>
      <c r="J174" s="615"/>
      <c r="K174" s="615"/>
      <c r="L174" s="615"/>
      <c r="M174" s="615"/>
      <c r="N174" s="615"/>
      <c r="O174" s="615"/>
      <c r="P174" s="615"/>
      <c r="Q174" s="615"/>
      <c r="R174" s="615"/>
      <c r="S174" s="615"/>
      <c r="T174" s="615"/>
      <c r="U174" s="615"/>
      <c r="V174" s="615"/>
      <c r="W174" s="615"/>
      <c r="X174" s="615"/>
      <c r="Y174" s="615"/>
      <c r="Z174" s="615"/>
      <c r="AA174" s="615"/>
      <c r="AB174" s="615"/>
      <c r="AC174" s="615"/>
      <c r="AD174" s="615"/>
      <c r="AE174" s="615"/>
      <c r="AF174" s="615"/>
      <c r="AG174" s="615"/>
      <c r="AH174" s="615"/>
      <c r="AI174" s="615"/>
      <c r="AJ174" s="615"/>
      <c r="AK174" s="615"/>
      <c r="AL174" s="615"/>
    </row>
    <row r="175" spans="1:38" ht="15">
      <c r="A175" s="524" t="s">
        <v>196</v>
      </c>
      <c r="B175" s="525" t="s">
        <v>523</v>
      </c>
      <c r="C175" s="526"/>
      <c r="D175" s="526" t="s">
        <v>401</v>
      </c>
      <c r="E175" s="527" t="s">
        <v>380</v>
      </c>
      <c r="F175" s="527"/>
      <c r="G175" s="528"/>
    </row>
    <row r="176" spans="1:38" ht="15.75" thickBot="1">
      <c r="A176" s="539" t="s">
        <v>197</v>
      </c>
      <c r="B176" s="540" t="s">
        <v>524</v>
      </c>
      <c r="C176" s="541"/>
      <c r="D176" s="541" t="s">
        <v>401</v>
      </c>
      <c r="E176" s="542" t="s">
        <v>380</v>
      </c>
      <c r="F176" s="542"/>
      <c r="G176" s="543"/>
    </row>
    <row r="177" spans="1:38" s="518" customFormat="1" ht="15.75" thickBot="1">
      <c r="A177" s="544" t="s">
        <v>631</v>
      </c>
      <c r="B177" s="545" t="s">
        <v>604</v>
      </c>
      <c r="C177" s="546"/>
      <c r="D177" s="546"/>
      <c r="E177" s="556" t="s">
        <v>380</v>
      </c>
      <c r="F177" s="547"/>
      <c r="G177" s="548"/>
      <c r="H177" s="615"/>
      <c r="I177" s="619"/>
      <c r="J177" s="615"/>
      <c r="K177" s="615"/>
      <c r="L177" s="615"/>
      <c r="M177" s="615"/>
      <c r="N177" s="615"/>
      <c r="O177" s="615"/>
      <c r="P177" s="615"/>
      <c r="Q177" s="615"/>
      <c r="R177" s="615"/>
      <c r="S177" s="615"/>
      <c r="T177" s="615"/>
      <c r="U177" s="615"/>
      <c r="V177" s="615"/>
      <c r="W177" s="615"/>
      <c r="X177" s="615"/>
      <c r="Y177" s="615"/>
      <c r="Z177" s="615"/>
      <c r="AA177" s="615"/>
      <c r="AB177" s="615"/>
      <c r="AC177" s="615"/>
      <c r="AD177" s="615"/>
      <c r="AE177" s="615"/>
      <c r="AF177" s="615"/>
      <c r="AG177" s="615"/>
      <c r="AH177" s="615"/>
      <c r="AI177" s="615"/>
      <c r="AJ177" s="615"/>
      <c r="AK177" s="615"/>
      <c r="AL177" s="615"/>
    </row>
    <row r="178" spans="1:38" ht="30.75" thickBot="1">
      <c r="A178" s="529" t="s">
        <v>632</v>
      </c>
      <c r="B178" s="530" t="s">
        <v>797</v>
      </c>
      <c r="C178" s="531">
        <v>2016</v>
      </c>
      <c r="D178" s="531">
        <v>35</v>
      </c>
      <c r="E178" s="532" t="s">
        <v>380</v>
      </c>
      <c r="F178" s="532">
        <v>100</v>
      </c>
      <c r="G178" s="533">
        <v>2453.54</v>
      </c>
    </row>
    <row r="179" spans="1:38" ht="15.75" hidden="1" thickBot="1">
      <c r="A179" s="529" t="s">
        <v>633</v>
      </c>
      <c r="B179" s="530"/>
      <c r="C179" s="531"/>
      <c r="D179" s="531"/>
      <c r="E179" s="532" t="s">
        <v>380</v>
      </c>
      <c r="F179" s="532"/>
      <c r="G179" s="533"/>
    </row>
    <row r="180" spans="1:38" ht="15.75" hidden="1" thickBot="1">
      <c r="A180" s="524" t="s">
        <v>634</v>
      </c>
      <c r="B180" s="525"/>
      <c r="C180" s="526"/>
      <c r="D180" s="526"/>
      <c r="E180" s="527" t="s">
        <v>380</v>
      </c>
      <c r="F180" s="527"/>
      <c r="G180" s="528"/>
    </row>
    <row r="181" spans="1:38" ht="15.75" hidden="1" thickBot="1">
      <c r="A181" s="529" t="s">
        <v>635</v>
      </c>
      <c r="B181" s="525"/>
      <c r="C181" s="526"/>
      <c r="D181" s="526"/>
      <c r="E181" s="527" t="s">
        <v>380</v>
      </c>
      <c r="F181" s="527"/>
      <c r="G181" s="528"/>
    </row>
    <row r="182" spans="1:38" ht="15.75" hidden="1" thickBot="1">
      <c r="A182" s="529" t="s">
        <v>636</v>
      </c>
      <c r="B182" s="525"/>
      <c r="C182" s="526"/>
      <c r="D182" s="526"/>
      <c r="E182" s="527" t="s">
        <v>380</v>
      </c>
      <c r="F182" s="527"/>
      <c r="G182" s="528"/>
    </row>
    <row r="183" spans="1:38" s="518" customFormat="1" ht="45.75" thickBot="1">
      <c r="A183" s="589" t="s">
        <v>198</v>
      </c>
      <c r="B183" s="590" t="s">
        <v>525</v>
      </c>
      <c r="C183" s="591" t="s">
        <v>380</v>
      </c>
      <c r="D183" s="591" t="s">
        <v>380</v>
      </c>
      <c r="E183" s="592" t="s">
        <v>380</v>
      </c>
      <c r="F183" s="592" t="s">
        <v>380</v>
      </c>
      <c r="G183" s="593" t="s">
        <v>380</v>
      </c>
      <c r="H183" s="615"/>
      <c r="I183" s="619"/>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15"/>
      <c r="AL183" s="615"/>
    </row>
    <row r="184" spans="1:38" s="518" customFormat="1" ht="30.75" thickBot="1">
      <c r="A184" s="544" t="s">
        <v>199</v>
      </c>
      <c r="B184" s="554" t="s">
        <v>526</v>
      </c>
      <c r="C184" s="555" t="s">
        <v>380</v>
      </c>
      <c r="D184" s="555" t="s">
        <v>380</v>
      </c>
      <c r="E184" s="556" t="s">
        <v>380</v>
      </c>
      <c r="F184" s="556" t="s">
        <v>380</v>
      </c>
      <c r="G184" s="557" t="s">
        <v>380</v>
      </c>
      <c r="H184" s="615"/>
      <c r="I184" s="619"/>
      <c r="J184" s="615"/>
      <c r="K184" s="615"/>
      <c r="L184" s="615"/>
      <c r="M184" s="615"/>
      <c r="N184" s="615"/>
      <c r="O184" s="615"/>
      <c r="P184" s="615"/>
      <c r="Q184" s="615"/>
      <c r="R184" s="615"/>
      <c r="S184" s="615"/>
      <c r="T184" s="615"/>
      <c r="U184" s="615"/>
      <c r="V184" s="615"/>
      <c r="W184" s="615"/>
      <c r="X184" s="615"/>
      <c r="Y184" s="615"/>
      <c r="Z184" s="615"/>
      <c r="AA184" s="615"/>
      <c r="AB184" s="615"/>
      <c r="AC184" s="615"/>
      <c r="AD184" s="615"/>
      <c r="AE184" s="615"/>
      <c r="AF184" s="615"/>
      <c r="AG184" s="615"/>
      <c r="AH184" s="615"/>
      <c r="AI184" s="615"/>
      <c r="AJ184" s="615"/>
      <c r="AK184" s="615"/>
      <c r="AL184" s="615"/>
    </row>
    <row r="185" spans="1:38" s="518" customFormat="1" ht="15.75" thickBot="1">
      <c r="A185" s="544" t="s">
        <v>527</v>
      </c>
      <c r="B185" s="554" t="s">
        <v>528</v>
      </c>
      <c r="C185" s="555" t="s">
        <v>380</v>
      </c>
      <c r="D185" s="555" t="s">
        <v>380</v>
      </c>
      <c r="E185" s="556" t="s">
        <v>380</v>
      </c>
      <c r="F185" s="556" t="s">
        <v>380</v>
      </c>
      <c r="G185" s="557" t="s">
        <v>380</v>
      </c>
      <c r="H185" s="615"/>
      <c r="I185" s="619"/>
      <c r="J185" s="615"/>
      <c r="K185" s="615"/>
      <c r="L185" s="615"/>
      <c r="M185" s="615"/>
      <c r="N185" s="615"/>
      <c r="O185" s="615"/>
      <c r="P185" s="615"/>
      <c r="Q185" s="615"/>
      <c r="R185" s="615"/>
      <c r="S185" s="615"/>
      <c r="T185" s="615"/>
      <c r="U185" s="615"/>
      <c r="V185" s="615"/>
      <c r="W185" s="615"/>
      <c r="X185" s="615"/>
      <c r="Y185" s="615"/>
      <c r="Z185" s="615"/>
      <c r="AA185" s="615"/>
      <c r="AB185" s="615"/>
      <c r="AC185" s="615"/>
      <c r="AD185" s="615"/>
      <c r="AE185" s="615"/>
      <c r="AF185" s="615"/>
      <c r="AG185" s="615"/>
      <c r="AH185" s="615"/>
      <c r="AI185" s="615"/>
      <c r="AJ185" s="615"/>
      <c r="AK185" s="615"/>
      <c r="AL185" s="615"/>
    </row>
    <row r="186" spans="1:38" ht="15">
      <c r="A186" s="573" t="s">
        <v>529</v>
      </c>
      <c r="B186" s="574" t="s">
        <v>530</v>
      </c>
      <c r="C186" s="575"/>
      <c r="D186" s="575" t="s">
        <v>531</v>
      </c>
      <c r="E186" s="576" t="s">
        <v>380</v>
      </c>
      <c r="F186" s="576">
        <v>44</v>
      </c>
      <c r="G186" s="577">
        <v>1689.48</v>
      </c>
    </row>
    <row r="187" spans="1:38" ht="15">
      <c r="A187" s="524" t="s">
        <v>532</v>
      </c>
      <c r="B187" s="525" t="s">
        <v>533</v>
      </c>
      <c r="C187" s="526"/>
      <c r="D187" s="526" t="s">
        <v>531</v>
      </c>
      <c r="E187" s="527" t="s">
        <v>380</v>
      </c>
      <c r="F187" s="527">
        <v>180</v>
      </c>
      <c r="G187" s="528">
        <v>3012.47</v>
      </c>
    </row>
    <row r="188" spans="1:38" ht="15">
      <c r="A188" s="524" t="s">
        <v>534</v>
      </c>
      <c r="B188" s="525" t="s">
        <v>535</v>
      </c>
      <c r="C188" s="526"/>
      <c r="D188" s="526" t="s">
        <v>531</v>
      </c>
      <c r="E188" s="527" t="s">
        <v>380</v>
      </c>
      <c r="F188" s="527">
        <f>1599+F204</f>
        <v>1719</v>
      </c>
      <c r="G188" s="528">
        <f>10948.56+G204</f>
        <v>11612.119999999999</v>
      </c>
    </row>
    <row r="189" spans="1:38" ht="15">
      <c r="A189" s="524" t="s">
        <v>536</v>
      </c>
      <c r="B189" s="525" t="s">
        <v>537</v>
      </c>
      <c r="C189" s="526"/>
      <c r="D189" s="526" t="s">
        <v>531</v>
      </c>
      <c r="E189" s="527" t="s">
        <v>380</v>
      </c>
      <c r="F189" s="527">
        <f>2624+F203+F205</f>
        <v>2936</v>
      </c>
      <c r="G189" s="528">
        <f>14143.53+G203+G205</f>
        <v>15642.840000000002</v>
      </c>
    </row>
    <row r="190" spans="1:38" ht="15">
      <c r="A190" s="524" t="s">
        <v>538</v>
      </c>
      <c r="B190" s="525" t="s">
        <v>539</v>
      </c>
      <c r="C190" s="526"/>
      <c r="D190" s="526" t="s">
        <v>531</v>
      </c>
      <c r="E190" s="527" t="s">
        <v>380</v>
      </c>
      <c r="F190" s="527">
        <f>F201+F202</f>
        <v>500</v>
      </c>
      <c r="G190" s="528">
        <f>G201+G202</f>
        <v>2849.27</v>
      </c>
    </row>
    <row r="191" spans="1:38" ht="15.75" thickBot="1">
      <c r="A191" s="524" t="s">
        <v>540</v>
      </c>
      <c r="B191" s="525" t="s">
        <v>541</v>
      </c>
      <c r="C191" s="526"/>
      <c r="D191" s="526" t="s">
        <v>531</v>
      </c>
      <c r="E191" s="527" t="s">
        <v>380</v>
      </c>
      <c r="F191" s="527"/>
      <c r="G191" s="528"/>
    </row>
    <row r="192" spans="1:38" s="518" customFormat="1" ht="15.75" thickBot="1">
      <c r="A192" s="544" t="s">
        <v>542</v>
      </c>
      <c r="B192" s="554" t="s">
        <v>543</v>
      </c>
      <c r="C192" s="555" t="s">
        <v>380</v>
      </c>
      <c r="D192" s="555" t="s">
        <v>380</v>
      </c>
      <c r="E192" s="556" t="s">
        <v>380</v>
      </c>
      <c r="F192" s="556" t="s">
        <v>380</v>
      </c>
      <c r="G192" s="557" t="s">
        <v>380</v>
      </c>
      <c r="H192" s="615"/>
      <c r="I192" s="618"/>
      <c r="J192" s="615"/>
      <c r="K192" s="615"/>
      <c r="L192" s="615"/>
      <c r="M192" s="615"/>
      <c r="N192" s="615"/>
      <c r="O192" s="615"/>
      <c r="P192" s="615"/>
      <c r="Q192" s="615"/>
      <c r="R192" s="615"/>
      <c r="S192" s="615"/>
      <c r="T192" s="615"/>
      <c r="U192" s="615"/>
      <c r="V192" s="615"/>
      <c r="W192" s="615"/>
      <c r="X192" s="615"/>
      <c r="Y192" s="615"/>
      <c r="Z192" s="615"/>
      <c r="AA192" s="615"/>
      <c r="AB192" s="615"/>
      <c r="AC192" s="615"/>
      <c r="AD192" s="615"/>
      <c r="AE192" s="615"/>
      <c r="AF192" s="615"/>
      <c r="AG192" s="615"/>
      <c r="AH192" s="615"/>
      <c r="AI192" s="615"/>
      <c r="AJ192" s="615"/>
      <c r="AK192" s="615"/>
      <c r="AL192" s="615"/>
    </row>
    <row r="193" spans="1:38" ht="15">
      <c r="A193" s="573" t="s">
        <v>544</v>
      </c>
      <c r="B193" s="574" t="s">
        <v>530</v>
      </c>
      <c r="C193" s="575"/>
      <c r="D193" s="575" t="s">
        <v>531</v>
      </c>
      <c r="E193" s="576" t="s">
        <v>380</v>
      </c>
      <c r="F193" s="576"/>
      <c r="G193" s="577"/>
    </row>
    <row r="194" spans="1:38" ht="15" hidden="1">
      <c r="A194" s="524" t="s">
        <v>545</v>
      </c>
      <c r="B194" s="525" t="s">
        <v>533</v>
      </c>
      <c r="C194" s="526"/>
      <c r="D194" s="526" t="s">
        <v>531</v>
      </c>
      <c r="E194" s="527" t="s">
        <v>380</v>
      </c>
      <c r="F194" s="527"/>
      <c r="G194" s="528"/>
    </row>
    <row r="195" spans="1:38" ht="15" hidden="1">
      <c r="A195" s="524" t="s">
        <v>546</v>
      </c>
      <c r="B195" s="525" t="s">
        <v>535</v>
      </c>
      <c r="C195" s="526"/>
      <c r="D195" s="526" t="s">
        <v>531</v>
      </c>
      <c r="E195" s="527" t="s">
        <v>380</v>
      </c>
      <c r="F195" s="527"/>
      <c r="G195" s="528"/>
    </row>
    <row r="196" spans="1:38" ht="15" hidden="1">
      <c r="A196" s="524" t="s">
        <v>547</v>
      </c>
      <c r="B196" s="525" t="s">
        <v>537</v>
      </c>
      <c r="C196" s="526"/>
      <c r="D196" s="526" t="s">
        <v>531</v>
      </c>
      <c r="E196" s="527" t="s">
        <v>380</v>
      </c>
      <c r="F196" s="527"/>
      <c r="G196" s="528"/>
    </row>
    <row r="197" spans="1:38" ht="15" hidden="1">
      <c r="A197" s="524" t="s">
        <v>548</v>
      </c>
      <c r="B197" s="525" t="s">
        <v>539</v>
      </c>
      <c r="C197" s="526"/>
      <c r="D197" s="526" t="s">
        <v>531</v>
      </c>
      <c r="E197" s="527" t="s">
        <v>380</v>
      </c>
      <c r="F197" s="527"/>
      <c r="G197" s="528"/>
    </row>
    <row r="198" spans="1:38" ht="15.75" thickBot="1">
      <c r="A198" s="524" t="s">
        <v>549</v>
      </c>
      <c r="B198" s="525" t="s">
        <v>541</v>
      </c>
      <c r="C198" s="526"/>
      <c r="D198" s="526" t="s">
        <v>531</v>
      </c>
      <c r="E198" s="527" t="s">
        <v>380</v>
      </c>
      <c r="F198" s="527"/>
      <c r="G198" s="528"/>
    </row>
    <row r="199" spans="1:38" s="518" customFormat="1" ht="15.75" thickBot="1">
      <c r="A199" s="544" t="s">
        <v>637</v>
      </c>
      <c r="B199" s="545" t="s">
        <v>604</v>
      </c>
      <c r="C199" s="546"/>
      <c r="D199" s="546"/>
      <c r="E199" s="556" t="s">
        <v>380</v>
      </c>
      <c r="F199" s="547"/>
      <c r="G199" s="548"/>
      <c r="H199" s="615"/>
      <c r="I199" s="618"/>
      <c r="J199" s="615"/>
      <c r="K199" s="615"/>
      <c r="L199" s="615"/>
      <c r="M199" s="615"/>
      <c r="N199" s="615"/>
      <c r="O199" s="615"/>
      <c r="P199" s="615"/>
      <c r="Q199" s="615"/>
      <c r="R199" s="615"/>
      <c r="S199" s="615"/>
      <c r="T199" s="615"/>
      <c r="U199" s="615"/>
      <c r="V199" s="615"/>
      <c r="W199" s="615"/>
      <c r="X199" s="615"/>
      <c r="Y199" s="615"/>
      <c r="Z199" s="615"/>
      <c r="AA199" s="615"/>
      <c r="AB199" s="615"/>
      <c r="AC199" s="615"/>
      <c r="AD199" s="615"/>
      <c r="AE199" s="615"/>
      <c r="AF199" s="615"/>
      <c r="AG199" s="615"/>
      <c r="AH199" s="615"/>
      <c r="AI199" s="615"/>
      <c r="AJ199" s="615"/>
      <c r="AK199" s="615"/>
      <c r="AL199" s="615"/>
    </row>
    <row r="200" spans="1:38" ht="30">
      <c r="A200" s="529" t="s">
        <v>638</v>
      </c>
      <c r="B200" s="530" t="s">
        <v>639</v>
      </c>
      <c r="C200" s="531"/>
      <c r="D200" s="531" t="s">
        <v>531</v>
      </c>
      <c r="E200" s="532" t="s">
        <v>380</v>
      </c>
      <c r="F200" s="532">
        <v>4447</v>
      </c>
      <c r="G200" s="533">
        <v>29794.04</v>
      </c>
    </row>
    <row r="201" spans="1:38" ht="15">
      <c r="A201" s="529" t="s">
        <v>640</v>
      </c>
      <c r="B201" s="530" t="s">
        <v>796</v>
      </c>
      <c r="C201" s="531"/>
      <c r="D201" s="531" t="s">
        <v>642</v>
      </c>
      <c r="E201" s="532" t="s">
        <v>380</v>
      </c>
      <c r="F201" s="532">
        <v>400</v>
      </c>
      <c r="G201" s="533">
        <f>162.14+1398.82</f>
        <v>1560.96</v>
      </c>
      <c r="H201" s="506">
        <v>630</v>
      </c>
    </row>
    <row r="202" spans="1:38" ht="30">
      <c r="A202" s="524" t="s">
        <v>643</v>
      </c>
      <c r="B202" s="525" t="s">
        <v>795</v>
      </c>
      <c r="C202" s="526"/>
      <c r="D202" s="526" t="s">
        <v>723</v>
      </c>
      <c r="E202" s="527" t="s">
        <v>380</v>
      </c>
      <c r="F202" s="527">
        <v>100</v>
      </c>
      <c r="G202" s="528">
        <v>1288.31</v>
      </c>
      <c r="H202" s="506">
        <v>630</v>
      </c>
    </row>
    <row r="203" spans="1:38" s="587" customFormat="1" ht="15">
      <c r="A203" s="524" t="s">
        <v>644</v>
      </c>
      <c r="B203" s="597" t="s">
        <v>794</v>
      </c>
      <c r="C203" s="598"/>
      <c r="D203" s="598" t="s">
        <v>642</v>
      </c>
      <c r="E203" s="599" t="s">
        <v>380</v>
      </c>
      <c r="F203" s="527">
        <f>270/2</f>
        <v>135</v>
      </c>
      <c r="G203" s="600">
        <v>658.87</v>
      </c>
      <c r="H203" s="616">
        <v>400</v>
      </c>
      <c r="I203" s="618"/>
      <c r="J203" s="616"/>
      <c r="K203" s="616"/>
      <c r="L203" s="616"/>
      <c r="M203" s="616"/>
      <c r="N203" s="616"/>
      <c r="O203" s="616"/>
      <c r="P203" s="616"/>
      <c r="Q203" s="616"/>
      <c r="R203" s="616"/>
      <c r="S203" s="616"/>
      <c r="T203" s="616"/>
      <c r="U203" s="616"/>
      <c r="V203" s="616"/>
      <c r="W203" s="616"/>
      <c r="X203" s="616"/>
      <c r="Y203" s="616"/>
      <c r="Z203" s="616"/>
      <c r="AA203" s="616"/>
      <c r="AB203" s="616"/>
      <c r="AC203" s="616"/>
      <c r="AD203" s="616"/>
      <c r="AE203" s="616"/>
      <c r="AF203" s="616"/>
      <c r="AG203" s="616"/>
      <c r="AH203" s="616"/>
      <c r="AI203" s="616"/>
      <c r="AJ203" s="616"/>
      <c r="AK203" s="616"/>
      <c r="AL203" s="616"/>
    </row>
    <row r="204" spans="1:38" ht="15">
      <c r="A204" s="529" t="s">
        <v>645</v>
      </c>
      <c r="B204" s="525" t="s">
        <v>793</v>
      </c>
      <c r="C204" s="526"/>
      <c r="D204" s="526" t="s">
        <v>723</v>
      </c>
      <c r="E204" s="527" t="s">
        <v>380</v>
      </c>
      <c r="F204" s="527">
        <f>160-20-20</f>
        <v>120</v>
      </c>
      <c r="G204" s="528">
        <v>663.56</v>
      </c>
      <c r="H204" s="506">
        <v>250</v>
      </c>
    </row>
    <row r="205" spans="1:38" ht="15.75" thickBot="1">
      <c r="A205" s="524" t="s">
        <v>646</v>
      </c>
      <c r="B205" s="525" t="s">
        <v>792</v>
      </c>
      <c r="C205" s="526"/>
      <c r="D205" s="526" t="s">
        <v>723</v>
      </c>
      <c r="E205" s="527" t="s">
        <v>380</v>
      </c>
      <c r="F205" s="527">
        <f>354/2</f>
        <v>177</v>
      </c>
      <c r="G205" s="528">
        <v>840.44</v>
      </c>
      <c r="H205" s="506">
        <v>400</v>
      </c>
    </row>
    <row r="206" spans="1:38" ht="15.75" hidden="1" thickBot="1">
      <c r="A206" s="529" t="s">
        <v>647</v>
      </c>
      <c r="B206" s="525"/>
      <c r="C206" s="526"/>
      <c r="D206" s="526"/>
      <c r="E206" s="527" t="s">
        <v>380</v>
      </c>
      <c r="F206" s="527"/>
      <c r="G206" s="528"/>
    </row>
    <row r="207" spans="1:38" ht="15.75" hidden="1" thickBot="1">
      <c r="A207" s="529" t="s">
        <v>648</v>
      </c>
      <c r="B207" s="525"/>
      <c r="C207" s="526"/>
      <c r="D207" s="526"/>
      <c r="E207" s="527" t="s">
        <v>380</v>
      </c>
      <c r="F207" s="527"/>
      <c r="G207" s="528"/>
    </row>
    <row r="208" spans="1:38" ht="15.75" hidden="1" thickBot="1">
      <c r="A208" s="524" t="s">
        <v>649</v>
      </c>
      <c r="B208" s="525"/>
      <c r="C208" s="526"/>
      <c r="D208" s="526"/>
      <c r="E208" s="527" t="s">
        <v>380</v>
      </c>
      <c r="F208" s="527"/>
      <c r="G208" s="528"/>
    </row>
    <row r="209" spans="1:38" ht="15.75" hidden="1" thickBot="1">
      <c r="A209" s="529" t="s">
        <v>650</v>
      </c>
      <c r="B209" s="525"/>
      <c r="C209" s="526"/>
      <c r="D209" s="526"/>
      <c r="E209" s="527" t="s">
        <v>380</v>
      </c>
      <c r="F209" s="527"/>
      <c r="G209" s="528"/>
    </row>
    <row r="210" spans="1:38" ht="15.75" hidden="1" thickBot="1">
      <c r="A210" s="529" t="s">
        <v>651</v>
      </c>
      <c r="B210" s="525"/>
      <c r="C210" s="526"/>
      <c r="D210" s="526"/>
      <c r="E210" s="527" t="s">
        <v>380</v>
      </c>
      <c r="F210" s="527"/>
      <c r="G210" s="528"/>
    </row>
    <row r="211" spans="1:38" ht="15.75" hidden="1" thickBot="1">
      <c r="A211" s="524" t="s">
        <v>652</v>
      </c>
      <c r="B211" s="525"/>
      <c r="C211" s="526"/>
      <c r="D211" s="526"/>
      <c r="E211" s="527" t="s">
        <v>380</v>
      </c>
      <c r="F211" s="527"/>
      <c r="G211" s="528"/>
    </row>
    <row r="212" spans="1:38" ht="15.75" hidden="1" thickBot="1">
      <c r="A212" s="529" t="s">
        <v>653</v>
      </c>
      <c r="B212" s="525"/>
      <c r="C212" s="526"/>
      <c r="D212" s="526"/>
      <c r="E212" s="527" t="s">
        <v>380</v>
      </c>
      <c r="F212" s="527"/>
      <c r="G212" s="528"/>
    </row>
    <row r="213" spans="1:38" ht="15.75" hidden="1" thickBot="1">
      <c r="A213" s="529" t="s">
        <v>654</v>
      </c>
      <c r="B213" s="525"/>
      <c r="C213" s="526"/>
      <c r="D213" s="526"/>
      <c r="E213" s="527" t="s">
        <v>380</v>
      </c>
      <c r="F213" s="527"/>
      <c r="G213" s="528"/>
    </row>
    <row r="214" spans="1:38" ht="15.75" hidden="1" thickBot="1">
      <c r="A214" s="524" t="s">
        <v>655</v>
      </c>
      <c r="B214" s="525"/>
      <c r="C214" s="526"/>
      <c r="D214" s="526"/>
      <c r="E214" s="527" t="s">
        <v>380</v>
      </c>
      <c r="F214" s="527"/>
      <c r="G214" s="528"/>
    </row>
    <row r="215" spans="1:38" s="518" customFormat="1" ht="30.75" thickBot="1">
      <c r="A215" s="589" t="s">
        <v>351</v>
      </c>
      <c r="B215" s="590" t="s">
        <v>550</v>
      </c>
      <c r="C215" s="591" t="s">
        <v>380</v>
      </c>
      <c r="D215" s="591" t="s">
        <v>380</v>
      </c>
      <c r="E215" s="592" t="s">
        <v>380</v>
      </c>
      <c r="F215" s="592" t="s">
        <v>380</v>
      </c>
      <c r="G215" s="593" t="s">
        <v>380</v>
      </c>
      <c r="H215" s="615"/>
      <c r="I215" s="618"/>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row>
    <row r="216" spans="1:38" ht="15.75" thickBot="1">
      <c r="A216" s="544" t="s">
        <v>551</v>
      </c>
      <c r="B216" s="554" t="s">
        <v>552</v>
      </c>
      <c r="C216" s="555" t="s">
        <v>380</v>
      </c>
      <c r="D216" s="555" t="s">
        <v>380</v>
      </c>
      <c r="E216" s="556" t="s">
        <v>380</v>
      </c>
      <c r="F216" s="556" t="s">
        <v>380</v>
      </c>
      <c r="G216" s="557" t="s">
        <v>380</v>
      </c>
    </row>
    <row r="217" spans="1:38" s="518" customFormat="1" ht="15.75" thickBot="1">
      <c r="A217" s="544" t="s">
        <v>553</v>
      </c>
      <c r="B217" s="554" t="s">
        <v>543</v>
      </c>
      <c r="C217" s="555" t="s">
        <v>380</v>
      </c>
      <c r="D217" s="555" t="s">
        <v>380</v>
      </c>
      <c r="E217" s="556" t="s">
        <v>380</v>
      </c>
      <c r="F217" s="556" t="s">
        <v>380</v>
      </c>
      <c r="G217" s="557" t="s">
        <v>380</v>
      </c>
      <c r="H217" s="615"/>
      <c r="I217" s="618"/>
      <c r="J217" s="615"/>
      <c r="K217" s="615"/>
      <c r="L217" s="615"/>
      <c r="M217" s="615"/>
      <c r="N217" s="615"/>
      <c r="O217" s="615"/>
      <c r="P217" s="615"/>
      <c r="Q217" s="615"/>
      <c r="R217" s="615"/>
      <c r="S217" s="615"/>
      <c r="T217" s="615"/>
      <c r="U217" s="615"/>
      <c r="V217" s="615"/>
      <c r="W217" s="615"/>
      <c r="X217" s="615"/>
      <c r="Y217" s="615"/>
      <c r="Z217" s="615"/>
      <c r="AA217" s="615"/>
      <c r="AB217" s="615"/>
      <c r="AC217" s="615"/>
      <c r="AD217" s="615"/>
      <c r="AE217" s="615"/>
      <c r="AF217" s="615"/>
      <c r="AG217" s="615"/>
      <c r="AH217" s="615"/>
      <c r="AI217" s="615"/>
      <c r="AJ217" s="615"/>
      <c r="AK217" s="615"/>
      <c r="AL217" s="615"/>
    </row>
    <row r="218" spans="1:38" ht="15.75" hidden="1" thickBot="1">
      <c r="A218" s="578" t="s">
        <v>554</v>
      </c>
      <c r="B218" s="579" t="s">
        <v>530</v>
      </c>
      <c r="C218" s="580"/>
      <c r="D218" s="580" t="s">
        <v>531</v>
      </c>
      <c r="E218" s="581" t="s">
        <v>380</v>
      </c>
      <c r="F218" s="581"/>
      <c r="G218" s="582"/>
    </row>
    <row r="219" spans="1:38" ht="15.75" hidden="1" thickBot="1">
      <c r="A219" s="524" t="s">
        <v>555</v>
      </c>
      <c r="B219" s="525" t="s">
        <v>533</v>
      </c>
      <c r="C219" s="526"/>
      <c r="D219" s="526" t="s">
        <v>531</v>
      </c>
      <c r="E219" s="527" t="s">
        <v>380</v>
      </c>
      <c r="F219" s="527"/>
      <c r="G219" s="528"/>
    </row>
    <row r="220" spans="1:38" ht="15.75" hidden="1" thickBot="1">
      <c r="A220" s="524" t="s">
        <v>556</v>
      </c>
      <c r="B220" s="525" t="s">
        <v>535</v>
      </c>
      <c r="C220" s="526"/>
      <c r="D220" s="526" t="s">
        <v>531</v>
      </c>
      <c r="E220" s="527" t="s">
        <v>380</v>
      </c>
      <c r="F220" s="527"/>
      <c r="G220" s="528"/>
    </row>
    <row r="221" spans="1:38" ht="15.75" hidden="1" thickBot="1">
      <c r="A221" s="524" t="s">
        <v>557</v>
      </c>
      <c r="B221" s="525" t="s">
        <v>537</v>
      </c>
      <c r="C221" s="526"/>
      <c r="D221" s="526" t="s">
        <v>531</v>
      </c>
      <c r="E221" s="527" t="s">
        <v>380</v>
      </c>
      <c r="F221" s="527"/>
      <c r="G221" s="528"/>
    </row>
    <row r="222" spans="1:38" ht="15.75" hidden="1" thickBot="1">
      <c r="A222" s="524" t="s">
        <v>558</v>
      </c>
      <c r="B222" s="525" t="s">
        <v>539</v>
      </c>
      <c r="C222" s="526"/>
      <c r="D222" s="526" t="s">
        <v>531</v>
      </c>
      <c r="E222" s="527" t="s">
        <v>380</v>
      </c>
      <c r="F222" s="527"/>
      <c r="G222" s="528"/>
    </row>
    <row r="223" spans="1:38" ht="15.75" hidden="1" thickBot="1">
      <c r="A223" s="539" t="s">
        <v>559</v>
      </c>
      <c r="B223" s="540" t="s">
        <v>541</v>
      </c>
      <c r="C223" s="541"/>
      <c r="D223" s="541" t="s">
        <v>531</v>
      </c>
      <c r="E223" s="542" t="s">
        <v>380</v>
      </c>
      <c r="F223" s="542"/>
      <c r="G223" s="543"/>
    </row>
    <row r="224" spans="1:38" s="518" customFormat="1" ht="15.75" hidden="1" thickBot="1">
      <c r="A224" s="544" t="s">
        <v>656</v>
      </c>
      <c r="B224" s="545" t="s">
        <v>604</v>
      </c>
      <c r="C224" s="546"/>
      <c r="D224" s="546"/>
      <c r="E224" s="556" t="s">
        <v>380</v>
      </c>
      <c r="F224" s="547"/>
      <c r="G224" s="548"/>
      <c r="H224" s="615"/>
      <c r="I224" s="618"/>
      <c r="J224" s="615"/>
      <c r="K224" s="615"/>
      <c r="L224" s="615"/>
      <c r="M224" s="615"/>
      <c r="N224" s="615"/>
      <c r="O224" s="615"/>
      <c r="P224" s="615"/>
      <c r="Q224" s="615"/>
      <c r="R224" s="615"/>
      <c r="S224" s="615"/>
      <c r="T224" s="615"/>
      <c r="U224" s="615"/>
      <c r="V224" s="615"/>
      <c r="W224" s="615"/>
      <c r="X224" s="615"/>
      <c r="Y224" s="615"/>
      <c r="Z224" s="615"/>
      <c r="AA224" s="615"/>
      <c r="AB224" s="615"/>
      <c r="AC224" s="615"/>
      <c r="AD224" s="615"/>
      <c r="AE224" s="615"/>
      <c r="AF224" s="615"/>
      <c r="AG224" s="615"/>
      <c r="AH224" s="615"/>
      <c r="AI224" s="615"/>
      <c r="AJ224" s="615"/>
      <c r="AK224" s="615"/>
      <c r="AL224" s="615"/>
    </row>
    <row r="225" spans="1:38" ht="15.75" hidden="1" thickBot="1">
      <c r="A225" s="529" t="s">
        <v>657</v>
      </c>
      <c r="B225" s="530"/>
      <c r="C225" s="531"/>
      <c r="D225" s="531"/>
      <c r="E225" s="532" t="s">
        <v>380</v>
      </c>
      <c r="F225" s="532"/>
      <c r="G225" s="533"/>
    </row>
    <row r="226" spans="1:38" ht="15.75" hidden="1" thickBot="1">
      <c r="A226" s="529" t="s">
        <v>658</v>
      </c>
      <c r="B226" s="530"/>
      <c r="C226" s="531"/>
      <c r="D226" s="531"/>
      <c r="E226" s="532" t="s">
        <v>380</v>
      </c>
      <c r="F226" s="532"/>
      <c r="G226" s="533"/>
    </row>
    <row r="227" spans="1:38" ht="15.75" hidden="1" thickBot="1">
      <c r="A227" s="524" t="s">
        <v>659</v>
      </c>
      <c r="B227" s="525"/>
      <c r="C227" s="526"/>
      <c r="D227" s="526"/>
      <c r="E227" s="527" t="s">
        <v>380</v>
      </c>
      <c r="F227" s="527"/>
      <c r="G227" s="528"/>
    </row>
    <row r="228" spans="1:38" ht="15.75" hidden="1" thickBot="1">
      <c r="A228" s="529" t="s">
        <v>660</v>
      </c>
      <c r="B228" s="525"/>
      <c r="C228" s="526"/>
      <c r="D228" s="526"/>
      <c r="E228" s="527" t="s">
        <v>380</v>
      </c>
      <c r="F228" s="527"/>
      <c r="G228" s="528"/>
    </row>
    <row r="229" spans="1:38" ht="15.75" hidden="1" thickBot="1">
      <c r="A229" s="529" t="s">
        <v>661</v>
      </c>
      <c r="B229" s="525"/>
      <c r="C229" s="526"/>
      <c r="D229" s="526"/>
      <c r="E229" s="527" t="s">
        <v>380</v>
      </c>
      <c r="F229" s="527"/>
      <c r="G229" s="528"/>
    </row>
    <row r="230" spans="1:38" ht="15.75" hidden="1" thickBot="1">
      <c r="A230" s="524" t="s">
        <v>662</v>
      </c>
      <c r="B230" s="525"/>
      <c r="C230" s="526"/>
      <c r="D230" s="526"/>
      <c r="E230" s="527" t="s">
        <v>380</v>
      </c>
      <c r="F230" s="527"/>
      <c r="G230" s="528"/>
    </row>
    <row r="231" spans="1:38" ht="15.75" hidden="1" thickBot="1">
      <c r="A231" s="529" t="s">
        <v>663</v>
      </c>
      <c r="B231" s="525"/>
      <c r="C231" s="526"/>
      <c r="D231" s="526"/>
      <c r="E231" s="527" t="s">
        <v>380</v>
      </c>
      <c r="F231" s="527"/>
      <c r="G231" s="528"/>
    </row>
    <row r="232" spans="1:38" ht="15.75" hidden="1" thickBot="1">
      <c r="A232" s="529" t="s">
        <v>664</v>
      </c>
      <c r="B232" s="525"/>
      <c r="C232" s="526"/>
      <c r="D232" s="526"/>
      <c r="E232" s="527" t="s">
        <v>380</v>
      </c>
      <c r="F232" s="527"/>
      <c r="G232" s="528"/>
    </row>
    <row r="233" spans="1:38" ht="15.75" hidden="1" thickBot="1">
      <c r="A233" s="524" t="s">
        <v>665</v>
      </c>
      <c r="B233" s="525"/>
      <c r="C233" s="526"/>
      <c r="D233" s="526"/>
      <c r="E233" s="527" t="s">
        <v>380</v>
      </c>
      <c r="F233" s="527"/>
      <c r="G233" s="528"/>
    </row>
    <row r="234" spans="1:38" ht="15.75" hidden="1" thickBot="1">
      <c r="A234" s="529" t="s">
        <v>666</v>
      </c>
      <c r="B234" s="525"/>
      <c r="C234" s="526"/>
      <c r="D234" s="526"/>
      <c r="E234" s="527" t="s">
        <v>380</v>
      </c>
      <c r="F234" s="527"/>
      <c r="G234" s="528"/>
    </row>
    <row r="235" spans="1:38" ht="15.75" hidden="1" thickBot="1">
      <c r="A235" s="529" t="s">
        <v>667</v>
      </c>
      <c r="B235" s="525"/>
      <c r="C235" s="526"/>
      <c r="D235" s="526"/>
      <c r="E235" s="527" t="s">
        <v>380</v>
      </c>
      <c r="F235" s="527"/>
      <c r="G235" s="528"/>
    </row>
    <row r="236" spans="1:38" ht="15.75" hidden="1" thickBot="1">
      <c r="A236" s="524" t="s">
        <v>668</v>
      </c>
      <c r="B236" s="525"/>
      <c r="C236" s="526"/>
      <c r="D236" s="526"/>
      <c r="E236" s="527" t="s">
        <v>380</v>
      </c>
      <c r="F236" s="527"/>
      <c r="G236" s="528"/>
    </row>
    <row r="237" spans="1:38" ht="15.75" hidden="1" thickBot="1">
      <c r="A237" s="529" t="s">
        <v>669</v>
      </c>
      <c r="B237" s="525"/>
      <c r="C237" s="526"/>
      <c r="D237" s="526"/>
      <c r="E237" s="527" t="s">
        <v>380</v>
      </c>
      <c r="F237" s="527"/>
      <c r="G237" s="528"/>
    </row>
    <row r="238" spans="1:38" ht="15.75" hidden="1" thickBot="1">
      <c r="A238" s="529" t="s">
        <v>670</v>
      </c>
      <c r="B238" s="525"/>
      <c r="C238" s="526"/>
      <c r="D238" s="526"/>
      <c r="E238" s="527" t="s">
        <v>380</v>
      </c>
      <c r="F238" s="527"/>
      <c r="G238" s="528"/>
    </row>
    <row r="239" spans="1:38" ht="15.75" hidden="1" thickBot="1">
      <c r="A239" s="524" t="s">
        <v>671</v>
      </c>
      <c r="B239" s="525"/>
      <c r="C239" s="526"/>
      <c r="D239" s="526"/>
      <c r="E239" s="527" t="s">
        <v>380</v>
      </c>
      <c r="F239" s="527"/>
      <c r="G239" s="528"/>
    </row>
    <row r="240" spans="1:38" s="518" customFormat="1" ht="30.75" thickBot="1">
      <c r="A240" s="589" t="s">
        <v>353</v>
      </c>
      <c r="B240" s="590" t="s">
        <v>560</v>
      </c>
      <c r="C240" s="591" t="s">
        <v>380</v>
      </c>
      <c r="D240" s="591" t="s">
        <v>380</v>
      </c>
      <c r="E240" s="592" t="s">
        <v>380</v>
      </c>
      <c r="F240" s="592" t="s">
        <v>380</v>
      </c>
      <c r="G240" s="593" t="s">
        <v>380</v>
      </c>
      <c r="H240" s="615"/>
      <c r="I240" s="618"/>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5"/>
      <c r="AL240" s="615"/>
    </row>
    <row r="241" spans="1:38" s="518" customFormat="1" ht="15.75" thickBot="1">
      <c r="A241" s="583" t="s">
        <v>561</v>
      </c>
      <c r="B241" s="584" t="s">
        <v>839</v>
      </c>
      <c r="C241" s="555" t="s">
        <v>380</v>
      </c>
      <c r="D241" s="555" t="s">
        <v>380</v>
      </c>
      <c r="E241" s="556" t="s">
        <v>380</v>
      </c>
      <c r="F241" s="556" t="s">
        <v>380</v>
      </c>
      <c r="G241" s="557" t="s">
        <v>380</v>
      </c>
      <c r="H241" s="615"/>
      <c r="I241" s="618"/>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5"/>
      <c r="AL241" s="615"/>
    </row>
    <row r="242" spans="1:38" ht="15">
      <c r="A242" s="578" t="s">
        <v>672</v>
      </c>
      <c r="B242" s="579" t="s">
        <v>673</v>
      </c>
      <c r="C242" s="580"/>
      <c r="D242" s="580" t="s">
        <v>563</v>
      </c>
      <c r="E242" s="581" t="s">
        <v>380</v>
      </c>
      <c r="F242" s="581"/>
      <c r="G242" s="582"/>
    </row>
    <row r="243" spans="1:38" ht="15">
      <c r="A243" s="524" t="s">
        <v>674</v>
      </c>
      <c r="B243" s="525" t="s">
        <v>675</v>
      </c>
      <c r="C243" s="526"/>
      <c r="D243" s="526" t="s">
        <v>563</v>
      </c>
      <c r="E243" s="527" t="s">
        <v>380</v>
      </c>
      <c r="F243" s="527"/>
      <c r="G243" s="528"/>
    </row>
    <row r="244" spans="1:38" ht="15">
      <c r="A244" s="524" t="s">
        <v>564</v>
      </c>
      <c r="B244" s="525" t="s">
        <v>565</v>
      </c>
      <c r="C244" s="526"/>
      <c r="D244" s="526" t="s">
        <v>563</v>
      </c>
      <c r="E244" s="527" t="s">
        <v>380</v>
      </c>
      <c r="F244" s="527"/>
      <c r="G244" s="528"/>
    </row>
    <row r="245" spans="1:38" ht="15.75" thickBot="1">
      <c r="A245" s="524" t="s">
        <v>566</v>
      </c>
      <c r="B245" s="525" t="s">
        <v>567</v>
      </c>
      <c r="C245" s="526"/>
      <c r="D245" s="526" t="s">
        <v>563</v>
      </c>
      <c r="E245" s="527" t="s">
        <v>380</v>
      </c>
      <c r="F245" s="527">
        <f>F262</f>
        <v>295</v>
      </c>
      <c r="G245" s="528">
        <f>G262</f>
        <v>4127.3999999999996</v>
      </c>
    </row>
    <row r="246" spans="1:38" s="518" customFormat="1" ht="15.75" thickBot="1">
      <c r="A246" s="544" t="s">
        <v>568</v>
      </c>
      <c r="B246" s="554" t="s">
        <v>562</v>
      </c>
      <c r="C246" s="555" t="s">
        <v>380</v>
      </c>
      <c r="D246" s="555" t="s">
        <v>380</v>
      </c>
      <c r="E246" s="556" t="s">
        <v>380</v>
      </c>
      <c r="F246" s="556" t="s">
        <v>380</v>
      </c>
      <c r="G246" s="557" t="s">
        <v>380</v>
      </c>
      <c r="H246" s="615"/>
      <c r="I246" s="618"/>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5"/>
      <c r="AL246" s="615"/>
    </row>
    <row r="247" spans="1:38" ht="15">
      <c r="A247" s="578" t="s">
        <v>676</v>
      </c>
      <c r="B247" s="579" t="s">
        <v>677</v>
      </c>
      <c r="C247" s="580"/>
      <c r="D247" s="580" t="s">
        <v>569</v>
      </c>
      <c r="E247" s="581" t="s">
        <v>380</v>
      </c>
      <c r="F247" s="581"/>
      <c r="G247" s="582"/>
    </row>
    <row r="248" spans="1:38" ht="15">
      <c r="A248" s="524" t="s">
        <v>570</v>
      </c>
      <c r="B248" s="525" t="s">
        <v>571</v>
      </c>
      <c r="C248" s="526"/>
      <c r="D248" s="526" t="s">
        <v>569</v>
      </c>
      <c r="E248" s="527" t="s">
        <v>380</v>
      </c>
      <c r="F248" s="527"/>
      <c r="G248" s="528"/>
    </row>
    <row r="249" spans="1:38" ht="15">
      <c r="A249" s="524" t="s">
        <v>572</v>
      </c>
      <c r="B249" s="525" t="s">
        <v>573</v>
      </c>
      <c r="C249" s="526"/>
      <c r="D249" s="526" t="s">
        <v>569</v>
      </c>
      <c r="E249" s="527" t="s">
        <v>380</v>
      </c>
      <c r="F249" s="527"/>
      <c r="G249" s="528"/>
    </row>
    <row r="250" spans="1:38" ht="15.75" thickBot="1">
      <c r="A250" s="524" t="s">
        <v>574</v>
      </c>
      <c r="B250" s="525" t="s">
        <v>575</v>
      </c>
      <c r="C250" s="526"/>
      <c r="D250" s="526" t="s">
        <v>569</v>
      </c>
      <c r="E250" s="527" t="s">
        <v>380</v>
      </c>
      <c r="F250" s="527"/>
      <c r="G250" s="528"/>
    </row>
    <row r="251" spans="1:38" s="518" customFormat="1" ht="15.75" thickBot="1">
      <c r="A251" s="544" t="s">
        <v>678</v>
      </c>
      <c r="B251" s="554" t="s">
        <v>580</v>
      </c>
      <c r="C251" s="555" t="s">
        <v>380</v>
      </c>
      <c r="D251" s="555" t="s">
        <v>380</v>
      </c>
      <c r="E251" s="556" t="s">
        <v>380</v>
      </c>
      <c r="F251" s="556" t="s">
        <v>380</v>
      </c>
      <c r="G251" s="557" t="s">
        <v>380</v>
      </c>
      <c r="H251" s="615"/>
      <c r="I251" s="618"/>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5"/>
      <c r="AL251" s="615"/>
    </row>
    <row r="252" spans="1:38" ht="15">
      <c r="A252" s="578" t="s">
        <v>679</v>
      </c>
      <c r="B252" s="579" t="s">
        <v>680</v>
      </c>
      <c r="C252" s="580"/>
      <c r="D252" s="580" t="s">
        <v>583</v>
      </c>
      <c r="E252" s="581" t="s">
        <v>380</v>
      </c>
      <c r="F252" s="581"/>
      <c r="G252" s="582"/>
    </row>
    <row r="253" spans="1:38" ht="15">
      <c r="A253" s="524" t="s">
        <v>681</v>
      </c>
      <c r="B253" s="525" t="s">
        <v>682</v>
      </c>
      <c r="C253" s="526"/>
      <c r="D253" s="526" t="s">
        <v>583</v>
      </c>
      <c r="E253" s="527" t="s">
        <v>380</v>
      </c>
      <c r="F253" s="527"/>
      <c r="G253" s="528"/>
    </row>
    <row r="254" spans="1:38" ht="15">
      <c r="A254" s="524" t="s">
        <v>683</v>
      </c>
      <c r="B254" s="525" t="s">
        <v>684</v>
      </c>
      <c r="C254" s="526"/>
      <c r="D254" s="526" t="s">
        <v>583</v>
      </c>
      <c r="E254" s="527" t="s">
        <v>380</v>
      </c>
      <c r="F254" s="527"/>
      <c r="G254" s="528"/>
    </row>
    <row r="255" spans="1:38" ht="15">
      <c r="A255" s="524" t="s">
        <v>685</v>
      </c>
      <c r="B255" s="525" t="s">
        <v>686</v>
      </c>
      <c r="C255" s="526"/>
      <c r="D255" s="526" t="s">
        <v>583</v>
      </c>
      <c r="E255" s="527" t="s">
        <v>380</v>
      </c>
      <c r="F255" s="527"/>
      <c r="G255" s="528"/>
    </row>
    <row r="256" spans="1:38" ht="15">
      <c r="A256" s="524" t="s">
        <v>687</v>
      </c>
      <c r="B256" s="525" t="s">
        <v>688</v>
      </c>
      <c r="C256" s="526"/>
      <c r="D256" s="526" t="s">
        <v>583</v>
      </c>
      <c r="E256" s="527" t="s">
        <v>380</v>
      </c>
      <c r="F256" s="527"/>
      <c r="G256" s="528"/>
    </row>
    <row r="257" spans="1:38" ht="15">
      <c r="A257" s="524" t="s">
        <v>689</v>
      </c>
      <c r="B257" s="525" t="s">
        <v>573</v>
      </c>
      <c r="C257" s="526"/>
      <c r="D257" s="526" t="s">
        <v>583</v>
      </c>
      <c r="E257" s="527" t="s">
        <v>380</v>
      </c>
      <c r="F257" s="527"/>
      <c r="G257" s="528"/>
    </row>
    <row r="258" spans="1:38" ht="15">
      <c r="A258" s="524" t="s">
        <v>582</v>
      </c>
      <c r="B258" s="525" t="s">
        <v>575</v>
      </c>
      <c r="C258" s="526"/>
      <c r="D258" s="526" t="s">
        <v>583</v>
      </c>
      <c r="E258" s="527" t="s">
        <v>380</v>
      </c>
      <c r="F258" s="527"/>
      <c r="G258" s="528"/>
    </row>
    <row r="259" spans="1:38" ht="15">
      <c r="A259" s="524" t="s">
        <v>584</v>
      </c>
      <c r="B259" s="525" t="s">
        <v>585</v>
      </c>
      <c r="C259" s="526"/>
      <c r="D259" s="526" t="s">
        <v>583</v>
      </c>
      <c r="E259" s="527" t="s">
        <v>380</v>
      </c>
      <c r="F259" s="527"/>
      <c r="G259" s="528"/>
    </row>
    <row r="260" spans="1:38" ht="15.75" thickBot="1">
      <c r="A260" s="524" t="s">
        <v>586</v>
      </c>
      <c r="B260" s="525" t="s">
        <v>587</v>
      </c>
      <c r="C260" s="526"/>
      <c r="D260" s="526" t="s">
        <v>583</v>
      </c>
      <c r="E260" s="527" t="s">
        <v>380</v>
      </c>
      <c r="F260" s="527"/>
      <c r="G260" s="528"/>
    </row>
    <row r="261" spans="1:38" s="518" customFormat="1" ht="15.75" thickBot="1">
      <c r="A261" s="544" t="s">
        <v>690</v>
      </c>
      <c r="B261" s="545" t="s">
        <v>604</v>
      </c>
      <c r="C261" s="546"/>
      <c r="D261" s="546"/>
      <c r="E261" s="556" t="s">
        <v>380</v>
      </c>
      <c r="F261" s="547"/>
      <c r="G261" s="548"/>
      <c r="H261" s="615"/>
      <c r="I261" s="618"/>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5"/>
      <c r="AL261" s="615"/>
    </row>
    <row r="262" spans="1:38" ht="30">
      <c r="A262" s="549" t="s">
        <v>691</v>
      </c>
      <c r="B262" s="550" t="s">
        <v>791</v>
      </c>
      <c r="C262" s="551">
        <v>2016</v>
      </c>
      <c r="D262" s="551" t="s">
        <v>563</v>
      </c>
      <c r="E262" s="552" t="s">
        <v>380</v>
      </c>
      <c r="F262" s="552">
        <f>595-100-100-100</f>
        <v>295</v>
      </c>
      <c r="G262" s="553">
        <f>4068.44+58.96</f>
        <v>4127.3999999999996</v>
      </c>
      <c r="H262" s="506">
        <v>630</v>
      </c>
    </row>
    <row r="263" spans="1:38" ht="15">
      <c r="A263" s="529" t="s">
        <v>692</v>
      </c>
      <c r="B263" s="530"/>
      <c r="C263" s="531"/>
      <c r="D263" s="531"/>
      <c r="E263" s="532" t="s">
        <v>380</v>
      </c>
      <c r="F263" s="532"/>
      <c r="G263" s="533"/>
    </row>
    <row r="264" spans="1:38" ht="15" hidden="1">
      <c r="A264" s="524" t="s">
        <v>693</v>
      </c>
      <c r="B264" s="525"/>
      <c r="C264" s="526"/>
      <c r="D264" s="526"/>
      <c r="E264" s="527" t="s">
        <v>380</v>
      </c>
      <c r="F264" s="527"/>
      <c r="G264" s="528"/>
    </row>
    <row r="265" spans="1:38" ht="15" hidden="1">
      <c r="A265" s="529" t="s">
        <v>694</v>
      </c>
      <c r="B265" s="525"/>
      <c r="C265" s="526"/>
      <c r="D265" s="526"/>
      <c r="E265" s="527" t="s">
        <v>380</v>
      </c>
      <c r="F265" s="527"/>
      <c r="G265" s="528"/>
    </row>
    <row r="266" spans="1:38" ht="15" hidden="1">
      <c r="A266" s="529" t="s">
        <v>695</v>
      </c>
      <c r="B266" s="525"/>
      <c r="C266" s="526"/>
      <c r="D266" s="526"/>
      <c r="E266" s="527" t="s">
        <v>380</v>
      </c>
      <c r="F266" s="527"/>
      <c r="G266" s="528"/>
    </row>
    <row r="267" spans="1:38" ht="15" hidden="1">
      <c r="A267" s="524" t="s">
        <v>696</v>
      </c>
      <c r="B267" s="525"/>
      <c r="C267" s="526"/>
      <c r="D267" s="526"/>
      <c r="E267" s="527" t="s">
        <v>380</v>
      </c>
      <c r="F267" s="527"/>
      <c r="G267" s="528"/>
    </row>
    <row r="268" spans="1:38" ht="15" hidden="1">
      <c r="A268" s="529" t="s">
        <v>697</v>
      </c>
      <c r="B268" s="525"/>
      <c r="C268" s="526"/>
      <c r="D268" s="526"/>
      <c r="E268" s="527" t="s">
        <v>380</v>
      </c>
      <c r="F268" s="527"/>
      <c r="G268" s="528"/>
    </row>
    <row r="269" spans="1:38" ht="15" hidden="1">
      <c r="A269" s="529" t="s">
        <v>698</v>
      </c>
      <c r="B269" s="525"/>
      <c r="C269" s="526"/>
      <c r="D269" s="526"/>
      <c r="E269" s="527" t="s">
        <v>380</v>
      </c>
      <c r="F269" s="527"/>
      <c r="G269" s="528"/>
    </row>
    <row r="270" spans="1:38" ht="15" hidden="1">
      <c r="A270" s="524" t="s">
        <v>699</v>
      </c>
      <c r="B270" s="525"/>
      <c r="C270" s="526"/>
      <c r="D270" s="526"/>
      <c r="E270" s="527" t="s">
        <v>380</v>
      </c>
      <c r="F270" s="527"/>
      <c r="G270" s="528"/>
    </row>
    <row r="271" spans="1:38" ht="15" hidden="1">
      <c r="A271" s="529" t="s">
        <v>700</v>
      </c>
      <c r="B271" s="525"/>
      <c r="C271" s="526"/>
      <c r="D271" s="526"/>
      <c r="E271" s="527" t="s">
        <v>380</v>
      </c>
      <c r="F271" s="527"/>
      <c r="G271" s="528"/>
    </row>
    <row r="272" spans="1:38" ht="15" hidden="1">
      <c r="A272" s="529" t="s">
        <v>701</v>
      </c>
      <c r="B272" s="525"/>
      <c r="C272" s="526"/>
      <c r="D272" s="526"/>
      <c r="E272" s="527" t="s">
        <v>380</v>
      </c>
      <c r="F272" s="527"/>
      <c r="G272" s="528"/>
    </row>
    <row r="273" spans="1:7" ht="15" hidden="1">
      <c r="A273" s="524" t="s">
        <v>702</v>
      </c>
      <c r="B273" s="525"/>
      <c r="C273" s="526"/>
      <c r="D273" s="526"/>
      <c r="E273" s="527" t="s">
        <v>380</v>
      </c>
      <c r="F273" s="527"/>
      <c r="G273" s="528"/>
    </row>
    <row r="274" spans="1:7" ht="15" hidden="1">
      <c r="A274" s="529" t="s">
        <v>703</v>
      </c>
      <c r="B274" s="525"/>
      <c r="C274" s="526"/>
      <c r="D274" s="526"/>
      <c r="E274" s="527" t="s">
        <v>380</v>
      </c>
      <c r="F274" s="527"/>
      <c r="G274" s="528"/>
    </row>
    <row r="275" spans="1:7" ht="15" hidden="1">
      <c r="A275" s="529" t="s">
        <v>704</v>
      </c>
      <c r="B275" s="525"/>
      <c r="C275" s="526"/>
      <c r="D275" s="526"/>
      <c r="E275" s="527" t="s">
        <v>380</v>
      </c>
      <c r="F275" s="527"/>
      <c r="G275" s="528"/>
    </row>
    <row r="276" spans="1:7" ht="15.75" thickBot="1">
      <c r="A276" s="539" t="s">
        <v>705</v>
      </c>
      <c r="B276" s="540"/>
      <c r="C276" s="541"/>
      <c r="D276" s="541"/>
      <c r="E276" s="542" t="s">
        <v>380</v>
      </c>
      <c r="F276" s="542"/>
      <c r="G276" s="543"/>
    </row>
    <row r="279" spans="1:7" hidden="1"/>
    <row r="280" spans="1:7" ht="19.5" hidden="1">
      <c r="A280" s="585" t="s">
        <v>200</v>
      </c>
      <c r="B280" s="585"/>
      <c r="C280" s="585"/>
      <c r="F280" s="585" t="s">
        <v>706</v>
      </c>
    </row>
    <row r="282" spans="1:7" ht="15.75">
      <c r="A282" s="722" t="s">
        <v>841</v>
      </c>
      <c r="B282" s="187"/>
      <c r="C282" s="187"/>
      <c r="D282" s="723"/>
      <c r="E282" s="724"/>
      <c r="F282" s="725"/>
      <c r="G282" s="726"/>
    </row>
    <row r="283" spans="1:7" ht="15.75">
      <c r="A283" s="722" t="s">
        <v>88</v>
      </c>
      <c r="B283" s="187"/>
      <c r="C283" s="187"/>
      <c r="D283" s="722"/>
      <c r="E283" s="722"/>
      <c r="G283" s="727" t="s">
        <v>842</v>
      </c>
    </row>
    <row r="284" spans="1:7" ht="15">
      <c r="A284" s="713"/>
      <c r="B284" s="714"/>
      <c r="C284" s="714"/>
      <c r="D284" s="714"/>
      <c r="E284" s="715"/>
      <c r="F284" s="715"/>
    </row>
    <row r="285" spans="1:7" ht="15">
      <c r="A285" s="716" t="s">
        <v>706</v>
      </c>
      <c r="B285" s="714"/>
      <c r="C285" s="714"/>
      <c r="D285" s="714"/>
      <c r="E285" s="715"/>
      <c r="F285" s="715"/>
    </row>
    <row r="286" spans="1:7" ht="15">
      <c r="A286" s="718" t="s">
        <v>843</v>
      </c>
      <c r="B286" s="714"/>
      <c r="C286" s="714"/>
      <c r="D286" s="714"/>
      <c r="E286" s="715"/>
      <c r="F286" s="715"/>
    </row>
    <row r="287" spans="1:7" ht="15">
      <c r="A287" s="719" t="s">
        <v>844</v>
      </c>
      <c r="B287" s="714"/>
      <c r="C287" s="714"/>
      <c r="D287" s="714"/>
      <c r="E287" s="715"/>
      <c r="F287" s="715"/>
    </row>
  </sheetData>
  <mergeCells count="2">
    <mergeCell ref="A1:G1"/>
    <mergeCell ref="B2:F2"/>
  </mergeCells>
  <pageMargins left="0.7" right="0.7" top="0.75" bottom="0.75" header="0.3" footer="0.3"/>
  <pageSetup paperSize="9" scale="70"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88"/>
  <sheetViews>
    <sheetView zoomScale="85" zoomScaleNormal="85" workbookViewId="0">
      <pane ySplit="4" topLeftCell="A216" activePane="bottomLeft" state="frozen"/>
      <selection activeCell="H271" sqref="H271"/>
      <selection pane="bottomLeft" activeCell="G249" sqref="G249:G261"/>
    </sheetView>
  </sheetViews>
  <sheetFormatPr defaultRowHeight="12.75"/>
  <cols>
    <col min="1" max="1" width="11" style="740" customWidth="1"/>
    <col min="2" max="2" width="60.5703125" style="739" customWidth="1"/>
    <col min="3" max="4" width="16.28515625" style="739" customWidth="1"/>
    <col min="5" max="7" width="16.28515625" style="741" customWidth="1"/>
    <col min="8" max="16384" width="9.140625" style="739"/>
  </cols>
  <sheetData>
    <row r="1" spans="1:7" ht="57" customHeight="1">
      <c r="A1" s="1161" t="s">
        <v>595</v>
      </c>
      <c r="B1" s="1161"/>
      <c r="C1" s="1161"/>
      <c r="D1" s="1161"/>
      <c r="E1" s="1161"/>
      <c r="F1" s="1161"/>
      <c r="G1" s="1161"/>
    </row>
    <row r="2" spans="1:7" ht="24.75" customHeight="1">
      <c r="B2" s="1162" t="s">
        <v>832</v>
      </c>
      <c r="C2" s="1162"/>
      <c r="D2" s="1162"/>
      <c r="E2" s="1162"/>
      <c r="F2" s="1162"/>
    </row>
    <row r="3" spans="1:7" ht="13.5" thickBot="1"/>
    <row r="4" spans="1:7" ht="75.75" thickBot="1">
      <c r="A4" s="742" t="s">
        <v>597</v>
      </c>
      <c r="B4" s="743" t="s">
        <v>598</v>
      </c>
      <c r="C4" s="743" t="s">
        <v>599</v>
      </c>
      <c r="D4" s="743" t="s">
        <v>600</v>
      </c>
      <c r="E4" s="744" t="s">
        <v>601</v>
      </c>
      <c r="F4" s="744" t="s">
        <v>602</v>
      </c>
      <c r="G4" s="744" t="s">
        <v>603</v>
      </c>
    </row>
    <row r="5" spans="1:7" ht="15.75" thickBot="1">
      <c r="A5" s="745">
        <v>1</v>
      </c>
      <c r="B5" s="746">
        <v>2</v>
      </c>
      <c r="C5" s="746">
        <v>3</v>
      </c>
      <c r="D5" s="746">
        <v>4</v>
      </c>
      <c r="E5" s="747">
        <v>5</v>
      </c>
      <c r="F5" s="747">
        <v>6</v>
      </c>
      <c r="G5" s="747">
        <v>7</v>
      </c>
    </row>
    <row r="6" spans="1:7" ht="15.75" thickBot="1">
      <c r="A6" s="748" t="s">
        <v>14</v>
      </c>
      <c r="B6" s="749" t="s">
        <v>379</v>
      </c>
      <c r="C6" s="750" t="s">
        <v>380</v>
      </c>
      <c r="D6" s="750" t="s">
        <v>380</v>
      </c>
      <c r="E6" s="751" t="s">
        <v>380</v>
      </c>
      <c r="F6" s="751" t="s">
        <v>380</v>
      </c>
      <c r="G6" s="752" t="s">
        <v>380</v>
      </c>
    </row>
    <row r="7" spans="1:7" s="759" customFormat="1" ht="15">
      <c r="A7" s="753" t="s">
        <v>381</v>
      </c>
      <c r="B7" s="754" t="s">
        <v>382</v>
      </c>
      <c r="C7" s="755" t="s">
        <v>380</v>
      </c>
      <c r="D7" s="755" t="s">
        <v>380</v>
      </c>
      <c r="E7" s="756" t="s">
        <v>380</v>
      </c>
      <c r="F7" s="757" t="s">
        <v>380</v>
      </c>
      <c r="G7" s="758" t="s">
        <v>380</v>
      </c>
    </row>
    <row r="8" spans="1:7" s="759" customFormat="1" ht="15">
      <c r="A8" s="760" t="s">
        <v>383</v>
      </c>
      <c r="B8" s="761" t="s">
        <v>384</v>
      </c>
      <c r="C8" s="762" t="s">
        <v>380</v>
      </c>
      <c r="D8" s="762" t="s">
        <v>380</v>
      </c>
      <c r="E8" s="763" t="s">
        <v>380</v>
      </c>
      <c r="F8" s="764" t="s">
        <v>380</v>
      </c>
      <c r="G8" s="765" t="s">
        <v>380</v>
      </c>
    </row>
    <row r="9" spans="1:7" s="759" customFormat="1" ht="15">
      <c r="A9" s="760" t="s">
        <v>385</v>
      </c>
      <c r="B9" s="761" t="s">
        <v>386</v>
      </c>
      <c r="C9" s="762" t="s">
        <v>380</v>
      </c>
      <c r="D9" s="762" t="s">
        <v>380</v>
      </c>
      <c r="E9" s="763" t="s">
        <v>380</v>
      </c>
      <c r="F9" s="764" t="s">
        <v>380</v>
      </c>
      <c r="G9" s="765" t="s">
        <v>380</v>
      </c>
    </row>
    <row r="10" spans="1:7" ht="15">
      <c r="A10" s="766" t="s">
        <v>579</v>
      </c>
      <c r="B10" s="767" t="s">
        <v>387</v>
      </c>
      <c r="C10" s="768">
        <v>2017</v>
      </c>
      <c r="D10" s="768">
        <v>35</v>
      </c>
      <c r="E10" s="769"/>
      <c r="F10" s="770"/>
      <c r="G10" s="771"/>
    </row>
    <row r="11" spans="1:7" ht="15">
      <c r="A11" s="772" t="s">
        <v>388</v>
      </c>
      <c r="B11" s="773" t="s">
        <v>389</v>
      </c>
      <c r="C11" s="774">
        <v>2017</v>
      </c>
      <c r="D11" s="774">
        <v>35</v>
      </c>
      <c r="E11" s="775">
        <v>23943</v>
      </c>
      <c r="F11" s="776">
        <v>5440</v>
      </c>
      <c r="G11" s="777">
        <v>155135.27314999999</v>
      </c>
    </row>
    <row r="12" spans="1:7" ht="15">
      <c r="A12" s="772" t="s">
        <v>390</v>
      </c>
      <c r="B12" s="773" t="s">
        <v>389</v>
      </c>
      <c r="C12" s="774">
        <v>2017</v>
      </c>
      <c r="D12" s="774">
        <v>110</v>
      </c>
      <c r="E12" s="775">
        <v>2710</v>
      </c>
      <c r="F12" s="776">
        <v>1050</v>
      </c>
      <c r="G12" s="777">
        <v>29885.17281</v>
      </c>
    </row>
    <row r="13" spans="1:7" ht="15.75" thickBot="1">
      <c r="A13" s="778" t="s">
        <v>391</v>
      </c>
      <c r="B13" s="779" t="s">
        <v>392</v>
      </c>
      <c r="C13" s="780">
        <v>2017</v>
      </c>
      <c r="D13" s="780">
        <v>110</v>
      </c>
      <c r="E13" s="781">
        <v>2960</v>
      </c>
      <c r="F13" s="782">
        <v>1790</v>
      </c>
      <c r="G13" s="783">
        <v>51288.42355</v>
      </c>
    </row>
    <row r="14" spans="1:7" s="759" customFormat="1" ht="15">
      <c r="A14" s="753" t="s">
        <v>393</v>
      </c>
      <c r="B14" s="754" t="s">
        <v>394</v>
      </c>
      <c r="C14" s="755" t="s">
        <v>380</v>
      </c>
      <c r="D14" s="755" t="s">
        <v>380</v>
      </c>
      <c r="E14" s="756" t="s">
        <v>380</v>
      </c>
      <c r="F14" s="757" t="s">
        <v>380</v>
      </c>
      <c r="G14" s="758" t="s">
        <v>380</v>
      </c>
    </row>
    <row r="15" spans="1:7" s="759" customFormat="1" ht="15">
      <c r="A15" s="760" t="s">
        <v>395</v>
      </c>
      <c r="B15" s="761" t="s">
        <v>396</v>
      </c>
      <c r="C15" s="762" t="s">
        <v>380</v>
      </c>
      <c r="D15" s="762" t="s">
        <v>380</v>
      </c>
      <c r="E15" s="763" t="s">
        <v>380</v>
      </c>
      <c r="F15" s="764" t="s">
        <v>380</v>
      </c>
      <c r="G15" s="765" t="s">
        <v>380</v>
      </c>
    </row>
    <row r="16" spans="1:7" s="759" customFormat="1" ht="15">
      <c r="A16" s="760" t="s">
        <v>397</v>
      </c>
      <c r="B16" s="761" t="s">
        <v>386</v>
      </c>
      <c r="C16" s="762" t="s">
        <v>380</v>
      </c>
      <c r="D16" s="784" t="s">
        <v>380</v>
      </c>
      <c r="E16" s="785" t="s">
        <v>380</v>
      </c>
      <c r="F16" s="764" t="s">
        <v>380</v>
      </c>
      <c r="G16" s="765" t="s">
        <v>380</v>
      </c>
    </row>
    <row r="17" spans="1:7" ht="15">
      <c r="A17" s="772" t="s">
        <v>398</v>
      </c>
      <c r="B17" s="773" t="s">
        <v>399</v>
      </c>
      <c r="C17" s="774">
        <v>2017</v>
      </c>
      <c r="D17" s="786">
        <v>0.4</v>
      </c>
      <c r="E17" s="787">
        <v>14693</v>
      </c>
      <c r="F17" s="776">
        <v>1966</v>
      </c>
      <c r="G17" s="777">
        <v>23590.20825</v>
      </c>
    </row>
    <row r="18" spans="1:7" ht="15">
      <c r="A18" s="772" t="s">
        <v>400</v>
      </c>
      <c r="B18" s="773" t="s">
        <v>399</v>
      </c>
      <c r="C18" s="774">
        <v>2017</v>
      </c>
      <c r="D18" s="786" t="s">
        <v>401</v>
      </c>
      <c r="E18" s="787">
        <v>5740</v>
      </c>
      <c r="F18" s="776">
        <v>906</v>
      </c>
      <c r="G18" s="777">
        <v>13865.630429999999</v>
      </c>
    </row>
    <row r="19" spans="1:7" ht="15">
      <c r="A19" s="772" t="s">
        <v>402</v>
      </c>
      <c r="B19" s="773" t="s">
        <v>387</v>
      </c>
      <c r="C19" s="774">
        <v>2017</v>
      </c>
      <c r="D19" s="786">
        <v>0.4</v>
      </c>
      <c r="E19" s="787">
        <v>12460</v>
      </c>
      <c r="F19" s="776">
        <v>1364</v>
      </c>
      <c r="G19" s="788">
        <v>21556.198820000001</v>
      </c>
    </row>
    <row r="20" spans="1:7" ht="15">
      <c r="A20" s="772" t="s">
        <v>402</v>
      </c>
      <c r="B20" s="773" t="s">
        <v>387</v>
      </c>
      <c r="C20" s="774">
        <v>2017</v>
      </c>
      <c r="D20" s="789" t="s">
        <v>401</v>
      </c>
      <c r="E20" s="790">
        <f>4083+4076+7839+7842+9638+9628+16158+16154</f>
        <v>75418</v>
      </c>
      <c r="F20" s="770">
        <v>4000</v>
      </c>
      <c r="G20" s="791">
        <v>58199.262040000001</v>
      </c>
    </row>
    <row r="21" spans="1:7" ht="15">
      <c r="A21" s="766" t="s">
        <v>403</v>
      </c>
      <c r="B21" s="767" t="s">
        <v>387</v>
      </c>
      <c r="C21" s="768">
        <v>2017</v>
      </c>
      <c r="D21" s="789" t="s">
        <v>401</v>
      </c>
      <c r="E21" s="790"/>
      <c r="F21" s="770"/>
      <c r="G21" s="791"/>
    </row>
    <row r="22" spans="1:7" ht="15">
      <c r="A22" s="766" t="s">
        <v>404</v>
      </c>
      <c r="B22" s="767" t="s">
        <v>387</v>
      </c>
      <c r="C22" s="768">
        <v>2017</v>
      </c>
      <c r="D22" s="789">
        <v>35</v>
      </c>
      <c r="E22" s="790"/>
      <c r="F22" s="770"/>
      <c r="G22" s="771"/>
    </row>
    <row r="23" spans="1:7" ht="15">
      <c r="A23" s="766" t="s">
        <v>405</v>
      </c>
      <c r="B23" s="767" t="s">
        <v>389</v>
      </c>
      <c r="C23" s="768">
        <v>2017</v>
      </c>
      <c r="D23" s="789">
        <v>0.4</v>
      </c>
      <c r="E23" s="790">
        <v>3388</v>
      </c>
      <c r="F23" s="770">
        <v>156</v>
      </c>
      <c r="G23" s="771">
        <v>4226.9267799999998</v>
      </c>
    </row>
    <row r="24" spans="1:7" ht="15">
      <c r="A24" s="766" t="s">
        <v>406</v>
      </c>
      <c r="B24" s="767" t="s">
        <v>389</v>
      </c>
      <c r="C24" s="768">
        <v>2017</v>
      </c>
      <c r="D24" s="789" t="s">
        <v>401</v>
      </c>
      <c r="E24" s="790"/>
      <c r="F24" s="770"/>
      <c r="G24" s="771"/>
    </row>
    <row r="25" spans="1:7" ht="15.75" thickBot="1">
      <c r="A25" s="766" t="s">
        <v>407</v>
      </c>
      <c r="B25" s="767" t="s">
        <v>389</v>
      </c>
      <c r="C25" s="768">
        <v>2017</v>
      </c>
      <c r="D25" s="789">
        <v>35</v>
      </c>
      <c r="E25" s="790"/>
      <c r="F25" s="770"/>
      <c r="G25" s="771"/>
    </row>
    <row r="26" spans="1:7" s="759" customFormat="1" ht="15">
      <c r="A26" s="753" t="s">
        <v>408</v>
      </c>
      <c r="B26" s="754" t="s">
        <v>384</v>
      </c>
      <c r="C26" s="755" t="s">
        <v>380</v>
      </c>
      <c r="D26" s="792" t="s">
        <v>380</v>
      </c>
      <c r="E26" s="793" t="s">
        <v>380</v>
      </c>
      <c r="F26" s="757" t="s">
        <v>380</v>
      </c>
      <c r="G26" s="758" t="s">
        <v>380</v>
      </c>
    </row>
    <row r="27" spans="1:7" s="759" customFormat="1" ht="15">
      <c r="A27" s="760" t="s">
        <v>409</v>
      </c>
      <c r="B27" s="761" t="s">
        <v>386</v>
      </c>
      <c r="C27" s="762" t="s">
        <v>380</v>
      </c>
      <c r="D27" s="784" t="s">
        <v>380</v>
      </c>
      <c r="E27" s="785" t="s">
        <v>380</v>
      </c>
      <c r="F27" s="764" t="s">
        <v>380</v>
      </c>
      <c r="G27" s="765" t="s">
        <v>380</v>
      </c>
    </row>
    <row r="28" spans="1:7" ht="15">
      <c r="A28" s="772" t="s">
        <v>410</v>
      </c>
      <c r="B28" s="773" t="s">
        <v>399</v>
      </c>
      <c r="C28" s="774">
        <v>2017</v>
      </c>
      <c r="D28" s="786">
        <v>0.4</v>
      </c>
      <c r="E28" s="787">
        <v>364</v>
      </c>
      <c r="F28" s="776">
        <v>55</v>
      </c>
      <c r="G28" s="777">
        <v>875.56434999999999</v>
      </c>
    </row>
    <row r="29" spans="1:7" ht="15">
      <c r="A29" s="772" t="s">
        <v>411</v>
      </c>
      <c r="B29" s="773" t="s">
        <v>399</v>
      </c>
      <c r="C29" s="774">
        <v>2017</v>
      </c>
      <c r="D29" s="786" t="s">
        <v>401</v>
      </c>
      <c r="E29" s="787">
        <v>29576</v>
      </c>
      <c r="F29" s="776">
        <v>1211</v>
      </c>
      <c r="G29" s="777">
        <v>38424.474289999998</v>
      </c>
    </row>
    <row r="30" spans="1:7" ht="15">
      <c r="A30" s="766" t="s">
        <v>412</v>
      </c>
      <c r="B30" s="767" t="s">
        <v>387</v>
      </c>
      <c r="C30" s="768">
        <v>2017</v>
      </c>
      <c r="D30" s="768">
        <v>35</v>
      </c>
      <c r="E30" s="769"/>
      <c r="F30" s="770"/>
      <c r="G30" s="771"/>
    </row>
    <row r="31" spans="1:7" ht="15.75" thickBot="1">
      <c r="A31" s="778" t="s">
        <v>413</v>
      </c>
      <c r="B31" s="779" t="s">
        <v>389</v>
      </c>
      <c r="C31" s="780">
        <v>2017</v>
      </c>
      <c r="D31" s="780">
        <v>35</v>
      </c>
      <c r="E31" s="781"/>
      <c r="F31" s="782"/>
      <c r="G31" s="783"/>
    </row>
    <row r="32" spans="1:7" s="759" customFormat="1" ht="15.75" thickBot="1">
      <c r="A32" s="794" t="s">
        <v>21</v>
      </c>
      <c r="B32" s="795" t="s">
        <v>604</v>
      </c>
      <c r="C32" s="796"/>
      <c r="D32" s="796"/>
      <c r="E32" s="797"/>
      <c r="F32" s="798"/>
      <c r="G32" s="799"/>
    </row>
    <row r="33" spans="1:7" ht="15">
      <c r="A33" s="772" t="s">
        <v>605</v>
      </c>
      <c r="B33" s="773" t="s">
        <v>821</v>
      </c>
      <c r="C33" s="768">
        <v>2017</v>
      </c>
      <c r="D33" s="774">
        <v>35</v>
      </c>
      <c r="E33" s="775">
        <v>23943</v>
      </c>
      <c r="F33" s="776">
        <v>5440</v>
      </c>
      <c r="G33" s="777">
        <v>155135.27314999999</v>
      </c>
    </row>
    <row r="34" spans="1:7" ht="15">
      <c r="A34" s="772" t="s">
        <v>607</v>
      </c>
      <c r="B34" s="773" t="s">
        <v>822</v>
      </c>
      <c r="C34" s="768">
        <v>2017</v>
      </c>
      <c r="D34" s="774">
        <v>110</v>
      </c>
      <c r="E34" s="775">
        <v>2710</v>
      </c>
      <c r="F34" s="776">
        <v>1050</v>
      </c>
      <c r="G34" s="777">
        <v>29885.17281</v>
      </c>
    </row>
    <row r="35" spans="1:7" ht="15">
      <c r="A35" s="766" t="s">
        <v>609</v>
      </c>
      <c r="B35" s="767" t="s">
        <v>823</v>
      </c>
      <c r="C35" s="768">
        <v>2017</v>
      </c>
      <c r="D35" s="768">
        <v>110</v>
      </c>
      <c r="E35" s="769">
        <v>2960</v>
      </c>
      <c r="F35" s="770">
        <v>1790</v>
      </c>
      <c r="G35" s="771">
        <v>51288.42355</v>
      </c>
    </row>
    <row r="36" spans="1:7" ht="15">
      <c r="A36" s="772" t="s">
        <v>610</v>
      </c>
      <c r="B36" s="767" t="s">
        <v>824</v>
      </c>
      <c r="C36" s="768">
        <v>2017</v>
      </c>
      <c r="D36" s="768">
        <v>10</v>
      </c>
      <c r="E36" s="769">
        <v>75418</v>
      </c>
      <c r="F36" s="770">
        <v>4000</v>
      </c>
      <c r="G36" s="771">
        <v>58199.262040000001</v>
      </c>
    </row>
    <row r="37" spans="1:7" ht="15">
      <c r="A37" s="772" t="s">
        <v>611</v>
      </c>
      <c r="B37" s="767" t="s">
        <v>738</v>
      </c>
      <c r="C37" s="768">
        <v>2017</v>
      </c>
      <c r="D37" s="768">
        <v>0.4</v>
      </c>
      <c r="E37" s="769">
        <f>E17+E19+E23+E28</f>
        <v>30905</v>
      </c>
      <c r="F37" s="770">
        <f t="shared" ref="F37:G37" si="0">F17+F19+F23+F28</f>
        <v>3541</v>
      </c>
      <c r="G37" s="771">
        <f t="shared" si="0"/>
        <v>50248.898200000003</v>
      </c>
    </row>
    <row r="38" spans="1:7" ht="15.75" thickBot="1">
      <c r="A38" s="766" t="s">
        <v>612</v>
      </c>
      <c r="B38" s="767" t="s">
        <v>738</v>
      </c>
      <c r="C38" s="768">
        <v>2017</v>
      </c>
      <c r="D38" s="768" t="s">
        <v>401</v>
      </c>
      <c r="E38" s="769">
        <f>E18+E29</f>
        <v>35316</v>
      </c>
      <c r="F38" s="770">
        <f>F18+F29</f>
        <v>2117</v>
      </c>
      <c r="G38" s="771">
        <f t="shared" ref="G38" si="1">G18+G29</f>
        <v>52290.104719999996</v>
      </c>
    </row>
    <row r="39" spans="1:7" ht="15.75" hidden="1" thickBot="1">
      <c r="A39" s="772" t="s">
        <v>613</v>
      </c>
      <c r="B39" s="767"/>
      <c r="C39" s="768">
        <v>2017</v>
      </c>
      <c r="D39" s="768"/>
      <c r="E39" s="769"/>
      <c r="F39" s="769"/>
      <c r="G39" s="771"/>
    </row>
    <row r="40" spans="1:7" ht="15.75" hidden="1" thickBot="1">
      <c r="A40" s="772" t="s">
        <v>614</v>
      </c>
      <c r="B40" s="767"/>
      <c r="C40" s="768">
        <v>2017</v>
      </c>
      <c r="D40" s="768"/>
      <c r="E40" s="769"/>
      <c r="F40" s="769"/>
      <c r="G40" s="771"/>
    </row>
    <row r="41" spans="1:7" ht="15.75" hidden="1" thickBot="1">
      <c r="A41" s="766" t="s">
        <v>615</v>
      </c>
      <c r="B41" s="767"/>
      <c r="C41" s="768">
        <v>2017</v>
      </c>
      <c r="D41" s="768"/>
      <c r="E41" s="769"/>
      <c r="F41" s="769"/>
      <c r="G41" s="771"/>
    </row>
    <row r="42" spans="1:7" ht="15.75" hidden="1" thickBot="1">
      <c r="A42" s="772" t="s">
        <v>616</v>
      </c>
      <c r="B42" s="767"/>
      <c r="C42" s="768">
        <v>2017</v>
      </c>
      <c r="D42" s="768"/>
      <c r="E42" s="769"/>
      <c r="F42" s="769"/>
      <c r="G42" s="771"/>
    </row>
    <row r="43" spans="1:7" ht="15.75" hidden="1" thickBot="1">
      <c r="A43" s="772" t="s">
        <v>617</v>
      </c>
      <c r="B43" s="767"/>
      <c r="C43" s="768">
        <v>2017</v>
      </c>
      <c r="D43" s="768"/>
      <c r="E43" s="769"/>
      <c r="F43" s="769"/>
      <c r="G43" s="771"/>
    </row>
    <row r="44" spans="1:7" ht="15.75" hidden="1" thickBot="1">
      <c r="A44" s="766" t="s">
        <v>618</v>
      </c>
      <c r="B44" s="767"/>
      <c r="C44" s="768">
        <v>2017</v>
      </c>
      <c r="D44" s="768"/>
      <c r="E44" s="769"/>
      <c r="F44" s="769"/>
      <c r="G44" s="771"/>
    </row>
    <row r="45" spans="1:7" ht="15.75" hidden="1" thickBot="1">
      <c r="A45" s="772" t="s">
        <v>619</v>
      </c>
      <c r="B45" s="767"/>
      <c r="C45" s="768">
        <v>2017</v>
      </c>
      <c r="D45" s="768"/>
      <c r="E45" s="769"/>
      <c r="F45" s="769"/>
      <c r="G45" s="771"/>
    </row>
    <row r="46" spans="1:7" ht="15.75" hidden="1" thickBot="1">
      <c r="A46" s="772" t="s">
        <v>620</v>
      </c>
      <c r="B46" s="767"/>
      <c r="C46" s="768">
        <v>2017</v>
      </c>
      <c r="D46" s="768"/>
      <c r="E46" s="769"/>
      <c r="F46" s="769"/>
      <c r="G46" s="771"/>
    </row>
    <row r="47" spans="1:7" ht="15.75" hidden="1" thickBot="1">
      <c r="A47" s="766" t="s">
        <v>621</v>
      </c>
      <c r="B47" s="767"/>
      <c r="C47" s="768">
        <v>2017</v>
      </c>
      <c r="D47" s="768"/>
      <c r="E47" s="769"/>
      <c r="F47" s="769"/>
      <c r="G47" s="771"/>
    </row>
    <row r="48" spans="1:7" s="759" customFormat="1" ht="15.75" thickBot="1">
      <c r="A48" s="748" t="s">
        <v>135</v>
      </c>
      <c r="B48" s="749" t="s">
        <v>414</v>
      </c>
      <c r="C48" s="750" t="s">
        <v>380</v>
      </c>
      <c r="D48" s="750" t="s">
        <v>380</v>
      </c>
      <c r="E48" s="751" t="s">
        <v>380</v>
      </c>
      <c r="F48" s="751" t="s">
        <v>380</v>
      </c>
      <c r="G48" s="752" t="s">
        <v>380</v>
      </c>
    </row>
    <row r="49" spans="1:7" s="759" customFormat="1" ht="15">
      <c r="A49" s="753" t="s">
        <v>167</v>
      </c>
      <c r="B49" s="754" t="s">
        <v>415</v>
      </c>
      <c r="C49" s="755" t="s">
        <v>380</v>
      </c>
      <c r="D49" s="755" t="s">
        <v>380</v>
      </c>
      <c r="E49" s="756" t="s">
        <v>380</v>
      </c>
      <c r="F49" s="756" t="s">
        <v>380</v>
      </c>
      <c r="G49" s="758" t="s">
        <v>380</v>
      </c>
    </row>
    <row r="50" spans="1:7" s="759" customFormat="1" ht="15">
      <c r="A50" s="760" t="s">
        <v>168</v>
      </c>
      <c r="B50" s="761" t="s">
        <v>416</v>
      </c>
      <c r="C50" s="762" t="s">
        <v>380</v>
      </c>
      <c r="D50" s="762" t="s">
        <v>380</v>
      </c>
      <c r="E50" s="763" t="s">
        <v>380</v>
      </c>
      <c r="F50" s="763" t="s">
        <v>380</v>
      </c>
      <c r="G50" s="765" t="s">
        <v>380</v>
      </c>
    </row>
    <row r="51" spans="1:7" s="759" customFormat="1" ht="15.75" thickBot="1">
      <c r="A51" s="760" t="s">
        <v>169</v>
      </c>
      <c r="B51" s="761" t="s">
        <v>417</v>
      </c>
      <c r="C51" s="762" t="s">
        <v>380</v>
      </c>
      <c r="D51" s="762" t="s">
        <v>380</v>
      </c>
      <c r="E51" s="763" t="s">
        <v>380</v>
      </c>
      <c r="F51" s="763" t="s">
        <v>380</v>
      </c>
      <c r="G51" s="765" t="s">
        <v>380</v>
      </c>
    </row>
    <row r="52" spans="1:7" ht="15.75" hidden="1" thickBot="1">
      <c r="A52" s="772" t="s">
        <v>418</v>
      </c>
      <c r="B52" s="773" t="s">
        <v>399</v>
      </c>
      <c r="C52" s="774">
        <v>2017</v>
      </c>
      <c r="D52" s="774" t="s">
        <v>401</v>
      </c>
      <c r="E52" s="775"/>
      <c r="F52" s="775"/>
      <c r="G52" s="777"/>
    </row>
    <row r="53" spans="1:7" ht="15.75" hidden="1" thickBot="1">
      <c r="A53" s="772" t="s">
        <v>419</v>
      </c>
      <c r="B53" s="773" t="s">
        <v>399</v>
      </c>
      <c r="C53" s="774">
        <v>2017</v>
      </c>
      <c r="D53" s="774">
        <v>35</v>
      </c>
      <c r="E53" s="775"/>
      <c r="F53" s="775"/>
      <c r="G53" s="777"/>
    </row>
    <row r="54" spans="1:7" ht="15.75" hidden="1" thickBot="1">
      <c r="A54" s="772" t="s">
        <v>420</v>
      </c>
      <c r="B54" s="773" t="s">
        <v>399</v>
      </c>
      <c r="C54" s="774">
        <v>2017</v>
      </c>
      <c r="D54" s="774">
        <v>110</v>
      </c>
      <c r="E54" s="775"/>
      <c r="F54" s="775"/>
      <c r="G54" s="777"/>
    </row>
    <row r="55" spans="1:7" ht="15.75" hidden="1" thickBot="1">
      <c r="A55" s="772" t="s">
        <v>421</v>
      </c>
      <c r="B55" s="773" t="s">
        <v>387</v>
      </c>
      <c r="C55" s="774">
        <v>2017</v>
      </c>
      <c r="D55" s="774" t="s">
        <v>401</v>
      </c>
      <c r="E55" s="775"/>
      <c r="F55" s="775"/>
      <c r="G55" s="777"/>
    </row>
    <row r="56" spans="1:7" ht="15.75" hidden="1" thickBot="1">
      <c r="A56" s="772" t="s">
        <v>422</v>
      </c>
      <c r="B56" s="773" t="s">
        <v>387</v>
      </c>
      <c r="C56" s="774">
        <v>2017</v>
      </c>
      <c r="D56" s="774">
        <v>35</v>
      </c>
      <c r="E56" s="775"/>
      <c r="F56" s="775"/>
      <c r="G56" s="777"/>
    </row>
    <row r="57" spans="1:7" ht="15.75" hidden="1" thickBot="1">
      <c r="A57" s="772" t="s">
        <v>423</v>
      </c>
      <c r="B57" s="773" t="s">
        <v>387</v>
      </c>
      <c r="C57" s="774">
        <v>2017</v>
      </c>
      <c r="D57" s="774">
        <v>110</v>
      </c>
      <c r="E57" s="775"/>
      <c r="F57" s="775"/>
      <c r="G57" s="777"/>
    </row>
    <row r="58" spans="1:7" ht="15.75" hidden="1" thickBot="1">
      <c r="A58" s="772" t="s">
        <v>424</v>
      </c>
      <c r="B58" s="773" t="s">
        <v>389</v>
      </c>
      <c r="C58" s="774">
        <v>2017</v>
      </c>
      <c r="D58" s="774" t="s">
        <v>401</v>
      </c>
      <c r="E58" s="775"/>
      <c r="F58" s="775"/>
      <c r="G58" s="777"/>
    </row>
    <row r="59" spans="1:7" ht="15.75" hidden="1" thickBot="1">
      <c r="A59" s="772" t="s">
        <v>425</v>
      </c>
      <c r="B59" s="773" t="s">
        <v>389</v>
      </c>
      <c r="C59" s="774">
        <v>2017</v>
      </c>
      <c r="D59" s="774">
        <v>35</v>
      </c>
      <c r="E59" s="775"/>
      <c r="F59" s="775"/>
      <c r="G59" s="777"/>
    </row>
    <row r="60" spans="1:7" ht="15.75" hidden="1" thickBot="1">
      <c r="A60" s="772" t="s">
        <v>426</v>
      </c>
      <c r="B60" s="773" t="s">
        <v>389</v>
      </c>
      <c r="C60" s="774">
        <v>2017</v>
      </c>
      <c r="D60" s="774">
        <v>110</v>
      </c>
      <c r="E60" s="775"/>
      <c r="F60" s="775"/>
      <c r="G60" s="777"/>
    </row>
    <row r="61" spans="1:7" ht="15.75" hidden="1" thickBot="1">
      <c r="A61" s="778" t="s">
        <v>427</v>
      </c>
      <c r="B61" s="779" t="s">
        <v>392</v>
      </c>
      <c r="C61" s="780">
        <v>2017</v>
      </c>
      <c r="D61" s="780">
        <v>110</v>
      </c>
      <c r="E61" s="781"/>
      <c r="F61" s="781"/>
      <c r="G61" s="783"/>
    </row>
    <row r="62" spans="1:7" s="759" customFormat="1" ht="15">
      <c r="A62" s="753" t="s">
        <v>428</v>
      </c>
      <c r="B62" s="754" t="s">
        <v>429</v>
      </c>
      <c r="C62" s="755" t="s">
        <v>380</v>
      </c>
      <c r="D62" s="755" t="s">
        <v>380</v>
      </c>
      <c r="E62" s="756" t="s">
        <v>380</v>
      </c>
      <c r="F62" s="756" t="s">
        <v>380</v>
      </c>
      <c r="G62" s="758" t="s">
        <v>380</v>
      </c>
    </row>
    <row r="63" spans="1:7" ht="15" hidden="1">
      <c r="A63" s="772" t="s">
        <v>430</v>
      </c>
      <c r="B63" s="773" t="s">
        <v>399</v>
      </c>
      <c r="C63" s="774">
        <v>2017</v>
      </c>
      <c r="D63" s="774" t="s">
        <v>401</v>
      </c>
      <c r="E63" s="775"/>
      <c r="F63" s="775"/>
      <c r="G63" s="777"/>
    </row>
    <row r="64" spans="1:7" ht="15" hidden="1">
      <c r="A64" s="772" t="s">
        <v>431</v>
      </c>
      <c r="B64" s="773" t="s">
        <v>399</v>
      </c>
      <c r="C64" s="774">
        <v>2017</v>
      </c>
      <c r="D64" s="774">
        <v>35</v>
      </c>
      <c r="E64" s="775"/>
      <c r="F64" s="775"/>
      <c r="G64" s="777"/>
    </row>
    <row r="65" spans="1:7" ht="15" hidden="1">
      <c r="A65" s="772" t="s">
        <v>432</v>
      </c>
      <c r="B65" s="773" t="s">
        <v>399</v>
      </c>
      <c r="C65" s="774">
        <v>2017</v>
      </c>
      <c r="D65" s="774">
        <v>110</v>
      </c>
      <c r="E65" s="775"/>
      <c r="F65" s="775"/>
      <c r="G65" s="777"/>
    </row>
    <row r="66" spans="1:7" ht="15" hidden="1">
      <c r="A66" s="772" t="s">
        <v>433</v>
      </c>
      <c r="B66" s="773" t="s">
        <v>387</v>
      </c>
      <c r="C66" s="774">
        <v>2017</v>
      </c>
      <c r="D66" s="774" t="s">
        <v>401</v>
      </c>
      <c r="E66" s="775"/>
      <c r="F66" s="775"/>
      <c r="G66" s="777"/>
    </row>
    <row r="67" spans="1:7" ht="15" hidden="1">
      <c r="A67" s="772" t="s">
        <v>434</v>
      </c>
      <c r="B67" s="773" t="s">
        <v>387</v>
      </c>
      <c r="C67" s="774">
        <v>2017</v>
      </c>
      <c r="D67" s="774">
        <v>35</v>
      </c>
      <c r="E67" s="775"/>
      <c r="F67" s="775"/>
      <c r="G67" s="777"/>
    </row>
    <row r="68" spans="1:7" ht="15" hidden="1">
      <c r="A68" s="772" t="s">
        <v>435</v>
      </c>
      <c r="B68" s="773" t="s">
        <v>387</v>
      </c>
      <c r="C68" s="774">
        <v>2017</v>
      </c>
      <c r="D68" s="774">
        <v>110</v>
      </c>
      <c r="E68" s="775"/>
      <c r="F68" s="775"/>
      <c r="G68" s="777"/>
    </row>
    <row r="69" spans="1:7" ht="15" hidden="1">
      <c r="A69" s="772" t="s">
        <v>436</v>
      </c>
      <c r="B69" s="773" t="s">
        <v>389</v>
      </c>
      <c r="C69" s="774">
        <v>2017</v>
      </c>
      <c r="D69" s="774" t="s">
        <v>401</v>
      </c>
      <c r="E69" s="775"/>
      <c r="F69" s="775"/>
      <c r="G69" s="777"/>
    </row>
    <row r="70" spans="1:7" ht="15" hidden="1">
      <c r="A70" s="772" t="s">
        <v>437</v>
      </c>
      <c r="B70" s="773" t="s">
        <v>389</v>
      </c>
      <c r="C70" s="774">
        <v>2017</v>
      </c>
      <c r="D70" s="774">
        <v>35</v>
      </c>
      <c r="E70" s="775"/>
      <c r="F70" s="775"/>
      <c r="G70" s="777"/>
    </row>
    <row r="71" spans="1:7" ht="15" hidden="1">
      <c r="A71" s="772" t="s">
        <v>438</v>
      </c>
      <c r="B71" s="773" t="s">
        <v>389</v>
      </c>
      <c r="C71" s="774">
        <v>2017</v>
      </c>
      <c r="D71" s="774">
        <v>110</v>
      </c>
      <c r="E71" s="775"/>
      <c r="F71" s="775"/>
      <c r="G71" s="777"/>
    </row>
    <row r="72" spans="1:7" ht="15.75" hidden="1" thickBot="1">
      <c r="A72" s="778" t="s">
        <v>439</v>
      </c>
      <c r="B72" s="779" t="s">
        <v>392</v>
      </c>
      <c r="C72" s="780">
        <v>2017</v>
      </c>
      <c r="D72" s="780">
        <v>110</v>
      </c>
      <c r="E72" s="781"/>
      <c r="F72" s="781"/>
      <c r="G72" s="783"/>
    </row>
    <row r="73" spans="1:7" s="759" customFormat="1" ht="15">
      <c r="A73" s="760" t="s">
        <v>170</v>
      </c>
      <c r="B73" s="761" t="s">
        <v>440</v>
      </c>
      <c r="C73" s="762" t="s">
        <v>380</v>
      </c>
      <c r="D73" s="762" t="s">
        <v>380</v>
      </c>
      <c r="E73" s="763" t="s">
        <v>380</v>
      </c>
      <c r="F73" s="763" t="s">
        <v>380</v>
      </c>
      <c r="G73" s="765" t="s">
        <v>380</v>
      </c>
    </row>
    <row r="74" spans="1:7" s="759" customFormat="1" ht="15.75" thickBot="1">
      <c r="A74" s="760" t="s">
        <v>171</v>
      </c>
      <c r="B74" s="761" t="s">
        <v>417</v>
      </c>
      <c r="C74" s="762" t="s">
        <v>380</v>
      </c>
      <c r="D74" s="762" t="s">
        <v>380</v>
      </c>
      <c r="E74" s="763" t="s">
        <v>380</v>
      </c>
      <c r="F74" s="763" t="s">
        <v>380</v>
      </c>
      <c r="G74" s="765" t="s">
        <v>380</v>
      </c>
    </row>
    <row r="75" spans="1:7" ht="15.75" hidden="1" thickBot="1">
      <c r="A75" s="772" t="s">
        <v>441</v>
      </c>
      <c r="B75" s="773" t="s">
        <v>399</v>
      </c>
      <c r="C75" s="774">
        <v>2017</v>
      </c>
      <c r="D75" s="774">
        <v>0.4</v>
      </c>
      <c r="E75" s="775"/>
      <c r="F75" s="775"/>
      <c r="G75" s="777"/>
    </row>
    <row r="76" spans="1:7" ht="15.75" hidden="1" thickBot="1">
      <c r="A76" s="772" t="s">
        <v>442</v>
      </c>
      <c r="B76" s="773" t="s">
        <v>399</v>
      </c>
      <c r="C76" s="774">
        <v>2017</v>
      </c>
      <c r="D76" s="774" t="s">
        <v>401</v>
      </c>
      <c r="E76" s="775"/>
      <c r="F76" s="775"/>
      <c r="G76" s="777"/>
    </row>
    <row r="77" spans="1:7" ht="15.75" hidden="1" thickBot="1">
      <c r="A77" s="772" t="s">
        <v>443</v>
      </c>
      <c r="B77" s="773" t="s">
        <v>399</v>
      </c>
      <c r="C77" s="774">
        <v>2017</v>
      </c>
      <c r="D77" s="774">
        <v>35</v>
      </c>
      <c r="E77" s="775"/>
      <c r="F77" s="775"/>
      <c r="G77" s="777"/>
    </row>
    <row r="78" spans="1:7" ht="15.75" hidden="1" thickBot="1">
      <c r="A78" s="772" t="s">
        <v>444</v>
      </c>
      <c r="B78" s="773" t="s">
        <v>399</v>
      </c>
      <c r="C78" s="774">
        <v>2017</v>
      </c>
      <c r="D78" s="774">
        <v>110</v>
      </c>
      <c r="E78" s="775"/>
      <c r="F78" s="775"/>
      <c r="G78" s="777"/>
    </row>
    <row r="79" spans="1:7" ht="15.75" hidden="1" thickBot="1">
      <c r="A79" s="772" t="s">
        <v>445</v>
      </c>
      <c r="B79" s="773" t="s">
        <v>387</v>
      </c>
      <c r="C79" s="774">
        <v>2017</v>
      </c>
      <c r="D79" s="774">
        <v>0.4</v>
      </c>
      <c r="E79" s="775"/>
      <c r="F79" s="775"/>
      <c r="G79" s="777"/>
    </row>
    <row r="80" spans="1:7" ht="15.75" hidden="1" thickBot="1">
      <c r="A80" s="772" t="s">
        <v>446</v>
      </c>
      <c r="B80" s="773" t="s">
        <v>387</v>
      </c>
      <c r="C80" s="774">
        <v>2017</v>
      </c>
      <c r="D80" s="774" t="s">
        <v>401</v>
      </c>
      <c r="E80" s="775"/>
      <c r="F80" s="775"/>
      <c r="G80" s="777"/>
    </row>
    <row r="81" spans="1:7" ht="15.75" hidden="1" thickBot="1">
      <c r="A81" s="772" t="s">
        <v>447</v>
      </c>
      <c r="B81" s="773" t="s">
        <v>387</v>
      </c>
      <c r="C81" s="774">
        <v>2017</v>
      </c>
      <c r="D81" s="774">
        <v>35</v>
      </c>
      <c r="E81" s="775"/>
      <c r="F81" s="775"/>
      <c r="G81" s="777"/>
    </row>
    <row r="82" spans="1:7" ht="15.75" hidden="1" thickBot="1">
      <c r="A82" s="772" t="s">
        <v>448</v>
      </c>
      <c r="B82" s="773" t="s">
        <v>387</v>
      </c>
      <c r="C82" s="774">
        <v>2017</v>
      </c>
      <c r="D82" s="774">
        <v>110</v>
      </c>
      <c r="E82" s="775"/>
      <c r="F82" s="775"/>
      <c r="G82" s="777"/>
    </row>
    <row r="83" spans="1:7" ht="15.75" hidden="1" thickBot="1">
      <c r="A83" s="772" t="s">
        <v>449</v>
      </c>
      <c r="B83" s="773" t="s">
        <v>389</v>
      </c>
      <c r="C83" s="774">
        <v>2017</v>
      </c>
      <c r="D83" s="774">
        <v>0.4</v>
      </c>
      <c r="E83" s="775"/>
      <c r="F83" s="775"/>
      <c r="G83" s="777"/>
    </row>
    <row r="84" spans="1:7" ht="15.75" hidden="1" thickBot="1">
      <c r="A84" s="772" t="s">
        <v>450</v>
      </c>
      <c r="B84" s="773" t="s">
        <v>389</v>
      </c>
      <c r="C84" s="774">
        <v>2017</v>
      </c>
      <c r="D84" s="774" t="s">
        <v>401</v>
      </c>
      <c r="E84" s="775"/>
      <c r="F84" s="775"/>
      <c r="G84" s="777"/>
    </row>
    <row r="85" spans="1:7" ht="15.75" hidden="1" thickBot="1">
      <c r="A85" s="772" t="s">
        <v>451</v>
      </c>
      <c r="B85" s="773" t="s">
        <v>389</v>
      </c>
      <c r="C85" s="774">
        <v>2017</v>
      </c>
      <c r="D85" s="774">
        <v>35</v>
      </c>
      <c r="E85" s="775"/>
      <c r="F85" s="775"/>
      <c r="G85" s="777"/>
    </row>
    <row r="86" spans="1:7" ht="15.75" hidden="1" thickBot="1">
      <c r="A86" s="772" t="s">
        <v>452</v>
      </c>
      <c r="B86" s="773" t="s">
        <v>389</v>
      </c>
      <c r="C86" s="774">
        <v>2017</v>
      </c>
      <c r="D86" s="774">
        <v>110</v>
      </c>
      <c r="E86" s="775"/>
      <c r="F86" s="775"/>
      <c r="G86" s="777"/>
    </row>
    <row r="87" spans="1:7" ht="15.75" hidden="1" thickBot="1">
      <c r="A87" s="778" t="s">
        <v>453</v>
      </c>
      <c r="B87" s="779" t="s">
        <v>392</v>
      </c>
      <c r="C87" s="780">
        <v>2017</v>
      </c>
      <c r="D87" s="780">
        <v>110</v>
      </c>
      <c r="E87" s="781"/>
      <c r="F87" s="781"/>
      <c r="G87" s="783"/>
    </row>
    <row r="88" spans="1:7" s="759" customFormat="1" ht="15">
      <c r="A88" s="753" t="s">
        <v>172</v>
      </c>
      <c r="B88" s="754" t="s">
        <v>429</v>
      </c>
      <c r="C88" s="755" t="s">
        <v>380</v>
      </c>
      <c r="D88" s="755" t="s">
        <v>380</v>
      </c>
      <c r="E88" s="756" t="s">
        <v>380</v>
      </c>
      <c r="F88" s="756" t="s">
        <v>380</v>
      </c>
      <c r="G88" s="758" t="s">
        <v>380</v>
      </c>
    </row>
    <row r="89" spans="1:7" ht="15">
      <c r="A89" s="772" t="s">
        <v>455</v>
      </c>
      <c r="B89" s="773" t="s">
        <v>399</v>
      </c>
      <c r="C89" s="774">
        <v>2017</v>
      </c>
      <c r="D89" s="774">
        <v>0.4</v>
      </c>
      <c r="E89" s="775"/>
      <c r="F89" s="775"/>
      <c r="G89" s="777"/>
    </row>
    <row r="90" spans="1:7" ht="15" hidden="1">
      <c r="A90" s="772" t="s">
        <v>456</v>
      </c>
      <c r="B90" s="773" t="s">
        <v>399</v>
      </c>
      <c r="C90" s="774">
        <v>2017</v>
      </c>
      <c r="D90" s="774" t="s">
        <v>401</v>
      </c>
      <c r="E90" s="775"/>
      <c r="F90" s="775"/>
      <c r="G90" s="777"/>
    </row>
    <row r="91" spans="1:7" ht="15" hidden="1">
      <c r="A91" s="772" t="s">
        <v>457</v>
      </c>
      <c r="B91" s="773" t="s">
        <v>399</v>
      </c>
      <c r="C91" s="774">
        <v>2017</v>
      </c>
      <c r="D91" s="774">
        <v>35</v>
      </c>
      <c r="E91" s="775"/>
      <c r="F91" s="775"/>
      <c r="G91" s="777"/>
    </row>
    <row r="92" spans="1:7" ht="15" hidden="1">
      <c r="A92" s="772" t="s">
        <v>458</v>
      </c>
      <c r="B92" s="773" t="s">
        <v>399</v>
      </c>
      <c r="C92" s="774">
        <v>2017</v>
      </c>
      <c r="D92" s="774">
        <v>110</v>
      </c>
      <c r="E92" s="775"/>
      <c r="F92" s="775"/>
      <c r="G92" s="777"/>
    </row>
    <row r="93" spans="1:7" ht="15" hidden="1">
      <c r="A93" s="772" t="s">
        <v>459</v>
      </c>
      <c r="B93" s="773" t="s">
        <v>387</v>
      </c>
      <c r="C93" s="774">
        <v>2017</v>
      </c>
      <c r="D93" s="774">
        <v>0.4</v>
      </c>
      <c r="E93" s="775"/>
      <c r="F93" s="775"/>
      <c r="G93" s="777"/>
    </row>
    <row r="94" spans="1:7" ht="15" hidden="1">
      <c r="A94" s="772" t="s">
        <v>460</v>
      </c>
      <c r="B94" s="773" t="s">
        <v>387</v>
      </c>
      <c r="C94" s="774">
        <v>2017</v>
      </c>
      <c r="D94" s="774" t="s">
        <v>401</v>
      </c>
      <c r="E94" s="775"/>
      <c r="F94" s="775"/>
      <c r="G94" s="777"/>
    </row>
    <row r="95" spans="1:7" ht="15" hidden="1">
      <c r="A95" s="772" t="s">
        <v>461</v>
      </c>
      <c r="B95" s="773" t="s">
        <v>387</v>
      </c>
      <c r="C95" s="774">
        <v>2017</v>
      </c>
      <c r="D95" s="774">
        <v>35</v>
      </c>
      <c r="E95" s="775"/>
      <c r="F95" s="775"/>
      <c r="G95" s="777"/>
    </row>
    <row r="96" spans="1:7" ht="15" hidden="1">
      <c r="A96" s="772" t="s">
        <v>462</v>
      </c>
      <c r="B96" s="773" t="s">
        <v>387</v>
      </c>
      <c r="C96" s="774">
        <v>2017</v>
      </c>
      <c r="D96" s="774">
        <v>110</v>
      </c>
      <c r="E96" s="775"/>
      <c r="F96" s="775"/>
      <c r="G96" s="777"/>
    </row>
    <row r="97" spans="1:7" ht="15" hidden="1">
      <c r="A97" s="772" t="s">
        <v>463</v>
      </c>
      <c r="B97" s="773" t="s">
        <v>389</v>
      </c>
      <c r="C97" s="774">
        <v>2017</v>
      </c>
      <c r="D97" s="774">
        <v>0.4</v>
      </c>
      <c r="E97" s="775"/>
      <c r="F97" s="775"/>
      <c r="G97" s="777"/>
    </row>
    <row r="98" spans="1:7" ht="15" hidden="1">
      <c r="A98" s="772" t="s">
        <v>464</v>
      </c>
      <c r="B98" s="773" t="s">
        <v>389</v>
      </c>
      <c r="C98" s="774">
        <v>2017</v>
      </c>
      <c r="D98" s="774" t="s">
        <v>401</v>
      </c>
      <c r="E98" s="775"/>
      <c r="F98" s="775"/>
      <c r="G98" s="777"/>
    </row>
    <row r="99" spans="1:7" ht="15" hidden="1">
      <c r="A99" s="772" t="s">
        <v>465</v>
      </c>
      <c r="B99" s="773" t="s">
        <v>389</v>
      </c>
      <c r="C99" s="774">
        <v>2017</v>
      </c>
      <c r="D99" s="774">
        <v>35</v>
      </c>
      <c r="E99" s="775"/>
      <c r="F99" s="775"/>
      <c r="G99" s="777"/>
    </row>
    <row r="100" spans="1:7" ht="15" hidden="1">
      <c r="A100" s="772" t="s">
        <v>466</v>
      </c>
      <c r="B100" s="773" t="s">
        <v>389</v>
      </c>
      <c r="C100" s="774">
        <v>2017</v>
      </c>
      <c r="D100" s="774">
        <v>110</v>
      </c>
      <c r="E100" s="775"/>
      <c r="F100" s="775"/>
      <c r="G100" s="777"/>
    </row>
    <row r="101" spans="1:7" ht="15" hidden="1">
      <c r="A101" s="772" t="s">
        <v>467</v>
      </c>
      <c r="B101" s="773" t="s">
        <v>392</v>
      </c>
      <c r="C101" s="774">
        <v>2017</v>
      </c>
      <c r="D101" s="774">
        <v>110</v>
      </c>
      <c r="E101" s="775"/>
      <c r="F101" s="775"/>
      <c r="G101" s="777"/>
    </row>
    <row r="102" spans="1:7" ht="15.75" thickBot="1">
      <c r="A102" s="772" t="s">
        <v>467</v>
      </c>
      <c r="B102" s="773" t="s">
        <v>392</v>
      </c>
      <c r="C102" s="786">
        <v>2017</v>
      </c>
      <c r="D102" s="800">
        <v>10</v>
      </c>
      <c r="E102" s="801">
        <f>1036+1036</f>
        <v>2072</v>
      </c>
      <c r="F102" s="802">
        <v>1090</v>
      </c>
      <c r="G102" s="803">
        <v>31440.027699999999</v>
      </c>
    </row>
    <row r="103" spans="1:7" s="759" customFormat="1" ht="15">
      <c r="A103" s="753" t="s">
        <v>173</v>
      </c>
      <c r="B103" s="754" t="s">
        <v>468</v>
      </c>
      <c r="C103" s="755" t="s">
        <v>380</v>
      </c>
      <c r="D103" s="755" t="s">
        <v>380</v>
      </c>
      <c r="E103" s="756" t="s">
        <v>380</v>
      </c>
      <c r="F103" s="756" t="s">
        <v>380</v>
      </c>
      <c r="G103" s="758" t="s">
        <v>380</v>
      </c>
    </row>
    <row r="104" spans="1:7" s="759" customFormat="1" ht="15">
      <c r="A104" s="760" t="s">
        <v>174</v>
      </c>
      <c r="B104" s="761" t="s">
        <v>416</v>
      </c>
      <c r="C104" s="762" t="s">
        <v>380</v>
      </c>
      <c r="D104" s="762" t="s">
        <v>380</v>
      </c>
      <c r="E104" s="763" t="s">
        <v>380</v>
      </c>
      <c r="F104" s="763" t="s">
        <v>380</v>
      </c>
      <c r="G104" s="765" t="s">
        <v>380</v>
      </c>
    </row>
    <row r="105" spans="1:7" s="759" customFormat="1" ht="15.75" thickBot="1">
      <c r="A105" s="760" t="s">
        <v>175</v>
      </c>
      <c r="B105" s="761" t="s">
        <v>417</v>
      </c>
      <c r="C105" s="762" t="s">
        <v>380</v>
      </c>
      <c r="D105" s="762" t="s">
        <v>380</v>
      </c>
      <c r="E105" s="763" t="s">
        <v>380</v>
      </c>
      <c r="F105" s="763" t="s">
        <v>380</v>
      </c>
      <c r="G105" s="765" t="s">
        <v>380</v>
      </c>
    </row>
    <row r="106" spans="1:7" ht="15.75" hidden="1" thickBot="1">
      <c r="A106" s="772" t="s">
        <v>469</v>
      </c>
      <c r="B106" s="773" t="s">
        <v>399</v>
      </c>
      <c r="C106" s="774">
        <v>2017</v>
      </c>
      <c r="D106" s="774" t="s">
        <v>401</v>
      </c>
      <c r="E106" s="775"/>
      <c r="F106" s="775"/>
      <c r="G106" s="777"/>
    </row>
    <row r="107" spans="1:7" ht="15.75" hidden="1" thickBot="1">
      <c r="A107" s="772" t="s">
        <v>470</v>
      </c>
      <c r="B107" s="773" t="s">
        <v>399</v>
      </c>
      <c r="C107" s="774">
        <v>2017</v>
      </c>
      <c r="D107" s="774">
        <v>35</v>
      </c>
      <c r="E107" s="775"/>
      <c r="F107" s="775"/>
      <c r="G107" s="777"/>
    </row>
    <row r="108" spans="1:7" ht="15.75" hidden="1" thickBot="1">
      <c r="A108" s="772" t="s">
        <v>471</v>
      </c>
      <c r="B108" s="773" t="s">
        <v>399</v>
      </c>
      <c r="C108" s="774">
        <v>2017</v>
      </c>
      <c r="D108" s="774">
        <v>110</v>
      </c>
      <c r="E108" s="775"/>
      <c r="F108" s="775"/>
      <c r="G108" s="777"/>
    </row>
    <row r="109" spans="1:7" ht="15.75" hidden="1" thickBot="1">
      <c r="A109" s="772" t="s">
        <v>472</v>
      </c>
      <c r="B109" s="773" t="s">
        <v>387</v>
      </c>
      <c r="C109" s="774">
        <v>2017</v>
      </c>
      <c r="D109" s="774" t="s">
        <v>401</v>
      </c>
      <c r="E109" s="775"/>
      <c r="F109" s="775"/>
      <c r="G109" s="777"/>
    </row>
    <row r="110" spans="1:7" ht="15.75" hidden="1" thickBot="1">
      <c r="A110" s="772" t="s">
        <v>473</v>
      </c>
      <c r="B110" s="773" t="s">
        <v>387</v>
      </c>
      <c r="C110" s="774">
        <v>2017</v>
      </c>
      <c r="D110" s="774">
        <v>35</v>
      </c>
      <c r="E110" s="775"/>
      <c r="F110" s="775"/>
      <c r="G110" s="777"/>
    </row>
    <row r="111" spans="1:7" ht="15.75" hidden="1" thickBot="1">
      <c r="A111" s="772" t="s">
        <v>474</v>
      </c>
      <c r="B111" s="773" t="s">
        <v>387</v>
      </c>
      <c r="C111" s="774">
        <v>2017</v>
      </c>
      <c r="D111" s="774">
        <v>110</v>
      </c>
      <c r="E111" s="775"/>
      <c r="F111" s="775"/>
      <c r="G111" s="777"/>
    </row>
    <row r="112" spans="1:7" ht="15.75" hidden="1" thickBot="1">
      <c r="A112" s="772" t="s">
        <v>475</v>
      </c>
      <c r="B112" s="773" t="s">
        <v>389</v>
      </c>
      <c r="C112" s="774">
        <v>2017</v>
      </c>
      <c r="D112" s="774" t="s">
        <v>401</v>
      </c>
      <c r="E112" s="775"/>
      <c r="F112" s="775"/>
      <c r="G112" s="777"/>
    </row>
    <row r="113" spans="1:7" ht="15.75" hidden="1" thickBot="1">
      <c r="A113" s="772" t="s">
        <v>476</v>
      </c>
      <c r="B113" s="773" t="s">
        <v>389</v>
      </c>
      <c r="C113" s="774">
        <v>2017</v>
      </c>
      <c r="D113" s="774">
        <v>35</v>
      </c>
      <c r="E113" s="775"/>
      <c r="F113" s="775"/>
      <c r="G113" s="777"/>
    </row>
    <row r="114" spans="1:7" ht="15.75" hidden="1" thickBot="1">
      <c r="A114" s="772" t="s">
        <v>477</v>
      </c>
      <c r="B114" s="773" t="s">
        <v>389</v>
      </c>
      <c r="C114" s="774">
        <v>2017</v>
      </c>
      <c r="D114" s="774">
        <v>110</v>
      </c>
      <c r="E114" s="775"/>
      <c r="F114" s="775"/>
      <c r="G114" s="777"/>
    </row>
    <row r="115" spans="1:7" ht="15.75" hidden="1" thickBot="1">
      <c r="A115" s="778" t="s">
        <v>478</v>
      </c>
      <c r="B115" s="779" t="s">
        <v>392</v>
      </c>
      <c r="C115" s="780">
        <v>2017</v>
      </c>
      <c r="D115" s="780">
        <v>110</v>
      </c>
      <c r="E115" s="781"/>
      <c r="F115" s="781"/>
      <c r="G115" s="783"/>
    </row>
    <row r="116" spans="1:7" s="759" customFormat="1" ht="15">
      <c r="A116" s="753" t="s">
        <v>176</v>
      </c>
      <c r="B116" s="754" t="s">
        <v>429</v>
      </c>
      <c r="C116" s="755" t="s">
        <v>380</v>
      </c>
      <c r="D116" s="755" t="s">
        <v>380</v>
      </c>
      <c r="E116" s="756" t="s">
        <v>380</v>
      </c>
      <c r="F116" s="756" t="s">
        <v>380</v>
      </c>
      <c r="G116" s="758" t="s">
        <v>380</v>
      </c>
    </row>
    <row r="117" spans="1:7" ht="15" hidden="1">
      <c r="A117" s="772" t="s">
        <v>480</v>
      </c>
      <c r="B117" s="773" t="s">
        <v>399</v>
      </c>
      <c r="C117" s="774">
        <v>2017</v>
      </c>
      <c r="D117" s="774" t="s">
        <v>401</v>
      </c>
      <c r="E117" s="775"/>
      <c r="F117" s="775"/>
      <c r="G117" s="777"/>
    </row>
    <row r="118" spans="1:7" ht="15" hidden="1">
      <c r="A118" s="772" t="s">
        <v>481</v>
      </c>
      <c r="B118" s="773" t="s">
        <v>399</v>
      </c>
      <c r="C118" s="774">
        <v>2017</v>
      </c>
      <c r="D118" s="774">
        <v>35</v>
      </c>
      <c r="E118" s="775"/>
      <c r="F118" s="775"/>
      <c r="G118" s="777"/>
    </row>
    <row r="119" spans="1:7" ht="15" hidden="1">
      <c r="A119" s="772" t="s">
        <v>482</v>
      </c>
      <c r="B119" s="773" t="s">
        <v>399</v>
      </c>
      <c r="C119" s="774">
        <v>2017</v>
      </c>
      <c r="D119" s="774">
        <v>110</v>
      </c>
      <c r="E119" s="775"/>
      <c r="F119" s="775"/>
      <c r="G119" s="777"/>
    </row>
    <row r="120" spans="1:7" ht="15" hidden="1">
      <c r="A120" s="772" t="s">
        <v>483</v>
      </c>
      <c r="B120" s="773" t="s">
        <v>387</v>
      </c>
      <c r="C120" s="774">
        <v>2017</v>
      </c>
      <c r="D120" s="774" t="s">
        <v>401</v>
      </c>
      <c r="E120" s="775"/>
      <c r="F120" s="775"/>
      <c r="G120" s="777"/>
    </row>
    <row r="121" spans="1:7" ht="15" hidden="1">
      <c r="A121" s="772" t="s">
        <v>484</v>
      </c>
      <c r="B121" s="773" t="s">
        <v>387</v>
      </c>
      <c r="C121" s="774">
        <v>2017</v>
      </c>
      <c r="D121" s="774">
        <v>35</v>
      </c>
      <c r="E121" s="775"/>
      <c r="F121" s="775"/>
      <c r="G121" s="777"/>
    </row>
    <row r="122" spans="1:7" ht="15" hidden="1">
      <c r="A122" s="772" t="s">
        <v>485</v>
      </c>
      <c r="B122" s="773" t="s">
        <v>387</v>
      </c>
      <c r="C122" s="774">
        <v>2017</v>
      </c>
      <c r="D122" s="774">
        <v>110</v>
      </c>
      <c r="E122" s="775"/>
      <c r="F122" s="775"/>
      <c r="G122" s="777"/>
    </row>
    <row r="123" spans="1:7" ht="15" hidden="1">
      <c r="A123" s="772" t="s">
        <v>486</v>
      </c>
      <c r="B123" s="773" t="s">
        <v>389</v>
      </c>
      <c r="C123" s="774">
        <v>2017</v>
      </c>
      <c r="D123" s="774" t="s">
        <v>401</v>
      </c>
      <c r="E123" s="775"/>
      <c r="F123" s="775"/>
      <c r="G123" s="777"/>
    </row>
    <row r="124" spans="1:7" ht="15" hidden="1">
      <c r="A124" s="772" t="s">
        <v>487</v>
      </c>
      <c r="B124" s="773" t="s">
        <v>389</v>
      </c>
      <c r="C124" s="774">
        <v>2017</v>
      </c>
      <c r="D124" s="774">
        <v>35</v>
      </c>
      <c r="E124" s="775"/>
      <c r="F124" s="775"/>
      <c r="G124" s="777"/>
    </row>
    <row r="125" spans="1:7" ht="15" hidden="1">
      <c r="A125" s="772" t="s">
        <v>488</v>
      </c>
      <c r="B125" s="773" t="s">
        <v>389</v>
      </c>
      <c r="C125" s="774">
        <v>2017</v>
      </c>
      <c r="D125" s="774">
        <v>110</v>
      </c>
      <c r="E125" s="775"/>
      <c r="F125" s="775"/>
      <c r="G125" s="777"/>
    </row>
    <row r="126" spans="1:7" ht="15.75" hidden="1" thickBot="1">
      <c r="A126" s="778" t="s">
        <v>489</v>
      </c>
      <c r="B126" s="779" t="s">
        <v>392</v>
      </c>
      <c r="C126" s="780">
        <v>2017</v>
      </c>
      <c r="D126" s="780">
        <v>110</v>
      </c>
      <c r="E126" s="781"/>
      <c r="F126" s="781"/>
      <c r="G126" s="783"/>
    </row>
    <row r="127" spans="1:7" s="759" customFormat="1" ht="15">
      <c r="A127" s="760" t="s">
        <v>177</v>
      </c>
      <c r="B127" s="761" t="s">
        <v>440</v>
      </c>
      <c r="C127" s="762" t="s">
        <v>380</v>
      </c>
      <c r="D127" s="762" t="s">
        <v>380</v>
      </c>
      <c r="E127" s="763" t="s">
        <v>380</v>
      </c>
      <c r="F127" s="763" t="s">
        <v>380</v>
      </c>
      <c r="G127" s="765" t="s">
        <v>380</v>
      </c>
    </row>
    <row r="128" spans="1:7" s="759" customFormat="1" ht="15.75" thickBot="1">
      <c r="A128" s="760" t="s">
        <v>178</v>
      </c>
      <c r="B128" s="761" t="s">
        <v>417</v>
      </c>
      <c r="C128" s="762" t="s">
        <v>380</v>
      </c>
      <c r="D128" s="762" t="s">
        <v>380</v>
      </c>
      <c r="E128" s="763" t="s">
        <v>380</v>
      </c>
      <c r="F128" s="763" t="s">
        <v>380</v>
      </c>
      <c r="G128" s="765" t="s">
        <v>380</v>
      </c>
    </row>
    <row r="129" spans="1:7" ht="15.75" hidden="1" thickBot="1">
      <c r="A129" s="772" t="s">
        <v>490</v>
      </c>
      <c r="B129" s="773" t="s">
        <v>399</v>
      </c>
      <c r="C129" s="774">
        <v>2017</v>
      </c>
      <c r="D129" s="774" t="s">
        <v>401</v>
      </c>
      <c r="E129" s="775"/>
      <c r="F129" s="775"/>
      <c r="G129" s="777"/>
    </row>
    <row r="130" spans="1:7" ht="15.75" hidden="1" thickBot="1">
      <c r="A130" s="772" t="s">
        <v>491</v>
      </c>
      <c r="B130" s="773" t="s">
        <v>399</v>
      </c>
      <c r="C130" s="774">
        <v>2017</v>
      </c>
      <c r="D130" s="774">
        <v>35</v>
      </c>
      <c r="E130" s="775"/>
      <c r="F130" s="775"/>
      <c r="G130" s="777"/>
    </row>
    <row r="131" spans="1:7" ht="15.75" hidden="1" thickBot="1">
      <c r="A131" s="772" t="s">
        <v>492</v>
      </c>
      <c r="B131" s="773" t="s">
        <v>399</v>
      </c>
      <c r="C131" s="774">
        <v>2017</v>
      </c>
      <c r="D131" s="774">
        <v>110</v>
      </c>
      <c r="E131" s="775"/>
      <c r="F131" s="775"/>
      <c r="G131" s="777"/>
    </row>
    <row r="132" spans="1:7" ht="15.75" hidden="1" thickBot="1">
      <c r="A132" s="772" t="s">
        <v>493</v>
      </c>
      <c r="B132" s="773" t="s">
        <v>387</v>
      </c>
      <c r="C132" s="774">
        <v>2017</v>
      </c>
      <c r="D132" s="774" t="s">
        <v>401</v>
      </c>
      <c r="E132" s="775"/>
      <c r="F132" s="775"/>
      <c r="G132" s="777"/>
    </row>
    <row r="133" spans="1:7" ht="15.75" hidden="1" thickBot="1">
      <c r="A133" s="772" t="s">
        <v>494</v>
      </c>
      <c r="B133" s="773" t="s">
        <v>387</v>
      </c>
      <c r="C133" s="774">
        <v>2017</v>
      </c>
      <c r="D133" s="774">
        <v>35</v>
      </c>
      <c r="E133" s="775"/>
      <c r="F133" s="775"/>
      <c r="G133" s="777"/>
    </row>
    <row r="134" spans="1:7" ht="15.75" hidden="1" thickBot="1">
      <c r="A134" s="772" t="s">
        <v>495</v>
      </c>
      <c r="B134" s="773" t="s">
        <v>387</v>
      </c>
      <c r="C134" s="774">
        <v>2017</v>
      </c>
      <c r="D134" s="774">
        <v>110</v>
      </c>
      <c r="E134" s="775"/>
      <c r="F134" s="775"/>
      <c r="G134" s="777"/>
    </row>
    <row r="135" spans="1:7" ht="15.75" hidden="1" thickBot="1">
      <c r="A135" s="772" t="s">
        <v>496</v>
      </c>
      <c r="B135" s="773" t="s">
        <v>389</v>
      </c>
      <c r="C135" s="774">
        <v>2017</v>
      </c>
      <c r="D135" s="774" t="s">
        <v>401</v>
      </c>
      <c r="E135" s="775"/>
      <c r="F135" s="775"/>
      <c r="G135" s="777"/>
    </row>
    <row r="136" spans="1:7" ht="15.75" hidden="1" thickBot="1">
      <c r="A136" s="772" t="s">
        <v>497</v>
      </c>
      <c r="B136" s="773" t="s">
        <v>389</v>
      </c>
      <c r="C136" s="774">
        <v>2017</v>
      </c>
      <c r="D136" s="774">
        <v>35</v>
      </c>
      <c r="E136" s="775"/>
      <c r="F136" s="775"/>
      <c r="G136" s="777"/>
    </row>
    <row r="137" spans="1:7" ht="15.75" hidden="1" thickBot="1">
      <c r="A137" s="772" t="s">
        <v>498</v>
      </c>
      <c r="B137" s="773" t="s">
        <v>389</v>
      </c>
      <c r="C137" s="774">
        <v>2017</v>
      </c>
      <c r="D137" s="774">
        <v>110</v>
      </c>
      <c r="E137" s="775"/>
      <c r="F137" s="775"/>
      <c r="G137" s="777"/>
    </row>
    <row r="138" spans="1:7" ht="15.75" hidden="1" thickBot="1">
      <c r="A138" s="778" t="s">
        <v>499</v>
      </c>
      <c r="B138" s="779" t="s">
        <v>392</v>
      </c>
      <c r="C138" s="780">
        <v>2017</v>
      </c>
      <c r="D138" s="780">
        <v>110</v>
      </c>
      <c r="E138" s="781"/>
      <c r="F138" s="781"/>
      <c r="G138" s="783"/>
    </row>
    <row r="139" spans="1:7" s="759" customFormat="1" ht="15.75" thickBot="1">
      <c r="A139" s="753" t="s">
        <v>179</v>
      </c>
      <c r="B139" s="754" t="s">
        <v>429</v>
      </c>
      <c r="C139" s="755" t="s">
        <v>380</v>
      </c>
      <c r="D139" s="755" t="s">
        <v>380</v>
      </c>
      <c r="E139" s="756" t="s">
        <v>380</v>
      </c>
      <c r="F139" s="756" t="s">
        <v>380</v>
      </c>
      <c r="G139" s="758" t="s">
        <v>380</v>
      </c>
    </row>
    <row r="140" spans="1:7" ht="15.75" hidden="1" thickBot="1">
      <c r="A140" s="772" t="s">
        <v>500</v>
      </c>
      <c r="B140" s="773" t="s">
        <v>399</v>
      </c>
      <c r="C140" s="774">
        <v>2017</v>
      </c>
      <c r="D140" s="774" t="s">
        <v>401</v>
      </c>
      <c r="E140" s="775"/>
      <c r="F140" s="775"/>
      <c r="G140" s="777"/>
    </row>
    <row r="141" spans="1:7" ht="15.75" hidden="1" thickBot="1">
      <c r="A141" s="772" t="s">
        <v>501</v>
      </c>
      <c r="B141" s="773" t="s">
        <v>399</v>
      </c>
      <c r="C141" s="774">
        <v>2017</v>
      </c>
      <c r="D141" s="774">
        <v>35</v>
      </c>
      <c r="E141" s="775"/>
      <c r="F141" s="775"/>
      <c r="G141" s="777"/>
    </row>
    <row r="142" spans="1:7" ht="15.75" hidden="1" thickBot="1">
      <c r="A142" s="772" t="s">
        <v>502</v>
      </c>
      <c r="B142" s="773" t="s">
        <v>399</v>
      </c>
      <c r="C142" s="774">
        <v>2017</v>
      </c>
      <c r="D142" s="774">
        <v>110</v>
      </c>
      <c r="E142" s="775"/>
      <c r="F142" s="775"/>
      <c r="G142" s="777"/>
    </row>
    <row r="143" spans="1:7" ht="15.75" hidden="1" thickBot="1">
      <c r="A143" s="772" t="s">
        <v>503</v>
      </c>
      <c r="B143" s="773" t="s">
        <v>387</v>
      </c>
      <c r="C143" s="774">
        <v>2017</v>
      </c>
      <c r="D143" s="774" t="s">
        <v>401</v>
      </c>
      <c r="E143" s="775"/>
      <c r="F143" s="775"/>
      <c r="G143" s="777"/>
    </row>
    <row r="144" spans="1:7" ht="15.75" hidden="1" thickBot="1">
      <c r="A144" s="772" t="s">
        <v>504</v>
      </c>
      <c r="B144" s="773" t="s">
        <v>387</v>
      </c>
      <c r="C144" s="774">
        <v>2017</v>
      </c>
      <c r="D144" s="774">
        <v>35</v>
      </c>
      <c r="E144" s="775"/>
      <c r="F144" s="775"/>
      <c r="G144" s="777"/>
    </row>
    <row r="145" spans="1:7" ht="15.75" hidden="1" thickBot="1">
      <c r="A145" s="772" t="s">
        <v>505</v>
      </c>
      <c r="B145" s="773" t="s">
        <v>387</v>
      </c>
      <c r="C145" s="774">
        <v>2017</v>
      </c>
      <c r="D145" s="774">
        <v>110</v>
      </c>
      <c r="E145" s="775"/>
      <c r="F145" s="775"/>
      <c r="G145" s="777"/>
    </row>
    <row r="146" spans="1:7" ht="15.75" hidden="1" thickBot="1">
      <c r="A146" s="772" t="s">
        <v>506</v>
      </c>
      <c r="B146" s="773" t="s">
        <v>389</v>
      </c>
      <c r="C146" s="774">
        <v>2017</v>
      </c>
      <c r="D146" s="774" t="s">
        <v>401</v>
      </c>
      <c r="E146" s="775"/>
      <c r="F146" s="775"/>
      <c r="G146" s="777"/>
    </row>
    <row r="147" spans="1:7" ht="15.75" hidden="1" thickBot="1">
      <c r="A147" s="772" t="s">
        <v>507</v>
      </c>
      <c r="B147" s="773" t="s">
        <v>389</v>
      </c>
      <c r="C147" s="774">
        <v>2017</v>
      </c>
      <c r="D147" s="774">
        <v>35</v>
      </c>
      <c r="E147" s="775"/>
      <c r="F147" s="775"/>
      <c r="G147" s="777"/>
    </row>
    <row r="148" spans="1:7" ht="15.75" hidden="1" thickBot="1">
      <c r="A148" s="772" t="s">
        <v>508</v>
      </c>
      <c r="B148" s="773" t="s">
        <v>389</v>
      </c>
      <c r="C148" s="774">
        <v>2017</v>
      </c>
      <c r="D148" s="774">
        <v>110</v>
      </c>
      <c r="E148" s="775"/>
      <c r="F148" s="775"/>
      <c r="G148" s="777"/>
    </row>
    <row r="149" spans="1:7" ht="15.75" hidden="1" thickBot="1">
      <c r="A149" s="778" t="s">
        <v>509</v>
      </c>
      <c r="B149" s="779" t="s">
        <v>392</v>
      </c>
      <c r="C149" s="780">
        <v>2017</v>
      </c>
      <c r="D149" s="780">
        <v>110</v>
      </c>
      <c r="E149" s="781"/>
      <c r="F149" s="781"/>
      <c r="G149" s="783"/>
    </row>
    <row r="150" spans="1:7" s="759" customFormat="1" ht="30">
      <c r="A150" s="753" t="s">
        <v>180</v>
      </c>
      <c r="B150" s="754" t="s">
        <v>510</v>
      </c>
      <c r="C150" s="755" t="s">
        <v>380</v>
      </c>
      <c r="D150" s="755" t="s">
        <v>380</v>
      </c>
      <c r="E150" s="756" t="s">
        <v>380</v>
      </c>
      <c r="F150" s="756" t="s">
        <v>380</v>
      </c>
      <c r="G150" s="758" t="s">
        <v>380</v>
      </c>
    </row>
    <row r="151" spans="1:7" s="759" customFormat="1" ht="15">
      <c r="A151" s="760" t="s">
        <v>181</v>
      </c>
      <c r="B151" s="761" t="s">
        <v>440</v>
      </c>
      <c r="C151" s="762" t="s">
        <v>380</v>
      </c>
      <c r="D151" s="762" t="s">
        <v>380</v>
      </c>
      <c r="E151" s="763" t="s">
        <v>380</v>
      </c>
      <c r="F151" s="763" t="s">
        <v>380</v>
      </c>
      <c r="G151" s="765" t="s">
        <v>380</v>
      </c>
    </row>
    <row r="152" spans="1:7" s="759" customFormat="1" ht="15">
      <c r="A152" s="760" t="s">
        <v>511</v>
      </c>
      <c r="B152" s="761" t="s">
        <v>417</v>
      </c>
      <c r="C152" s="762" t="s">
        <v>380</v>
      </c>
      <c r="D152" s="762" t="s">
        <v>380</v>
      </c>
      <c r="E152" s="763" t="s">
        <v>380</v>
      </c>
      <c r="F152" s="763" t="s">
        <v>380</v>
      </c>
      <c r="G152" s="765" t="s">
        <v>380</v>
      </c>
    </row>
    <row r="153" spans="1:7" ht="15" hidden="1">
      <c r="A153" s="772" t="s">
        <v>512</v>
      </c>
      <c r="B153" s="773" t="s">
        <v>392</v>
      </c>
      <c r="C153" s="774">
        <v>2017</v>
      </c>
      <c r="D153" s="774" t="s">
        <v>401</v>
      </c>
      <c r="E153" s="775"/>
      <c r="F153" s="775"/>
      <c r="G153" s="777"/>
    </row>
    <row r="154" spans="1:7" ht="15" hidden="1">
      <c r="A154" s="772" t="s">
        <v>513</v>
      </c>
      <c r="B154" s="773" t="s">
        <v>392</v>
      </c>
      <c r="C154" s="774">
        <v>2017</v>
      </c>
      <c r="D154" s="774">
        <v>35</v>
      </c>
      <c r="E154" s="775"/>
      <c r="F154" s="775"/>
      <c r="G154" s="777"/>
    </row>
    <row r="155" spans="1:7" ht="15" hidden="1">
      <c r="A155" s="772" t="s">
        <v>514</v>
      </c>
      <c r="B155" s="773" t="s">
        <v>392</v>
      </c>
      <c r="C155" s="774">
        <v>2017</v>
      </c>
      <c r="D155" s="774">
        <v>110</v>
      </c>
      <c r="E155" s="775"/>
      <c r="F155" s="775"/>
      <c r="G155" s="777"/>
    </row>
    <row r="156" spans="1:7" s="759" customFormat="1" ht="15.75" thickBot="1">
      <c r="A156" s="760" t="s">
        <v>515</v>
      </c>
      <c r="B156" s="761" t="s">
        <v>429</v>
      </c>
      <c r="C156" s="762" t="s">
        <v>380</v>
      </c>
      <c r="D156" s="762" t="s">
        <v>380</v>
      </c>
      <c r="E156" s="763" t="s">
        <v>380</v>
      </c>
      <c r="F156" s="763" t="s">
        <v>380</v>
      </c>
      <c r="G156" s="765" t="s">
        <v>380</v>
      </c>
    </row>
    <row r="157" spans="1:7" ht="15.75" hidden="1" thickBot="1">
      <c r="A157" s="772" t="s">
        <v>516</v>
      </c>
      <c r="B157" s="773" t="s">
        <v>392</v>
      </c>
      <c r="C157" s="774">
        <v>2017</v>
      </c>
      <c r="D157" s="774" t="s">
        <v>401</v>
      </c>
      <c r="E157" s="775"/>
      <c r="F157" s="775"/>
      <c r="G157" s="777"/>
    </row>
    <row r="158" spans="1:7" ht="15.75" hidden="1" thickBot="1">
      <c r="A158" s="772" t="s">
        <v>517</v>
      </c>
      <c r="B158" s="773" t="s">
        <v>392</v>
      </c>
      <c r="C158" s="774">
        <v>2017</v>
      </c>
      <c r="D158" s="774">
        <v>35</v>
      </c>
      <c r="E158" s="775"/>
      <c r="F158" s="775"/>
      <c r="G158" s="777"/>
    </row>
    <row r="159" spans="1:7" ht="15.75" hidden="1" thickBot="1">
      <c r="A159" s="772" t="s">
        <v>518</v>
      </c>
      <c r="B159" s="773" t="s">
        <v>392</v>
      </c>
      <c r="C159" s="774">
        <v>2017</v>
      </c>
      <c r="D159" s="774">
        <v>110</v>
      </c>
      <c r="E159" s="775"/>
      <c r="F159" s="775"/>
      <c r="G159" s="777"/>
    </row>
    <row r="160" spans="1:7" s="759" customFormat="1" ht="15.75" thickBot="1">
      <c r="A160" s="794" t="s">
        <v>182</v>
      </c>
      <c r="B160" s="795" t="s">
        <v>604</v>
      </c>
      <c r="C160" s="796"/>
      <c r="D160" s="796"/>
      <c r="E160" s="797"/>
      <c r="F160" s="797"/>
      <c r="G160" s="799"/>
    </row>
    <row r="161" spans="1:7" ht="15.75" thickBot="1">
      <c r="A161" s="772" t="s">
        <v>183</v>
      </c>
      <c r="B161" s="773" t="s">
        <v>824</v>
      </c>
      <c r="C161" s="774">
        <v>2017</v>
      </c>
      <c r="D161" s="774">
        <v>10</v>
      </c>
      <c r="E161" s="775">
        <v>2072</v>
      </c>
      <c r="F161" s="776">
        <v>1090</v>
      </c>
      <c r="G161" s="777">
        <v>31440.027699999999</v>
      </c>
    </row>
    <row r="162" spans="1:7" ht="15.75" hidden="1" thickBot="1">
      <c r="A162" s="772" t="s">
        <v>184</v>
      </c>
      <c r="B162" s="773"/>
      <c r="C162" s="774">
        <v>2017</v>
      </c>
      <c r="D162" s="774"/>
      <c r="E162" s="775"/>
      <c r="F162" s="775"/>
      <c r="G162" s="777"/>
    </row>
    <row r="163" spans="1:7" ht="15.75" hidden="1" thickBot="1">
      <c r="A163" s="766" t="s">
        <v>624</v>
      </c>
      <c r="B163" s="767"/>
      <c r="C163" s="768">
        <v>2017</v>
      </c>
      <c r="D163" s="768"/>
      <c r="E163" s="769"/>
      <c r="F163" s="769"/>
      <c r="G163" s="771"/>
    </row>
    <row r="164" spans="1:7" ht="15.75" hidden="1" thickBot="1">
      <c r="A164" s="772" t="s">
        <v>185</v>
      </c>
      <c r="B164" s="767"/>
      <c r="C164" s="768">
        <v>2017</v>
      </c>
      <c r="D164" s="768"/>
      <c r="E164" s="769"/>
      <c r="F164" s="769"/>
      <c r="G164" s="771"/>
    </row>
    <row r="165" spans="1:7" ht="15.75" hidden="1" thickBot="1">
      <c r="A165" s="772" t="s">
        <v>628</v>
      </c>
      <c r="B165" s="767"/>
      <c r="C165" s="768">
        <v>2017</v>
      </c>
      <c r="D165" s="768"/>
      <c r="E165" s="769"/>
      <c r="F165" s="769"/>
      <c r="G165" s="771"/>
    </row>
    <row r="166" spans="1:7" ht="15.75" hidden="1" thickBot="1">
      <c r="A166" s="766" t="s">
        <v>186</v>
      </c>
      <c r="B166" s="767"/>
      <c r="C166" s="768">
        <v>2017</v>
      </c>
      <c r="D166" s="768"/>
      <c r="E166" s="769"/>
      <c r="F166" s="769"/>
      <c r="G166" s="771"/>
    </row>
    <row r="167" spans="1:7" ht="15.75" hidden="1" thickBot="1">
      <c r="A167" s="772" t="s">
        <v>187</v>
      </c>
      <c r="B167" s="767"/>
      <c r="C167" s="768">
        <v>2017</v>
      </c>
      <c r="D167" s="768"/>
      <c r="E167" s="769"/>
      <c r="F167" s="769"/>
      <c r="G167" s="771"/>
    </row>
    <row r="168" spans="1:7" ht="15.75" hidden="1" thickBot="1">
      <c r="A168" s="772" t="s">
        <v>188</v>
      </c>
      <c r="B168" s="767"/>
      <c r="C168" s="768">
        <v>2017</v>
      </c>
      <c r="D168" s="768"/>
      <c r="E168" s="769"/>
      <c r="F168" s="769"/>
      <c r="G168" s="771"/>
    </row>
    <row r="169" spans="1:7" ht="15.75" hidden="1" thickBot="1">
      <c r="A169" s="766" t="s">
        <v>189</v>
      </c>
      <c r="B169" s="767"/>
      <c r="C169" s="768">
        <v>2017</v>
      </c>
      <c r="D169" s="768"/>
      <c r="E169" s="769"/>
      <c r="F169" s="769"/>
      <c r="G169" s="771"/>
    </row>
    <row r="170" spans="1:7" ht="15.75" hidden="1" thickBot="1">
      <c r="A170" s="772" t="s">
        <v>190</v>
      </c>
      <c r="B170" s="767"/>
      <c r="C170" s="768">
        <v>2017</v>
      </c>
      <c r="D170" s="768"/>
      <c r="E170" s="769"/>
      <c r="F170" s="769"/>
      <c r="G170" s="771"/>
    </row>
    <row r="171" spans="1:7" s="759" customFormat="1" ht="15.75" thickBot="1">
      <c r="A171" s="748" t="s">
        <v>191</v>
      </c>
      <c r="B171" s="749" t="s">
        <v>519</v>
      </c>
      <c r="C171" s="750" t="s">
        <v>380</v>
      </c>
      <c r="D171" s="750" t="s">
        <v>380</v>
      </c>
      <c r="E171" s="751" t="s">
        <v>380</v>
      </c>
      <c r="F171" s="751" t="s">
        <v>380</v>
      </c>
      <c r="G171" s="752" t="s">
        <v>380</v>
      </c>
    </row>
    <row r="172" spans="1:7" s="759" customFormat="1" ht="15">
      <c r="A172" s="804" t="s">
        <v>192</v>
      </c>
      <c r="B172" s="805" t="s">
        <v>520</v>
      </c>
      <c r="C172" s="806" t="s">
        <v>380</v>
      </c>
      <c r="D172" s="806" t="s">
        <v>380</v>
      </c>
      <c r="E172" s="807" t="s">
        <v>380</v>
      </c>
      <c r="F172" s="807" t="s">
        <v>380</v>
      </c>
      <c r="G172" s="808" t="s">
        <v>380</v>
      </c>
    </row>
    <row r="173" spans="1:7" ht="15">
      <c r="A173" s="766" t="s">
        <v>193</v>
      </c>
      <c r="B173" s="767" t="s">
        <v>521</v>
      </c>
      <c r="C173" s="768">
        <v>2017</v>
      </c>
      <c r="D173" s="768" t="s">
        <v>401</v>
      </c>
      <c r="E173" s="769"/>
      <c r="F173" s="769"/>
      <c r="G173" s="771"/>
    </row>
    <row r="174" spans="1:7" ht="15.75" thickBot="1">
      <c r="A174" s="778" t="s">
        <v>194</v>
      </c>
      <c r="B174" s="779" t="s">
        <v>521</v>
      </c>
      <c r="C174" s="780">
        <v>2017</v>
      </c>
      <c r="D174" s="780">
        <v>35</v>
      </c>
      <c r="E174" s="781"/>
      <c r="F174" s="781"/>
      <c r="G174" s="783"/>
    </row>
    <row r="175" spans="1:7" s="759" customFormat="1" ht="15">
      <c r="A175" s="809" t="s">
        <v>195</v>
      </c>
      <c r="B175" s="810" t="s">
        <v>522</v>
      </c>
      <c r="C175" s="811" t="s">
        <v>380</v>
      </c>
      <c r="D175" s="811" t="s">
        <v>380</v>
      </c>
      <c r="E175" s="812" t="s">
        <v>380</v>
      </c>
      <c r="F175" s="812" t="s">
        <v>380</v>
      </c>
      <c r="G175" s="813" t="s">
        <v>380</v>
      </c>
    </row>
    <row r="176" spans="1:7" ht="15">
      <c r="A176" s="766" t="s">
        <v>196</v>
      </c>
      <c r="B176" s="767" t="s">
        <v>523</v>
      </c>
      <c r="C176" s="768">
        <v>2017</v>
      </c>
      <c r="D176" s="768" t="s">
        <v>401</v>
      </c>
      <c r="E176" s="769"/>
      <c r="F176" s="769"/>
      <c r="G176" s="771"/>
    </row>
    <row r="177" spans="1:7" ht="15.75" thickBot="1">
      <c r="A177" s="778" t="s">
        <v>197</v>
      </c>
      <c r="B177" s="779" t="s">
        <v>524</v>
      </c>
      <c r="C177" s="780">
        <v>2017</v>
      </c>
      <c r="D177" s="780" t="s">
        <v>401</v>
      </c>
      <c r="E177" s="781"/>
      <c r="F177" s="781"/>
      <c r="G177" s="783"/>
    </row>
    <row r="178" spans="1:7" s="759" customFormat="1" ht="15.75" hidden="1" thickBot="1">
      <c r="A178" s="794" t="s">
        <v>631</v>
      </c>
      <c r="B178" s="795" t="s">
        <v>604</v>
      </c>
      <c r="C178" s="796"/>
      <c r="D178" s="796"/>
      <c r="E178" s="797"/>
      <c r="F178" s="797"/>
      <c r="G178" s="799"/>
    </row>
    <row r="179" spans="1:7" ht="15.75" hidden="1" thickBot="1">
      <c r="A179" s="772" t="s">
        <v>632</v>
      </c>
      <c r="B179" s="773"/>
      <c r="C179" s="774">
        <v>2017</v>
      </c>
      <c r="D179" s="774"/>
      <c r="E179" s="775"/>
      <c r="F179" s="775"/>
      <c r="G179" s="777"/>
    </row>
    <row r="180" spans="1:7" ht="15.75" hidden="1" thickBot="1">
      <c r="A180" s="772" t="s">
        <v>633</v>
      </c>
      <c r="B180" s="773"/>
      <c r="C180" s="774">
        <v>2017</v>
      </c>
      <c r="D180" s="774"/>
      <c r="E180" s="775"/>
      <c r="F180" s="775"/>
      <c r="G180" s="777"/>
    </row>
    <row r="181" spans="1:7" ht="15.75" hidden="1" thickBot="1">
      <c r="A181" s="766" t="s">
        <v>634</v>
      </c>
      <c r="B181" s="767"/>
      <c r="C181" s="768">
        <v>2017</v>
      </c>
      <c r="D181" s="768"/>
      <c r="E181" s="769"/>
      <c r="F181" s="769"/>
      <c r="G181" s="771"/>
    </row>
    <row r="182" spans="1:7" ht="15.75" hidden="1" thickBot="1">
      <c r="A182" s="772" t="s">
        <v>635</v>
      </c>
      <c r="B182" s="767"/>
      <c r="C182" s="768">
        <v>2017</v>
      </c>
      <c r="D182" s="768"/>
      <c r="E182" s="769"/>
      <c r="F182" s="769"/>
      <c r="G182" s="771"/>
    </row>
    <row r="183" spans="1:7" ht="15.75" hidden="1" thickBot="1">
      <c r="A183" s="772" t="s">
        <v>636</v>
      </c>
      <c r="B183" s="767"/>
      <c r="C183" s="768">
        <v>2017</v>
      </c>
      <c r="D183" s="768"/>
      <c r="E183" s="769"/>
      <c r="F183" s="769"/>
      <c r="G183" s="771"/>
    </row>
    <row r="184" spans="1:7" s="759" customFormat="1" ht="45.75" thickBot="1">
      <c r="A184" s="748" t="s">
        <v>198</v>
      </c>
      <c r="B184" s="749" t="s">
        <v>525</v>
      </c>
      <c r="C184" s="750" t="s">
        <v>380</v>
      </c>
      <c r="D184" s="750" t="s">
        <v>380</v>
      </c>
      <c r="E184" s="751" t="s">
        <v>380</v>
      </c>
      <c r="F184" s="751" t="s">
        <v>380</v>
      </c>
      <c r="G184" s="752" t="s">
        <v>380</v>
      </c>
    </row>
    <row r="185" spans="1:7" s="759" customFormat="1" ht="30.75" thickBot="1">
      <c r="A185" s="794" t="s">
        <v>199</v>
      </c>
      <c r="B185" s="814" t="s">
        <v>526</v>
      </c>
      <c r="C185" s="815" t="s">
        <v>380</v>
      </c>
      <c r="D185" s="815" t="s">
        <v>380</v>
      </c>
      <c r="E185" s="816" t="s">
        <v>380</v>
      </c>
      <c r="F185" s="816" t="s">
        <v>380</v>
      </c>
      <c r="G185" s="817" t="s">
        <v>380</v>
      </c>
    </row>
    <row r="186" spans="1:7" s="759" customFormat="1" ht="15.75" thickBot="1">
      <c r="A186" s="794" t="s">
        <v>527</v>
      </c>
      <c r="B186" s="814" t="s">
        <v>528</v>
      </c>
      <c r="C186" s="815" t="s">
        <v>380</v>
      </c>
      <c r="D186" s="815" t="s">
        <v>380</v>
      </c>
      <c r="E186" s="816" t="s">
        <v>380</v>
      </c>
      <c r="F186" s="816" t="s">
        <v>380</v>
      </c>
      <c r="G186" s="817" t="s">
        <v>380</v>
      </c>
    </row>
    <row r="187" spans="1:7" ht="15">
      <c r="A187" s="818" t="s">
        <v>529</v>
      </c>
      <c r="B187" s="819" t="s">
        <v>530</v>
      </c>
      <c r="C187" s="820">
        <v>2017</v>
      </c>
      <c r="D187" s="820" t="s">
        <v>531</v>
      </c>
      <c r="E187" s="821" t="s">
        <v>380</v>
      </c>
      <c r="F187" s="801">
        <v>591</v>
      </c>
      <c r="G187" s="803">
        <v>11895.4743</v>
      </c>
    </row>
    <row r="188" spans="1:7" ht="15">
      <c r="A188" s="766" t="s">
        <v>532</v>
      </c>
      <c r="B188" s="767" t="s">
        <v>533</v>
      </c>
      <c r="C188" s="768">
        <v>2017</v>
      </c>
      <c r="D188" s="768" t="s">
        <v>531</v>
      </c>
      <c r="E188" s="769" t="s">
        <v>380</v>
      </c>
      <c r="F188" s="790">
        <v>423</v>
      </c>
      <c r="G188" s="791">
        <v>7579.9050999999999</v>
      </c>
    </row>
    <row r="189" spans="1:7" ht="15">
      <c r="A189" s="766" t="s">
        <v>534</v>
      </c>
      <c r="B189" s="767" t="s">
        <v>535</v>
      </c>
      <c r="C189" s="768">
        <v>2017</v>
      </c>
      <c r="D189" s="768" t="s">
        <v>531</v>
      </c>
      <c r="E189" s="769" t="s">
        <v>380</v>
      </c>
      <c r="F189" s="790">
        <v>329</v>
      </c>
      <c r="G189" s="791">
        <v>15628.5291</v>
      </c>
    </row>
    <row r="190" spans="1:7" ht="15">
      <c r="A190" s="766" t="s">
        <v>536</v>
      </c>
      <c r="B190" s="767" t="s">
        <v>537</v>
      </c>
      <c r="C190" s="768">
        <v>2017</v>
      </c>
      <c r="D190" s="768" t="s">
        <v>531</v>
      </c>
      <c r="E190" s="769"/>
      <c r="F190" s="790">
        <f>253+84</f>
        <v>337</v>
      </c>
      <c r="G190" s="791">
        <f>2459182.92/1000+7171.04224</f>
        <v>9630.22516</v>
      </c>
    </row>
    <row r="191" spans="1:7" ht="15">
      <c r="A191" s="766" t="s">
        <v>538</v>
      </c>
      <c r="B191" s="767" t="s">
        <v>539</v>
      </c>
      <c r="C191" s="768">
        <v>2017</v>
      </c>
      <c r="D191" s="768" t="s">
        <v>531</v>
      </c>
      <c r="E191" s="769" t="s">
        <v>380</v>
      </c>
      <c r="F191" s="769"/>
      <c r="G191" s="771"/>
    </row>
    <row r="192" spans="1:7" ht="15.75" thickBot="1">
      <c r="A192" s="766" t="s">
        <v>540</v>
      </c>
      <c r="B192" s="767" t="s">
        <v>541</v>
      </c>
      <c r="C192" s="768">
        <v>2017</v>
      </c>
      <c r="D192" s="768" t="s">
        <v>531</v>
      </c>
      <c r="E192" s="769" t="s">
        <v>380</v>
      </c>
      <c r="F192" s="769"/>
      <c r="G192" s="771"/>
    </row>
    <row r="193" spans="1:7" s="759" customFormat="1" ht="15.75" thickBot="1">
      <c r="A193" s="794" t="s">
        <v>542</v>
      </c>
      <c r="B193" s="814" t="s">
        <v>543</v>
      </c>
      <c r="C193" s="815" t="s">
        <v>380</v>
      </c>
      <c r="D193" s="815" t="s">
        <v>380</v>
      </c>
      <c r="E193" s="816" t="s">
        <v>380</v>
      </c>
      <c r="F193" s="816" t="s">
        <v>380</v>
      </c>
      <c r="G193" s="817" t="s">
        <v>380</v>
      </c>
    </row>
    <row r="194" spans="1:7" ht="15">
      <c r="A194" s="818" t="s">
        <v>544</v>
      </c>
      <c r="B194" s="819" t="s">
        <v>530</v>
      </c>
      <c r="C194" s="820">
        <v>2017</v>
      </c>
      <c r="D194" s="820" t="s">
        <v>531</v>
      </c>
      <c r="E194" s="821" t="s">
        <v>380</v>
      </c>
      <c r="F194" s="821"/>
      <c r="G194" s="822"/>
    </row>
    <row r="195" spans="1:7" ht="15" hidden="1">
      <c r="A195" s="766" t="s">
        <v>545</v>
      </c>
      <c r="B195" s="767" t="s">
        <v>533</v>
      </c>
      <c r="C195" s="768">
        <v>2017</v>
      </c>
      <c r="D195" s="768" t="s">
        <v>531</v>
      </c>
      <c r="E195" s="769" t="s">
        <v>380</v>
      </c>
      <c r="F195" s="769"/>
      <c r="G195" s="771"/>
    </row>
    <row r="196" spans="1:7" ht="15" hidden="1">
      <c r="A196" s="766" t="s">
        <v>546</v>
      </c>
      <c r="B196" s="767" t="s">
        <v>535</v>
      </c>
      <c r="C196" s="768">
        <v>2017</v>
      </c>
      <c r="D196" s="768" t="s">
        <v>531</v>
      </c>
      <c r="E196" s="769" t="s">
        <v>380</v>
      </c>
      <c r="F196" s="769"/>
      <c r="G196" s="771"/>
    </row>
    <row r="197" spans="1:7" ht="15" hidden="1">
      <c r="A197" s="766" t="s">
        <v>547</v>
      </c>
      <c r="B197" s="767" t="s">
        <v>537</v>
      </c>
      <c r="C197" s="768">
        <v>2017</v>
      </c>
      <c r="D197" s="768" t="s">
        <v>531</v>
      </c>
      <c r="E197" s="769" t="s">
        <v>380</v>
      </c>
      <c r="F197" s="769"/>
      <c r="G197" s="771"/>
    </row>
    <row r="198" spans="1:7" ht="15" hidden="1">
      <c r="A198" s="766" t="s">
        <v>548</v>
      </c>
      <c r="B198" s="767" t="s">
        <v>539</v>
      </c>
      <c r="C198" s="768">
        <v>2017</v>
      </c>
      <c r="D198" s="768" t="s">
        <v>531</v>
      </c>
      <c r="E198" s="769" t="s">
        <v>380</v>
      </c>
      <c r="F198" s="769"/>
      <c r="G198" s="771"/>
    </row>
    <row r="199" spans="1:7" ht="15.75" thickBot="1">
      <c r="A199" s="766" t="s">
        <v>549</v>
      </c>
      <c r="B199" s="767" t="s">
        <v>541</v>
      </c>
      <c r="C199" s="768">
        <v>2017</v>
      </c>
      <c r="D199" s="768" t="s">
        <v>531</v>
      </c>
      <c r="E199" s="769" t="s">
        <v>380</v>
      </c>
      <c r="F199" s="769"/>
      <c r="G199" s="771"/>
    </row>
    <row r="200" spans="1:7" s="759" customFormat="1" ht="15.75" thickBot="1">
      <c r="A200" s="794" t="s">
        <v>637</v>
      </c>
      <c r="B200" s="795" t="s">
        <v>604</v>
      </c>
      <c r="C200" s="796"/>
      <c r="D200" s="796"/>
      <c r="E200" s="816" t="s">
        <v>380</v>
      </c>
      <c r="F200" s="797"/>
      <c r="G200" s="799"/>
    </row>
    <row r="201" spans="1:7" ht="30">
      <c r="A201" s="772" t="s">
        <v>638</v>
      </c>
      <c r="B201" s="773" t="s">
        <v>639</v>
      </c>
      <c r="C201" s="774">
        <v>2017</v>
      </c>
      <c r="D201" s="774"/>
      <c r="E201" s="775" t="s">
        <v>380</v>
      </c>
      <c r="F201" s="775">
        <f>F187+F188+F189+84</f>
        <v>1427</v>
      </c>
      <c r="G201" s="777">
        <f>G187+G188+G189+7171.04224</f>
        <v>42274.95074</v>
      </c>
    </row>
    <row r="202" spans="1:7" ht="15">
      <c r="A202" s="772" t="s">
        <v>640</v>
      </c>
      <c r="B202" s="773" t="s">
        <v>833</v>
      </c>
      <c r="C202" s="774">
        <v>2017</v>
      </c>
      <c r="D202" s="774" t="s">
        <v>531</v>
      </c>
      <c r="E202" s="775"/>
      <c r="F202" s="775">
        <v>253</v>
      </c>
      <c r="G202" s="788">
        <v>2459.1829199999997</v>
      </c>
    </row>
    <row r="203" spans="1:7" ht="15.75" thickBot="1">
      <c r="A203" s="766" t="s">
        <v>643</v>
      </c>
      <c r="B203" s="767"/>
      <c r="C203" s="768">
        <v>2017</v>
      </c>
      <c r="D203" s="768"/>
      <c r="E203" s="769" t="s">
        <v>380</v>
      </c>
      <c r="F203" s="769"/>
      <c r="G203" s="771"/>
    </row>
    <row r="204" spans="1:7" ht="15.75" hidden="1" thickBot="1">
      <c r="A204" s="772" t="s">
        <v>644</v>
      </c>
      <c r="B204" s="767"/>
      <c r="C204" s="768">
        <v>2017</v>
      </c>
      <c r="D204" s="768"/>
      <c r="E204" s="769" t="s">
        <v>380</v>
      </c>
      <c r="F204" s="769"/>
      <c r="G204" s="771"/>
    </row>
    <row r="205" spans="1:7" ht="15.75" hidden="1" thickBot="1">
      <c r="A205" s="772" t="s">
        <v>645</v>
      </c>
      <c r="B205" s="767"/>
      <c r="C205" s="768">
        <v>2017</v>
      </c>
      <c r="D205" s="768"/>
      <c r="E205" s="769" t="s">
        <v>380</v>
      </c>
      <c r="F205" s="769"/>
      <c r="G205" s="771"/>
    </row>
    <row r="206" spans="1:7" ht="15.75" hidden="1" thickBot="1">
      <c r="A206" s="766" t="s">
        <v>646</v>
      </c>
      <c r="B206" s="767"/>
      <c r="C206" s="768">
        <v>2017</v>
      </c>
      <c r="D206" s="768"/>
      <c r="E206" s="769" t="s">
        <v>380</v>
      </c>
      <c r="F206" s="769"/>
      <c r="G206" s="771"/>
    </row>
    <row r="207" spans="1:7" ht="15.75" hidden="1" thickBot="1">
      <c r="A207" s="772" t="s">
        <v>647</v>
      </c>
      <c r="B207" s="767"/>
      <c r="C207" s="768">
        <v>2017</v>
      </c>
      <c r="D207" s="768"/>
      <c r="E207" s="769" t="s">
        <v>380</v>
      </c>
      <c r="F207" s="769"/>
      <c r="G207" s="771"/>
    </row>
    <row r="208" spans="1:7" ht="15.75" hidden="1" thickBot="1">
      <c r="A208" s="772" t="s">
        <v>648</v>
      </c>
      <c r="B208" s="767"/>
      <c r="C208" s="768">
        <v>2017</v>
      </c>
      <c r="D208" s="768"/>
      <c r="E208" s="769" t="s">
        <v>380</v>
      </c>
      <c r="F208" s="769"/>
      <c r="G208" s="771"/>
    </row>
    <row r="209" spans="1:7" ht="15.75" hidden="1" thickBot="1">
      <c r="A209" s="766" t="s">
        <v>649</v>
      </c>
      <c r="B209" s="767"/>
      <c r="C209" s="768">
        <v>2017</v>
      </c>
      <c r="D209" s="768"/>
      <c r="E209" s="769" t="s">
        <v>380</v>
      </c>
      <c r="F209" s="769"/>
      <c r="G209" s="771"/>
    </row>
    <row r="210" spans="1:7" ht="15.75" hidden="1" thickBot="1">
      <c r="A210" s="772" t="s">
        <v>650</v>
      </c>
      <c r="B210" s="767"/>
      <c r="C210" s="768">
        <v>2017</v>
      </c>
      <c r="D210" s="768"/>
      <c r="E210" s="769" t="s">
        <v>380</v>
      </c>
      <c r="F210" s="769"/>
      <c r="G210" s="771"/>
    </row>
    <row r="211" spans="1:7" ht="15.75" hidden="1" thickBot="1">
      <c r="A211" s="772" t="s">
        <v>651</v>
      </c>
      <c r="B211" s="767"/>
      <c r="C211" s="768">
        <v>2017</v>
      </c>
      <c r="D211" s="768"/>
      <c r="E211" s="769" t="s">
        <v>380</v>
      </c>
      <c r="F211" s="769"/>
      <c r="G211" s="771"/>
    </row>
    <row r="212" spans="1:7" ht="15.75" hidden="1" thickBot="1">
      <c r="A212" s="766" t="s">
        <v>652</v>
      </c>
      <c r="B212" s="767"/>
      <c r="C212" s="768">
        <v>2017</v>
      </c>
      <c r="D212" s="768"/>
      <c r="E212" s="769" t="s">
        <v>380</v>
      </c>
      <c r="F212" s="769"/>
      <c r="G212" s="771"/>
    </row>
    <row r="213" spans="1:7" ht="15.75" hidden="1" thickBot="1">
      <c r="A213" s="772" t="s">
        <v>653</v>
      </c>
      <c r="B213" s="767"/>
      <c r="C213" s="768">
        <v>2017</v>
      </c>
      <c r="D213" s="768"/>
      <c r="E213" s="769" t="s">
        <v>380</v>
      </c>
      <c r="F213" s="769"/>
      <c r="G213" s="771"/>
    </row>
    <row r="214" spans="1:7" ht="15.75" hidden="1" thickBot="1">
      <c r="A214" s="772" t="s">
        <v>654</v>
      </c>
      <c r="B214" s="767"/>
      <c r="C214" s="768">
        <v>2017</v>
      </c>
      <c r="D214" s="768"/>
      <c r="E214" s="769" t="s">
        <v>380</v>
      </c>
      <c r="F214" s="769"/>
      <c r="G214" s="771"/>
    </row>
    <row r="215" spans="1:7" ht="15.75" hidden="1" thickBot="1">
      <c r="A215" s="766" t="s">
        <v>655</v>
      </c>
      <c r="B215" s="767"/>
      <c r="C215" s="768">
        <v>2017</v>
      </c>
      <c r="D215" s="768"/>
      <c r="E215" s="769" t="s">
        <v>380</v>
      </c>
      <c r="F215" s="769"/>
      <c r="G215" s="771"/>
    </row>
    <row r="216" spans="1:7" s="759" customFormat="1" ht="30.75" thickBot="1">
      <c r="A216" s="748" t="s">
        <v>351</v>
      </c>
      <c r="B216" s="749" t="s">
        <v>550</v>
      </c>
      <c r="C216" s="750" t="s">
        <v>380</v>
      </c>
      <c r="D216" s="750" t="s">
        <v>380</v>
      </c>
      <c r="E216" s="751" t="s">
        <v>380</v>
      </c>
      <c r="F216" s="751" t="s">
        <v>380</v>
      </c>
      <c r="G216" s="752" t="s">
        <v>380</v>
      </c>
    </row>
    <row r="217" spans="1:7" ht="15.75" thickBot="1">
      <c r="A217" s="794" t="s">
        <v>551</v>
      </c>
      <c r="B217" s="814" t="s">
        <v>552</v>
      </c>
      <c r="C217" s="815" t="s">
        <v>380</v>
      </c>
      <c r="D217" s="815" t="s">
        <v>380</v>
      </c>
      <c r="E217" s="816" t="s">
        <v>380</v>
      </c>
      <c r="F217" s="816" t="s">
        <v>380</v>
      </c>
      <c r="G217" s="817" t="s">
        <v>380</v>
      </c>
    </row>
    <row r="218" spans="1:7" s="759" customFormat="1" ht="15.75" thickBot="1">
      <c r="A218" s="794" t="s">
        <v>553</v>
      </c>
      <c r="B218" s="814" t="s">
        <v>543</v>
      </c>
      <c r="C218" s="815" t="s">
        <v>380</v>
      </c>
      <c r="D218" s="815" t="s">
        <v>380</v>
      </c>
      <c r="E218" s="816" t="s">
        <v>380</v>
      </c>
      <c r="F218" s="816" t="s">
        <v>380</v>
      </c>
      <c r="G218" s="817" t="s">
        <v>380</v>
      </c>
    </row>
    <row r="219" spans="1:7" ht="15.75" hidden="1" thickBot="1">
      <c r="A219" s="823" t="s">
        <v>554</v>
      </c>
      <c r="B219" s="824" t="s">
        <v>530</v>
      </c>
      <c r="C219" s="825">
        <v>2017</v>
      </c>
      <c r="D219" s="825" t="s">
        <v>531</v>
      </c>
      <c r="E219" s="826" t="s">
        <v>380</v>
      </c>
      <c r="F219" s="826"/>
      <c r="G219" s="827"/>
    </row>
    <row r="220" spans="1:7" ht="15.75" hidden="1" thickBot="1">
      <c r="A220" s="766" t="s">
        <v>555</v>
      </c>
      <c r="B220" s="767" t="s">
        <v>533</v>
      </c>
      <c r="C220" s="768">
        <v>2017</v>
      </c>
      <c r="D220" s="768" t="s">
        <v>531</v>
      </c>
      <c r="E220" s="769" t="s">
        <v>380</v>
      </c>
      <c r="F220" s="769"/>
      <c r="G220" s="771"/>
    </row>
    <row r="221" spans="1:7" ht="15.75" hidden="1" thickBot="1">
      <c r="A221" s="766" t="s">
        <v>556</v>
      </c>
      <c r="B221" s="767" t="s">
        <v>535</v>
      </c>
      <c r="C221" s="768">
        <v>2017</v>
      </c>
      <c r="D221" s="768" t="s">
        <v>531</v>
      </c>
      <c r="E221" s="769" t="s">
        <v>380</v>
      </c>
      <c r="F221" s="769"/>
      <c r="G221" s="771"/>
    </row>
    <row r="222" spans="1:7" ht="15.75" hidden="1" thickBot="1">
      <c r="A222" s="766" t="s">
        <v>557</v>
      </c>
      <c r="B222" s="767" t="s">
        <v>537</v>
      </c>
      <c r="C222" s="768">
        <v>2017</v>
      </c>
      <c r="D222" s="768" t="s">
        <v>531</v>
      </c>
      <c r="E222" s="769" t="s">
        <v>380</v>
      </c>
      <c r="F222" s="769"/>
      <c r="G222" s="771"/>
    </row>
    <row r="223" spans="1:7" ht="15.75" hidden="1" thickBot="1">
      <c r="A223" s="766" t="s">
        <v>558</v>
      </c>
      <c r="B223" s="767" t="s">
        <v>539</v>
      </c>
      <c r="C223" s="768">
        <v>2017</v>
      </c>
      <c r="D223" s="768" t="s">
        <v>531</v>
      </c>
      <c r="E223" s="769" t="s">
        <v>380</v>
      </c>
      <c r="F223" s="769"/>
      <c r="G223" s="771"/>
    </row>
    <row r="224" spans="1:7" ht="15.75" hidden="1" thickBot="1">
      <c r="A224" s="778" t="s">
        <v>559</v>
      </c>
      <c r="B224" s="779" t="s">
        <v>541</v>
      </c>
      <c r="C224" s="780">
        <v>2017</v>
      </c>
      <c r="D224" s="780" t="s">
        <v>531</v>
      </c>
      <c r="E224" s="781" t="s">
        <v>380</v>
      </c>
      <c r="F224" s="781"/>
      <c r="G224" s="783"/>
    </row>
    <row r="225" spans="1:7" s="759" customFormat="1" ht="15.75" hidden="1" thickBot="1">
      <c r="A225" s="794" t="s">
        <v>656</v>
      </c>
      <c r="B225" s="795" t="s">
        <v>604</v>
      </c>
      <c r="C225" s="796"/>
      <c r="D225" s="796"/>
      <c r="E225" s="816" t="s">
        <v>380</v>
      </c>
      <c r="F225" s="797"/>
      <c r="G225" s="799"/>
    </row>
    <row r="226" spans="1:7" ht="15.75" hidden="1" thickBot="1">
      <c r="A226" s="772" t="s">
        <v>657</v>
      </c>
      <c r="B226" s="773"/>
      <c r="C226" s="774">
        <v>2017</v>
      </c>
      <c r="D226" s="774"/>
      <c r="E226" s="775" t="s">
        <v>380</v>
      </c>
      <c r="F226" s="775"/>
      <c r="G226" s="777"/>
    </row>
    <row r="227" spans="1:7" ht="15.75" hidden="1" thickBot="1">
      <c r="A227" s="772" t="s">
        <v>658</v>
      </c>
      <c r="B227" s="773"/>
      <c r="C227" s="774">
        <v>2017</v>
      </c>
      <c r="D227" s="774"/>
      <c r="E227" s="775" t="s">
        <v>380</v>
      </c>
      <c r="F227" s="775"/>
      <c r="G227" s="777"/>
    </row>
    <row r="228" spans="1:7" ht="15.75" hidden="1" thickBot="1">
      <c r="A228" s="766" t="s">
        <v>659</v>
      </c>
      <c r="B228" s="767"/>
      <c r="C228" s="768">
        <v>2017</v>
      </c>
      <c r="D228" s="768"/>
      <c r="E228" s="769" t="s">
        <v>380</v>
      </c>
      <c r="F228" s="769"/>
      <c r="G228" s="771"/>
    </row>
    <row r="229" spans="1:7" ht="15.75" hidden="1" thickBot="1">
      <c r="A229" s="772" t="s">
        <v>660</v>
      </c>
      <c r="B229" s="767"/>
      <c r="C229" s="768">
        <v>2017</v>
      </c>
      <c r="D229" s="768"/>
      <c r="E229" s="769" t="s">
        <v>380</v>
      </c>
      <c r="F229" s="769"/>
      <c r="G229" s="771"/>
    </row>
    <row r="230" spans="1:7" ht="15.75" hidden="1" thickBot="1">
      <c r="A230" s="772" t="s">
        <v>661</v>
      </c>
      <c r="B230" s="767"/>
      <c r="C230" s="768">
        <v>2017</v>
      </c>
      <c r="D230" s="768"/>
      <c r="E230" s="769" t="s">
        <v>380</v>
      </c>
      <c r="F230" s="769"/>
      <c r="G230" s="771"/>
    </row>
    <row r="231" spans="1:7" ht="15.75" hidden="1" thickBot="1">
      <c r="A231" s="766" t="s">
        <v>662</v>
      </c>
      <c r="B231" s="767"/>
      <c r="C231" s="768">
        <v>2017</v>
      </c>
      <c r="D231" s="768"/>
      <c r="E231" s="769" t="s">
        <v>380</v>
      </c>
      <c r="F231" s="769"/>
      <c r="G231" s="771"/>
    </row>
    <row r="232" spans="1:7" ht="15.75" hidden="1" thickBot="1">
      <c r="A232" s="772" t="s">
        <v>663</v>
      </c>
      <c r="B232" s="767"/>
      <c r="C232" s="768">
        <v>2017</v>
      </c>
      <c r="D232" s="768"/>
      <c r="E232" s="769" t="s">
        <v>380</v>
      </c>
      <c r="F232" s="769"/>
      <c r="G232" s="771"/>
    </row>
    <row r="233" spans="1:7" ht="15.75" hidden="1" thickBot="1">
      <c r="A233" s="772" t="s">
        <v>664</v>
      </c>
      <c r="B233" s="767"/>
      <c r="C233" s="768">
        <v>2017</v>
      </c>
      <c r="D233" s="768"/>
      <c r="E233" s="769" t="s">
        <v>380</v>
      </c>
      <c r="F233" s="769"/>
      <c r="G233" s="771"/>
    </row>
    <row r="234" spans="1:7" ht="15.75" hidden="1" thickBot="1">
      <c r="A234" s="766" t="s">
        <v>665</v>
      </c>
      <c r="B234" s="767"/>
      <c r="C234" s="768">
        <v>2017</v>
      </c>
      <c r="D234" s="768"/>
      <c r="E234" s="769" t="s">
        <v>380</v>
      </c>
      <c r="F234" s="769"/>
      <c r="G234" s="771"/>
    </row>
    <row r="235" spans="1:7" ht="15.75" hidden="1" thickBot="1">
      <c r="A235" s="772" t="s">
        <v>666</v>
      </c>
      <c r="B235" s="767"/>
      <c r="C235" s="768">
        <v>2017</v>
      </c>
      <c r="D235" s="768"/>
      <c r="E235" s="769" t="s">
        <v>380</v>
      </c>
      <c r="F235" s="769"/>
      <c r="G235" s="771"/>
    </row>
    <row r="236" spans="1:7" ht="15.75" hidden="1" thickBot="1">
      <c r="A236" s="772" t="s">
        <v>667</v>
      </c>
      <c r="B236" s="767"/>
      <c r="C236" s="768">
        <v>2017</v>
      </c>
      <c r="D236" s="768"/>
      <c r="E236" s="769" t="s">
        <v>380</v>
      </c>
      <c r="F236" s="769"/>
      <c r="G236" s="771"/>
    </row>
    <row r="237" spans="1:7" ht="15.75" hidden="1" thickBot="1">
      <c r="A237" s="766" t="s">
        <v>668</v>
      </c>
      <c r="B237" s="767"/>
      <c r="C237" s="768">
        <v>2017</v>
      </c>
      <c r="D237" s="768"/>
      <c r="E237" s="769" t="s">
        <v>380</v>
      </c>
      <c r="F237" s="769"/>
      <c r="G237" s="771"/>
    </row>
    <row r="238" spans="1:7" ht="15.75" hidden="1" thickBot="1">
      <c r="A238" s="772" t="s">
        <v>669</v>
      </c>
      <c r="B238" s="767"/>
      <c r="C238" s="768">
        <v>2017</v>
      </c>
      <c r="D238" s="768"/>
      <c r="E238" s="769" t="s">
        <v>380</v>
      </c>
      <c r="F238" s="769"/>
      <c r="G238" s="771"/>
    </row>
    <row r="239" spans="1:7" ht="15.75" hidden="1" thickBot="1">
      <c r="A239" s="772" t="s">
        <v>670</v>
      </c>
      <c r="B239" s="767"/>
      <c r="C239" s="768">
        <v>2017</v>
      </c>
      <c r="D239" s="768"/>
      <c r="E239" s="769" t="s">
        <v>380</v>
      </c>
      <c r="F239" s="769"/>
      <c r="G239" s="771"/>
    </row>
    <row r="240" spans="1:7" ht="15.75" hidden="1" thickBot="1">
      <c r="A240" s="766" t="s">
        <v>671</v>
      </c>
      <c r="B240" s="767"/>
      <c r="C240" s="768">
        <v>2017</v>
      </c>
      <c r="D240" s="768"/>
      <c r="E240" s="769" t="s">
        <v>380</v>
      </c>
      <c r="F240" s="769"/>
      <c r="G240" s="771"/>
    </row>
    <row r="241" spans="1:7" s="759" customFormat="1" ht="30.75" thickBot="1">
      <c r="A241" s="748" t="s">
        <v>353</v>
      </c>
      <c r="B241" s="749" t="s">
        <v>560</v>
      </c>
      <c r="C241" s="750" t="s">
        <v>380</v>
      </c>
      <c r="D241" s="750" t="s">
        <v>380</v>
      </c>
      <c r="E241" s="751" t="s">
        <v>380</v>
      </c>
      <c r="F241" s="751" t="s">
        <v>380</v>
      </c>
      <c r="G241" s="752" t="s">
        <v>380</v>
      </c>
    </row>
    <row r="242" spans="1:7" s="759" customFormat="1" ht="15.75" thickBot="1">
      <c r="A242" s="828" t="s">
        <v>561</v>
      </c>
      <c r="B242" s="829" t="s">
        <v>839</v>
      </c>
      <c r="C242" s="815" t="s">
        <v>380</v>
      </c>
      <c r="D242" s="815" t="s">
        <v>380</v>
      </c>
      <c r="E242" s="816" t="s">
        <v>380</v>
      </c>
      <c r="F242" s="816" t="s">
        <v>380</v>
      </c>
      <c r="G242" s="817" t="s">
        <v>380</v>
      </c>
    </row>
    <row r="243" spans="1:7" ht="15">
      <c r="A243" s="823" t="s">
        <v>672</v>
      </c>
      <c r="B243" s="824" t="s">
        <v>673</v>
      </c>
      <c r="C243" s="825">
        <v>2017</v>
      </c>
      <c r="D243" s="825" t="s">
        <v>563</v>
      </c>
      <c r="E243" s="826" t="s">
        <v>380</v>
      </c>
      <c r="F243" s="826"/>
      <c r="G243" s="827"/>
    </row>
    <row r="244" spans="1:7" ht="15">
      <c r="A244" s="766" t="s">
        <v>674</v>
      </c>
      <c r="B244" s="767" t="s">
        <v>675</v>
      </c>
      <c r="C244" s="768">
        <v>2017</v>
      </c>
      <c r="D244" s="768" t="s">
        <v>563</v>
      </c>
      <c r="E244" s="769" t="s">
        <v>380</v>
      </c>
      <c r="F244" s="769"/>
      <c r="G244" s="771"/>
    </row>
    <row r="245" spans="1:7" ht="15">
      <c r="A245" s="766" t="s">
        <v>564</v>
      </c>
      <c r="B245" s="767" t="s">
        <v>565</v>
      </c>
      <c r="C245" s="768">
        <v>2017</v>
      </c>
      <c r="D245" s="768" t="s">
        <v>563</v>
      </c>
      <c r="E245" s="769" t="s">
        <v>380</v>
      </c>
      <c r="F245" s="769">
        <v>250</v>
      </c>
      <c r="G245" s="771">
        <v>3891.6185800000003</v>
      </c>
    </row>
    <row r="246" spans="1:7" ht="15.75" thickBot="1">
      <c r="A246" s="766" t="s">
        <v>566</v>
      </c>
      <c r="B246" s="767" t="s">
        <v>567</v>
      </c>
      <c r="C246" s="768">
        <v>2017</v>
      </c>
      <c r="D246" s="768" t="s">
        <v>563</v>
      </c>
      <c r="E246" s="769" t="s">
        <v>380</v>
      </c>
      <c r="F246" s="769"/>
      <c r="G246" s="771"/>
    </row>
    <row r="247" spans="1:7" s="759" customFormat="1" ht="15.75" thickBot="1">
      <c r="A247" s="794" t="s">
        <v>568</v>
      </c>
      <c r="B247" s="814" t="s">
        <v>562</v>
      </c>
      <c r="C247" s="815" t="s">
        <v>380</v>
      </c>
      <c r="D247" s="815" t="s">
        <v>380</v>
      </c>
      <c r="E247" s="816" t="s">
        <v>380</v>
      </c>
      <c r="F247" s="816" t="s">
        <v>380</v>
      </c>
      <c r="G247" s="817" t="s">
        <v>380</v>
      </c>
    </row>
    <row r="248" spans="1:7" ht="15">
      <c r="A248" s="823" t="s">
        <v>676</v>
      </c>
      <c r="B248" s="824" t="s">
        <v>677</v>
      </c>
      <c r="C248" s="825">
        <v>2017</v>
      </c>
      <c r="D248" s="825" t="s">
        <v>569</v>
      </c>
      <c r="E248" s="826" t="s">
        <v>380</v>
      </c>
      <c r="F248" s="826"/>
      <c r="G248" s="827"/>
    </row>
    <row r="249" spans="1:7" ht="15">
      <c r="A249" s="766" t="s">
        <v>570</v>
      </c>
      <c r="B249" s="767" t="s">
        <v>571</v>
      </c>
      <c r="C249" s="768">
        <v>2018</v>
      </c>
      <c r="D249" s="768" t="s">
        <v>569</v>
      </c>
      <c r="E249" s="769" t="s">
        <v>380</v>
      </c>
      <c r="F249" s="770">
        <v>3755</v>
      </c>
      <c r="G249" s="830">
        <f>161304.294/1.18</f>
        <v>136698.55423728813</v>
      </c>
    </row>
    <row r="250" spans="1:7" ht="15">
      <c r="A250" s="766" t="s">
        <v>572</v>
      </c>
      <c r="B250" s="767" t="s">
        <v>573</v>
      </c>
      <c r="C250" s="768">
        <v>2017</v>
      </c>
      <c r="D250" s="768" t="s">
        <v>569</v>
      </c>
      <c r="E250" s="769" t="s">
        <v>380</v>
      </c>
      <c r="F250" s="770"/>
      <c r="G250" s="771"/>
    </row>
    <row r="251" spans="1:7" ht="15.75" thickBot="1">
      <c r="A251" s="766" t="s">
        <v>574</v>
      </c>
      <c r="B251" s="767" t="s">
        <v>575</v>
      </c>
      <c r="C251" s="768">
        <v>2017</v>
      </c>
      <c r="D251" s="768" t="s">
        <v>569</v>
      </c>
      <c r="E251" s="769" t="s">
        <v>380</v>
      </c>
      <c r="F251" s="770">
        <v>6210</v>
      </c>
      <c r="G251" s="830">
        <f>234813.933/1.18</f>
        <v>198994.85847457626</v>
      </c>
    </row>
    <row r="252" spans="1:7" s="759" customFormat="1" ht="15.75" thickBot="1">
      <c r="A252" s="794" t="s">
        <v>678</v>
      </c>
      <c r="B252" s="814" t="s">
        <v>580</v>
      </c>
      <c r="C252" s="815" t="s">
        <v>380</v>
      </c>
      <c r="D252" s="815" t="s">
        <v>380</v>
      </c>
      <c r="E252" s="816" t="s">
        <v>380</v>
      </c>
      <c r="F252" s="831" t="s">
        <v>380</v>
      </c>
      <c r="G252" s="817" t="s">
        <v>380</v>
      </c>
    </row>
    <row r="253" spans="1:7" ht="15">
      <c r="A253" s="823" t="s">
        <v>679</v>
      </c>
      <c r="B253" s="824" t="s">
        <v>680</v>
      </c>
      <c r="C253" s="825">
        <v>2017</v>
      </c>
      <c r="D253" s="825" t="s">
        <v>583</v>
      </c>
      <c r="E253" s="826" t="s">
        <v>380</v>
      </c>
      <c r="F253" s="832"/>
      <c r="G253" s="827"/>
    </row>
    <row r="254" spans="1:7" ht="15" hidden="1">
      <c r="A254" s="766" t="s">
        <v>681</v>
      </c>
      <c r="B254" s="767" t="s">
        <v>682</v>
      </c>
      <c r="C254" s="768">
        <v>2017</v>
      </c>
      <c r="D254" s="768" t="s">
        <v>583</v>
      </c>
      <c r="E254" s="769" t="s">
        <v>380</v>
      </c>
      <c r="F254" s="770"/>
      <c r="G254" s="771"/>
    </row>
    <row r="255" spans="1:7" ht="15" hidden="1">
      <c r="A255" s="766" t="s">
        <v>683</v>
      </c>
      <c r="B255" s="767" t="s">
        <v>684</v>
      </c>
      <c r="C255" s="768">
        <v>2017</v>
      </c>
      <c r="D255" s="768" t="s">
        <v>583</v>
      </c>
      <c r="E255" s="769" t="s">
        <v>380</v>
      </c>
      <c r="F255" s="770"/>
      <c r="G255" s="771"/>
    </row>
    <row r="256" spans="1:7" ht="15" hidden="1">
      <c r="A256" s="766" t="s">
        <v>685</v>
      </c>
      <c r="B256" s="767" t="s">
        <v>686</v>
      </c>
      <c r="C256" s="768">
        <v>2017</v>
      </c>
      <c r="D256" s="768" t="s">
        <v>583</v>
      </c>
      <c r="E256" s="769" t="s">
        <v>380</v>
      </c>
      <c r="F256" s="770"/>
      <c r="G256" s="771"/>
    </row>
    <row r="257" spans="1:7" ht="15" hidden="1">
      <c r="A257" s="766" t="s">
        <v>687</v>
      </c>
      <c r="B257" s="767" t="s">
        <v>688</v>
      </c>
      <c r="C257" s="768">
        <v>2017</v>
      </c>
      <c r="D257" s="768" t="s">
        <v>583</v>
      </c>
      <c r="E257" s="769" t="s">
        <v>380</v>
      </c>
      <c r="F257" s="770"/>
      <c r="G257" s="771"/>
    </row>
    <row r="258" spans="1:7" ht="15" hidden="1">
      <c r="A258" s="766" t="s">
        <v>689</v>
      </c>
      <c r="B258" s="767" t="s">
        <v>573</v>
      </c>
      <c r="C258" s="768">
        <v>2017</v>
      </c>
      <c r="D258" s="768" t="s">
        <v>583</v>
      </c>
      <c r="E258" s="769" t="s">
        <v>380</v>
      </c>
      <c r="F258" s="770"/>
      <c r="G258" s="771"/>
    </row>
    <row r="259" spans="1:7" ht="15" hidden="1">
      <c r="A259" s="766" t="s">
        <v>582</v>
      </c>
      <c r="B259" s="767" t="s">
        <v>575</v>
      </c>
      <c r="C259" s="768">
        <v>2017</v>
      </c>
      <c r="D259" s="768" t="s">
        <v>583</v>
      </c>
      <c r="E259" s="769" t="s">
        <v>380</v>
      </c>
      <c r="F259" s="770"/>
      <c r="G259" s="771"/>
    </row>
    <row r="260" spans="1:7" ht="15">
      <c r="A260" s="766" t="s">
        <v>584</v>
      </c>
      <c r="B260" s="767" t="s">
        <v>585</v>
      </c>
      <c r="C260" s="768">
        <v>2018</v>
      </c>
      <c r="D260" s="768" t="s">
        <v>583</v>
      </c>
      <c r="E260" s="769" t="s">
        <v>380</v>
      </c>
      <c r="F260" s="770">
        <v>10200</v>
      </c>
      <c r="G260" s="830">
        <v>332480.11864406778</v>
      </c>
    </row>
    <row r="261" spans="1:7" ht="15.75" thickBot="1">
      <c r="A261" s="766" t="s">
        <v>586</v>
      </c>
      <c r="B261" s="767" t="s">
        <v>587</v>
      </c>
      <c r="C261" s="768">
        <v>2018</v>
      </c>
      <c r="D261" s="768" t="s">
        <v>825</v>
      </c>
      <c r="E261" s="769"/>
      <c r="F261" s="770">
        <v>12655</v>
      </c>
      <c r="G261" s="830">
        <v>388917.20508474583</v>
      </c>
    </row>
    <row r="262" spans="1:7" s="759" customFormat="1" ht="15.75" thickBot="1">
      <c r="A262" s="794" t="s">
        <v>690</v>
      </c>
      <c r="B262" s="833" t="s">
        <v>604</v>
      </c>
      <c r="C262" s="796"/>
      <c r="D262" s="796"/>
      <c r="E262" s="816" t="s">
        <v>380</v>
      </c>
      <c r="F262" s="798"/>
      <c r="G262" s="799"/>
    </row>
    <row r="263" spans="1:7" ht="15">
      <c r="A263" s="834" t="s">
        <v>691</v>
      </c>
      <c r="B263" s="824" t="s">
        <v>834</v>
      </c>
      <c r="C263" s="835">
        <v>2017</v>
      </c>
      <c r="D263" s="835" t="s">
        <v>563</v>
      </c>
      <c r="E263" s="836" t="s">
        <v>380</v>
      </c>
      <c r="F263" s="837">
        <v>250</v>
      </c>
      <c r="G263" s="838">
        <v>3891.6185800000003</v>
      </c>
    </row>
    <row r="264" spans="1:7" ht="15">
      <c r="A264" s="772" t="s">
        <v>692</v>
      </c>
      <c r="B264" s="773" t="s">
        <v>826</v>
      </c>
      <c r="C264" s="774">
        <v>2018</v>
      </c>
      <c r="D264" s="774" t="s">
        <v>827</v>
      </c>
      <c r="E264" s="775" t="s">
        <v>380</v>
      </c>
      <c r="F264" s="776">
        <v>3755</v>
      </c>
      <c r="G264" s="777">
        <v>106668.36676999999</v>
      </c>
    </row>
    <row r="265" spans="1:7" ht="15">
      <c r="A265" s="766" t="s">
        <v>693</v>
      </c>
      <c r="B265" s="767" t="s">
        <v>828</v>
      </c>
      <c r="C265" s="768">
        <v>2018</v>
      </c>
      <c r="D265" s="768" t="s">
        <v>827</v>
      </c>
      <c r="E265" s="769" t="s">
        <v>380</v>
      </c>
      <c r="F265" s="770">
        <v>6210</v>
      </c>
      <c r="G265" s="771">
        <v>176795.05051</v>
      </c>
    </row>
    <row r="266" spans="1:7" ht="15">
      <c r="A266" s="772" t="s">
        <v>694</v>
      </c>
      <c r="B266" s="767" t="s">
        <v>829</v>
      </c>
      <c r="C266" s="768">
        <v>2018</v>
      </c>
      <c r="D266" s="768" t="s">
        <v>830</v>
      </c>
      <c r="E266" s="769" t="s">
        <v>380</v>
      </c>
      <c r="F266" s="770">
        <v>10200</v>
      </c>
      <c r="G266" s="830">
        <f>392326.54/1.18</f>
        <v>332480.11864406778</v>
      </c>
    </row>
    <row r="267" spans="1:7" ht="15">
      <c r="A267" s="772" t="s">
        <v>695</v>
      </c>
      <c r="B267" s="767" t="s">
        <v>831</v>
      </c>
      <c r="C267" s="768">
        <v>2018</v>
      </c>
      <c r="D267" s="768" t="s">
        <v>837</v>
      </c>
      <c r="E267" s="769"/>
      <c r="F267" s="770">
        <v>12665</v>
      </c>
      <c r="G267" s="830">
        <f>458922.302/1.18</f>
        <v>388917.20508474583</v>
      </c>
    </row>
    <row r="268" spans="1:7" ht="15.75" thickBot="1">
      <c r="A268" s="778"/>
      <c r="B268" s="779"/>
      <c r="C268" s="780"/>
      <c r="D268" s="780"/>
      <c r="E268" s="781"/>
      <c r="F268" s="781"/>
      <c r="G268" s="783"/>
    </row>
    <row r="269" spans="1:7" ht="15" hidden="1">
      <c r="A269" s="839" t="s">
        <v>697</v>
      </c>
      <c r="B269" s="819"/>
      <c r="C269" s="820">
        <v>2017</v>
      </c>
      <c r="D269" s="820"/>
      <c r="E269" s="821" t="s">
        <v>380</v>
      </c>
      <c r="F269" s="821"/>
      <c r="G269" s="822"/>
    </row>
    <row r="270" spans="1:7" ht="15" hidden="1">
      <c r="A270" s="772" t="s">
        <v>698</v>
      </c>
      <c r="B270" s="767"/>
      <c r="C270" s="768">
        <v>2017</v>
      </c>
      <c r="D270" s="768"/>
      <c r="E270" s="769" t="s">
        <v>380</v>
      </c>
      <c r="F270" s="769"/>
      <c r="G270" s="771"/>
    </row>
    <row r="271" spans="1:7" ht="15" hidden="1">
      <c r="A271" s="766" t="s">
        <v>699</v>
      </c>
      <c r="B271" s="767"/>
      <c r="C271" s="768">
        <v>2017</v>
      </c>
      <c r="D271" s="768"/>
      <c r="E271" s="769" t="s">
        <v>380</v>
      </c>
      <c r="F271" s="769"/>
      <c r="G271" s="771"/>
    </row>
    <row r="272" spans="1:7" ht="15" hidden="1">
      <c r="A272" s="772" t="s">
        <v>700</v>
      </c>
      <c r="B272" s="767"/>
      <c r="C272" s="768">
        <v>2017</v>
      </c>
      <c r="D272" s="768"/>
      <c r="E272" s="769" t="s">
        <v>380</v>
      </c>
      <c r="F272" s="769"/>
      <c r="G272" s="771"/>
    </row>
    <row r="273" spans="1:7" ht="15" hidden="1">
      <c r="A273" s="772" t="s">
        <v>701</v>
      </c>
      <c r="B273" s="767"/>
      <c r="C273" s="768">
        <v>2017</v>
      </c>
      <c r="D273" s="768"/>
      <c r="E273" s="769" t="s">
        <v>380</v>
      </c>
      <c r="F273" s="769"/>
      <c r="G273" s="771"/>
    </row>
    <row r="274" spans="1:7" ht="15" hidden="1">
      <c r="A274" s="766" t="s">
        <v>702</v>
      </c>
      <c r="B274" s="767"/>
      <c r="C274" s="768">
        <v>2017</v>
      </c>
      <c r="D274" s="768"/>
      <c r="E274" s="769" t="s">
        <v>380</v>
      </c>
      <c r="F274" s="769"/>
      <c r="G274" s="771"/>
    </row>
    <row r="275" spans="1:7" ht="15" hidden="1">
      <c r="A275" s="772" t="s">
        <v>703</v>
      </c>
      <c r="B275" s="767"/>
      <c r="C275" s="768">
        <v>2017</v>
      </c>
      <c r="D275" s="768"/>
      <c r="E275" s="769" t="s">
        <v>380</v>
      </c>
      <c r="F275" s="769"/>
      <c r="G275" s="771"/>
    </row>
    <row r="276" spans="1:7" ht="15" hidden="1">
      <c r="A276" s="772" t="s">
        <v>704</v>
      </c>
      <c r="B276" s="767"/>
      <c r="C276" s="768">
        <v>2017</v>
      </c>
      <c r="D276" s="768"/>
      <c r="E276" s="769" t="s">
        <v>380</v>
      </c>
      <c r="F276" s="769"/>
      <c r="G276" s="771"/>
    </row>
    <row r="277" spans="1:7" ht="15.75" hidden="1" thickBot="1">
      <c r="A277" s="778" t="s">
        <v>705</v>
      </c>
      <c r="B277" s="779"/>
      <c r="C277" s="780">
        <v>2017</v>
      </c>
      <c r="D277" s="780"/>
      <c r="E277" s="781" t="s">
        <v>380</v>
      </c>
      <c r="F277" s="781"/>
      <c r="G277" s="783"/>
    </row>
    <row r="278" spans="1:7" ht="15">
      <c r="A278" s="840"/>
    </row>
    <row r="279" spans="1:7" hidden="1"/>
    <row r="280" spans="1:7" hidden="1"/>
    <row r="281" spans="1:7" ht="19.5" hidden="1">
      <c r="A281" s="841" t="s">
        <v>200</v>
      </c>
      <c r="B281" s="841"/>
      <c r="C281" s="841"/>
      <c r="F281" s="841" t="s">
        <v>706</v>
      </c>
    </row>
    <row r="283" spans="1:7" ht="15.75">
      <c r="A283" s="842" t="s">
        <v>841</v>
      </c>
      <c r="B283" s="843"/>
      <c r="C283" s="843"/>
      <c r="D283" s="844"/>
      <c r="E283" s="845"/>
      <c r="F283" s="846"/>
      <c r="G283" s="847"/>
    </row>
    <row r="284" spans="1:7" ht="15.75">
      <c r="A284" s="842" t="s">
        <v>88</v>
      </c>
      <c r="B284" s="843"/>
      <c r="C284" s="843"/>
      <c r="D284" s="842"/>
      <c r="E284" s="842"/>
      <c r="G284" s="848" t="s">
        <v>842</v>
      </c>
    </row>
    <row r="285" spans="1:7" ht="15">
      <c r="A285" s="849"/>
      <c r="B285" s="850"/>
      <c r="C285" s="850"/>
      <c r="D285" s="850"/>
      <c r="E285" s="851"/>
      <c r="F285" s="851"/>
    </row>
    <row r="286" spans="1:7" ht="15">
      <c r="A286" s="852" t="s">
        <v>706</v>
      </c>
      <c r="B286" s="850"/>
      <c r="C286" s="850"/>
      <c r="D286" s="850"/>
      <c r="E286" s="851"/>
      <c r="F286" s="851"/>
    </row>
    <row r="287" spans="1:7" ht="15">
      <c r="A287" s="853" t="s">
        <v>843</v>
      </c>
      <c r="B287" s="850"/>
      <c r="C287" s="850"/>
      <c r="D287" s="850"/>
      <c r="E287" s="851"/>
      <c r="F287" s="851"/>
    </row>
    <row r="288" spans="1:7" ht="15">
      <c r="A288" s="854" t="s">
        <v>844</v>
      </c>
      <c r="B288" s="850"/>
      <c r="C288" s="850"/>
      <c r="D288" s="850"/>
      <c r="E288" s="851"/>
      <c r="F288" s="851"/>
    </row>
  </sheetData>
  <mergeCells count="2">
    <mergeCell ref="A1:G1"/>
    <mergeCell ref="B2:F2"/>
  </mergeCells>
  <pageMargins left="0.7" right="0.7" top="0.54" bottom="0.34" header="0.3" footer="0.3"/>
  <pageSetup paperSize="8"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G177"/>
  <sheetViews>
    <sheetView zoomScale="85" zoomScaleNormal="85" workbookViewId="0">
      <pane ySplit="4" topLeftCell="A155" activePane="bottomLeft" state="frozen"/>
      <selection activeCell="H271" sqref="H271"/>
      <selection pane="bottomLeft" activeCell="B179" sqref="B179"/>
    </sheetView>
  </sheetViews>
  <sheetFormatPr defaultRowHeight="12.75"/>
  <cols>
    <col min="1" max="1" width="11" style="505" customWidth="1"/>
    <col min="2" max="2" width="60.5703125" style="504" customWidth="1"/>
    <col min="3" max="4" width="16.28515625" style="504" customWidth="1"/>
    <col min="5" max="6" width="16.28515625" style="506" customWidth="1"/>
    <col min="7" max="7" width="28.140625" style="503" customWidth="1"/>
    <col min="8" max="16384" width="9.140625" style="504"/>
  </cols>
  <sheetData>
    <row r="1" spans="1:7" ht="67.5" customHeight="1">
      <c r="A1" s="952" t="s">
        <v>840</v>
      </c>
      <c r="B1" s="952"/>
      <c r="C1" s="952"/>
      <c r="D1" s="952"/>
      <c r="E1" s="952"/>
      <c r="F1" s="952"/>
    </row>
    <row r="2" spans="1:7" ht="24.75" customHeight="1">
      <c r="B2" s="1160" t="s">
        <v>596</v>
      </c>
      <c r="C2" s="1160"/>
      <c r="D2" s="1160"/>
      <c r="E2" s="1160"/>
      <c r="F2" s="1160"/>
    </row>
    <row r="3" spans="1:7" ht="13.5" thickBot="1"/>
    <row r="4" spans="1:7" ht="75.75" thickBot="1">
      <c r="A4" s="507" t="s">
        <v>597</v>
      </c>
      <c r="B4" s="508" t="s">
        <v>598</v>
      </c>
      <c r="C4" s="508" t="s">
        <v>599</v>
      </c>
      <c r="D4" s="508" t="s">
        <v>600</v>
      </c>
      <c r="E4" s="509" t="s">
        <v>601</v>
      </c>
      <c r="F4" s="509" t="s">
        <v>602</v>
      </c>
    </row>
    <row r="5" spans="1:7" ht="15.75" thickBot="1">
      <c r="A5" s="510">
        <v>1</v>
      </c>
      <c r="B5" s="511">
        <v>2</v>
      </c>
      <c r="C5" s="511">
        <v>3</v>
      </c>
      <c r="D5" s="511">
        <v>4</v>
      </c>
      <c r="E5" s="698">
        <v>5</v>
      </c>
      <c r="F5" s="698">
        <v>6</v>
      </c>
    </row>
    <row r="6" spans="1:7" ht="15.75" thickBot="1">
      <c r="A6" s="699" t="s">
        <v>14</v>
      </c>
      <c r="B6" s="700" t="s">
        <v>379</v>
      </c>
      <c r="C6" s="701" t="s">
        <v>380</v>
      </c>
      <c r="D6" s="701" t="s">
        <v>380</v>
      </c>
      <c r="E6" s="702" t="s">
        <v>380</v>
      </c>
      <c r="F6" s="703" t="s">
        <v>380</v>
      </c>
    </row>
    <row r="7" spans="1:7" s="518" customFormat="1" ht="15">
      <c r="A7" s="512" t="s">
        <v>381</v>
      </c>
      <c r="B7" s="513" t="s">
        <v>382</v>
      </c>
      <c r="C7" s="514" t="s">
        <v>380</v>
      </c>
      <c r="D7" s="514" t="s">
        <v>380</v>
      </c>
      <c r="E7" s="515" t="s">
        <v>380</v>
      </c>
      <c r="F7" s="516" t="s">
        <v>380</v>
      </c>
      <c r="G7" s="517"/>
    </row>
    <row r="8" spans="1:7" s="518" customFormat="1" ht="15">
      <c r="A8" s="519" t="s">
        <v>383</v>
      </c>
      <c r="B8" s="520" t="s">
        <v>384</v>
      </c>
      <c r="C8" s="521" t="s">
        <v>380</v>
      </c>
      <c r="D8" s="521" t="s">
        <v>380</v>
      </c>
      <c r="E8" s="522" t="s">
        <v>380</v>
      </c>
      <c r="F8" s="523" t="s">
        <v>380</v>
      </c>
      <c r="G8" s="517"/>
    </row>
    <row r="9" spans="1:7" s="518" customFormat="1" ht="15">
      <c r="A9" s="519" t="s">
        <v>385</v>
      </c>
      <c r="B9" s="520" t="s">
        <v>386</v>
      </c>
      <c r="C9" s="521" t="s">
        <v>380</v>
      </c>
      <c r="D9" s="521" t="s">
        <v>380</v>
      </c>
      <c r="E9" s="522" t="s">
        <v>380</v>
      </c>
      <c r="F9" s="523" t="s">
        <v>380</v>
      </c>
      <c r="G9" s="517"/>
    </row>
    <row r="10" spans="1:7" ht="15">
      <c r="A10" s="524" t="s">
        <v>579</v>
      </c>
      <c r="B10" s="525" t="s">
        <v>387</v>
      </c>
      <c r="C10" s="526">
        <v>2015</v>
      </c>
      <c r="D10" s="526">
        <v>35</v>
      </c>
      <c r="E10" s="527"/>
      <c r="F10" s="528"/>
    </row>
    <row r="11" spans="1:7" ht="15">
      <c r="A11" s="529" t="s">
        <v>388</v>
      </c>
      <c r="B11" s="530" t="s">
        <v>389</v>
      </c>
      <c r="C11" s="531">
        <v>2015</v>
      </c>
      <c r="D11" s="531">
        <v>35</v>
      </c>
      <c r="E11" s="532"/>
      <c r="F11" s="533"/>
    </row>
    <row r="12" spans="1:7" ht="15">
      <c r="A12" s="529" t="s">
        <v>390</v>
      </c>
      <c r="B12" s="530" t="s">
        <v>389</v>
      </c>
      <c r="C12" s="531">
        <v>2015</v>
      </c>
      <c r="D12" s="531">
        <v>110</v>
      </c>
      <c r="E12" s="532"/>
      <c r="F12" s="533"/>
    </row>
    <row r="13" spans="1:7" ht="15.75" thickBot="1">
      <c r="A13" s="534" t="s">
        <v>391</v>
      </c>
      <c r="B13" s="535" t="s">
        <v>392</v>
      </c>
      <c r="C13" s="536">
        <v>2015</v>
      </c>
      <c r="D13" s="536">
        <v>110</v>
      </c>
      <c r="E13" s="537"/>
      <c r="F13" s="538"/>
    </row>
    <row r="14" spans="1:7" s="518" customFormat="1" ht="15">
      <c r="A14" s="512" t="s">
        <v>393</v>
      </c>
      <c r="B14" s="513" t="s">
        <v>394</v>
      </c>
      <c r="C14" s="514" t="s">
        <v>380</v>
      </c>
      <c r="D14" s="514" t="s">
        <v>380</v>
      </c>
      <c r="E14" s="515" t="s">
        <v>380</v>
      </c>
      <c r="F14" s="516" t="s">
        <v>380</v>
      </c>
      <c r="G14" s="517"/>
    </row>
    <row r="15" spans="1:7" s="518" customFormat="1" ht="15">
      <c r="A15" s="519" t="s">
        <v>395</v>
      </c>
      <c r="B15" s="520" t="s">
        <v>396</v>
      </c>
      <c r="C15" s="521" t="s">
        <v>380</v>
      </c>
      <c r="D15" s="521" t="s">
        <v>380</v>
      </c>
      <c r="E15" s="522" t="s">
        <v>380</v>
      </c>
      <c r="F15" s="523" t="s">
        <v>380</v>
      </c>
      <c r="G15" s="517"/>
    </row>
    <row r="16" spans="1:7" s="518" customFormat="1" ht="15">
      <c r="A16" s="519" t="s">
        <v>397</v>
      </c>
      <c r="B16" s="520" t="s">
        <v>386</v>
      </c>
      <c r="C16" s="521" t="s">
        <v>380</v>
      </c>
      <c r="D16" s="521" t="s">
        <v>380</v>
      </c>
      <c r="E16" s="522" t="s">
        <v>380</v>
      </c>
      <c r="F16" s="523" t="s">
        <v>380</v>
      </c>
      <c r="G16" s="517"/>
    </row>
    <row r="17" spans="1:7" ht="15">
      <c r="A17" s="529" t="s">
        <v>398</v>
      </c>
      <c r="B17" s="530" t="s">
        <v>399</v>
      </c>
      <c r="C17" s="531">
        <v>2015</v>
      </c>
      <c r="D17" s="531">
        <v>0.4</v>
      </c>
      <c r="E17" s="532">
        <v>3.1</v>
      </c>
      <c r="F17" s="533">
        <v>398</v>
      </c>
    </row>
    <row r="18" spans="1:7" ht="15">
      <c r="A18" s="529" t="s">
        <v>400</v>
      </c>
      <c r="B18" s="530" t="s">
        <v>399</v>
      </c>
      <c r="C18" s="531">
        <v>2015</v>
      </c>
      <c r="D18" s="531" t="s">
        <v>401</v>
      </c>
      <c r="E18" s="532">
        <v>0.35</v>
      </c>
      <c r="F18" s="533">
        <v>40</v>
      </c>
    </row>
    <row r="19" spans="1:7" ht="15">
      <c r="A19" s="529" t="s">
        <v>402</v>
      </c>
      <c r="B19" s="530" t="s">
        <v>387</v>
      </c>
      <c r="C19" s="531">
        <v>2015</v>
      </c>
      <c r="D19" s="531">
        <v>0.4</v>
      </c>
      <c r="E19" s="532">
        <v>2.8</v>
      </c>
      <c r="F19" s="533">
        <v>350</v>
      </c>
    </row>
    <row r="20" spans="1:7" ht="15">
      <c r="A20" s="524" t="s">
        <v>403</v>
      </c>
      <c r="B20" s="525" t="s">
        <v>387</v>
      </c>
      <c r="C20" s="526">
        <v>2015</v>
      </c>
      <c r="D20" s="526" t="s">
        <v>401</v>
      </c>
      <c r="E20" s="527"/>
      <c r="F20" s="528"/>
    </row>
    <row r="21" spans="1:7" ht="15">
      <c r="A21" s="524" t="s">
        <v>404</v>
      </c>
      <c r="B21" s="525" t="s">
        <v>387</v>
      </c>
      <c r="C21" s="526">
        <v>2015</v>
      </c>
      <c r="D21" s="526">
        <v>35</v>
      </c>
      <c r="E21" s="527"/>
      <c r="F21" s="528"/>
    </row>
    <row r="22" spans="1:7" ht="15">
      <c r="A22" s="524" t="s">
        <v>405</v>
      </c>
      <c r="B22" s="525" t="s">
        <v>389</v>
      </c>
      <c r="C22" s="526">
        <v>2015</v>
      </c>
      <c r="D22" s="526">
        <v>0.4</v>
      </c>
      <c r="E22" s="527"/>
      <c r="F22" s="528"/>
    </row>
    <row r="23" spans="1:7" ht="15">
      <c r="A23" s="524" t="s">
        <v>406</v>
      </c>
      <c r="B23" s="525" t="s">
        <v>389</v>
      </c>
      <c r="C23" s="526">
        <v>2015</v>
      </c>
      <c r="D23" s="526" t="s">
        <v>401</v>
      </c>
      <c r="E23" s="527"/>
      <c r="F23" s="528"/>
    </row>
    <row r="24" spans="1:7" ht="15.75" thickBot="1">
      <c r="A24" s="524" t="s">
        <v>407</v>
      </c>
      <c r="B24" s="525" t="s">
        <v>389</v>
      </c>
      <c r="C24" s="526">
        <v>2015</v>
      </c>
      <c r="D24" s="526">
        <v>35</v>
      </c>
      <c r="E24" s="527"/>
      <c r="F24" s="528"/>
    </row>
    <row r="25" spans="1:7" s="518" customFormat="1" ht="15">
      <c r="A25" s="512" t="s">
        <v>408</v>
      </c>
      <c r="B25" s="513" t="s">
        <v>384</v>
      </c>
      <c r="C25" s="514" t="s">
        <v>380</v>
      </c>
      <c r="D25" s="514" t="s">
        <v>380</v>
      </c>
      <c r="E25" s="515" t="s">
        <v>380</v>
      </c>
      <c r="F25" s="516" t="s">
        <v>380</v>
      </c>
      <c r="G25" s="517"/>
    </row>
    <row r="26" spans="1:7" s="518" customFormat="1" ht="15">
      <c r="A26" s="519" t="s">
        <v>409</v>
      </c>
      <c r="B26" s="520" t="s">
        <v>386</v>
      </c>
      <c r="C26" s="521" t="s">
        <v>380</v>
      </c>
      <c r="D26" s="521" t="s">
        <v>380</v>
      </c>
      <c r="E26" s="522" t="s">
        <v>380</v>
      </c>
      <c r="F26" s="523" t="s">
        <v>380</v>
      </c>
      <c r="G26" s="517"/>
    </row>
    <row r="27" spans="1:7" ht="15">
      <c r="A27" s="529" t="s">
        <v>410</v>
      </c>
      <c r="B27" s="530" t="s">
        <v>399</v>
      </c>
      <c r="C27" s="531">
        <v>2015</v>
      </c>
      <c r="D27" s="531">
        <v>0.4</v>
      </c>
      <c r="E27" s="532"/>
      <c r="F27" s="533"/>
    </row>
    <row r="28" spans="1:7" ht="15">
      <c r="A28" s="529" t="s">
        <v>411</v>
      </c>
      <c r="B28" s="530" t="s">
        <v>399</v>
      </c>
      <c r="C28" s="531">
        <v>2015</v>
      </c>
      <c r="D28" s="531" t="s">
        <v>401</v>
      </c>
      <c r="E28" s="532"/>
      <c r="F28" s="533"/>
    </row>
    <row r="29" spans="1:7" ht="15">
      <c r="A29" s="524" t="s">
        <v>412</v>
      </c>
      <c r="B29" s="525" t="s">
        <v>387</v>
      </c>
      <c r="C29" s="526">
        <v>2015</v>
      </c>
      <c r="D29" s="526">
        <v>35</v>
      </c>
      <c r="E29" s="527"/>
      <c r="F29" s="528"/>
    </row>
    <row r="30" spans="1:7" ht="15.75" thickBot="1">
      <c r="A30" s="539" t="s">
        <v>413</v>
      </c>
      <c r="B30" s="540" t="s">
        <v>389</v>
      </c>
      <c r="C30" s="541">
        <v>2015</v>
      </c>
      <c r="D30" s="541">
        <v>35</v>
      </c>
      <c r="E30" s="542"/>
      <c r="F30" s="543"/>
    </row>
    <row r="31" spans="1:7" s="518" customFormat="1" ht="15.75" thickBot="1">
      <c r="A31" s="544" t="s">
        <v>21</v>
      </c>
      <c r="B31" s="545" t="s">
        <v>604</v>
      </c>
      <c r="C31" s="546"/>
      <c r="D31" s="546"/>
      <c r="E31" s="547"/>
      <c r="F31" s="548"/>
      <c r="G31" s="517"/>
    </row>
    <row r="32" spans="1:7" ht="15">
      <c r="A32" s="549" t="s">
        <v>605</v>
      </c>
      <c r="B32" s="550" t="s">
        <v>606</v>
      </c>
      <c r="C32" s="551">
        <v>2015</v>
      </c>
      <c r="D32" s="551">
        <v>0.4</v>
      </c>
      <c r="E32" s="552">
        <v>5.9</v>
      </c>
      <c r="F32" s="553">
        <v>748</v>
      </c>
    </row>
    <row r="33" spans="1:7" ht="15">
      <c r="A33" s="529" t="s">
        <v>607</v>
      </c>
      <c r="B33" s="530" t="s">
        <v>608</v>
      </c>
      <c r="C33" s="531">
        <v>2015</v>
      </c>
      <c r="D33" s="531" t="s">
        <v>401</v>
      </c>
      <c r="E33" s="532">
        <v>0.35</v>
      </c>
      <c r="F33" s="533">
        <v>40</v>
      </c>
    </row>
    <row r="34" spans="1:7" ht="15">
      <c r="A34" s="524" t="s">
        <v>609</v>
      </c>
      <c r="B34" s="525"/>
      <c r="C34" s="526"/>
      <c r="D34" s="526"/>
      <c r="E34" s="527"/>
      <c r="F34" s="528"/>
    </row>
    <row r="35" spans="1:7" ht="15">
      <c r="A35" s="529" t="s">
        <v>610</v>
      </c>
      <c r="B35" s="525"/>
      <c r="C35" s="526"/>
      <c r="D35" s="526"/>
      <c r="E35" s="527"/>
      <c r="F35" s="528"/>
    </row>
    <row r="36" spans="1:7" ht="15">
      <c r="A36" s="529" t="s">
        <v>611</v>
      </c>
      <c r="B36" s="525"/>
      <c r="C36" s="526"/>
      <c r="D36" s="526"/>
      <c r="E36" s="527"/>
      <c r="F36" s="528"/>
    </row>
    <row r="37" spans="1:7" ht="15">
      <c r="A37" s="524" t="s">
        <v>612</v>
      </c>
      <c r="B37" s="525"/>
      <c r="C37" s="526"/>
      <c r="D37" s="526"/>
      <c r="E37" s="527"/>
      <c r="F37" s="528"/>
    </row>
    <row r="38" spans="1:7" ht="15">
      <c r="A38" s="529" t="s">
        <v>613</v>
      </c>
      <c r="B38" s="525"/>
      <c r="C38" s="526"/>
      <c r="D38" s="526"/>
      <c r="E38" s="527"/>
      <c r="F38" s="528"/>
    </row>
    <row r="39" spans="1:7" ht="15">
      <c r="A39" s="529" t="s">
        <v>614</v>
      </c>
      <c r="B39" s="525"/>
      <c r="C39" s="526"/>
      <c r="D39" s="526"/>
      <c r="E39" s="527"/>
      <c r="F39" s="528"/>
    </row>
    <row r="40" spans="1:7" ht="15">
      <c r="A40" s="524" t="s">
        <v>615</v>
      </c>
      <c r="B40" s="525"/>
      <c r="C40" s="526"/>
      <c r="D40" s="526"/>
      <c r="E40" s="527"/>
      <c r="F40" s="528"/>
    </row>
    <row r="41" spans="1:7" ht="15">
      <c r="A41" s="529" t="s">
        <v>616</v>
      </c>
      <c r="B41" s="525"/>
      <c r="C41" s="526"/>
      <c r="D41" s="526"/>
      <c r="E41" s="527"/>
      <c r="F41" s="528"/>
    </row>
    <row r="42" spans="1:7" ht="15">
      <c r="A42" s="529" t="s">
        <v>617</v>
      </c>
      <c r="B42" s="525"/>
      <c r="C42" s="526"/>
      <c r="D42" s="526"/>
      <c r="E42" s="527"/>
      <c r="F42" s="528"/>
    </row>
    <row r="43" spans="1:7" ht="15">
      <c r="A43" s="524" t="s">
        <v>618</v>
      </c>
      <c r="B43" s="525"/>
      <c r="C43" s="526"/>
      <c r="D43" s="526"/>
      <c r="E43" s="527"/>
      <c r="F43" s="528"/>
    </row>
    <row r="44" spans="1:7" ht="15">
      <c r="A44" s="529" t="s">
        <v>619</v>
      </c>
      <c r="B44" s="525"/>
      <c r="C44" s="526"/>
      <c r="D44" s="526"/>
      <c r="E44" s="527"/>
      <c r="F44" s="528"/>
    </row>
    <row r="45" spans="1:7" ht="15">
      <c r="A45" s="529" t="s">
        <v>620</v>
      </c>
      <c r="B45" s="525"/>
      <c r="C45" s="526"/>
      <c r="D45" s="526"/>
      <c r="E45" s="527"/>
      <c r="F45" s="528"/>
    </row>
    <row r="46" spans="1:7" ht="15.75" thickBot="1">
      <c r="A46" s="539" t="s">
        <v>621</v>
      </c>
      <c r="B46" s="540"/>
      <c r="C46" s="541"/>
      <c r="D46" s="541"/>
      <c r="E46" s="542"/>
      <c r="F46" s="543"/>
    </row>
    <row r="47" spans="1:7" s="518" customFormat="1" ht="15.75" thickBot="1">
      <c r="A47" s="699" t="s">
        <v>135</v>
      </c>
      <c r="B47" s="700" t="s">
        <v>414</v>
      </c>
      <c r="C47" s="701" t="s">
        <v>380</v>
      </c>
      <c r="D47" s="701" t="s">
        <v>380</v>
      </c>
      <c r="E47" s="702" t="s">
        <v>380</v>
      </c>
      <c r="F47" s="703" t="s">
        <v>380</v>
      </c>
      <c r="G47" s="517"/>
    </row>
    <row r="48" spans="1:7" s="518" customFormat="1" ht="15">
      <c r="A48" s="512" t="s">
        <v>167</v>
      </c>
      <c r="B48" s="513" t="s">
        <v>415</v>
      </c>
      <c r="C48" s="514" t="s">
        <v>380</v>
      </c>
      <c r="D48" s="514" t="s">
        <v>380</v>
      </c>
      <c r="E48" s="515" t="s">
        <v>380</v>
      </c>
      <c r="F48" s="516" t="s">
        <v>380</v>
      </c>
      <c r="G48" s="517"/>
    </row>
    <row r="49" spans="1:7" s="518" customFormat="1" ht="15">
      <c r="A49" s="519" t="s">
        <v>168</v>
      </c>
      <c r="B49" s="520" t="s">
        <v>416</v>
      </c>
      <c r="C49" s="521" t="s">
        <v>380</v>
      </c>
      <c r="D49" s="521" t="s">
        <v>380</v>
      </c>
      <c r="E49" s="522" t="s">
        <v>380</v>
      </c>
      <c r="F49" s="523" t="s">
        <v>380</v>
      </c>
      <c r="G49" s="517"/>
    </row>
    <row r="50" spans="1:7" s="518" customFormat="1" ht="15">
      <c r="A50" s="519" t="s">
        <v>169</v>
      </c>
      <c r="B50" s="520" t="s">
        <v>417</v>
      </c>
      <c r="C50" s="521" t="s">
        <v>380</v>
      </c>
      <c r="D50" s="521" t="s">
        <v>380</v>
      </c>
      <c r="E50" s="522" t="s">
        <v>380</v>
      </c>
      <c r="F50" s="523" t="s">
        <v>380</v>
      </c>
      <c r="G50" s="517"/>
    </row>
    <row r="51" spans="1:7" ht="15">
      <c r="A51" s="529" t="s">
        <v>418</v>
      </c>
      <c r="B51" s="530" t="s">
        <v>399</v>
      </c>
      <c r="C51" s="531">
        <v>2015</v>
      </c>
      <c r="D51" s="531" t="s">
        <v>401</v>
      </c>
      <c r="E51" s="532"/>
      <c r="F51" s="533"/>
    </row>
    <row r="52" spans="1:7" ht="15">
      <c r="A52" s="529" t="s">
        <v>419</v>
      </c>
      <c r="B52" s="530" t="s">
        <v>399</v>
      </c>
      <c r="C52" s="531">
        <v>2015</v>
      </c>
      <c r="D52" s="531">
        <v>35</v>
      </c>
      <c r="E52" s="532"/>
      <c r="F52" s="533"/>
    </row>
    <row r="53" spans="1:7" ht="15">
      <c r="A53" s="529" t="s">
        <v>420</v>
      </c>
      <c r="B53" s="530" t="s">
        <v>399</v>
      </c>
      <c r="C53" s="531">
        <v>2015</v>
      </c>
      <c r="D53" s="531">
        <v>110</v>
      </c>
      <c r="E53" s="532"/>
      <c r="F53" s="533"/>
    </row>
    <row r="54" spans="1:7" ht="15">
      <c r="A54" s="529" t="s">
        <v>421</v>
      </c>
      <c r="B54" s="530" t="s">
        <v>387</v>
      </c>
      <c r="C54" s="531">
        <v>2015</v>
      </c>
      <c r="D54" s="531" t="s">
        <v>401</v>
      </c>
      <c r="E54" s="532"/>
      <c r="F54" s="533"/>
    </row>
    <row r="55" spans="1:7" ht="15">
      <c r="A55" s="529" t="s">
        <v>422</v>
      </c>
      <c r="B55" s="530" t="s">
        <v>387</v>
      </c>
      <c r="C55" s="531">
        <v>2015</v>
      </c>
      <c r="D55" s="531">
        <v>35</v>
      </c>
      <c r="E55" s="532"/>
      <c r="F55" s="533"/>
    </row>
    <row r="56" spans="1:7" ht="15">
      <c r="A56" s="529" t="s">
        <v>423</v>
      </c>
      <c r="B56" s="530" t="s">
        <v>387</v>
      </c>
      <c r="C56" s="531">
        <v>2015</v>
      </c>
      <c r="D56" s="531">
        <v>110</v>
      </c>
      <c r="E56" s="532"/>
      <c r="F56" s="533"/>
    </row>
    <row r="57" spans="1:7" ht="15">
      <c r="A57" s="529" t="s">
        <v>424</v>
      </c>
      <c r="B57" s="530" t="s">
        <v>389</v>
      </c>
      <c r="C57" s="531">
        <v>2015</v>
      </c>
      <c r="D57" s="531" t="s">
        <v>401</v>
      </c>
      <c r="E57" s="532"/>
      <c r="F57" s="533"/>
    </row>
    <row r="58" spans="1:7" ht="15">
      <c r="A58" s="529" t="s">
        <v>425</v>
      </c>
      <c r="B58" s="530" t="s">
        <v>389</v>
      </c>
      <c r="C58" s="531">
        <v>2015</v>
      </c>
      <c r="D58" s="531">
        <v>35</v>
      </c>
      <c r="E58" s="532"/>
      <c r="F58" s="533"/>
    </row>
    <row r="59" spans="1:7" ht="15">
      <c r="A59" s="529" t="s">
        <v>426</v>
      </c>
      <c r="B59" s="530" t="s">
        <v>389</v>
      </c>
      <c r="C59" s="531">
        <v>2015</v>
      </c>
      <c r="D59" s="531">
        <v>110</v>
      </c>
      <c r="E59" s="532"/>
      <c r="F59" s="533"/>
    </row>
    <row r="60" spans="1:7" ht="15.75" thickBot="1">
      <c r="A60" s="539" t="s">
        <v>427</v>
      </c>
      <c r="B60" s="540" t="s">
        <v>392</v>
      </c>
      <c r="C60" s="541">
        <v>2015</v>
      </c>
      <c r="D60" s="541">
        <v>110</v>
      </c>
      <c r="E60" s="542"/>
      <c r="F60" s="543"/>
    </row>
    <row r="61" spans="1:7" s="518" customFormat="1" ht="15">
      <c r="A61" s="512" t="s">
        <v>428</v>
      </c>
      <c r="B61" s="513" t="s">
        <v>429</v>
      </c>
      <c r="C61" s="514" t="s">
        <v>380</v>
      </c>
      <c r="D61" s="514" t="s">
        <v>380</v>
      </c>
      <c r="E61" s="515" t="s">
        <v>380</v>
      </c>
      <c r="F61" s="516" t="s">
        <v>380</v>
      </c>
      <c r="G61" s="517"/>
    </row>
    <row r="62" spans="1:7" ht="15">
      <c r="A62" s="529" t="s">
        <v>430</v>
      </c>
      <c r="B62" s="530" t="s">
        <v>399</v>
      </c>
      <c r="C62" s="531">
        <v>2015</v>
      </c>
      <c r="D62" s="531" t="s">
        <v>401</v>
      </c>
      <c r="E62" s="532"/>
      <c r="F62" s="533"/>
    </row>
    <row r="63" spans="1:7" ht="15">
      <c r="A63" s="529" t="s">
        <v>431</v>
      </c>
      <c r="B63" s="530" t="s">
        <v>399</v>
      </c>
      <c r="C63" s="531">
        <v>2015</v>
      </c>
      <c r="D63" s="531">
        <v>35</v>
      </c>
      <c r="E63" s="532"/>
      <c r="F63" s="533"/>
    </row>
    <row r="64" spans="1:7" ht="15">
      <c r="A64" s="529" t="s">
        <v>432</v>
      </c>
      <c r="B64" s="530" t="s">
        <v>399</v>
      </c>
      <c r="C64" s="531">
        <v>2015</v>
      </c>
      <c r="D64" s="531">
        <v>110</v>
      </c>
      <c r="E64" s="532"/>
      <c r="F64" s="533"/>
    </row>
    <row r="65" spans="1:7" ht="15">
      <c r="A65" s="529" t="s">
        <v>433</v>
      </c>
      <c r="B65" s="530" t="s">
        <v>387</v>
      </c>
      <c r="C65" s="531">
        <v>2015</v>
      </c>
      <c r="D65" s="531" t="s">
        <v>401</v>
      </c>
      <c r="E65" s="532"/>
      <c r="F65" s="533"/>
    </row>
    <row r="66" spans="1:7" ht="15">
      <c r="A66" s="529" t="s">
        <v>434</v>
      </c>
      <c r="B66" s="530" t="s">
        <v>387</v>
      </c>
      <c r="C66" s="531">
        <v>2015</v>
      </c>
      <c r="D66" s="531">
        <v>35</v>
      </c>
      <c r="E66" s="532"/>
      <c r="F66" s="533"/>
    </row>
    <row r="67" spans="1:7" ht="15">
      <c r="A67" s="529" t="s">
        <v>435</v>
      </c>
      <c r="B67" s="530" t="s">
        <v>387</v>
      </c>
      <c r="C67" s="531">
        <v>2015</v>
      </c>
      <c r="D67" s="531">
        <v>110</v>
      </c>
      <c r="E67" s="532"/>
      <c r="F67" s="533"/>
    </row>
    <row r="68" spans="1:7" ht="15">
      <c r="A68" s="529" t="s">
        <v>436</v>
      </c>
      <c r="B68" s="530" t="s">
        <v>389</v>
      </c>
      <c r="C68" s="531">
        <v>2015</v>
      </c>
      <c r="D68" s="531" t="s">
        <v>401</v>
      </c>
      <c r="E68" s="532"/>
      <c r="F68" s="533"/>
    </row>
    <row r="69" spans="1:7" ht="15">
      <c r="A69" s="529" t="s">
        <v>437</v>
      </c>
      <c r="B69" s="530" t="s">
        <v>389</v>
      </c>
      <c r="C69" s="531">
        <v>2015</v>
      </c>
      <c r="D69" s="531">
        <v>35</v>
      </c>
      <c r="E69" s="532"/>
      <c r="F69" s="533"/>
    </row>
    <row r="70" spans="1:7" ht="15">
      <c r="A70" s="529" t="s">
        <v>438</v>
      </c>
      <c r="B70" s="530" t="s">
        <v>389</v>
      </c>
      <c r="C70" s="531">
        <v>2015</v>
      </c>
      <c r="D70" s="531">
        <v>110</v>
      </c>
      <c r="E70" s="532"/>
      <c r="F70" s="533"/>
    </row>
    <row r="71" spans="1:7" ht="15.75" thickBot="1">
      <c r="A71" s="539" t="s">
        <v>439</v>
      </c>
      <c r="B71" s="540" t="s">
        <v>392</v>
      </c>
      <c r="C71" s="541">
        <v>2015</v>
      </c>
      <c r="D71" s="541">
        <v>110</v>
      </c>
      <c r="E71" s="542"/>
      <c r="F71" s="543"/>
    </row>
    <row r="72" spans="1:7" s="518" customFormat="1" ht="15">
      <c r="A72" s="519" t="s">
        <v>170</v>
      </c>
      <c r="B72" s="520" t="s">
        <v>440</v>
      </c>
      <c r="C72" s="521" t="s">
        <v>380</v>
      </c>
      <c r="D72" s="521" t="s">
        <v>380</v>
      </c>
      <c r="E72" s="522" t="s">
        <v>380</v>
      </c>
      <c r="F72" s="523" t="s">
        <v>380</v>
      </c>
      <c r="G72" s="517"/>
    </row>
    <row r="73" spans="1:7" s="518" customFormat="1" ht="15">
      <c r="A73" s="519" t="s">
        <v>171</v>
      </c>
      <c r="B73" s="520" t="s">
        <v>417</v>
      </c>
      <c r="C73" s="521" t="s">
        <v>380</v>
      </c>
      <c r="D73" s="521" t="s">
        <v>380</v>
      </c>
      <c r="E73" s="522" t="s">
        <v>380</v>
      </c>
      <c r="F73" s="523" t="s">
        <v>380</v>
      </c>
      <c r="G73" s="517"/>
    </row>
    <row r="74" spans="1:7" ht="15">
      <c r="A74" s="529" t="s">
        <v>441</v>
      </c>
      <c r="B74" s="530" t="s">
        <v>399</v>
      </c>
      <c r="C74" s="531">
        <v>2015</v>
      </c>
      <c r="D74" s="531">
        <v>0.4</v>
      </c>
      <c r="E74" s="532">
        <v>0.2</v>
      </c>
      <c r="F74" s="533">
        <v>79</v>
      </c>
    </row>
    <row r="75" spans="1:7" ht="15">
      <c r="A75" s="529" t="s">
        <v>442</v>
      </c>
      <c r="B75" s="530" t="s">
        <v>399</v>
      </c>
      <c r="C75" s="531">
        <v>2015</v>
      </c>
      <c r="D75" s="531" t="s">
        <v>401</v>
      </c>
      <c r="E75" s="532"/>
      <c r="F75" s="533"/>
    </row>
    <row r="76" spans="1:7" ht="15">
      <c r="A76" s="529" t="s">
        <v>443</v>
      </c>
      <c r="B76" s="530" t="s">
        <v>399</v>
      </c>
      <c r="C76" s="531">
        <v>2015</v>
      </c>
      <c r="D76" s="531">
        <v>35</v>
      </c>
      <c r="E76" s="532"/>
      <c r="F76" s="533"/>
    </row>
    <row r="77" spans="1:7" ht="15">
      <c r="A77" s="529" t="s">
        <v>444</v>
      </c>
      <c r="B77" s="530" t="s">
        <v>399</v>
      </c>
      <c r="C77" s="531">
        <v>2015</v>
      </c>
      <c r="D77" s="531">
        <v>110</v>
      </c>
      <c r="E77" s="532"/>
      <c r="F77" s="533"/>
    </row>
    <row r="78" spans="1:7" ht="15">
      <c r="A78" s="529" t="s">
        <v>445</v>
      </c>
      <c r="B78" s="530" t="s">
        <v>387</v>
      </c>
      <c r="C78" s="531">
        <v>2015</v>
      </c>
      <c r="D78" s="531">
        <v>0.4</v>
      </c>
      <c r="E78" s="532">
        <v>0.28000000000000003</v>
      </c>
      <c r="F78" s="533">
        <v>100</v>
      </c>
    </row>
    <row r="79" spans="1:7" ht="15">
      <c r="A79" s="529" t="s">
        <v>446</v>
      </c>
      <c r="B79" s="530" t="s">
        <v>387</v>
      </c>
      <c r="C79" s="531">
        <v>2015</v>
      </c>
      <c r="D79" s="531" t="s">
        <v>401</v>
      </c>
      <c r="E79" s="532"/>
      <c r="F79" s="533"/>
    </row>
    <row r="80" spans="1:7" ht="15">
      <c r="A80" s="529" t="s">
        <v>447</v>
      </c>
      <c r="B80" s="530" t="s">
        <v>387</v>
      </c>
      <c r="C80" s="531">
        <v>2015</v>
      </c>
      <c r="D80" s="531">
        <v>35</v>
      </c>
      <c r="E80" s="532"/>
      <c r="F80" s="533"/>
    </row>
    <row r="81" spans="1:7" ht="15">
      <c r="A81" s="529" t="s">
        <v>448</v>
      </c>
      <c r="B81" s="530" t="s">
        <v>387</v>
      </c>
      <c r="C81" s="531">
        <v>2015</v>
      </c>
      <c r="D81" s="531">
        <v>110</v>
      </c>
      <c r="E81" s="532"/>
      <c r="F81" s="533"/>
    </row>
    <row r="82" spans="1:7" ht="15">
      <c r="A82" s="529" t="s">
        <v>449</v>
      </c>
      <c r="B82" s="530" t="s">
        <v>389</v>
      </c>
      <c r="C82" s="531">
        <v>2015</v>
      </c>
      <c r="D82" s="531">
        <v>0.4</v>
      </c>
      <c r="E82" s="532">
        <v>1.1000000000000001</v>
      </c>
      <c r="F82" s="533">
        <v>260</v>
      </c>
    </row>
    <row r="83" spans="1:7" ht="15">
      <c r="A83" s="529" t="s">
        <v>450</v>
      </c>
      <c r="B83" s="530" t="s">
        <v>389</v>
      </c>
      <c r="C83" s="531">
        <v>2015</v>
      </c>
      <c r="D83" s="531" t="s">
        <v>401</v>
      </c>
      <c r="E83" s="532">
        <v>0.1</v>
      </c>
      <c r="F83" s="533">
        <v>48</v>
      </c>
    </row>
    <row r="84" spans="1:7" ht="15">
      <c r="A84" s="529" t="s">
        <v>451</v>
      </c>
      <c r="B84" s="530" t="s">
        <v>389</v>
      </c>
      <c r="C84" s="531">
        <v>2015</v>
      </c>
      <c r="D84" s="531">
        <v>35</v>
      </c>
      <c r="E84" s="532"/>
      <c r="F84" s="533"/>
    </row>
    <row r="85" spans="1:7" ht="15">
      <c r="A85" s="529" t="s">
        <v>452</v>
      </c>
      <c r="B85" s="530" t="s">
        <v>389</v>
      </c>
      <c r="C85" s="531">
        <v>2015</v>
      </c>
      <c r="D85" s="531">
        <v>110</v>
      </c>
      <c r="E85" s="532"/>
      <c r="F85" s="533"/>
    </row>
    <row r="86" spans="1:7" ht="15">
      <c r="A86" s="524" t="s">
        <v>453</v>
      </c>
      <c r="B86" s="525" t="s">
        <v>392</v>
      </c>
      <c r="C86" s="526">
        <v>2015</v>
      </c>
      <c r="D86" s="526">
        <v>6</v>
      </c>
      <c r="E86" s="527">
        <f>E164</f>
        <v>0</v>
      </c>
      <c r="F86" s="528">
        <f>F164</f>
        <v>0</v>
      </c>
    </row>
    <row r="87" spans="1:7" ht="15.75" thickBot="1">
      <c r="A87" s="539" t="s">
        <v>454</v>
      </c>
      <c r="B87" s="540" t="s">
        <v>392</v>
      </c>
      <c r="C87" s="541">
        <v>2015</v>
      </c>
      <c r="D87" s="541">
        <v>110</v>
      </c>
      <c r="E87" s="542"/>
      <c r="F87" s="543"/>
    </row>
    <row r="88" spans="1:7" s="518" customFormat="1" ht="15">
      <c r="A88" s="512" t="s">
        <v>172</v>
      </c>
      <c r="B88" s="513" t="s">
        <v>429</v>
      </c>
      <c r="C88" s="514" t="s">
        <v>380</v>
      </c>
      <c r="D88" s="514" t="s">
        <v>380</v>
      </c>
      <c r="E88" s="515" t="s">
        <v>380</v>
      </c>
      <c r="F88" s="516" t="s">
        <v>380</v>
      </c>
      <c r="G88" s="517"/>
    </row>
    <row r="89" spans="1:7" ht="15">
      <c r="A89" s="529" t="s">
        <v>455</v>
      </c>
      <c r="B89" s="530" t="s">
        <v>399</v>
      </c>
      <c r="C89" s="531">
        <v>2015</v>
      </c>
      <c r="D89" s="531">
        <v>0.4</v>
      </c>
      <c r="E89" s="532"/>
      <c r="F89" s="533"/>
    </row>
    <row r="90" spans="1:7" ht="15">
      <c r="A90" s="529" t="s">
        <v>456</v>
      </c>
      <c r="B90" s="530" t="s">
        <v>399</v>
      </c>
      <c r="C90" s="531">
        <v>2015</v>
      </c>
      <c r="D90" s="531" t="s">
        <v>401</v>
      </c>
      <c r="E90" s="532"/>
      <c r="F90" s="533"/>
    </row>
    <row r="91" spans="1:7" ht="15">
      <c r="A91" s="529" t="s">
        <v>457</v>
      </c>
      <c r="B91" s="530" t="s">
        <v>399</v>
      </c>
      <c r="C91" s="531">
        <v>2015</v>
      </c>
      <c r="D91" s="531">
        <v>35</v>
      </c>
      <c r="E91" s="532"/>
      <c r="F91" s="533"/>
    </row>
    <row r="92" spans="1:7" ht="15">
      <c r="A92" s="529" t="s">
        <v>458</v>
      </c>
      <c r="B92" s="530" t="s">
        <v>399</v>
      </c>
      <c r="C92" s="531">
        <v>2015</v>
      </c>
      <c r="D92" s="531">
        <v>110</v>
      </c>
      <c r="E92" s="532"/>
      <c r="F92" s="533"/>
    </row>
    <row r="93" spans="1:7" ht="15">
      <c r="A93" s="529" t="s">
        <v>459</v>
      </c>
      <c r="B93" s="530" t="s">
        <v>387</v>
      </c>
      <c r="C93" s="531">
        <v>2015</v>
      </c>
      <c r="D93" s="531">
        <v>0.4</v>
      </c>
      <c r="E93" s="532"/>
      <c r="F93" s="533"/>
    </row>
    <row r="94" spans="1:7" ht="15">
      <c r="A94" s="529" t="s">
        <v>460</v>
      </c>
      <c r="B94" s="530" t="s">
        <v>387</v>
      </c>
      <c r="C94" s="531">
        <v>2015</v>
      </c>
      <c r="D94" s="531" t="s">
        <v>401</v>
      </c>
      <c r="E94" s="532"/>
      <c r="F94" s="533"/>
    </row>
    <row r="95" spans="1:7" ht="15">
      <c r="A95" s="529" t="s">
        <v>461</v>
      </c>
      <c r="B95" s="530" t="s">
        <v>387</v>
      </c>
      <c r="C95" s="531">
        <v>2015</v>
      </c>
      <c r="D95" s="531">
        <v>35</v>
      </c>
      <c r="E95" s="532"/>
      <c r="F95" s="533"/>
    </row>
    <row r="96" spans="1:7" ht="15">
      <c r="A96" s="529" t="s">
        <v>462</v>
      </c>
      <c r="B96" s="530" t="s">
        <v>387</v>
      </c>
      <c r="C96" s="531">
        <v>2015</v>
      </c>
      <c r="D96" s="531">
        <v>110</v>
      </c>
      <c r="E96" s="532"/>
      <c r="F96" s="533"/>
    </row>
    <row r="97" spans="1:7" ht="15">
      <c r="A97" s="529" t="s">
        <v>463</v>
      </c>
      <c r="B97" s="530" t="s">
        <v>389</v>
      </c>
      <c r="C97" s="531">
        <v>2015</v>
      </c>
      <c r="D97" s="531">
        <v>0.4</v>
      </c>
      <c r="E97" s="532"/>
      <c r="F97" s="533"/>
    </row>
    <row r="98" spans="1:7" ht="15">
      <c r="A98" s="529" t="s">
        <v>464</v>
      </c>
      <c r="B98" s="530" t="s">
        <v>389</v>
      </c>
      <c r="C98" s="531">
        <v>2015</v>
      </c>
      <c r="D98" s="531" t="s">
        <v>401</v>
      </c>
      <c r="E98" s="532"/>
      <c r="F98" s="533"/>
    </row>
    <row r="99" spans="1:7" ht="15">
      <c r="A99" s="529" t="s">
        <v>465</v>
      </c>
      <c r="B99" s="530" t="s">
        <v>389</v>
      </c>
      <c r="C99" s="531">
        <v>2015</v>
      </c>
      <c r="D99" s="531">
        <v>35</v>
      </c>
      <c r="E99" s="532"/>
      <c r="F99" s="533"/>
    </row>
    <row r="100" spans="1:7" ht="15">
      <c r="A100" s="529" t="s">
        <v>466</v>
      </c>
      <c r="B100" s="530" t="s">
        <v>389</v>
      </c>
      <c r="C100" s="531">
        <v>2015</v>
      </c>
      <c r="D100" s="531">
        <v>110</v>
      </c>
      <c r="E100" s="532"/>
      <c r="F100" s="533"/>
    </row>
    <row r="101" spans="1:7" ht="15.75" thickBot="1">
      <c r="A101" s="539" t="s">
        <v>467</v>
      </c>
      <c r="B101" s="540" t="s">
        <v>392</v>
      </c>
      <c r="C101" s="541">
        <v>2015</v>
      </c>
      <c r="D101" s="541">
        <v>110</v>
      </c>
      <c r="E101" s="542"/>
      <c r="F101" s="543"/>
    </row>
    <row r="102" spans="1:7" s="518" customFormat="1" ht="15">
      <c r="A102" s="512" t="s">
        <v>173</v>
      </c>
      <c r="B102" s="513" t="s">
        <v>468</v>
      </c>
      <c r="C102" s="514" t="s">
        <v>380</v>
      </c>
      <c r="D102" s="514" t="s">
        <v>380</v>
      </c>
      <c r="E102" s="515" t="s">
        <v>380</v>
      </c>
      <c r="F102" s="516" t="s">
        <v>380</v>
      </c>
      <c r="G102" s="517"/>
    </row>
    <row r="103" spans="1:7" s="518" customFormat="1" ht="15">
      <c r="A103" s="519" t="s">
        <v>174</v>
      </c>
      <c r="B103" s="520" t="s">
        <v>416</v>
      </c>
      <c r="C103" s="521" t="s">
        <v>380</v>
      </c>
      <c r="D103" s="521" t="s">
        <v>380</v>
      </c>
      <c r="E103" s="522" t="s">
        <v>380</v>
      </c>
      <c r="F103" s="523" t="s">
        <v>380</v>
      </c>
      <c r="G103" s="517"/>
    </row>
    <row r="104" spans="1:7" s="518" customFormat="1" ht="15">
      <c r="A104" s="519" t="s">
        <v>175</v>
      </c>
      <c r="B104" s="520" t="s">
        <v>417</v>
      </c>
      <c r="C104" s="521" t="s">
        <v>380</v>
      </c>
      <c r="D104" s="521" t="s">
        <v>380</v>
      </c>
      <c r="E104" s="522" t="s">
        <v>380</v>
      </c>
      <c r="F104" s="523" t="s">
        <v>380</v>
      </c>
      <c r="G104" s="517"/>
    </row>
    <row r="105" spans="1:7" ht="15">
      <c r="A105" s="529" t="s">
        <v>469</v>
      </c>
      <c r="B105" s="530" t="s">
        <v>399</v>
      </c>
      <c r="C105" s="531">
        <v>2015</v>
      </c>
      <c r="D105" s="531" t="s">
        <v>401</v>
      </c>
      <c r="E105" s="532"/>
      <c r="F105" s="533"/>
    </row>
    <row r="106" spans="1:7" ht="15">
      <c r="A106" s="529" t="s">
        <v>470</v>
      </c>
      <c r="B106" s="530" t="s">
        <v>399</v>
      </c>
      <c r="C106" s="531">
        <v>2015</v>
      </c>
      <c r="D106" s="531">
        <v>35</v>
      </c>
      <c r="E106" s="532"/>
      <c r="F106" s="533"/>
    </row>
    <row r="107" spans="1:7" ht="15">
      <c r="A107" s="529" t="s">
        <v>471</v>
      </c>
      <c r="B107" s="530" t="s">
        <v>399</v>
      </c>
      <c r="C107" s="531">
        <v>2015</v>
      </c>
      <c r="D107" s="531">
        <v>110</v>
      </c>
      <c r="E107" s="532"/>
      <c r="F107" s="533"/>
    </row>
    <row r="108" spans="1:7" ht="15">
      <c r="A108" s="529" t="s">
        <v>472</v>
      </c>
      <c r="B108" s="530" t="s">
        <v>387</v>
      </c>
      <c r="C108" s="531">
        <v>2015</v>
      </c>
      <c r="D108" s="531" t="s">
        <v>401</v>
      </c>
      <c r="E108" s="532"/>
      <c r="F108" s="533"/>
    </row>
    <row r="109" spans="1:7" ht="15">
      <c r="A109" s="529" t="s">
        <v>473</v>
      </c>
      <c r="B109" s="530" t="s">
        <v>387</v>
      </c>
      <c r="C109" s="531">
        <v>2015</v>
      </c>
      <c r="D109" s="531">
        <v>35</v>
      </c>
      <c r="E109" s="532"/>
      <c r="F109" s="533"/>
    </row>
    <row r="110" spans="1:7" ht="15">
      <c r="A110" s="529" t="s">
        <v>474</v>
      </c>
      <c r="B110" s="530" t="s">
        <v>387</v>
      </c>
      <c r="C110" s="531">
        <v>2015</v>
      </c>
      <c r="D110" s="531">
        <v>110</v>
      </c>
      <c r="E110" s="532"/>
      <c r="F110" s="533"/>
    </row>
    <row r="111" spans="1:7" ht="15">
      <c r="A111" s="529" t="s">
        <v>475</v>
      </c>
      <c r="B111" s="530" t="s">
        <v>389</v>
      </c>
      <c r="C111" s="531">
        <v>2015</v>
      </c>
      <c r="D111" s="531" t="s">
        <v>401</v>
      </c>
      <c r="E111" s="532"/>
      <c r="F111" s="533"/>
    </row>
    <row r="112" spans="1:7" ht="15">
      <c r="A112" s="529" t="s">
        <v>476</v>
      </c>
      <c r="B112" s="530" t="s">
        <v>389</v>
      </c>
      <c r="C112" s="531">
        <v>2015</v>
      </c>
      <c r="D112" s="531">
        <v>35</v>
      </c>
      <c r="E112" s="532"/>
      <c r="F112" s="533"/>
    </row>
    <row r="113" spans="1:7" ht="15">
      <c r="A113" s="529" t="s">
        <v>477</v>
      </c>
      <c r="B113" s="530" t="s">
        <v>392</v>
      </c>
      <c r="C113" s="531">
        <v>2015</v>
      </c>
      <c r="D113" s="531">
        <v>110</v>
      </c>
      <c r="E113" s="532"/>
      <c r="F113" s="533"/>
    </row>
    <row r="114" spans="1:7" ht="15.75" thickBot="1">
      <c r="A114" s="539" t="s">
        <v>478</v>
      </c>
      <c r="B114" s="540" t="s">
        <v>479</v>
      </c>
      <c r="C114" s="541">
        <v>2015</v>
      </c>
      <c r="D114" s="541">
        <v>110</v>
      </c>
      <c r="E114" s="542"/>
      <c r="F114" s="543"/>
    </row>
    <row r="115" spans="1:7" s="518" customFormat="1" ht="15">
      <c r="A115" s="512" t="s">
        <v>176</v>
      </c>
      <c r="B115" s="513" t="s">
        <v>429</v>
      </c>
      <c r="C115" s="514" t="s">
        <v>380</v>
      </c>
      <c r="D115" s="514" t="s">
        <v>380</v>
      </c>
      <c r="E115" s="515" t="s">
        <v>380</v>
      </c>
      <c r="F115" s="516" t="s">
        <v>380</v>
      </c>
      <c r="G115" s="517"/>
    </row>
    <row r="116" spans="1:7" ht="15">
      <c r="A116" s="529" t="s">
        <v>480</v>
      </c>
      <c r="B116" s="530" t="s">
        <v>399</v>
      </c>
      <c r="C116" s="531">
        <v>2015</v>
      </c>
      <c r="D116" s="531" t="s">
        <v>401</v>
      </c>
      <c r="E116" s="532"/>
      <c r="F116" s="533"/>
    </row>
    <row r="117" spans="1:7" ht="15">
      <c r="A117" s="529" t="s">
        <v>481</v>
      </c>
      <c r="B117" s="530" t="s">
        <v>399</v>
      </c>
      <c r="C117" s="531">
        <v>2015</v>
      </c>
      <c r="D117" s="531">
        <v>35</v>
      </c>
      <c r="E117" s="532"/>
      <c r="F117" s="533"/>
    </row>
    <row r="118" spans="1:7" ht="15">
      <c r="A118" s="529" t="s">
        <v>482</v>
      </c>
      <c r="B118" s="530" t="s">
        <v>399</v>
      </c>
      <c r="C118" s="531">
        <v>2015</v>
      </c>
      <c r="D118" s="531">
        <v>110</v>
      </c>
      <c r="E118" s="532"/>
      <c r="F118" s="533"/>
    </row>
    <row r="119" spans="1:7" ht="15">
      <c r="A119" s="529" t="s">
        <v>483</v>
      </c>
      <c r="B119" s="530" t="s">
        <v>387</v>
      </c>
      <c r="C119" s="531">
        <v>2015</v>
      </c>
      <c r="D119" s="531" t="s">
        <v>401</v>
      </c>
      <c r="E119" s="532"/>
      <c r="F119" s="533"/>
    </row>
    <row r="120" spans="1:7" ht="15">
      <c r="A120" s="529" t="s">
        <v>484</v>
      </c>
      <c r="B120" s="530" t="s">
        <v>387</v>
      </c>
      <c r="C120" s="531">
        <v>2015</v>
      </c>
      <c r="D120" s="531">
        <v>35</v>
      </c>
      <c r="E120" s="532"/>
      <c r="F120" s="533"/>
    </row>
    <row r="121" spans="1:7" ht="15">
      <c r="A121" s="529" t="s">
        <v>485</v>
      </c>
      <c r="B121" s="530" t="s">
        <v>387</v>
      </c>
      <c r="C121" s="531">
        <v>2015</v>
      </c>
      <c r="D121" s="531">
        <v>110</v>
      </c>
      <c r="E121" s="532"/>
      <c r="F121" s="533"/>
    </row>
    <row r="122" spans="1:7" ht="15">
      <c r="A122" s="529" t="s">
        <v>486</v>
      </c>
      <c r="B122" s="530" t="s">
        <v>389</v>
      </c>
      <c r="C122" s="531">
        <v>2015</v>
      </c>
      <c r="D122" s="531" t="s">
        <v>401</v>
      </c>
      <c r="E122" s="532"/>
      <c r="F122" s="533"/>
    </row>
    <row r="123" spans="1:7" ht="15">
      <c r="A123" s="529" t="s">
        <v>487</v>
      </c>
      <c r="B123" s="530" t="s">
        <v>389</v>
      </c>
      <c r="C123" s="531">
        <v>2015</v>
      </c>
      <c r="D123" s="531">
        <v>35</v>
      </c>
      <c r="E123" s="532"/>
      <c r="F123" s="533"/>
    </row>
    <row r="124" spans="1:7" ht="15">
      <c r="A124" s="529" t="s">
        <v>488</v>
      </c>
      <c r="B124" s="530" t="s">
        <v>389</v>
      </c>
      <c r="C124" s="531">
        <v>2015</v>
      </c>
      <c r="D124" s="531">
        <v>110</v>
      </c>
      <c r="E124" s="532"/>
      <c r="F124" s="533"/>
    </row>
    <row r="125" spans="1:7" ht="15.75" thickBot="1">
      <c r="A125" s="539" t="s">
        <v>489</v>
      </c>
      <c r="B125" s="540" t="s">
        <v>392</v>
      </c>
      <c r="C125" s="541">
        <v>2015</v>
      </c>
      <c r="D125" s="541">
        <v>110</v>
      </c>
      <c r="E125" s="542"/>
      <c r="F125" s="543"/>
    </row>
    <row r="126" spans="1:7" s="518" customFormat="1" ht="15">
      <c r="A126" s="519" t="s">
        <v>177</v>
      </c>
      <c r="B126" s="520" t="s">
        <v>440</v>
      </c>
      <c r="C126" s="521" t="s">
        <v>380</v>
      </c>
      <c r="D126" s="521" t="s">
        <v>380</v>
      </c>
      <c r="E126" s="522" t="s">
        <v>380</v>
      </c>
      <c r="F126" s="523" t="s">
        <v>380</v>
      </c>
      <c r="G126" s="517"/>
    </row>
    <row r="127" spans="1:7" s="518" customFormat="1" ht="15">
      <c r="A127" s="519" t="s">
        <v>178</v>
      </c>
      <c r="B127" s="520" t="s">
        <v>417</v>
      </c>
      <c r="C127" s="521" t="s">
        <v>380</v>
      </c>
      <c r="D127" s="521" t="s">
        <v>380</v>
      </c>
      <c r="E127" s="522" t="s">
        <v>380</v>
      </c>
      <c r="F127" s="523" t="s">
        <v>380</v>
      </c>
      <c r="G127" s="517"/>
    </row>
    <row r="128" spans="1:7" ht="15">
      <c r="A128" s="529" t="s">
        <v>490</v>
      </c>
      <c r="B128" s="530" t="s">
        <v>399</v>
      </c>
      <c r="C128" s="531">
        <v>2015</v>
      </c>
      <c r="D128" s="531" t="s">
        <v>401</v>
      </c>
      <c r="E128" s="532"/>
      <c r="F128" s="533"/>
    </row>
    <row r="129" spans="1:7" ht="15">
      <c r="A129" s="529" t="s">
        <v>491</v>
      </c>
      <c r="B129" s="530" t="s">
        <v>399</v>
      </c>
      <c r="C129" s="531">
        <v>2015</v>
      </c>
      <c r="D129" s="531">
        <v>35</v>
      </c>
      <c r="E129" s="532"/>
      <c r="F129" s="533"/>
    </row>
    <row r="130" spans="1:7" ht="15">
      <c r="A130" s="529" t="s">
        <v>492</v>
      </c>
      <c r="B130" s="530" t="s">
        <v>399</v>
      </c>
      <c r="C130" s="531">
        <v>2015</v>
      </c>
      <c r="D130" s="531">
        <v>110</v>
      </c>
      <c r="E130" s="532"/>
      <c r="F130" s="533"/>
    </row>
    <row r="131" spans="1:7" ht="15">
      <c r="A131" s="529" t="s">
        <v>493</v>
      </c>
      <c r="B131" s="530" t="s">
        <v>387</v>
      </c>
      <c r="C131" s="531">
        <v>2015</v>
      </c>
      <c r="D131" s="531" t="s">
        <v>401</v>
      </c>
      <c r="E131" s="532"/>
      <c r="F131" s="533"/>
    </row>
    <row r="132" spans="1:7" ht="15">
      <c r="A132" s="529" t="s">
        <v>494</v>
      </c>
      <c r="B132" s="530" t="s">
        <v>387</v>
      </c>
      <c r="C132" s="531">
        <v>2015</v>
      </c>
      <c r="D132" s="531">
        <v>35</v>
      </c>
      <c r="E132" s="532"/>
      <c r="F132" s="533"/>
    </row>
    <row r="133" spans="1:7" ht="15">
      <c r="A133" s="529" t="s">
        <v>495</v>
      </c>
      <c r="B133" s="530" t="s">
        <v>387</v>
      </c>
      <c r="C133" s="531">
        <v>2015</v>
      </c>
      <c r="D133" s="531">
        <v>110</v>
      </c>
      <c r="E133" s="532"/>
      <c r="F133" s="533"/>
    </row>
    <row r="134" spans="1:7" ht="15">
      <c r="A134" s="529" t="s">
        <v>496</v>
      </c>
      <c r="B134" s="530" t="s">
        <v>389</v>
      </c>
      <c r="C134" s="531">
        <v>2015</v>
      </c>
      <c r="D134" s="531" t="s">
        <v>401</v>
      </c>
      <c r="E134" s="532"/>
      <c r="F134" s="533"/>
    </row>
    <row r="135" spans="1:7" ht="15">
      <c r="A135" s="529" t="s">
        <v>497</v>
      </c>
      <c r="B135" s="530" t="s">
        <v>389</v>
      </c>
      <c r="C135" s="531">
        <v>2015</v>
      </c>
      <c r="D135" s="531">
        <v>35</v>
      </c>
      <c r="E135" s="532"/>
      <c r="F135" s="533"/>
    </row>
    <row r="136" spans="1:7" ht="15">
      <c r="A136" s="529" t="s">
        <v>498</v>
      </c>
      <c r="B136" s="530" t="s">
        <v>389</v>
      </c>
      <c r="C136" s="531">
        <v>2015</v>
      </c>
      <c r="D136" s="531">
        <v>110</v>
      </c>
      <c r="E136" s="532"/>
      <c r="F136" s="533"/>
    </row>
    <row r="137" spans="1:7" ht="15.75" thickBot="1">
      <c r="A137" s="539" t="s">
        <v>499</v>
      </c>
      <c r="B137" s="540" t="s">
        <v>392</v>
      </c>
      <c r="C137" s="541">
        <v>2015</v>
      </c>
      <c r="D137" s="541">
        <v>110</v>
      </c>
      <c r="E137" s="542"/>
      <c r="F137" s="543"/>
    </row>
    <row r="138" spans="1:7" s="518" customFormat="1" ht="15">
      <c r="A138" s="512" t="s">
        <v>179</v>
      </c>
      <c r="B138" s="513" t="s">
        <v>429</v>
      </c>
      <c r="C138" s="514" t="s">
        <v>380</v>
      </c>
      <c r="D138" s="514" t="s">
        <v>380</v>
      </c>
      <c r="E138" s="515" t="s">
        <v>380</v>
      </c>
      <c r="F138" s="516" t="s">
        <v>380</v>
      </c>
      <c r="G138" s="517"/>
    </row>
    <row r="139" spans="1:7" ht="15">
      <c r="A139" s="529" t="s">
        <v>500</v>
      </c>
      <c r="B139" s="530" t="s">
        <v>399</v>
      </c>
      <c r="C139" s="531">
        <v>2015</v>
      </c>
      <c r="D139" s="531" t="s">
        <v>401</v>
      </c>
      <c r="E139" s="532"/>
      <c r="F139" s="533"/>
    </row>
    <row r="140" spans="1:7" ht="15">
      <c r="A140" s="529" t="s">
        <v>501</v>
      </c>
      <c r="B140" s="530" t="s">
        <v>399</v>
      </c>
      <c r="C140" s="531">
        <v>2015</v>
      </c>
      <c r="D140" s="531">
        <v>35</v>
      </c>
      <c r="E140" s="532"/>
      <c r="F140" s="533"/>
    </row>
    <row r="141" spans="1:7" ht="15">
      <c r="A141" s="529" t="s">
        <v>502</v>
      </c>
      <c r="B141" s="530" t="s">
        <v>399</v>
      </c>
      <c r="C141" s="531">
        <v>2015</v>
      </c>
      <c r="D141" s="531">
        <v>110</v>
      </c>
      <c r="E141" s="532"/>
      <c r="F141" s="533"/>
    </row>
    <row r="142" spans="1:7" ht="15">
      <c r="A142" s="529" t="s">
        <v>503</v>
      </c>
      <c r="B142" s="530" t="s">
        <v>387</v>
      </c>
      <c r="C142" s="531">
        <v>2015</v>
      </c>
      <c r="D142" s="531" t="s">
        <v>401</v>
      </c>
      <c r="E142" s="532"/>
      <c r="F142" s="533"/>
    </row>
    <row r="143" spans="1:7" ht="15">
      <c r="A143" s="529" t="s">
        <v>504</v>
      </c>
      <c r="B143" s="530" t="s">
        <v>387</v>
      </c>
      <c r="C143" s="531">
        <v>2015</v>
      </c>
      <c r="D143" s="531">
        <v>35</v>
      </c>
      <c r="E143" s="532"/>
      <c r="F143" s="533"/>
    </row>
    <row r="144" spans="1:7" ht="15">
      <c r="A144" s="529" t="s">
        <v>505</v>
      </c>
      <c r="B144" s="530" t="s">
        <v>387</v>
      </c>
      <c r="C144" s="531">
        <v>2015</v>
      </c>
      <c r="D144" s="531">
        <v>110</v>
      </c>
      <c r="E144" s="532"/>
      <c r="F144" s="533"/>
    </row>
    <row r="145" spans="1:7" ht="15">
      <c r="A145" s="529" t="s">
        <v>506</v>
      </c>
      <c r="B145" s="530" t="s">
        <v>389</v>
      </c>
      <c r="C145" s="531">
        <v>2015</v>
      </c>
      <c r="D145" s="531" t="s">
        <v>401</v>
      </c>
      <c r="E145" s="532"/>
      <c r="F145" s="533"/>
    </row>
    <row r="146" spans="1:7" ht="15">
      <c r="A146" s="529" t="s">
        <v>507</v>
      </c>
      <c r="B146" s="530" t="s">
        <v>389</v>
      </c>
      <c r="C146" s="531">
        <v>2015</v>
      </c>
      <c r="D146" s="531">
        <v>35</v>
      </c>
      <c r="E146" s="532"/>
      <c r="F146" s="533"/>
    </row>
    <row r="147" spans="1:7" ht="15">
      <c r="A147" s="529" t="s">
        <v>508</v>
      </c>
      <c r="B147" s="530" t="s">
        <v>389</v>
      </c>
      <c r="C147" s="531">
        <v>2015</v>
      </c>
      <c r="D147" s="531">
        <v>110</v>
      </c>
      <c r="E147" s="532"/>
      <c r="F147" s="533"/>
    </row>
    <row r="148" spans="1:7" ht="15.75" thickBot="1">
      <c r="A148" s="539" t="s">
        <v>509</v>
      </c>
      <c r="B148" s="540" t="s">
        <v>392</v>
      </c>
      <c r="C148" s="541">
        <v>2015</v>
      </c>
      <c r="D148" s="541">
        <v>110</v>
      </c>
      <c r="E148" s="542"/>
      <c r="F148" s="543"/>
    </row>
    <row r="149" spans="1:7" s="518" customFormat="1" ht="30">
      <c r="A149" s="512" t="s">
        <v>180</v>
      </c>
      <c r="B149" s="513" t="s">
        <v>510</v>
      </c>
      <c r="C149" s="514" t="s">
        <v>380</v>
      </c>
      <c r="D149" s="514" t="s">
        <v>380</v>
      </c>
      <c r="E149" s="515" t="s">
        <v>380</v>
      </c>
      <c r="F149" s="516" t="s">
        <v>380</v>
      </c>
      <c r="G149" s="517"/>
    </row>
    <row r="150" spans="1:7" s="518" customFormat="1" ht="15">
      <c r="A150" s="519" t="s">
        <v>181</v>
      </c>
      <c r="B150" s="520" t="s">
        <v>440</v>
      </c>
      <c r="C150" s="521" t="s">
        <v>380</v>
      </c>
      <c r="D150" s="521" t="s">
        <v>380</v>
      </c>
      <c r="E150" s="522" t="s">
        <v>380</v>
      </c>
      <c r="F150" s="523" t="s">
        <v>380</v>
      </c>
      <c r="G150" s="517"/>
    </row>
    <row r="151" spans="1:7" s="518" customFormat="1" ht="15">
      <c r="A151" s="519" t="s">
        <v>511</v>
      </c>
      <c r="B151" s="520" t="s">
        <v>417</v>
      </c>
      <c r="C151" s="521" t="s">
        <v>380</v>
      </c>
      <c r="D151" s="521" t="s">
        <v>380</v>
      </c>
      <c r="E151" s="522" t="s">
        <v>380</v>
      </c>
      <c r="F151" s="523" t="s">
        <v>380</v>
      </c>
      <c r="G151" s="517"/>
    </row>
    <row r="152" spans="1:7" ht="15">
      <c r="A152" s="529" t="s">
        <v>512</v>
      </c>
      <c r="B152" s="530" t="s">
        <v>392</v>
      </c>
      <c r="C152" s="531">
        <v>2015</v>
      </c>
      <c r="D152" s="531" t="s">
        <v>401</v>
      </c>
      <c r="E152" s="532"/>
      <c r="F152" s="533"/>
    </row>
    <row r="153" spans="1:7" ht="15">
      <c r="A153" s="529" t="s">
        <v>513</v>
      </c>
      <c r="B153" s="530" t="s">
        <v>392</v>
      </c>
      <c r="C153" s="531">
        <v>2015</v>
      </c>
      <c r="D153" s="531">
        <v>35</v>
      </c>
      <c r="E153" s="532"/>
      <c r="F153" s="533"/>
    </row>
    <row r="154" spans="1:7" ht="15">
      <c r="A154" s="529" t="s">
        <v>514</v>
      </c>
      <c r="B154" s="530" t="s">
        <v>479</v>
      </c>
      <c r="C154" s="531">
        <v>2015</v>
      </c>
      <c r="D154" s="531">
        <v>110</v>
      </c>
      <c r="E154" s="532"/>
      <c r="F154" s="533"/>
    </row>
    <row r="155" spans="1:7" s="518" customFormat="1" ht="15">
      <c r="A155" s="519" t="s">
        <v>515</v>
      </c>
      <c r="B155" s="520" t="s">
        <v>429</v>
      </c>
      <c r="C155" s="521" t="s">
        <v>380</v>
      </c>
      <c r="D155" s="521" t="s">
        <v>380</v>
      </c>
      <c r="E155" s="522" t="s">
        <v>380</v>
      </c>
      <c r="F155" s="523" t="s">
        <v>380</v>
      </c>
      <c r="G155" s="517"/>
    </row>
    <row r="156" spans="1:7" ht="15">
      <c r="A156" s="529" t="s">
        <v>516</v>
      </c>
      <c r="B156" s="530" t="s">
        <v>392</v>
      </c>
      <c r="C156" s="531">
        <v>2015</v>
      </c>
      <c r="D156" s="531" t="s">
        <v>401</v>
      </c>
      <c r="E156" s="532"/>
      <c r="F156" s="533"/>
    </row>
    <row r="157" spans="1:7" ht="15">
      <c r="A157" s="529" t="s">
        <v>517</v>
      </c>
      <c r="B157" s="530" t="s">
        <v>392</v>
      </c>
      <c r="C157" s="531">
        <v>2015</v>
      </c>
      <c r="D157" s="531">
        <v>35</v>
      </c>
      <c r="E157" s="532"/>
      <c r="F157" s="533"/>
    </row>
    <row r="158" spans="1:7" ht="15.75" thickBot="1">
      <c r="A158" s="529" t="s">
        <v>518</v>
      </c>
      <c r="B158" s="530" t="s">
        <v>392</v>
      </c>
      <c r="C158" s="531">
        <v>2015</v>
      </c>
      <c r="D158" s="531">
        <v>110</v>
      </c>
      <c r="E158" s="532"/>
      <c r="F158" s="533"/>
    </row>
    <row r="159" spans="1:7" s="518" customFormat="1" ht="15.75" thickBot="1">
      <c r="A159" s="544" t="s">
        <v>182</v>
      </c>
      <c r="B159" s="545" t="s">
        <v>604</v>
      </c>
      <c r="C159" s="546"/>
      <c r="D159" s="546"/>
      <c r="E159" s="547"/>
      <c r="F159" s="548"/>
      <c r="G159" s="517"/>
    </row>
    <row r="160" spans="1:7" ht="15">
      <c r="A160" s="529" t="s">
        <v>183</v>
      </c>
      <c r="B160" s="530" t="s">
        <v>622</v>
      </c>
      <c r="C160" s="531">
        <v>2015</v>
      </c>
      <c r="D160" s="531">
        <v>0.4</v>
      </c>
      <c r="E160" s="532">
        <v>1.58</v>
      </c>
      <c r="F160" s="533">
        <v>439</v>
      </c>
    </row>
    <row r="161" spans="1:7" ht="15">
      <c r="A161" s="529" t="s">
        <v>184</v>
      </c>
      <c r="B161" s="530" t="s">
        <v>623</v>
      </c>
      <c r="C161" s="531">
        <v>2015</v>
      </c>
      <c r="D161" s="531" t="s">
        <v>401</v>
      </c>
      <c r="E161" s="532">
        <v>0.1</v>
      </c>
      <c r="F161" s="533">
        <v>48</v>
      </c>
    </row>
    <row r="162" spans="1:7" ht="15">
      <c r="A162" s="524" t="s">
        <v>624</v>
      </c>
      <c r="B162" s="525" t="s">
        <v>629</v>
      </c>
      <c r="C162" s="526">
        <v>2015</v>
      </c>
      <c r="D162" s="526">
        <v>6</v>
      </c>
      <c r="E162" s="527">
        <v>0.42499999999999999</v>
      </c>
      <c r="F162" s="528">
        <v>200</v>
      </c>
      <c r="G162" s="503" t="s">
        <v>630</v>
      </c>
    </row>
    <row r="163" spans="1:7" ht="15">
      <c r="A163" s="529" t="s">
        <v>185</v>
      </c>
      <c r="B163" s="525"/>
      <c r="C163" s="526"/>
      <c r="D163" s="526"/>
      <c r="E163" s="527"/>
      <c r="F163" s="528"/>
    </row>
    <row r="164" spans="1:7" ht="15">
      <c r="A164" s="529" t="s">
        <v>628</v>
      </c>
      <c r="B164" s="530"/>
      <c r="C164" s="531"/>
      <c r="D164" s="531"/>
      <c r="E164" s="532"/>
      <c r="F164" s="533"/>
    </row>
    <row r="165" spans="1:7" ht="15">
      <c r="A165" s="524" t="s">
        <v>186</v>
      </c>
      <c r="B165" s="525"/>
      <c r="C165" s="526"/>
      <c r="D165" s="526"/>
      <c r="E165" s="527"/>
      <c r="F165" s="528"/>
    </row>
    <row r="166" spans="1:7" ht="15">
      <c r="A166" s="529" t="s">
        <v>187</v>
      </c>
      <c r="B166" s="525"/>
      <c r="C166" s="526"/>
      <c r="D166" s="526"/>
      <c r="E166" s="527"/>
      <c r="F166" s="528"/>
    </row>
    <row r="167" spans="1:7" ht="15">
      <c r="A167" s="529" t="s">
        <v>188</v>
      </c>
      <c r="B167" s="525"/>
      <c r="C167" s="526"/>
      <c r="D167" s="526"/>
      <c r="E167" s="527"/>
      <c r="F167" s="528"/>
    </row>
    <row r="168" spans="1:7" ht="15">
      <c r="A168" s="524" t="s">
        <v>189</v>
      </c>
      <c r="B168" s="525"/>
      <c r="C168" s="526"/>
      <c r="D168" s="526"/>
      <c r="E168" s="527"/>
      <c r="F168" s="528"/>
    </row>
    <row r="169" spans="1:7" ht="15.75" thickBot="1">
      <c r="A169" s="539" t="s">
        <v>190</v>
      </c>
      <c r="B169" s="540"/>
      <c r="C169" s="541"/>
      <c r="D169" s="541"/>
      <c r="E169" s="542"/>
      <c r="F169" s="543"/>
    </row>
    <row r="172" spans="1:7" ht="15.75">
      <c r="A172" s="722" t="s">
        <v>841</v>
      </c>
      <c r="B172" s="187"/>
      <c r="C172" s="187"/>
      <c r="D172" s="723"/>
      <c r="E172" s="724"/>
      <c r="F172" s="725"/>
      <c r="G172" s="726"/>
    </row>
    <row r="173" spans="1:7" ht="15.75">
      <c r="A173" s="722" t="s">
        <v>88</v>
      </c>
      <c r="B173" s="187"/>
      <c r="C173" s="187"/>
      <c r="D173" s="722"/>
      <c r="E173" s="722"/>
      <c r="F173" s="727" t="s">
        <v>842</v>
      </c>
      <c r="G173" s="726"/>
    </row>
    <row r="174" spans="1:7" ht="15">
      <c r="A174" s="713"/>
      <c r="B174" s="714"/>
      <c r="C174" s="714"/>
      <c r="D174" s="714"/>
      <c r="E174" s="715"/>
      <c r="F174" s="715"/>
      <c r="G174" s="506"/>
    </row>
    <row r="175" spans="1:7" ht="15">
      <c r="A175" s="716" t="s">
        <v>706</v>
      </c>
      <c r="B175" s="714"/>
      <c r="C175" s="714"/>
      <c r="D175" s="714"/>
      <c r="E175" s="715"/>
      <c r="F175" s="715"/>
      <c r="G175" s="506"/>
    </row>
    <row r="176" spans="1:7" ht="15">
      <c r="A176" s="718" t="s">
        <v>843</v>
      </c>
      <c r="B176" s="714"/>
      <c r="C176" s="714"/>
      <c r="D176" s="714"/>
      <c r="E176" s="715"/>
      <c r="F176" s="715"/>
      <c r="G176" s="506"/>
    </row>
    <row r="177" spans="1:7" ht="15">
      <c r="A177" s="719" t="s">
        <v>844</v>
      </c>
      <c r="B177" s="714"/>
      <c r="C177" s="714"/>
      <c r="D177" s="714"/>
      <c r="E177" s="715"/>
      <c r="F177" s="715"/>
      <c r="G177" s="506"/>
    </row>
  </sheetData>
  <mergeCells count="2">
    <mergeCell ref="A1:F1"/>
    <mergeCell ref="B2:F2"/>
  </mergeCells>
  <pageMargins left="0.7" right="0.7" top="0.54" bottom="0.34" header="0.3" footer="0.3"/>
  <pageSetup paperSize="8"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76"/>
  <sheetViews>
    <sheetView zoomScale="85" zoomScaleNormal="85" workbookViewId="0">
      <pane ySplit="4" topLeftCell="A164" activePane="bottomLeft" state="frozen"/>
      <selection activeCell="H271" sqref="H271"/>
      <selection pane="bottomLeft" activeCell="G194" sqref="G194"/>
    </sheetView>
  </sheetViews>
  <sheetFormatPr defaultRowHeight="12.75"/>
  <cols>
    <col min="1" max="1" width="11" style="505" customWidth="1"/>
    <col min="2" max="2" width="60.5703125" style="504" customWidth="1"/>
    <col min="3" max="4" width="16.28515625" style="504" customWidth="1"/>
    <col min="5" max="6" width="16.28515625" style="506" customWidth="1"/>
    <col min="7" max="7" width="48.5703125" style="503" customWidth="1"/>
    <col min="8" max="8" width="11.7109375" style="504" bestFit="1" customWidth="1"/>
    <col min="9" max="16384" width="9.140625" style="504"/>
  </cols>
  <sheetData>
    <row r="1" spans="1:7" ht="62.25" customHeight="1">
      <c r="A1" s="952" t="s">
        <v>840</v>
      </c>
      <c r="B1" s="952"/>
      <c r="C1" s="952"/>
      <c r="D1" s="952"/>
      <c r="E1" s="952"/>
      <c r="F1" s="952"/>
    </row>
    <row r="2" spans="1:7" ht="24.75" customHeight="1">
      <c r="B2" s="1160" t="s">
        <v>707</v>
      </c>
      <c r="C2" s="1160"/>
      <c r="D2" s="1160"/>
      <c r="E2" s="1160"/>
      <c r="F2" s="1160"/>
    </row>
    <row r="3" spans="1:7" ht="13.5" thickBot="1"/>
    <row r="4" spans="1:7" ht="75.75" thickBot="1">
      <c r="A4" s="507" t="s">
        <v>597</v>
      </c>
      <c r="B4" s="508" t="s">
        <v>598</v>
      </c>
      <c r="C4" s="508" t="s">
        <v>599</v>
      </c>
      <c r="D4" s="508" t="s">
        <v>600</v>
      </c>
      <c r="E4" s="509" t="s">
        <v>601</v>
      </c>
      <c r="F4" s="509" t="s">
        <v>602</v>
      </c>
    </row>
    <row r="5" spans="1:7" ht="15.75" thickBot="1">
      <c r="A5" s="510">
        <v>1</v>
      </c>
      <c r="B5" s="511">
        <v>2</v>
      </c>
      <c r="C5" s="511">
        <v>3</v>
      </c>
      <c r="D5" s="511">
        <v>4</v>
      </c>
      <c r="E5" s="698">
        <v>5</v>
      </c>
      <c r="F5" s="698">
        <v>6</v>
      </c>
    </row>
    <row r="6" spans="1:7" ht="15.75" thickBot="1">
      <c r="A6" s="699" t="s">
        <v>14</v>
      </c>
      <c r="B6" s="700" t="s">
        <v>379</v>
      </c>
      <c r="C6" s="701" t="s">
        <v>380</v>
      </c>
      <c r="D6" s="701" t="s">
        <v>380</v>
      </c>
      <c r="E6" s="702" t="s">
        <v>380</v>
      </c>
      <c r="F6" s="703" t="s">
        <v>380</v>
      </c>
    </row>
    <row r="7" spans="1:7" s="518" customFormat="1" ht="15">
      <c r="A7" s="512" t="s">
        <v>381</v>
      </c>
      <c r="B7" s="513" t="s">
        <v>382</v>
      </c>
      <c r="C7" s="514" t="s">
        <v>380</v>
      </c>
      <c r="D7" s="514" t="s">
        <v>380</v>
      </c>
      <c r="E7" s="515" t="s">
        <v>380</v>
      </c>
      <c r="F7" s="516" t="s">
        <v>380</v>
      </c>
      <c r="G7" s="517"/>
    </row>
    <row r="8" spans="1:7" s="518" customFormat="1" ht="15">
      <c r="A8" s="519" t="s">
        <v>383</v>
      </c>
      <c r="B8" s="520" t="s">
        <v>384</v>
      </c>
      <c r="C8" s="521" t="s">
        <v>380</v>
      </c>
      <c r="D8" s="521" t="s">
        <v>380</v>
      </c>
      <c r="E8" s="522" t="s">
        <v>380</v>
      </c>
      <c r="F8" s="523" t="s">
        <v>380</v>
      </c>
      <c r="G8" s="517"/>
    </row>
    <row r="9" spans="1:7" s="518" customFormat="1" ht="15">
      <c r="A9" s="519" t="s">
        <v>385</v>
      </c>
      <c r="B9" s="520" t="s">
        <v>386</v>
      </c>
      <c r="C9" s="521" t="s">
        <v>380</v>
      </c>
      <c r="D9" s="521" t="s">
        <v>380</v>
      </c>
      <c r="E9" s="522" t="s">
        <v>380</v>
      </c>
      <c r="F9" s="523" t="s">
        <v>380</v>
      </c>
      <c r="G9" s="517"/>
    </row>
    <row r="10" spans="1:7" ht="15">
      <c r="A10" s="524" t="s">
        <v>579</v>
      </c>
      <c r="B10" s="525" t="s">
        <v>387</v>
      </c>
      <c r="C10" s="526"/>
      <c r="D10" s="526">
        <v>35</v>
      </c>
      <c r="E10" s="527"/>
      <c r="F10" s="528"/>
    </row>
    <row r="11" spans="1:7" ht="15">
      <c r="A11" s="529" t="s">
        <v>388</v>
      </c>
      <c r="B11" s="530" t="s">
        <v>389</v>
      </c>
      <c r="C11" s="531"/>
      <c r="D11" s="531">
        <v>35</v>
      </c>
      <c r="E11" s="532"/>
      <c r="F11" s="533"/>
    </row>
    <row r="12" spans="1:7" ht="15">
      <c r="A12" s="529" t="s">
        <v>390</v>
      </c>
      <c r="B12" s="530" t="s">
        <v>389</v>
      </c>
      <c r="C12" s="531"/>
      <c r="D12" s="531">
        <v>110</v>
      </c>
      <c r="E12" s="532"/>
      <c r="F12" s="533"/>
    </row>
    <row r="13" spans="1:7" ht="15.75" thickBot="1">
      <c r="A13" s="534" t="s">
        <v>391</v>
      </c>
      <c r="B13" s="535" t="s">
        <v>392</v>
      </c>
      <c r="C13" s="536"/>
      <c r="D13" s="536">
        <v>110</v>
      </c>
      <c r="E13" s="537"/>
      <c r="F13" s="538"/>
    </row>
    <row r="14" spans="1:7" s="518" customFormat="1" ht="15">
      <c r="A14" s="512" t="s">
        <v>393</v>
      </c>
      <c r="B14" s="513" t="s">
        <v>394</v>
      </c>
      <c r="C14" s="514" t="s">
        <v>380</v>
      </c>
      <c r="D14" s="514" t="s">
        <v>380</v>
      </c>
      <c r="E14" s="515" t="s">
        <v>380</v>
      </c>
      <c r="F14" s="516" t="s">
        <v>380</v>
      </c>
      <c r="G14" s="517"/>
    </row>
    <row r="15" spans="1:7" s="518" customFormat="1" ht="15">
      <c r="A15" s="519" t="s">
        <v>395</v>
      </c>
      <c r="B15" s="520" t="s">
        <v>396</v>
      </c>
      <c r="C15" s="521" t="s">
        <v>380</v>
      </c>
      <c r="D15" s="521" t="s">
        <v>380</v>
      </c>
      <c r="E15" s="522" t="s">
        <v>380</v>
      </c>
      <c r="F15" s="523" t="s">
        <v>380</v>
      </c>
      <c r="G15" s="517"/>
    </row>
    <row r="16" spans="1:7" s="518" customFormat="1" ht="15">
      <c r="A16" s="519" t="s">
        <v>397</v>
      </c>
      <c r="B16" s="520" t="s">
        <v>386</v>
      </c>
      <c r="C16" s="521" t="s">
        <v>380</v>
      </c>
      <c r="D16" s="521" t="s">
        <v>380</v>
      </c>
      <c r="E16" s="522" t="s">
        <v>380</v>
      </c>
      <c r="F16" s="523" t="s">
        <v>380</v>
      </c>
      <c r="G16" s="517"/>
    </row>
    <row r="17" spans="1:7" ht="15">
      <c r="A17" s="529" t="s">
        <v>398</v>
      </c>
      <c r="B17" s="530" t="s">
        <v>399</v>
      </c>
      <c r="C17" s="531"/>
      <c r="D17" s="531">
        <v>0.4</v>
      </c>
      <c r="E17" s="532">
        <v>3.3</v>
      </c>
      <c r="F17" s="533">
        <v>340</v>
      </c>
    </row>
    <row r="18" spans="1:7" ht="15">
      <c r="A18" s="529" t="s">
        <v>400</v>
      </c>
      <c r="B18" s="530" t="s">
        <v>399</v>
      </c>
      <c r="C18" s="531"/>
      <c r="D18" s="531" t="s">
        <v>401</v>
      </c>
      <c r="E18" s="532">
        <f>1.5+E34+E35+E37</f>
        <v>2.7279999999999998</v>
      </c>
      <c r="F18" s="533">
        <f>170+F35+F34+F37</f>
        <v>1720</v>
      </c>
    </row>
    <row r="19" spans="1:7" ht="15">
      <c r="A19" s="529" t="s">
        <v>402</v>
      </c>
      <c r="B19" s="530" t="s">
        <v>387</v>
      </c>
      <c r="C19" s="531"/>
      <c r="D19" s="531">
        <v>0.4</v>
      </c>
      <c r="E19" s="532">
        <v>2.4</v>
      </c>
      <c r="F19" s="533">
        <v>142</v>
      </c>
    </row>
    <row r="20" spans="1:7" ht="15">
      <c r="A20" s="524" t="s">
        <v>403</v>
      </c>
      <c r="B20" s="525" t="s">
        <v>387</v>
      </c>
      <c r="C20" s="526"/>
      <c r="D20" s="526" t="s">
        <v>401</v>
      </c>
      <c r="E20" s="527">
        <v>0.2</v>
      </c>
      <c r="F20" s="528">
        <v>30</v>
      </c>
    </row>
    <row r="21" spans="1:7" ht="15">
      <c r="A21" s="524" t="s">
        <v>404</v>
      </c>
      <c r="B21" s="525" t="s">
        <v>387</v>
      </c>
      <c r="C21" s="526"/>
      <c r="D21" s="526">
        <v>35</v>
      </c>
      <c r="E21" s="527"/>
      <c r="F21" s="528"/>
    </row>
    <row r="22" spans="1:7" ht="15">
      <c r="A22" s="524" t="s">
        <v>405</v>
      </c>
      <c r="B22" s="525" t="s">
        <v>389</v>
      </c>
      <c r="C22" s="526"/>
      <c r="D22" s="526">
        <v>0.4</v>
      </c>
      <c r="E22" s="527"/>
      <c r="F22" s="528"/>
    </row>
    <row r="23" spans="1:7" ht="15">
      <c r="A23" s="524" t="s">
        <v>406</v>
      </c>
      <c r="B23" s="525" t="s">
        <v>389</v>
      </c>
      <c r="C23" s="526"/>
      <c r="D23" s="526" t="s">
        <v>401</v>
      </c>
      <c r="E23" s="527">
        <f>E36</f>
        <v>0.6</v>
      </c>
      <c r="F23" s="528">
        <f>F36</f>
        <v>156.96303999999998</v>
      </c>
    </row>
    <row r="24" spans="1:7" ht="15.75" thickBot="1">
      <c r="A24" s="524" t="s">
        <v>407</v>
      </c>
      <c r="B24" s="525" t="s">
        <v>389</v>
      </c>
      <c r="C24" s="526"/>
      <c r="D24" s="526">
        <v>35</v>
      </c>
      <c r="E24" s="527"/>
      <c r="F24" s="528"/>
    </row>
    <row r="25" spans="1:7" s="518" customFormat="1" ht="15">
      <c r="A25" s="512" t="s">
        <v>408</v>
      </c>
      <c r="B25" s="513" t="s">
        <v>384</v>
      </c>
      <c r="C25" s="514" t="s">
        <v>380</v>
      </c>
      <c r="D25" s="514" t="s">
        <v>380</v>
      </c>
      <c r="E25" s="515" t="s">
        <v>380</v>
      </c>
      <c r="F25" s="516" t="s">
        <v>380</v>
      </c>
      <c r="G25" s="503"/>
    </row>
    <row r="26" spans="1:7" s="518" customFormat="1" ht="15">
      <c r="A26" s="519" t="s">
        <v>409</v>
      </c>
      <c r="B26" s="520" t="s">
        <v>386</v>
      </c>
      <c r="C26" s="521" t="s">
        <v>380</v>
      </c>
      <c r="D26" s="521" t="s">
        <v>380</v>
      </c>
      <c r="E26" s="522" t="s">
        <v>380</v>
      </c>
      <c r="F26" s="523" t="s">
        <v>380</v>
      </c>
      <c r="G26" s="503"/>
    </row>
    <row r="27" spans="1:7" ht="15">
      <c r="A27" s="529" t="s">
        <v>410</v>
      </c>
      <c r="B27" s="530" t="s">
        <v>399</v>
      </c>
      <c r="C27" s="531"/>
      <c r="D27" s="531">
        <v>0.4</v>
      </c>
      <c r="E27" s="532"/>
      <c r="F27" s="533"/>
    </row>
    <row r="28" spans="1:7" ht="15">
      <c r="A28" s="529" t="s">
        <v>411</v>
      </c>
      <c r="B28" s="530" t="s">
        <v>399</v>
      </c>
      <c r="C28" s="531"/>
      <c r="D28" s="531" t="s">
        <v>401</v>
      </c>
      <c r="E28" s="532"/>
      <c r="F28" s="533"/>
    </row>
    <row r="29" spans="1:7" ht="15">
      <c r="A29" s="524" t="s">
        <v>412</v>
      </c>
      <c r="B29" s="525" t="s">
        <v>387</v>
      </c>
      <c r="C29" s="526"/>
      <c r="D29" s="526">
        <v>35</v>
      </c>
      <c r="E29" s="527"/>
      <c r="F29" s="528"/>
    </row>
    <row r="30" spans="1:7" ht="15.75" thickBot="1">
      <c r="A30" s="539" t="s">
        <v>413</v>
      </c>
      <c r="B30" s="540" t="s">
        <v>389</v>
      </c>
      <c r="C30" s="541"/>
      <c r="D30" s="541">
        <v>35</v>
      </c>
      <c r="E30" s="542"/>
      <c r="F30" s="543"/>
    </row>
    <row r="31" spans="1:7" s="518" customFormat="1" ht="15.75" thickBot="1">
      <c r="A31" s="544" t="s">
        <v>21</v>
      </c>
      <c r="B31" s="545" t="s">
        <v>604</v>
      </c>
      <c r="C31" s="546"/>
      <c r="D31" s="546"/>
      <c r="E31" s="547"/>
      <c r="F31" s="548"/>
      <c r="G31" s="503"/>
    </row>
    <row r="32" spans="1:7" ht="15">
      <c r="A32" s="529" t="s">
        <v>605</v>
      </c>
      <c r="B32" s="530" t="s">
        <v>606</v>
      </c>
      <c r="C32" s="531"/>
      <c r="D32" s="531">
        <v>0.4</v>
      </c>
      <c r="E32" s="532">
        <v>5.7</v>
      </c>
      <c r="F32" s="533">
        <v>482</v>
      </c>
    </row>
    <row r="33" spans="1:7" ht="15">
      <c r="A33" s="529" t="s">
        <v>607</v>
      </c>
      <c r="B33" s="530" t="s">
        <v>608</v>
      </c>
      <c r="C33" s="531"/>
      <c r="D33" s="531" t="s">
        <v>401</v>
      </c>
      <c r="E33" s="532">
        <v>1.7</v>
      </c>
      <c r="F33" s="533">
        <v>200</v>
      </c>
    </row>
    <row r="34" spans="1:7" ht="15">
      <c r="A34" s="524" t="s">
        <v>609</v>
      </c>
      <c r="B34" s="525" t="s">
        <v>708</v>
      </c>
      <c r="C34" s="526"/>
      <c r="D34" s="526">
        <v>6</v>
      </c>
      <c r="E34" s="527">
        <v>0.32400000000000001</v>
      </c>
      <c r="F34" s="528">
        <v>1200</v>
      </c>
    </row>
    <row r="35" spans="1:7" ht="15">
      <c r="A35" s="529" t="s">
        <v>610</v>
      </c>
      <c r="B35" s="525" t="s">
        <v>709</v>
      </c>
      <c r="C35" s="526"/>
      <c r="D35" s="526">
        <v>6</v>
      </c>
      <c r="E35" s="527">
        <v>0.221</v>
      </c>
      <c r="F35" s="528">
        <f>200/2</f>
        <v>100</v>
      </c>
    </row>
    <row r="36" spans="1:7" ht="30">
      <c r="A36" s="529" t="s">
        <v>611</v>
      </c>
      <c r="B36" s="525" t="s">
        <v>710</v>
      </c>
      <c r="C36" s="526"/>
      <c r="D36" s="526">
        <v>6</v>
      </c>
      <c r="E36" s="527">
        <v>0.6</v>
      </c>
      <c r="F36" s="528">
        <f>(2000+3200+837.04)*0.026</f>
        <v>156.96303999999998</v>
      </c>
    </row>
    <row r="37" spans="1:7" ht="15">
      <c r="A37" s="524" t="s">
        <v>612</v>
      </c>
      <c r="B37" s="525" t="s">
        <v>711</v>
      </c>
      <c r="C37" s="526"/>
      <c r="D37" s="526">
        <v>6</v>
      </c>
      <c r="E37" s="527">
        <v>0.68300000000000005</v>
      </c>
      <c r="F37" s="528">
        <v>250</v>
      </c>
    </row>
    <row r="38" spans="1:7" ht="15">
      <c r="A38" s="529" t="s">
        <v>613</v>
      </c>
      <c r="B38" s="525"/>
      <c r="C38" s="526"/>
      <c r="D38" s="526"/>
      <c r="E38" s="527"/>
      <c r="F38" s="528"/>
    </row>
    <row r="39" spans="1:7" ht="15">
      <c r="A39" s="529" t="s">
        <v>614</v>
      </c>
      <c r="B39" s="525"/>
      <c r="C39" s="526"/>
      <c r="D39" s="526"/>
      <c r="E39" s="527"/>
      <c r="F39" s="528"/>
    </row>
    <row r="40" spans="1:7" ht="15">
      <c r="A40" s="524" t="s">
        <v>615</v>
      </c>
      <c r="B40" s="525"/>
      <c r="C40" s="526"/>
      <c r="D40" s="526"/>
      <c r="E40" s="527"/>
      <c r="F40" s="528"/>
    </row>
    <row r="41" spans="1:7" ht="15">
      <c r="A41" s="529" t="s">
        <v>616</v>
      </c>
      <c r="B41" s="525"/>
      <c r="C41" s="526"/>
      <c r="D41" s="526"/>
      <c r="E41" s="527"/>
      <c r="F41" s="528"/>
    </row>
    <row r="42" spans="1:7" ht="15">
      <c r="A42" s="529" t="s">
        <v>617</v>
      </c>
      <c r="B42" s="525"/>
      <c r="C42" s="526"/>
      <c r="D42" s="526"/>
      <c r="E42" s="527"/>
      <c r="F42" s="528"/>
    </row>
    <row r="43" spans="1:7" ht="15">
      <c r="A43" s="524" t="s">
        <v>618</v>
      </c>
      <c r="B43" s="525"/>
      <c r="C43" s="526"/>
      <c r="D43" s="526"/>
      <c r="E43" s="527"/>
      <c r="F43" s="528"/>
    </row>
    <row r="44" spans="1:7" ht="15">
      <c r="A44" s="529" t="s">
        <v>619</v>
      </c>
      <c r="B44" s="525"/>
      <c r="C44" s="526"/>
      <c r="D44" s="526"/>
      <c r="E44" s="527"/>
      <c r="F44" s="528"/>
    </row>
    <row r="45" spans="1:7" ht="15">
      <c r="A45" s="529" t="s">
        <v>620</v>
      </c>
      <c r="B45" s="525"/>
      <c r="C45" s="526"/>
      <c r="D45" s="526"/>
      <c r="E45" s="527"/>
      <c r="F45" s="528"/>
    </row>
    <row r="46" spans="1:7" ht="15.75" thickBot="1">
      <c r="A46" s="524" t="s">
        <v>621</v>
      </c>
      <c r="B46" s="525"/>
      <c r="C46" s="526"/>
      <c r="D46" s="526"/>
      <c r="E46" s="527"/>
      <c r="F46" s="528"/>
    </row>
    <row r="47" spans="1:7" s="518" customFormat="1" ht="15.75" thickBot="1">
      <c r="A47" s="699" t="s">
        <v>135</v>
      </c>
      <c r="B47" s="700" t="s">
        <v>414</v>
      </c>
      <c r="C47" s="701" t="s">
        <v>380</v>
      </c>
      <c r="D47" s="701" t="s">
        <v>380</v>
      </c>
      <c r="E47" s="702" t="s">
        <v>380</v>
      </c>
      <c r="F47" s="703" t="s">
        <v>380</v>
      </c>
      <c r="G47" s="503"/>
    </row>
    <row r="48" spans="1:7" s="518" customFormat="1" ht="15">
      <c r="A48" s="512" t="s">
        <v>167</v>
      </c>
      <c r="B48" s="513" t="s">
        <v>415</v>
      </c>
      <c r="C48" s="514" t="s">
        <v>380</v>
      </c>
      <c r="D48" s="514" t="s">
        <v>380</v>
      </c>
      <c r="E48" s="515" t="s">
        <v>380</v>
      </c>
      <c r="F48" s="516" t="s">
        <v>380</v>
      </c>
      <c r="G48" s="503"/>
    </row>
    <row r="49" spans="1:7" s="518" customFormat="1" ht="15">
      <c r="A49" s="519" t="s">
        <v>168</v>
      </c>
      <c r="B49" s="520" t="s">
        <v>416</v>
      </c>
      <c r="C49" s="521" t="s">
        <v>380</v>
      </c>
      <c r="D49" s="521" t="s">
        <v>380</v>
      </c>
      <c r="E49" s="522" t="s">
        <v>380</v>
      </c>
      <c r="F49" s="523" t="s">
        <v>380</v>
      </c>
      <c r="G49" s="503"/>
    </row>
    <row r="50" spans="1:7" s="518" customFormat="1" ht="15">
      <c r="A50" s="519" t="s">
        <v>169</v>
      </c>
      <c r="B50" s="520" t="s">
        <v>417</v>
      </c>
      <c r="C50" s="521" t="s">
        <v>380</v>
      </c>
      <c r="D50" s="521" t="s">
        <v>380</v>
      </c>
      <c r="E50" s="522" t="s">
        <v>380</v>
      </c>
      <c r="F50" s="523" t="s">
        <v>380</v>
      </c>
      <c r="G50" s="503"/>
    </row>
    <row r="51" spans="1:7" ht="15">
      <c r="A51" s="529" t="s">
        <v>418</v>
      </c>
      <c r="B51" s="530" t="s">
        <v>399</v>
      </c>
      <c r="C51" s="531"/>
      <c r="D51" s="531" t="s">
        <v>401</v>
      </c>
      <c r="E51" s="532"/>
      <c r="F51" s="533"/>
    </row>
    <row r="52" spans="1:7" ht="15">
      <c r="A52" s="529" t="s">
        <v>419</v>
      </c>
      <c r="B52" s="530" t="s">
        <v>399</v>
      </c>
      <c r="C52" s="531"/>
      <c r="D52" s="531">
        <v>35</v>
      </c>
      <c r="E52" s="532"/>
      <c r="F52" s="533"/>
    </row>
    <row r="53" spans="1:7" ht="15">
      <c r="A53" s="529" t="s">
        <v>420</v>
      </c>
      <c r="B53" s="530" t="s">
        <v>399</v>
      </c>
      <c r="C53" s="531"/>
      <c r="D53" s="531">
        <v>110</v>
      </c>
      <c r="E53" s="532"/>
      <c r="F53" s="533"/>
    </row>
    <row r="54" spans="1:7" ht="15">
      <c r="A54" s="529" t="s">
        <v>421</v>
      </c>
      <c r="B54" s="530" t="s">
        <v>387</v>
      </c>
      <c r="C54" s="531"/>
      <c r="D54" s="531" t="s">
        <v>401</v>
      </c>
      <c r="E54" s="532"/>
      <c r="F54" s="533"/>
    </row>
    <row r="55" spans="1:7" ht="15">
      <c r="A55" s="529" t="s">
        <v>422</v>
      </c>
      <c r="B55" s="530" t="s">
        <v>387</v>
      </c>
      <c r="C55" s="531"/>
      <c r="D55" s="531">
        <v>35</v>
      </c>
      <c r="E55" s="532"/>
      <c r="F55" s="533"/>
    </row>
    <row r="56" spans="1:7" ht="15">
      <c r="A56" s="529" t="s">
        <v>423</v>
      </c>
      <c r="B56" s="530" t="s">
        <v>387</v>
      </c>
      <c r="C56" s="531"/>
      <c r="D56" s="531">
        <v>110</v>
      </c>
      <c r="E56" s="532"/>
      <c r="F56" s="533"/>
    </row>
    <row r="57" spans="1:7" ht="15">
      <c r="A57" s="529" t="s">
        <v>424</v>
      </c>
      <c r="B57" s="530" t="s">
        <v>389</v>
      </c>
      <c r="C57" s="531"/>
      <c r="D57" s="531" t="s">
        <v>401</v>
      </c>
      <c r="E57" s="532"/>
      <c r="F57" s="533"/>
    </row>
    <row r="58" spans="1:7" ht="15">
      <c r="A58" s="529" t="s">
        <v>425</v>
      </c>
      <c r="B58" s="530" t="s">
        <v>389</v>
      </c>
      <c r="C58" s="531"/>
      <c r="D58" s="531">
        <v>35</v>
      </c>
      <c r="E58" s="532"/>
      <c r="F58" s="533"/>
    </row>
    <row r="59" spans="1:7" ht="15">
      <c r="A59" s="529" t="s">
        <v>426</v>
      </c>
      <c r="B59" s="530" t="s">
        <v>389</v>
      </c>
      <c r="C59" s="531"/>
      <c r="D59" s="531">
        <v>110</v>
      </c>
      <c r="E59" s="532"/>
      <c r="F59" s="533"/>
    </row>
    <row r="60" spans="1:7" ht="15.75" thickBot="1">
      <c r="A60" s="539" t="s">
        <v>427</v>
      </c>
      <c r="B60" s="540" t="s">
        <v>392</v>
      </c>
      <c r="C60" s="541"/>
      <c r="D60" s="541" t="s">
        <v>401</v>
      </c>
      <c r="E60" s="542">
        <f>E165</f>
        <v>4.7435</v>
      </c>
      <c r="F60" s="543">
        <f>F165</f>
        <v>1086.6671999999999</v>
      </c>
    </row>
    <row r="61" spans="1:7" s="518" customFormat="1" ht="15">
      <c r="A61" s="512" t="s">
        <v>428</v>
      </c>
      <c r="B61" s="513" t="s">
        <v>429</v>
      </c>
      <c r="C61" s="514" t="s">
        <v>380</v>
      </c>
      <c r="D61" s="514" t="s">
        <v>380</v>
      </c>
      <c r="E61" s="515" t="s">
        <v>380</v>
      </c>
      <c r="F61" s="516" t="s">
        <v>380</v>
      </c>
      <c r="G61" s="503"/>
    </row>
    <row r="62" spans="1:7" ht="15">
      <c r="A62" s="529" t="s">
        <v>430</v>
      </c>
      <c r="B62" s="530" t="s">
        <v>399</v>
      </c>
      <c r="C62" s="531"/>
      <c r="D62" s="531" t="s">
        <v>401</v>
      </c>
      <c r="E62" s="532"/>
      <c r="F62" s="533"/>
    </row>
    <row r="63" spans="1:7" ht="15">
      <c r="A63" s="529" t="s">
        <v>431</v>
      </c>
      <c r="B63" s="530" t="s">
        <v>399</v>
      </c>
      <c r="C63" s="531"/>
      <c r="D63" s="531">
        <v>35</v>
      </c>
      <c r="E63" s="532"/>
      <c r="F63" s="533"/>
    </row>
    <row r="64" spans="1:7" ht="15">
      <c r="A64" s="529" t="s">
        <v>432</v>
      </c>
      <c r="B64" s="530" t="s">
        <v>399</v>
      </c>
      <c r="C64" s="531"/>
      <c r="D64" s="531">
        <v>110</v>
      </c>
      <c r="E64" s="532"/>
      <c r="F64" s="533"/>
    </row>
    <row r="65" spans="1:7" ht="15">
      <c r="A65" s="529" t="s">
        <v>433</v>
      </c>
      <c r="B65" s="530" t="s">
        <v>387</v>
      </c>
      <c r="C65" s="531"/>
      <c r="D65" s="531" t="s">
        <v>401</v>
      </c>
      <c r="E65" s="532"/>
      <c r="F65" s="533"/>
    </row>
    <row r="66" spans="1:7" ht="15">
      <c r="A66" s="529" t="s">
        <v>434</v>
      </c>
      <c r="B66" s="530" t="s">
        <v>387</v>
      </c>
      <c r="C66" s="531"/>
      <c r="D66" s="531">
        <v>35</v>
      </c>
      <c r="E66" s="532"/>
      <c r="F66" s="533"/>
    </row>
    <row r="67" spans="1:7" ht="15">
      <c r="A67" s="529" t="s">
        <v>435</v>
      </c>
      <c r="B67" s="530" t="s">
        <v>387</v>
      </c>
      <c r="C67" s="531"/>
      <c r="D67" s="531">
        <v>110</v>
      </c>
      <c r="E67" s="532"/>
      <c r="F67" s="533"/>
    </row>
    <row r="68" spans="1:7" ht="15">
      <c r="A68" s="529" t="s">
        <v>436</v>
      </c>
      <c r="B68" s="530" t="s">
        <v>389</v>
      </c>
      <c r="C68" s="531"/>
      <c r="D68" s="531" t="s">
        <v>401</v>
      </c>
      <c r="E68" s="532"/>
      <c r="F68" s="533"/>
    </row>
    <row r="69" spans="1:7" ht="15">
      <c r="A69" s="529" t="s">
        <v>437</v>
      </c>
      <c r="B69" s="530" t="s">
        <v>389</v>
      </c>
      <c r="C69" s="531"/>
      <c r="D69" s="531">
        <v>35</v>
      </c>
      <c r="E69" s="532"/>
      <c r="F69" s="533"/>
    </row>
    <row r="70" spans="1:7" ht="15">
      <c r="A70" s="529" t="s">
        <v>438</v>
      </c>
      <c r="B70" s="530" t="s">
        <v>389</v>
      </c>
      <c r="C70" s="531"/>
      <c r="D70" s="531">
        <v>110</v>
      </c>
      <c r="E70" s="532"/>
      <c r="F70" s="533"/>
    </row>
    <row r="71" spans="1:7" ht="15.75" thickBot="1">
      <c r="A71" s="539" t="s">
        <v>439</v>
      </c>
      <c r="B71" s="540" t="s">
        <v>392</v>
      </c>
      <c r="C71" s="541"/>
      <c r="D71" s="541">
        <v>110</v>
      </c>
      <c r="E71" s="542"/>
      <c r="F71" s="543"/>
    </row>
    <row r="72" spans="1:7" s="518" customFormat="1" ht="15">
      <c r="A72" s="519" t="s">
        <v>170</v>
      </c>
      <c r="B72" s="520" t="s">
        <v>440</v>
      </c>
      <c r="C72" s="521" t="s">
        <v>380</v>
      </c>
      <c r="D72" s="521" t="s">
        <v>380</v>
      </c>
      <c r="E72" s="522" t="s">
        <v>380</v>
      </c>
      <c r="F72" s="523" t="s">
        <v>380</v>
      </c>
      <c r="G72" s="503"/>
    </row>
    <row r="73" spans="1:7" s="518" customFormat="1" ht="15">
      <c r="A73" s="519" t="s">
        <v>171</v>
      </c>
      <c r="B73" s="520" t="s">
        <v>417</v>
      </c>
      <c r="C73" s="521" t="s">
        <v>380</v>
      </c>
      <c r="D73" s="521" t="s">
        <v>380</v>
      </c>
      <c r="E73" s="522" t="s">
        <v>380</v>
      </c>
      <c r="F73" s="523" t="s">
        <v>380</v>
      </c>
      <c r="G73" s="503"/>
    </row>
    <row r="74" spans="1:7" ht="15">
      <c r="A74" s="529" t="s">
        <v>441</v>
      </c>
      <c r="B74" s="530" t="s">
        <v>399</v>
      </c>
      <c r="C74" s="531"/>
      <c r="D74" s="531">
        <v>0.4</v>
      </c>
      <c r="E74" s="532"/>
      <c r="F74" s="533"/>
    </row>
    <row r="75" spans="1:7" ht="15">
      <c r="A75" s="529" t="s">
        <v>442</v>
      </c>
      <c r="B75" s="530" t="s">
        <v>399</v>
      </c>
      <c r="C75" s="531"/>
      <c r="D75" s="531" t="s">
        <v>401</v>
      </c>
      <c r="E75" s="532"/>
      <c r="F75" s="533"/>
    </row>
    <row r="76" spans="1:7" ht="15">
      <c r="A76" s="529" t="s">
        <v>443</v>
      </c>
      <c r="B76" s="530" t="s">
        <v>399</v>
      </c>
      <c r="C76" s="531"/>
      <c r="D76" s="531">
        <v>35</v>
      </c>
      <c r="E76" s="532"/>
      <c r="F76" s="533"/>
    </row>
    <row r="77" spans="1:7" ht="15">
      <c r="A77" s="529" t="s">
        <v>444</v>
      </c>
      <c r="B77" s="530" t="s">
        <v>399</v>
      </c>
      <c r="C77" s="531"/>
      <c r="D77" s="531">
        <v>110</v>
      </c>
      <c r="E77" s="532"/>
      <c r="F77" s="533"/>
    </row>
    <row r="78" spans="1:7" ht="15">
      <c r="A78" s="529" t="s">
        <v>445</v>
      </c>
      <c r="B78" s="530" t="s">
        <v>387</v>
      </c>
      <c r="C78" s="531"/>
      <c r="D78" s="531">
        <v>0.4</v>
      </c>
      <c r="E78" s="532"/>
      <c r="F78" s="533"/>
    </row>
    <row r="79" spans="1:7" ht="15">
      <c r="A79" s="529" t="s">
        <v>446</v>
      </c>
      <c r="B79" s="530" t="s">
        <v>387</v>
      </c>
      <c r="C79" s="531"/>
      <c r="D79" s="531" t="s">
        <v>401</v>
      </c>
      <c r="E79" s="532"/>
      <c r="F79" s="533"/>
    </row>
    <row r="80" spans="1:7" ht="15">
      <c r="A80" s="529" t="s">
        <v>447</v>
      </c>
      <c r="B80" s="530" t="s">
        <v>387</v>
      </c>
      <c r="C80" s="531"/>
      <c r="D80" s="531">
        <v>35</v>
      </c>
      <c r="E80" s="532"/>
      <c r="F80" s="533"/>
    </row>
    <row r="81" spans="1:7" ht="15">
      <c r="A81" s="529" t="s">
        <v>448</v>
      </c>
      <c r="B81" s="530" t="s">
        <v>387</v>
      </c>
      <c r="C81" s="531"/>
      <c r="D81" s="531">
        <v>110</v>
      </c>
      <c r="E81" s="532"/>
      <c r="F81" s="533"/>
    </row>
    <row r="82" spans="1:7" ht="15">
      <c r="A82" s="529" t="s">
        <v>449</v>
      </c>
      <c r="B82" s="530" t="s">
        <v>389</v>
      </c>
      <c r="C82" s="531"/>
      <c r="D82" s="531">
        <v>0.4</v>
      </c>
      <c r="E82" s="532"/>
      <c r="F82" s="533"/>
    </row>
    <row r="83" spans="1:7" ht="15">
      <c r="A83" s="529" t="s">
        <v>450</v>
      </c>
      <c r="B83" s="530" t="s">
        <v>389</v>
      </c>
      <c r="C83" s="531"/>
      <c r="D83" s="531" t="s">
        <v>401</v>
      </c>
      <c r="E83" s="532"/>
      <c r="F83" s="533"/>
    </row>
    <row r="84" spans="1:7" ht="15">
      <c r="A84" s="529" t="s">
        <v>451</v>
      </c>
      <c r="B84" s="530" t="s">
        <v>389</v>
      </c>
      <c r="C84" s="531"/>
      <c r="D84" s="531">
        <v>35</v>
      </c>
      <c r="E84" s="532"/>
      <c r="F84" s="533"/>
    </row>
    <row r="85" spans="1:7" ht="15">
      <c r="A85" s="529" t="s">
        <v>452</v>
      </c>
      <c r="B85" s="530" t="s">
        <v>389</v>
      </c>
      <c r="C85" s="531"/>
      <c r="D85" s="531">
        <v>110</v>
      </c>
      <c r="E85" s="532"/>
      <c r="F85" s="533"/>
    </row>
    <row r="86" spans="1:7" ht="15">
      <c r="A86" s="524" t="s">
        <v>453</v>
      </c>
      <c r="B86" s="525" t="s">
        <v>392</v>
      </c>
      <c r="C86" s="526"/>
      <c r="D86" s="526">
        <v>0.4</v>
      </c>
      <c r="E86" s="527"/>
      <c r="F86" s="528"/>
    </row>
    <row r="87" spans="1:7" ht="15.75" thickBot="1">
      <c r="A87" s="539" t="s">
        <v>454</v>
      </c>
      <c r="B87" s="540" t="s">
        <v>392</v>
      </c>
      <c r="C87" s="541"/>
      <c r="D87" s="541">
        <v>110</v>
      </c>
      <c r="E87" s="542"/>
      <c r="F87" s="543"/>
    </row>
    <row r="88" spans="1:7" s="518" customFormat="1" ht="15">
      <c r="A88" s="512" t="s">
        <v>172</v>
      </c>
      <c r="B88" s="513" t="s">
        <v>429</v>
      </c>
      <c r="C88" s="514" t="s">
        <v>380</v>
      </c>
      <c r="D88" s="514" t="s">
        <v>380</v>
      </c>
      <c r="E88" s="515" t="s">
        <v>380</v>
      </c>
      <c r="F88" s="516" t="s">
        <v>380</v>
      </c>
      <c r="G88" s="503"/>
    </row>
    <row r="89" spans="1:7" ht="15">
      <c r="A89" s="529" t="s">
        <v>455</v>
      </c>
      <c r="B89" s="530" t="s">
        <v>399</v>
      </c>
      <c r="C89" s="531"/>
      <c r="D89" s="531">
        <v>0.4</v>
      </c>
      <c r="E89" s="532"/>
      <c r="F89" s="533"/>
    </row>
    <row r="90" spans="1:7" ht="15">
      <c r="A90" s="529" t="s">
        <v>456</v>
      </c>
      <c r="B90" s="530" t="s">
        <v>399</v>
      </c>
      <c r="C90" s="531"/>
      <c r="D90" s="531" t="s">
        <v>401</v>
      </c>
      <c r="E90" s="532"/>
      <c r="F90" s="533"/>
    </row>
    <row r="91" spans="1:7" ht="15">
      <c r="A91" s="529" t="s">
        <v>457</v>
      </c>
      <c r="B91" s="530" t="s">
        <v>399</v>
      </c>
      <c r="C91" s="531"/>
      <c r="D91" s="531">
        <v>35</v>
      </c>
      <c r="E91" s="532"/>
      <c r="F91" s="533"/>
    </row>
    <row r="92" spans="1:7" ht="15">
      <c r="A92" s="529" t="s">
        <v>458</v>
      </c>
      <c r="B92" s="530" t="s">
        <v>399</v>
      </c>
      <c r="C92" s="531"/>
      <c r="D92" s="531">
        <v>110</v>
      </c>
      <c r="E92" s="532"/>
      <c r="F92" s="533"/>
    </row>
    <row r="93" spans="1:7" ht="15">
      <c r="A93" s="529" t="s">
        <v>459</v>
      </c>
      <c r="B93" s="530" t="s">
        <v>387</v>
      </c>
      <c r="C93" s="531"/>
      <c r="D93" s="531">
        <v>0.4</v>
      </c>
      <c r="E93" s="532"/>
      <c r="F93" s="533"/>
    </row>
    <row r="94" spans="1:7" ht="15">
      <c r="A94" s="529" t="s">
        <v>460</v>
      </c>
      <c r="B94" s="530" t="s">
        <v>387</v>
      </c>
      <c r="C94" s="531"/>
      <c r="D94" s="531" t="s">
        <v>401</v>
      </c>
      <c r="E94" s="532"/>
      <c r="F94" s="533"/>
    </row>
    <row r="95" spans="1:7" ht="15">
      <c r="A95" s="529" t="s">
        <v>461</v>
      </c>
      <c r="B95" s="530" t="s">
        <v>387</v>
      </c>
      <c r="C95" s="531"/>
      <c r="D95" s="531">
        <v>35</v>
      </c>
      <c r="E95" s="532"/>
      <c r="F95" s="533"/>
    </row>
    <row r="96" spans="1:7" ht="15">
      <c r="A96" s="529" t="s">
        <v>462</v>
      </c>
      <c r="B96" s="530" t="s">
        <v>387</v>
      </c>
      <c r="C96" s="531"/>
      <c r="D96" s="531">
        <v>110</v>
      </c>
      <c r="E96" s="532"/>
      <c r="F96" s="533"/>
    </row>
    <row r="97" spans="1:7" ht="15">
      <c r="A97" s="529" t="s">
        <v>463</v>
      </c>
      <c r="B97" s="530" t="s">
        <v>389</v>
      </c>
      <c r="C97" s="531"/>
      <c r="D97" s="531">
        <v>0.4</v>
      </c>
      <c r="E97" s="532">
        <v>0.2</v>
      </c>
      <c r="F97" s="533">
        <v>252</v>
      </c>
    </row>
    <row r="98" spans="1:7" ht="15">
      <c r="A98" s="529" t="s">
        <v>464</v>
      </c>
      <c r="B98" s="530" t="s">
        <v>389</v>
      </c>
      <c r="C98" s="531"/>
      <c r="D98" s="531" t="s">
        <v>401</v>
      </c>
      <c r="E98" s="532">
        <f>E163+E164</f>
        <v>2.1012</v>
      </c>
      <c r="F98" s="533">
        <f>F163+F164</f>
        <v>1050</v>
      </c>
    </row>
    <row r="99" spans="1:7" ht="15">
      <c r="A99" s="529" t="s">
        <v>465</v>
      </c>
      <c r="B99" s="530" t="s">
        <v>389</v>
      </c>
      <c r="C99" s="531"/>
      <c r="D99" s="531">
        <v>35</v>
      </c>
      <c r="E99" s="532"/>
      <c r="F99" s="533"/>
    </row>
    <row r="100" spans="1:7" ht="15">
      <c r="A100" s="529" t="s">
        <v>466</v>
      </c>
      <c r="B100" s="530" t="s">
        <v>389</v>
      </c>
      <c r="C100" s="531"/>
      <c r="D100" s="531">
        <v>110</v>
      </c>
      <c r="E100" s="532"/>
      <c r="F100" s="533"/>
    </row>
    <row r="101" spans="1:7" ht="15.75" thickBot="1">
      <c r="A101" s="539" t="s">
        <v>467</v>
      </c>
      <c r="B101" s="540" t="s">
        <v>392</v>
      </c>
      <c r="C101" s="541"/>
      <c r="D101" s="541" t="s">
        <v>401</v>
      </c>
      <c r="E101" s="542">
        <f>E166+E168</f>
        <v>0.26</v>
      </c>
      <c r="F101" s="543">
        <f>F166+F168</f>
        <v>223.37047999999999</v>
      </c>
    </row>
    <row r="102" spans="1:7" s="518" customFormat="1" ht="15">
      <c r="A102" s="512" t="s">
        <v>173</v>
      </c>
      <c r="B102" s="513" t="s">
        <v>468</v>
      </c>
      <c r="C102" s="514" t="s">
        <v>380</v>
      </c>
      <c r="D102" s="514" t="s">
        <v>380</v>
      </c>
      <c r="E102" s="515" t="s">
        <v>380</v>
      </c>
      <c r="F102" s="516" t="s">
        <v>380</v>
      </c>
      <c r="G102" s="503"/>
    </row>
    <row r="103" spans="1:7" s="518" customFormat="1" ht="15">
      <c r="A103" s="519" t="s">
        <v>174</v>
      </c>
      <c r="B103" s="520" t="s">
        <v>416</v>
      </c>
      <c r="C103" s="521" t="s">
        <v>380</v>
      </c>
      <c r="D103" s="521" t="s">
        <v>380</v>
      </c>
      <c r="E103" s="522" t="s">
        <v>380</v>
      </c>
      <c r="F103" s="523" t="s">
        <v>380</v>
      </c>
      <c r="G103" s="503"/>
    </row>
    <row r="104" spans="1:7" s="518" customFormat="1" ht="15">
      <c r="A104" s="519" t="s">
        <v>175</v>
      </c>
      <c r="B104" s="520" t="s">
        <v>417</v>
      </c>
      <c r="C104" s="521" t="s">
        <v>380</v>
      </c>
      <c r="D104" s="521" t="s">
        <v>380</v>
      </c>
      <c r="E104" s="522" t="s">
        <v>380</v>
      </c>
      <c r="F104" s="523" t="s">
        <v>380</v>
      </c>
      <c r="G104" s="503"/>
    </row>
    <row r="105" spans="1:7" ht="15">
      <c r="A105" s="529" t="s">
        <v>469</v>
      </c>
      <c r="B105" s="530" t="s">
        <v>399</v>
      </c>
      <c r="C105" s="531"/>
      <c r="D105" s="531" t="s">
        <v>401</v>
      </c>
      <c r="E105" s="532"/>
      <c r="F105" s="533"/>
    </row>
    <row r="106" spans="1:7" ht="15">
      <c r="A106" s="529" t="s">
        <v>470</v>
      </c>
      <c r="B106" s="530" t="s">
        <v>399</v>
      </c>
      <c r="C106" s="531"/>
      <c r="D106" s="531">
        <v>35</v>
      </c>
      <c r="E106" s="532"/>
      <c r="F106" s="533"/>
    </row>
    <row r="107" spans="1:7" ht="15">
      <c r="A107" s="529" t="s">
        <v>471</v>
      </c>
      <c r="B107" s="530" t="s">
        <v>399</v>
      </c>
      <c r="C107" s="531"/>
      <c r="D107" s="531">
        <v>110</v>
      </c>
      <c r="E107" s="532"/>
      <c r="F107" s="533"/>
    </row>
    <row r="108" spans="1:7" ht="15">
      <c r="A108" s="529" t="s">
        <v>472</v>
      </c>
      <c r="B108" s="530" t="s">
        <v>387</v>
      </c>
      <c r="C108" s="531"/>
      <c r="D108" s="531" t="s">
        <v>401</v>
      </c>
      <c r="E108" s="532"/>
      <c r="F108" s="533"/>
    </row>
    <row r="109" spans="1:7" ht="15">
      <c r="A109" s="529" t="s">
        <v>473</v>
      </c>
      <c r="B109" s="530" t="s">
        <v>387</v>
      </c>
      <c r="C109" s="531"/>
      <c r="D109" s="531">
        <v>35</v>
      </c>
      <c r="E109" s="532"/>
      <c r="F109" s="533"/>
    </row>
    <row r="110" spans="1:7" ht="15">
      <c r="A110" s="529" t="s">
        <v>474</v>
      </c>
      <c r="B110" s="530" t="s">
        <v>387</v>
      </c>
      <c r="C110" s="531"/>
      <c r="D110" s="531">
        <v>110</v>
      </c>
      <c r="E110" s="532"/>
      <c r="F110" s="533"/>
    </row>
    <row r="111" spans="1:7" ht="15">
      <c r="A111" s="529" t="s">
        <v>475</v>
      </c>
      <c r="B111" s="530" t="s">
        <v>389</v>
      </c>
      <c r="C111" s="531"/>
      <c r="D111" s="531" t="s">
        <v>401</v>
      </c>
      <c r="E111" s="532"/>
      <c r="F111" s="533"/>
    </row>
    <row r="112" spans="1:7" ht="15">
      <c r="A112" s="529" t="s">
        <v>476</v>
      </c>
      <c r="B112" s="530" t="s">
        <v>389</v>
      </c>
      <c r="C112" s="531"/>
      <c r="D112" s="531">
        <v>35</v>
      </c>
      <c r="E112" s="532"/>
      <c r="F112" s="533"/>
    </row>
    <row r="113" spans="1:7" ht="15">
      <c r="A113" s="529" t="s">
        <v>477</v>
      </c>
      <c r="B113" s="530" t="s">
        <v>392</v>
      </c>
      <c r="C113" s="531"/>
      <c r="D113" s="531" t="s">
        <v>401</v>
      </c>
      <c r="E113" s="532">
        <f>E162</f>
        <v>0.34399999999999997</v>
      </c>
      <c r="F113" s="533">
        <f>F162</f>
        <v>128.5</v>
      </c>
    </row>
    <row r="114" spans="1:7" ht="15.75" thickBot="1">
      <c r="A114" s="539" t="s">
        <v>478</v>
      </c>
      <c r="B114" s="540" t="s">
        <v>479</v>
      </c>
      <c r="C114" s="541"/>
      <c r="D114" s="541">
        <v>110</v>
      </c>
      <c r="E114" s="542"/>
      <c r="F114" s="543"/>
    </row>
    <row r="115" spans="1:7" s="518" customFormat="1" ht="15">
      <c r="A115" s="512" t="s">
        <v>176</v>
      </c>
      <c r="B115" s="513" t="s">
        <v>429</v>
      </c>
      <c r="C115" s="514" t="s">
        <v>380</v>
      </c>
      <c r="D115" s="514" t="s">
        <v>380</v>
      </c>
      <c r="E115" s="515" t="s">
        <v>380</v>
      </c>
      <c r="F115" s="516" t="s">
        <v>380</v>
      </c>
      <c r="G115" s="503"/>
    </row>
    <row r="116" spans="1:7" ht="15">
      <c r="A116" s="529" t="s">
        <v>480</v>
      </c>
      <c r="B116" s="530" t="s">
        <v>399</v>
      </c>
      <c r="C116" s="531"/>
      <c r="D116" s="531" t="s">
        <v>401</v>
      </c>
      <c r="E116" s="532"/>
      <c r="F116" s="533"/>
    </row>
    <row r="117" spans="1:7" ht="15">
      <c r="A117" s="529" t="s">
        <v>481</v>
      </c>
      <c r="B117" s="530" t="s">
        <v>399</v>
      </c>
      <c r="C117" s="531"/>
      <c r="D117" s="531">
        <v>35</v>
      </c>
      <c r="E117" s="532"/>
      <c r="F117" s="533"/>
    </row>
    <row r="118" spans="1:7" ht="15">
      <c r="A118" s="529" t="s">
        <v>482</v>
      </c>
      <c r="B118" s="530" t="s">
        <v>399</v>
      </c>
      <c r="C118" s="531"/>
      <c r="D118" s="531">
        <v>110</v>
      </c>
      <c r="E118" s="532"/>
      <c r="F118" s="533"/>
    </row>
    <row r="119" spans="1:7" ht="15">
      <c r="A119" s="529" t="s">
        <v>483</v>
      </c>
      <c r="B119" s="530" t="s">
        <v>387</v>
      </c>
      <c r="C119" s="531"/>
      <c r="D119" s="531" t="s">
        <v>401</v>
      </c>
      <c r="E119" s="532"/>
      <c r="F119" s="533"/>
    </row>
    <row r="120" spans="1:7" ht="15">
      <c r="A120" s="529" t="s">
        <v>484</v>
      </c>
      <c r="B120" s="530" t="s">
        <v>387</v>
      </c>
      <c r="C120" s="531"/>
      <c r="D120" s="531">
        <v>35</v>
      </c>
      <c r="E120" s="532"/>
      <c r="F120" s="533"/>
    </row>
    <row r="121" spans="1:7" ht="15">
      <c r="A121" s="529" t="s">
        <v>485</v>
      </c>
      <c r="B121" s="530" t="s">
        <v>387</v>
      </c>
      <c r="C121" s="531"/>
      <c r="D121" s="531">
        <v>110</v>
      </c>
      <c r="E121" s="532"/>
      <c r="F121" s="533"/>
    </row>
    <row r="122" spans="1:7" ht="15">
      <c r="A122" s="529" t="s">
        <v>486</v>
      </c>
      <c r="B122" s="530" t="s">
        <v>389</v>
      </c>
      <c r="C122" s="531"/>
      <c r="D122" s="531" t="s">
        <v>401</v>
      </c>
      <c r="E122" s="532"/>
      <c r="F122" s="533"/>
    </row>
    <row r="123" spans="1:7" ht="15">
      <c r="A123" s="529" t="s">
        <v>487</v>
      </c>
      <c r="B123" s="530" t="s">
        <v>389</v>
      </c>
      <c r="C123" s="531"/>
      <c r="D123" s="531">
        <v>35</v>
      </c>
      <c r="E123" s="532"/>
      <c r="F123" s="533"/>
    </row>
    <row r="124" spans="1:7" ht="15">
      <c r="A124" s="529" t="s">
        <v>488</v>
      </c>
      <c r="B124" s="530" t="s">
        <v>389</v>
      </c>
      <c r="C124" s="531"/>
      <c r="D124" s="531">
        <v>110</v>
      </c>
      <c r="E124" s="532"/>
      <c r="F124" s="533"/>
    </row>
    <row r="125" spans="1:7" ht="15.75" thickBot="1">
      <c r="A125" s="539" t="s">
        <v>489</v>
      </c>
      <c r="B125" s="540" t="s">
        <v>392</v>
      </c>
      <c r="C125" s="541"/>
      <c r="D125" s="541">
        <v>110</v>
      </c>
      <c r="E125" s="542"/>
      <c r="F125" s="543"/>
    </row>
    <row r="126" spans="1:7" s="518" customFormat="1" ht="15">
      <c r="A126" s="519" t="s">
        <v>177</v>
      </c>
      <c r="B126" s="520" t="s">
        <v>440</v>
      </c>
      <c r="C126" s="521" t="s">
        <v>380</v>
      </c>
      <c r="D126" s="521" t="s">
        <v>380</v>
      </c>
      <c r="E126" s="522" t="s">
        <v>380</v>
      </c>
      <c r="F126" s="523" t="s">
        <v>380</v>
      </c>
      <c r="G126" s="503"/>
    </row>
    <row r="127" spans="1:7" s="518" customFormat="1" ht="15">
      <c r="A127" s="519" t="s">
        <v>178</v>
      </c>
      <c r="B127" s="520" t="s">
        <v>417</v>
      </c>
      <c r="C127" s="521" t="s">
        <v>380</v>
      </c>
      <c r="D127" s="521" t="s">
        <v>380</v>
      </c>
      <c r="E127" s="522" t="s">
        <v>380</v>
      </c>
      <c r="F127" s="523" t="s">
        <v>380</v>
      </c>
      <c r="G127" s="503"/>
    </row>
    <row r="128" spans="1:7" ht="15">
      <c r="A128" s="529" t="s">
        <v>490</v>
      </c>
      <c r="B128" s="530" t="s">
        <v>399</v>
      </c>
      <c r="C128" s="531"/>
      <c r="D128" s="531" t="s">
        <v>401</v>
      </c>
      <c r="E128" s="532"/>
      <c r="F128" s="533"/>
    </row>
    <row r="129" spans="1:7" ht="15">
      <c r="A129" s="529" t="s">
        <v>491</v>
      </c>
      <c r="B129" s="530" t="s">
        <v>399</v>
      </c>
      <c r="C129" s="531"/>
      <c r="D129" s="531">
        <v>35</v>
      </c>
      <c r="E129" s="532"/>
      <c r="F129" s="533"/>
    </row>
    <row r="130" spans="1:7" ht="15">
      <c r="A130" s="529" t="s">
        <v>492</v>
      </c>
      <c r="B130" s="530" t="s">
        <v>399</v>
      </c>
      <c r="C130" s="531"/>
      <c r="D130" s="531">
        <v>110</v>
      </c>
      <c r="E130" s="532"/>
      <c r="F130" s="533"/>
    </row>
    <row r="131" spans="1:7" ht="15">
      <c r="A131" s="529" t="s">
        <v>493</v>
      </c>
      <c r="B131" s="530" t="s">
        <v>387</v>
      </c>
      <c r="C131" s="531"/>
      <c r="D131" s="531" t="s">
        <v>401</v>
      </c>
      <c r="E131" s="532"/>
      <c r="F131" s="533"/>
    </row>
    <row r="132" spans="1:7" ht="15">
      <c r="A132" s="529" t="s">
        <v>494</v>
      </c>
      <c r="B132" s="530" t="s">
        <v>387</v>
      </c>
      <c r="C132" s="531"/>
      <c r="D132" s="531">
        <v>35</v>
      </c>
      <c r="E132" s="532"/>
      <c r="F132" s="533"/>
    </row>
    <row r="133" spans="1:7" ht="15">
      <c r="A133" s="529" t="s">
        <v>495</v>
      </c>
      <c r="B133" s="530" t="s">
        <v>387</v>
      </c>
      <c r="C133" s="531"/>
      <c r="D133" s="531">
        <v>110</v>
      </c>
      <c r="E133" s="532"/>
      <c r="F133" s="533"/>
    </row>
    <row r="134" spans="1:7" ht="15">
      <c r="A134" s="529" t="s">
        <v>496</v>
      </c>
      <c r="B134" s="530" t="s">
        <v>389</v>
      </c>
      <c r="C134" s="531"/>
      <c r="D134" s="531" t="s">
        <v>401</v>
      </c>
      <c r="E134" s="532"/>
      <c r="F134" s="533"/>
    </row>
    <row r="135" spans="1:7" ht="15">
      <c r="A135" s="529" t="s">
        <v>497</v>
      </c>
      <c r="B135" s="530" t="s">
        <v>389</v>
      </c>
      <c r="C135" s="531"/>
      <c r="D135" s="531">
        <v>35</v>
      </c>
      <c r="E135" s="532"/>
      <c r="F135" s="533"/>
    </row>
    <row r="136" spans="1:7" ht="15">
      <c r="A136" s="529" t="s">
        <v>498</v>
      </c>
      <c r="B136" s="530" t="s">
        <v>389</v>
      </c>
      <c r="C136" s="531"/>
      <c r="D136" s="531">
        <v>110</v>
      </c>
      <c r="E136" s="532"/>
      <c r="F136" s="533"/>
    </row>
    <row r="137" spans="1:7" ht="15.75" thickBot="1">
      <c r="A137" s="539" t="s">
        <v>499</v>
      </c>
      <c r="B137" s="540" t="s">
        <v>392</v>
      </c>
      <c r="C137" s="541"/>
      <c r="D137" s="541">
        <v>110</v>
      </c>
      <c r="E137" s="542"/>
      <c r="F137" s="543"/>
    </row>
    <row r="138" spans="1:7" s="518" customFormat="1" ht="15">
      <c r="A138" s="512" t="s">
        <v>179</v>
      </c>
      <c r="B138" s="513" t="s">
        <v>429</v>
      </c>
      <c r="C138" s="514" t="s">
        <v>380</v>
      </c>
      <c r="D138" s="514" t="s">
        <v>380</v>
      </c>
      <c r="E138" s="515" t="s">
        <v>380</v>
      </c>
      <c r="F138" s="516" t="s">
        <v>380</v>
      </c>
      <c r="G138" s="503"/>
    </row>
    <row r="139" spans="1:7" ht="15">
      <c r="A139" s="529" t="s">
        <v>500</v>
      </c>
      <c r="B139" s="530" t="s">
        <v>399</v>
      </c>
      <c r="C139" s="531"/>
      <c r="D139" s="531" t="s">
        <v>401</v>
      </c>
      <c r="E139" s="532"/>
      <c r="F139" s="533"/>
    </row>
    <row r="140" spans="1:7" ht="15">
      <c r="A140" s="529" t="s">
        <v>501</v>
      </c>
      <c r="B140" s="530" t="s">
        <v>399</v>
      </c>
      <c r="C140" s="531"/>
      <c r="D140" s="531">
        <v>35</v>
      </c>
      <c r="E140" s="532"/>
      <c r="F140" s="533"/>
    </row>
    <row r="141" spans="1:7" ht="15">
      <c r="A141" s="529" t="s">
        <v>502</v>
      </c>
      <c r="B141" s="530" t="s">
        <v>399</v>
      </c>
      <c r="C141" s="531"/>
      <c r="D141" s="531">
        <v>110</v>
      </c>
      <c r="E141" s="532"/>
      <c r="F141" s="533"/>
    </row>
    <row r="142" spans="1:7" ht="15">
      <c r="A142" s="529" t="s">
        <v>503</v>
      </c>
      <c r="B142" s="530" t="s">
        <v>387</v>
      </c>
      <c r="C142" s="531"/>
      <c r="D142" s="531" t="s">
        <v>401</v>
      </c>
      <c r="E142" s="532"/>
      <c r="F142" s="533"/>
    </row>
    <row r="143" spans="1:7" ht="15">
      <c r="A143" s="529" t="s">
        <v>504</v>
      </c>
      <c r="B143" s="530" t="s">
        <v>387</v>
      </c>
      <c r="C143" s="531"/>
      <c r="D143" s="531">
        <v>35</v>
      </c>
      <c r="E143" s="532"/>
      <c r="F143" s="533"/>
    </row>
    <row r="144" spans="1:7" ht="15">
      <c r="A144" s="529" t="s">
        <v>505</v>
      </c>
      <c r="B144" s="530" t="s">
        <v>387</v>
      </c>
      <c r="C144" s="531"/>
      <c r="D144" s="531">
        <v>110</v>
      </c>
      <c r="E144" s="532"/>
      <c r="F144" s="533"/>
    </row>
    <row r="145" spans="1:8" ht="15">
      <c r="A145" s="529" t="s">
        <v>506</v>
      </c>
      <c r="B145" s="530" t="s">
        <v>389</v>
      </c>
      <c r="C145" s="531"/>
      <c r="D145" s="531" t="s">
        <v>401</v>
      </c>
      <c r="E145" s="532"/>
      <c r="F145" s="533"/>
    </row>
    <row r="146" spans="1:8" ht="15">
      <c r="A146" s="529" t="s">
        <v>507</v>
      </c>
      <c r="B146" s="530" t="s">
        <v>389</v>
      </c>
      <c r="C146" s="531"/>
      <c r="D146" s="531">
        <v>35</v>
      </c>
      <c r="E146" s="532"/>
      <c r="F146" s="533"/>
    </row>
    <row r="147" spans="1:8" ht="15">
      <c r="A147" s="529" t="s">
        <v>508</v>
      </c>
      <c r="B147" s="530" t="s">
        <v>389</v>
      </c>
      <c r="C147" s="531"/>
      <c r="D147" s="531">
        <v>110</v>
      </c>
      <c r="E147" s="532"/>
      <c r="F147" s="533"/>
    </row>
    <row r="148" spans="1:8" ht="15.75" thickBot="1">
      <c r="A148" s="539" t="s">
        <v>509</v>
      </c>
      <c r="B148" s="540" t="s">
        <v>392</v>
      </c>
      <c r="C148" s="541"/>
      <c r="D148" s="541">
        <v>110</v>
      </c>
      <c r="E148" s="542"/>
      <c r="F148" s="543"/>
    </row>
    <row r="149" spans="1:8" s="518" customFormat="1" ht="30">
      <c r="A149" s="512" t="s">
        <v>180</v>
      </c>
      <c r="B149" s="513" t="s">
        <v>510</v>
      </c>
      <c r="C149" s="514" t="s">
        <v>380</v>
      </c>
      <c r="D149" s="514" t="s">
        <v>380</v>
      </c>
      <c r="E149" s="515" t="s">
        <v>380</v>
      </c>
      <c r="F149" s="516" t="s">
        <v>380</v>
      </c>
      <c r="G149" s="503"/>
    </row>
    <row r="150" spans="1:8" s="518" customFormat="1" ht="15">
      <c r="A150" s="519" t="s">
        <v>181</v>
      </c>
      <c r="B150" s="520" t="s">
        <v>440</v>
      </c>
      <c r="C150" s="521" t="s">
        <v>380</v>
      </c>
      <c r="D150" s="521" t="s">
        <v>380</v>
      </c>
      <c r="E150" s="522" t="s">
        <v>380</v>
      </c>
      <c r="F150" s="523" t="s">
        <v>380</v>
      </c>
      <c r="G150" s="503"/>
    </row>
    <row r="151" spans="1:8" s="518" customFormat="1" ht="15">
      <c r="A151" s="519" t="s">
        <v>511</v>
      </c>
      <c r="B151" s="520" t="s">
        <v>417</v>
      </c>
      <c r="C151" s="521" t="s">
        <v>380</v>
      </c>
      <c r="D151" s="521" t="s">
        <v>380</v>
      </c>
      <c r="E151" s="522" t="s">
        <v>380</v>
      </c>
      <c r="F151" s="523" t="s">
        <v>380</v>
      </c>
      <c r="G151" s="503"/>
    </row>
    <row r="152" spans="1:8" ht="15">
      <c r="A152" s="529" t="s">
        <v>512</v>
      </c>
      <c r="B152" s="530" t="s">
        <v>392</v>
      </c>
      <c r="C152" s="531"/>
      <c r="D152" s="531" t="s">
        <v>401</v>
      </c>
      <c r="E152" s="532"/>
      <c r="F152" s="533"/>
    </row>
    <row r="153" spans="1:8" ht="15">
      <c r="A153" s="529" t="s">
        <v>513</v>
      </c>
      <c r="B153" s="530" t="s">
        <v>392</v>
      </c>
      <c r="C153" s="531"/>
      <c r="D153" s="531">
        <v>35</v>
      </c>
      <c r="E153" s="532"/>
      <c r="F153" s="533"/>
    </row>
    <row r="154" spans="1:8" ht="15">
      <c r="A154" s="529" t="s">
        <v>514</v>
      </c>
      <c r="B154" s="530" t="s">
        <v>392</v>
      </c>
      <c r="C154" s="531"/>
      <c r="D154" s="531">
        <v>110</v>
      </c>
      <c r="E154" s="532"/>
      <c r="F154" s="533"/>
    </row>
    <row r="155" spans="1:8" s="518" customFormat="1" ht="15">
      <c r="A155" s="519" t="s">
        <v>515</v>
      </c>
      <c r="B155" s="520" t="s">
        <v>429</v>
      </c>
      <c r="C155" s="521" t="s">
        <v>380</v>
      </c>
      <c r="D155" s="521" t="s">
        <v>380</v>
      </c>
      <c r="E155" s="522" t="s">
        <v>380</v>
      </c>
      <c r="F155" s="523" t="s">
        <v>380</v>
      </c>
      <c r="G155" s="503"/>
    </row>
    <row r="156" spans="1:8" ht="15">
      <c r="A156" s="529" t="s">
        <v>516</v>
      </c>
      <c r="B156" s="530" t="s">
        <v>392</v>
      </c>
      <c r="C156" s="531"/>
      <c r="D156" s="531" t="s">
        <v>401</v>
      </c>
      <c r="E156" s="532">
        <f>E167</f>
        <v>0.77149999999999996</v>
      </c>
      <c r="F156" s="533">
        <f>F167</f>
        <v>1008</v>
      </c>
    </row>
    <row r="157" spans="1:8" ht="15">
      <c r="A157" s="529" t="s">
        <v>517</v>
      </c>
      <c r="B157" s="530" t="s">
        <v>392</v>
      </c>
      <c r="C157" s="531"/>
      <c r="D157" s="531">
        <v>35</v>
      </c>
      <c r="E157" s="532"/>
      <c r="F157" s="533"/>
    </row>
    <row r="158" spans="1:8" ht="15.75" thickBot="1">
      <c r="A158" s="529" t="s">
        <v>518</v>
      </c>
      <c r="B158" s="530" t="s">
        <v>392</v>
      </c>
      <c r="C158" s="531"/>
      <c r="D158" s="531">
        <v>110</v>
      </c>
      <c r="E158" s="532"/>
      <c r="F158" s="533"/>
    </row>
    <row r="159" spans="1:8" s="518" customFormat="1" ht="15.75" thickBot="1">
      <c r="A159" s="544" t="s">
        <v>182</v>
      </c>
      <c r="B159" s="545" t="s">
        <v>604</v>
      </c>
      <c r="C159" s="546"/>
      <c r="D159" s="546"/>
      <c r="E159" s="547"/>
      <c r="F159" s="548"/>
      <c r="G159" s="503"/>
      <c r="H159" s="586"/>
    </row>
    <row r="160" spans="1:8" ht="15">
      <c r="A160" s="529" t="s">
        <v>183</v>
      </c>
      <c r="B160" s="530" t="s">
        <v>622</v>
      </c>
      <c r="C160" s="531"/>
      <c r="D160" s="531">
        <v>0.4</v>
      </c>
      <c r="E160" s="532">
        <v>0.2</v>
      </c>
      <c r="F160" s="533">
        <v>252</v>
      </c>
      <c r="H160" s="587"/>
    </row>
    <row r="161" spans="1:8" ht="15">
      <c r="A161" s="529" t="s">
        <v>184</v>
      </c>
      <c r="B161" s="525" t="s">
        <v>712</v>
      </c>
      <c r="C161" s="526">
        <v>2016</v>
      </c>
      <c r="D161" s="526">
        <v>10</v>
      </c>
      <c r="E161" s="527">
        <f>1.398+2.797+0.311</f>
        <v>4.5060000000000002</v>
      </c>
      <c r="F161" s="528">
        <v>800</v>
      </c>
      <c r="H161" s="587"/>
    </row>
    <row r="162" spans="1:8" ht="30">
      <c r="A162" s="524" t="s">
        <v>624</v>
      </c>
      <c r="B162" s="525" t="s">
        <v>713</v>
      </c>
      <c r="C162" s="526">
        <v>2016</v>
      </c>
      <c r="D162" s="526">
        <v>6</v>
      </c>
      <c r="E162" s="527">
        <v>0.34399999999999997</v>
      </c>
      <c r="F162" s="528">
        <f>257/2</f>
        <v>128.5</v>
      </c>
      <c r="H162" s="587"/>
    </row>
    <row r="163" spans="1:8" ht="60">
      <c r="A163" s="529" t="s">
        <v>185</v>
      </c>
      <c r="B163" s="525" t="s">
        <v>714</v>
      </c>
      <c r="C163" s="526"/>
      <c r="D163" s="526">
        <v>10</v>
      </c>
      <c r="E163" s="527">
        <v>0.19400000000000001</v>
      </c>
      <c r="F163" s="528">
        <v>50</v>
      </c>
      <c r="H163" s="587"/>
    </row>
    <row r="164" spans="1:8" ht="30">
      <c r="A164" s="529" t="s">
        <v>628</v>
      </c>
      <c r="B164" s="525" t="s">
        <v>715</v>
      </c>
      <c r="C164" s="526"/>
      <c r="D164" s="526">
        <v>6</v>
      </c>
      <c r="E164" s="527">
        <v>1.9072</v>
      </c>
      <c r="F164" s="528">
        <v>1000</v>
      </c>
      <c r="H164" s="587"/>
    </row>
    <row r="165" spans="1:8" ht="30">
      <c r="A165" s="524" t="s">
        <v>186</v>
      </c>
      <c r="B165" s="525" t="s">
        <v>716</v>
      </c>
      <c r="C165" s="526"/>
      <c r="D165" s="526">
        <v>6</v>
      </c>
      <c r="E165" s="527">
        <f>2.9795+1.764</f>
        <v>4.7435</v>
      </c>
      <c r="F165" s="528">
        <f>(2000+3200+837.04)*0.18</f>
        <v>1086.6671999999999</v>
      </c>
      <c r="H165" s="587"/>
    </row>
    <row r="166" spans="1:8" ht="45">
      <c r="A166" s="529" t="s">
        <v>187</v>
      </c>
      <c r="B166" s="525" t="s">
        <v>717</v>
      </c>
      <c r="C166" s="526"/>
      <c r="D166" s="526">
        <v>6</v>
      </c>
      <c r="E166" s="527">
        <v>0.26</v>
      </c>
      <c r="F166" s="528">
        <f>(2000+3200+837.04)*0.037</f>
        <v>223.37047999999999</v>
      </c>
      <c r="H166" s="587"/>
    </row>
    <row r="167" spans="1:8" ht="30">
      <c r="A167" s="529" t="s">
        <v>188</v>
      </c>
      <c r="B167" s="525" t="s">
        <v>718</v>
      </c>
      <c r="C167" s="526"/>
      <c r="D167" s="526">
        <v>6</v>
      </c>
      <c r="E167" s="527">
        <v>0.77149999999999996</v>
      </c>
      <c r="F167" s="528">
        <v>1008</v>
      </c>
      <c r="H167" s="587"/>
    </row>
    <row r="168" spans="1:8" ht="15.75" thickBot="1">
      <c r="A168" s="539"/>
      <c r="B168" s="540"/>
      <c r="C168" s="541"/>
      <c r="D168" s="541"/>
      <c r="E168" s="542"/>
      <c r="F168" s="543"/>
      <c r="H168" s="587"/>
    </row>
    <row r="171" spans="1:8" ht="15.75">
      <c r="A171" s="722" t="s">
        <v>841</v>
      </c>
      <c r="B171" s="187"/>
      <c r="C171" s="187"/>
      <c r="D171" s="723"/>
      <c r="E171" s="724"/>
      <c r="F171" s="725"/>
      <c r="G171" s="726"/>
    </row>
    <row r="172" spans="1:8" ht="15.75">
      <c r="A172" s="722" t="s">
        <v>88</v>
      </c>
      <c r="B172" s="187"/>
      <c r="C172" s="187"/>
      <c r="D172" s="722"/>
      <c r="E172" s="722"/>
      <c r="F172" s="727" t="s">
        <v>842</v>
      </c>
      <c r="G172" s="726"/>
    </row>
    <row r="173" spans="1:8" ht="15">
      <c r="A173" s="713"/>
      <c r="B173" s="714"/>
      <c r="C173" s="714"/>
      <c r="D173" s="714"/>
      <c r="E173" s="715"/>
      <c r="F173" s="715"/>
      <c r="G173" s="506"/>
    </row>
    <row r="174" spans="1:8" ht="15">
      <c r="A174" s="716" t="s">
        <v>706</v>
      </c>
      <c r="B174" s="714"/>
      <c r="C174" s="714"/>
      <c r="D174" s="714"/>
      <c r="E174" s="715"/>
      <c r="F174" s="715"/>
      <c r="G174" s="506"/>
    </row>
    <row r="175" spans="1:8" ht="15">
      <c r="A175" s="718" t="s">
        <v>843</v>
      </c>
      <c r="B175" s="714"/>
      <c r="C175" s="714"/>
      <c r="D175" s="714"/>
      <c r="E175" s="715"/>
      <c r="F175" s="715"/>
      <c r="G175" s="506"/>
    </row>
    <row r="176" spans="1:8" ht="15">
      <c r="A176" s="719" t="s">
        <v>844</v>
      </c>
      <c r="B176" s="714"/>
      <c r="C176" s="714"/>
      <c r="D176" s="714"/>
      <c r="E176" s="715"/>
      <c r="F176" s="715"/>
      <c r="G176" s="506"/>
    </row>
  </sheetData>
  <mergeCells count="2">
    <mergeCell ref="A1:F1"/>
    <mergeCell ref="B2:F2"/>
  </mergeCells>
  <pageMargins left="0.7" right="0.7" top="0.54" bottom="0.34" header="0.3" footer="0.3"/>
  <pageSetup paperSize="8"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180"/>
  <sheetViews>
    <sheetView zoomScale="85" zoomScaleNormal="85" workbookViewId="0">
      <pane ySplit="4" topLeftCell="A164" activePane="bottomLeft" state="frozen"/>
      <selection activeCell="H271" sqref="H271"/>
      <selection pane="bottomLeft" activeCell="C192" sqref="C192"/>
    </sheetView>
  </sheetViews>
  <sheetFormatPr defaultRowHeight="12.75"/>
  <cols>
    <col min="1" max="1" width="11" style="505" customWidth="1"/>
    <col min="2" max="2" width="60.5703125" style="504" customWidth="1"/>
    <col min="3" max="4" width="16.28515625" style="504" customWidth="1"/>
    <col min="5" max="6" width="16.28515625" style="506" customWidth="1"/>
    <col min="7" max="16384" width="9.140625" style="504"/>
  </cols>
  <sheetData>
    <row r="1" spans="1:6" ht="54" customHeight="1">
      <c r="A1" s="952" t="s">
        <v>840</v>
      </c>
      <c r="B1" s="952"/>
      <c r="C1" s="952"/>
      <c r="D1" s="952"/>
      <c r="E1" s="952"/>
      <c r="F1" s="952"/>
    </row>
    <row r="2" spans="1:6" ht="24.75" customHeight="1">
      <c r="B2" s="1160" t="s">
        <v>726</v>
      </c>
      <c r="C2" s="1160"/>
      <c r="D2" s="1160"/>
      <c r="E2" s="1160"/>
      <c r="F2" s="1160"/>
    </row>
    <row r="3" spans="1:6" ht="13.5" thickBot="1"/>
    <row r="4" spans="1:6" ht="75.75" thickBot="1">
      <c r="A4" s="507" t="s">
        <v>597</v>
      </c>
      <c r="B4" s="508" t="s">
        <v>598</v>
      </c>
      <c r="C4" s="508" t="s">
        <v>599</v>
      </c>
      <c r="D4" s="508" t="s">
        <v>600</v>
      </c>
      <c r="E4" s="509" t="s">
        <v>601</v>
      </c>
      <c r="F4" s="509" t="s">
        <v>602</v>
      </c>
    </row>
    <row r="5" spans="1:6" ht="15.75" thickBot="1">
      <c r="A5" s="510">
        <v>1</v>
      </c>
      <c r="B5" s="511">
        <v>2</v>
      </c>
      <c r="C5" s="511">
        <v>3</v>
      </c>
      <c r="D5" s="511">
        <v>4</v>
      </c>
      <c r="E5" s="698">
        <v>5</v>
      </c>
      <c r="F5" s="698">
        <v>6</v>
      </c>
    </row>
    <row r="6" spans="1:6" ht="15.75" thickBot="1">
      <c r="A6" s="699" t="s">
        <v>14</v>
      </c>
      <c r="B6" s="700" t="s">
        <v>379</v>
      </c>
      <c r="C6" s="701" t="s">
        <v>380</v>
      </c>
      <c r="D6" s="701" t="s">
        <v>380</v>
      </c>
      <c r="E6" s="702" t="s">
        <v>380</v>
      </c>
      <c r="F6" s="703" t="s">
        <v>380</v>
      </c>
    </row>
    <row r="7" spans="1:6" s="518" customFormat="1" ht="15">
      <c r="A7" s="512" t="s">
        <v>381</v>
      </c>
      <c r="B7" s="513" t="s">
        <v>382</v>
      </c>
      <c r="C7" s="514" t="s">
        <v>380</v>
      </c>
      <c r="D7" s="514" t="s">
        <v>380</v>
      </c>
      <c r="E7" s="515" t="s">
        <v>380</v>
      </c>
      <c r="F7" s="516" t="s">
        <v>380</v>
      </c>
    </row>
    <row r="8" spans="1:6" s="518" customFormat="1" ht="15">
      <c r="A8" s="519" t="s">
        <v>383</v>
      </c>
      <c r="B8" s="520" t="s">
        <v>384</v>
      </c>
      <c r="C8" s="521" t="s">
        <v>380</v>
      </c>
      <c r="D8" s="521" t="s">
        <v>380</v>
      </c>
      <c r="E8" s="522" t="s">
        <v>380</v>
      </c>
      <c r="F8" s="523" t="s">
        <v>380</v>
      </c>
    </row>
    <row r="9" spans="1:6" s="518" customFormat="1" ht="15">
      <c r="A9" s="519" t="s">
        <v>385</v>
      </c>
      <c r="B9" s="520" t="s">
        <v>386</v>
      </c>
      <c r="C9" s="521" t="s">
        <v>380</v>
      </c>
      <c r="D9" s="521" t="s">
        <v>380</v>
      </c>
      <c r="E9" s="522" t="s">
        <v>380</v>
      </c>
      <c r="F9" s="523" t="s">
        <v>380</v>
      </c>
    </row>
    <row r="10" spans="1:6" ht="15">
      <c r="A10" s="524" t="s">
        <v>579</v>
      </c>
      <c r="B10" s="525" t="s">
        <v>387</v>
      </c>
      <c r="C10" s="526">
        <v>2017</v>
      </c>
      <c r="D10" s="526">
        <v>35</v>
      </c>
      <c r="E10" s="527"/>
      <c r="F10" s="528"/>
    </row>
    <row r="11" spans="1:6" ht="15">
      <c r="A11" s="529" t="s">
        <v>388</v>
      </c>
      <c r="B11" s="530" t="s">
        <v>389</v>
      </c>
      <c r="C11" s="531">
        <v>2017</v>
      </c>
      <c r="D11" s="531">
        <v>35</v>
      </c>
      <c r="E11" s="532"/>
      <c r="F11" s="533"/>
    </row>
    <row r="12" spans="1:6" ht="15">
      <c r="A12" s="529" t="s">
        <v>390</v>
      </c>
      <c r="B12" s="530" t="s">
        <v>389</v>
      </c>
      <c r="C12" s="531">
        <v>2017</v>
      </c>
      <c r="D12" s="531">
        <v>110</v>
      </c>
      <c r="E12" s="532"/>
      <c r="F12" s="533"/>
    </row>
    <row r="13" spans="1:6" ht="15.75" thickBot="1">
      <c r="A13" s="534" t="s">
        <v>391</v>
      </c>
      <c r="B13" s="535" t="s">
        <v>392</v>
      </c>
      <c r="C13" s="536">
        <v>2017</v>
      </c>
      <c r="D13" s="536">
        <v>110</v>
      </c>
      <c r="E13" s="537"/>
      <c r="F13" s="538"/>
    </row>
    <row r="14" spans="1:6" s="518" customFormat="1" ht="15">
      <c r="A14" s="512" t="s">
        <v>393</v>
      </c>
      <c r="B14" s="513" t="s">
        <v>394</v>
      </c>
      <c r="C14" s="514" t="s">
        <v>380</v>
      </c>
      <c r="D14" s="514" t="s">
        <v>380</v>
      </c>
      <c r="E14" s="515" t="s">
        <v>380</v>
      </c>
      <c r="F14" s="516" t="s">
        <v>380</v>
      </c>
    </row>
    <row r="15" spans="1:6" s="518" customFormat="1" ht="15">
      <c r="A15" s="519" t="s">
        <v>395</v>
      </c>
      <c r="B15" s="520" t="s">
        <v>396</v>
      </c>
      <c r="C15" s="521" t="s">
        <v>380</v>
      </c>
      <c r="D15" s="521" t="s">
        <v>380</v>
      </c>
      <c r="E15" s="522" t="s">
        <v>380</v>
      </c>
      <c r="F15" s="523" t="s">
        <v>380</v>
      </c>
    </row>
    <row r="16" spans="1:6" s="518" customFormat="1" ht="15">
      <c r="A16" s="519" t="s">
        <v>397</v>
      </c>
      <c r="B16" s="520" t="s">
        <v>386</v>
      </c>
      <c r="C16" s="521" t="s">
        <v>380</v>
      </c>
      <c r="D16" s="521" t="s">
        <v>380</v>
      </c>
      <c r="E16" s="522" t="s">
        <v>380</v>
      </c>
      <c r="F16" s="523" t="s">
        <v>380</v>
      </c>
    </row>
    <row r="17" spans="1:6" ht="15">
      <c r="A17" s="529" t="s">
        <v>398</v>
      </c>
      <c r="B17" s="530" t="s">
        <v>399</v>
      </c>
      <c r="C17" s="531">
        <v>2017</v>
      </c>
      <c r="D17" s="531">
        <v>0.4</v>
      </c>
      <c r="E17" s="532">
        <v>4898</v>
      </c>
      <c r="F17" s="533">
        <v>655</v>
      </c>
    </row>
    <row r="18" spans="1:6" ht="15">
      <c r="A18" s="529" t="s">
        <v>400</v>
      </c>
      <c r="B18" s="530" t="s">
        <v>399</v>
      </c>
      <c r="C18" s="531">
        <v>2017</v>
      </c>
      <c r="D18" s="531" t="s">
        <v>401</v>
      </c>
      <c r="E18" s="532">
        <f>2754+1910</f>
        <v>4664</v>
      </c>
      <c r="F18" s="533">
        <f>1720+302</f>
        <v>2022</v>
      </c>
    </row>
    <row r="19" spans="1:6" ht="15">
      <c r="A19" s="529" t="s">
        <v>402</v>
      </c>
      <c r="B19" s="530" t="s">
        <v>387</v>
      </c>
      <c r="C19" s="531">
        <v>2017</v>
      </c>
      <c r="D19" s="531">
        <v>0.4</v>
      </c>
      <c r="E19" s="532">
        <f>8580+4150</f>
        <v>12730</v>
      </c>
      <c r="F19" s="533">
        <f>3165+455</f>
        <v>3620</v>
      </c>
    </row>
    <row r="20" spans="1:6" ht="15">
      <c r="A20" s="524" t="s">
        <v>403</v>
      </c>
      <c r="B20" s="525" t="s">
        <v>387</v>
      </c>
      <c r="C20" s="526">
        <v>2017</v>
      </c>
      <c r="D20" s="526" t="s">
        <v>401</v>
      </c>
      <c r="E20" s="527">
        <v>3321</v>
      </c>
      <c r="F20" s="528">
        <v>165</v>
      </c>
    </row>
    <row r="21" spans="1:6" ht="15">
      <c r="A21" s="524" t="s">
        <v>404</v>
      </c>
      <c r="B21" s="525" t="s">
        <v>387</v>
      </c>
      <c r="C21" s="526">
        <v>2017</v>
      </c>
      <c r="D21" s="526">
        <v>35</v>
      </c>
      <c r="E21" s="527"/>
      <c r="F21" s="528"/>
    </row>
    <row r="22" spans="1:6" ht="15">
      <c r="A22" s="524" t="s">
        <v>405</v>
      </c>
      <c r="B22" s="525" t="s">
        <v>389</v>
      </c>
      <c r="C22" s="526">
        <v>2017</v>
      </c>
      <c r="D22" s="526">
        <v>0.4</v>
      </c>
      <c r="E22" s="527"/>
      <c r="F22" s="528"/>
    </row>
    <row r="23" spans="1:6" ht="15">
      <c r="A23" s="524" t="s">
        <v>406</v>
      </c>
      <c r="B23" s="525" t="s">
        <v>389</v>
      </c>
      <c r="C23" s="526">
        <v>2017</v>
      </c>
      <c r="D23" s="526" t="s">
        <v>401</v>
      </c>
      <c r="E23" s="527">
        <v>1860</v>
      </c>
      <c r="F23" s="528">
        <v>1230</v>
      </c>
    </row>
    <row r="24" spans="1:6" ht="15.75" thickBot="1">
      <c r="A24" s="524" t="s">
        <v>407</v>
      </c>
      <c r="B24" s="525" t="s">
        <v>389</v>
      </c>
      <c r="C24" s="526">
        <v>2017</v>
      </c>
      <c r="D24" s="526">
        <v>35</v>
      </c>
      <c r="E24" s="527"/>
      <c r="F24" s="528"/>
    </row>
    <row r="25" spans="1:6" s="518" customFormat="1" ht="15">
      <c r="A25" s="512" t="s">
        <v>408</v>
      </c>
      <c r="B25" s="513" t="s">
        <v>384</v>
      </c>
      <c r="C25" s="514" t="s">
        <v>380</v>
      </c>
      <c r="D25" s="514" t="s">
        <v>380</v>
      </c>
      <c r="E25" s="515" t="s">
        <v>380</v>
      </c>
      <c r="F25" s="516" t="s">
        <v>380</v>
      </c>
    </row>
    <row r="26" spans="1:6" s="518" customFormat="1" ht="15">
      <c r="A26" s="519" t="s">
        <v>409</v>
      </c>
      <c r="B26" s="520" t="s">
        <v>386</v>
      </c>
      <c r="C26" s="521" t="s">
        <v>380</v>
      </c>
      <c r="D26" s="521" t="s">
        <v>380</v>
      </c>
      <c r="E26" s="522" t="s">
        <v>380</v>
      </c>
      <c r="F26" s="523" t="s">
        <v>380</v>
      </c>
    </row>
    <row r="27" spans="1:6" ht="15">
      <c r="A27" s="529" t="s">
        <v>410</v>
      </c>
      <c r="B27" s="530" t="s">
        <v>399</v>
      </c>
      <c r="C27" s="531">
        <v>2017</v>
      </c>
      <c r="D27" s="531">
        <v>0.4</v>
      </c>
      <c r="E27" s="532"/>
      <c r="F27" s="533"/>
    </row>
    <row r="28" spans="1:6" ht="15">
      <c r="A28" s="529" t="s">
        <v>411</v>
      </c>
      <c r="B28" s="530" t="s">
        <v>399</v>
      </c>
      <c r="C28" s="531">
        <v>2017</v>
      </c>
      <c r="D28" s="531" t="s">
        <v>401</v>
      </c>
      <c r="E28" s="532">
        <v>510</v>
      </c>
      <c r="F28" s="533">
        <v>900</v>
      </c>
    </row>
    <row r="29" spans="1:6" ht="15">
      <c r="A29" s="596" t="s">
        <v>412</v>
      </c>
      <c r="B29" s="525" t="s">
        <v>387</v>
      </c>
      <c r="C29" s="526">
        <v>2017</v>
      </c>
      <c r="D29" s="526">
        <v>35</v>
      </c>
      <c r="E29" s="527"/>
      <c r="F29" s="528"/>
    </row>
    <row r="30" spans="1:6" ht="18" customHeight="1">
      <c r="A30" s="596" t="s">
        <v>412</v>
      </c>
      <c r="B30" s="597" t="s">
        <v>387</v>
      </c>
      <c r="C30" s="598">
        <v>2017</v>
      </c>
      <c r="D30" s="598">
        <v>10</v>
      </c>
      <c r="E30" s="599">
        <v>5800</v>
      </c>
      <c r="F30" s="600">
        <v>2580</v>
      </c>
    </row>
    <row r="31" spans="1:6" ht="18" customHeight="1">
      <c r="A31" s="596" t="s">
        <v>412</v>
      </c>
      <c r="B31" s="597" t="s">
        <v>387</v>
      </c>
      <c r="C31" s="598">
        <v>2017</v>
      </c>
      <c r="D31" s="598">
        <v>6</v>
      </c>
      <c r="E31" s="599">
        <v>85</v>
      </c>
      <c r="F31" s="600">
        <v>300</v>
      </c>
    </row>
    <row r="32" spans="1:6" ht="15.75" thickBot="1">
      <c r="A32" s="539" t="s">
        <v>413</v>
      </c>
      <c r="B32" s="540" t="s">
        <v>389</v>
      </c>
      <c r="C32" s="541">
        <v>2017</v>
      </c>
      <c r="D32" s="541">
        <v>35</v>
      </c>
      <c r="E32" s="542"/>
      <c r="F32" s="543"/>
    </row>
    <row r="33" spans="1:6" s="518" customFormat="1" ht="15.75" thickBot="1">
      <c r="A33" s="544" t="s">
        <v>21</v>
      </c>
      <c r="B33" s="545" t="s">
        <v>604</v>
      </c>
      <c r="C33" s="546"/>
      <c r="D33" s="546"/>
      <c r="E33" s="547"/>
      <c r="F33" s="548"/>
    </row>
    <row r="34" spans="1:6" ht="15">
      <c r="A34" s="549" t="s">
        <v>605</v>
      </c>
      <c r="B34" s="550" t="s">
        <v>727</v>
      </c>
      <c r="C34" s="551">
        <v>2017</v>
      </c>
      <c r="D34" s="551">
        <v>6</v>
      </c>
      <c r="E34" s="552">
        <v>311</v>
      </c>
      <c r="F34" s="553">
        <v>600</v>
      </c>
    </row>
    <row r="35" spans="1:6" ht="15">
      <c r="A35" s="529" t="s">
        <v>607</v>
      </c>
      <c r="B35" s="530" t="s">
        <v>728</v>
      </c>
      <c r="C35" s="531">
        <v>2017</v>
      </c>
      <c r="D35" s="531">
        <v>6</v>
      </c>
      <c r="E35" s="532">
        <v>1043</v>
      </c>
      <c r="F35" s="533">
        <v>320</v>
      </c>
    </row>
    <row r="36" spans="1:6" ht="15">
      <c r="A36" s="524" t="s">
        <v>609</v>
      </c>
      <c r="B36" s="525" t="s">
        <v>729</v>
      </c>
      <c r="C36" s="526">
        <v>2017</v>
      </c>
      <c r="D36" s="526">
        <v>10</v>
      </c>
      <c r="E36" s="527">
        <v>1400</v>
      </c>
      <c r="F36" s="528">
        <v>800</v>
      </c>
    </row>
    <row r="37" spans="1:6" ht="15">
      <c r="A37" s="529" t="s">
        <v>610</v>
      </c>
      <c r="B37" s="525" t="s">
        <v>730</v>
      </c>
      <c r="C37" s="526">
        <v>2017</v>
      </c>
      <c r="D37" s="526">
        <v>0.4</v>
      </c>
      <c r="E37" s="527">
        <v>2680</v>
      </c>
      <c r="F37" s="528">
        <v>1230</v>
      </c>
    </row>
    <row r="38" spans="1:6" ht="15">
      <c r="A38" s="529" t="s">
        <v>611</v>
      </c>
      <c r="B38" s="525" t="s">
        <v>731</v>
      </c>
      <c r="C38" s="526">
        <v>2017</v>
      </c>
      <c r="D38" s="526">
        <v>0.4</v>
      </c>
      <c r="E38" s="527">
        <v>5900</v>
      </c>
      <c r="F38" s="528">
        <v>1935</v>
      </c>
    </row>
    <row r="39" spans="1:6" ht="15">
      <c r="A39" s="524" t="s">
        <v>612</v>
      </c>
      <c r="B39" s="525" t="s">
        <v>732</v>
      </c>
      <c r="C39" s="526">
        <v>2017</v>
      </c>
      <c r="D39" s="526">
        <v>10</v>
      </c>
      <c r="E39" s="527">
        <v>1860</v>
      </c>
      <c r="F39" s="528">
        <v>1230</v>
      </c>
    </row>
    <row r="40" spans="1:6" ht="15">
      <c r="A40" s="529" t="s">
        <v>613</v>
      </c>
      <c r="B40" s="525" t="s">
        <v>733</v>
      </c>
      <c r="C40" s="526">
        <v>2017</v>
      </c>
      <c r="D40" s="526">
        <v>6</v>
      </c>
      <c r="E40" s="527">
        <v>450</v>
      </c>
      <c r="F40" s="528">
        <v>180</v>
      </c>
    </row>
    <row r="41" spans="1:6" ht="15">
      <c r="A41" s="529" t="s">
        <v>614</v>
      </c>
      <c r="B41" s="525" t="s">
        <v>734</v>
      </c>
      <c r="C41" s="526">
        <v>2017</v>
      </c>
      <c r="D41" s="526">
        <v>6</v>
      </c>
      <c r="E41" s="527">
        <v>60</v>
      </c>
      <c r="F41" s="528">
        <v>720</v>
      </c>
    </row>
    <row r="42" spans="1:6" ht="15">
      <c r="A42" s="524" t="s">
        <v>615</v>
      </c>
      <c r="B42" s="525" t="s">
        <v>735</v>
      </c>
      <c r="C42" s="526">
        <v>2017</v>
      </c>
      <c r="D42" s="526">
        <v>10</v>
      </c>
      <c r="E42" s="527">
        <v>200</v>
      </c>
      <c r="F42" s="528">
        <v>645</v>
      </c>
    </row>
    <row r="43" spans="1:6" ht="15">
      <c r="A43" s="529" t="s">
        <v>616</v>
      </c>
      <c r="B43" s="525" t="s">
        <v>736</v>
      </c>
      <c r="C43" s="526">
        <v>2017</v>
      </c>
      <c r="D43" s="526">
        <v>6</v>
      </c>
      <c r="E43" s="527">
        <v>85</v>
      </c>
      <c r="F43" s="528">
        <v>300</v>
      </c>
    </row>
    <row r="44" spans="1:6" ht="15">
      <c r="A44" s="529" t="s">
        <v>617</v>
      </c>
      <c r="B44" s="530" t="s">
        <v>737</v>
      </c>
      <c r="C44" s="531">
        <v>2017</v>
      </c>
      <c r="D44" s="531">
        <v>10</v>
      </c>
      <c r="E44" s="532">
        <v>5600</v>
      </c>
      <c r="F44" s="533">
        <v>1935</v>
      </c>
    </row>
    <row r="45" spans="1:6" ht="15">
      <c r="A45" s="529" t="s">
        <v>618</v>
      </c>
      <c r="B45" s="530" t="s">
        <v>738</v>
      </c>
      <c r="C45" s="531">
        <v>2017</v>
      </c>
      <c r="D45" s="531">
        <v>0.4</v>
      </c>
      <c r="E45" s="532">
        <f>4898+4150</f>
        <v>9048</v>
      </c>
      <c r="F45" s="533">
        <f>655+455</f>
        <v>1110</v>
      </c>
    </row>
    <row r="46" spans="1:6" ht="15">
      <c r="A46" s="529" t="s">
        <v>619</v>
      </c>
      <c r="B46" s="530" t="s">
        <v>738</v>
      </c>
      <c r="C46" s="531">
        <v>2017</v>
      </c>
      <c r="D46" s="531" t="s">
        <v>401</v>
      </c>
      <c r="E46" s="532">
        <f>1910+3321</f>
        <v>5231</v>
      </c>
      <c r="F46" s="533">
        <f>302+165</f>
        <v>467</v>
      </c>
    </row>
    <row r="47" spans="1:6" ht="15.75" thickBot="1">
      <c r="A47" s="539"/>
      <c r="B47" s="540"/>
      <c r="C47" s="541"/>
      <c r="D47" s="541"/>
      <c r="E47" s="542"/>
      <c r="F47" s="543"/>
    </row>
    <row r="48" spans="1:6" s="518" customFormat="1" ht="15.75" thickBot="1">
      <c r="A48" s="704" t="s">
        <v>135</v>
      </c>
      <c r="B48" s="705" t="s">
        <v>414</v>
      </c>
      <c r="C48" s="706" t="s">
        <v>380</v>
      </c>
      <c r="D48" s="706" t="s">
        <v>380</v>
      </c>
      <c r="E48" s="707" t="s">
        <v>380</v>
      </c>
      <c r="F48" s="708" t="s">
        <v>380</v>
      </c>
    </row>
    <row r="49" spans="1:6" s="518" customFormat="1" ht="15">
      <c r="A49" s="512" t="s">
        <v>167</v>
      </c>
      <c r="B49" s="513" t="s">
        <v>415</v>
      </c>
      <c r="C49" s="514" t="s">
        <v>380</v>
      </c>
      <c r="D49" s="514" t="s">
        <v>380</v>
      </c>
      <c r="E49" s="515" t="s">
        <v>380</v>
      </c>
      <c r="F49" s="516" t="s">
        <v>380</v>
      </c>
    </row>
    <row r="50" spans="1:6" s="518" customFormat="1" ht="15">
      <c r="A50" s="519" t="s">
        <v>168</v>
      </c>
      <c r="B50" s="520" t="s">
        <v>416</v>
      </c>
      <c r="C50" s="521" t="s">
        <v>380</v>
      </c>
      <c r="D50" s="521" t="s">
        <v>380</v>
      </c>
      <c r="E50" s="522" t="s">
        <v>380</v>
      </c>
      <c r="F50" s="523" t="s">
        <v>380</v>
      </c>
    </row>
    <row r="51" spans="1:6" s="518" customFormat="1" ht="15">
      <c r="A51" s="519" t="s">
        <v>169</v>
      </c>
      <c r="B51" s="520" t="s">
        <v>417</v>
      </c>
      <c r="C51" s="521" t="s">
        <v>380</v>
      </c>
      <c r="D51" s="521" t="s">
        <v>380</v>
      </c>
      <c r="E51" s="522" t="s">
        <v>380</v>
      </c>
      <c r="F51" s="523" t="s">
        <v>380</v>
      </c>
    </row>
    <row r="52" spans="1:6" ht="15">
      <c r="A52" s="529" t="s">
        <v>418</v>
      </c>
      <c r="B52" s="530" t="s">
        <v>399</v>
      </c>
      <c r="C52" s="531">
        <v>2017</v>
      </c>
      <c r="D52" s="531" t="s">
        <v>401</v>
      </c>
      <c r="E52" s="532"/>
      <c r="F52" s="533"/>
    </row>
    <row r="53" spans="1:6" ht="15">
      <c r="A53" s="529" t="s">
        <v>419</v>
      </c>
      <c r="B53" s="530" t="s">
        <v>399</v>
      </c>
      <c r="C53" s="531">
        <v>2017</v>
      </c>
      <c r="D53" s="531">
        <v>35</v>
      </c>
      <c r="E53" s="532"/>
      <c r="F53" s="533"/>
    </row>
    <row r="54" spans="1:6" ht="15">
      <c r="A54" s="529" t="s">
        <v>420</v>
      </c>
      <c r="B54" s="530" t="s">
        <v>399</v>
      </c>
      <c r="C54" s="531">
        <v>2017</v>
      </c>
      <c r="D54" s="531">
        <v>110</v>
      </c>
      <c r="E54" s="532"/>
      <c r="F54" s="533"/>
    </row>
    <row r="55" spans="1:6" ht="15">
      <c r="A55" s="529" t="s">
        <v>421</v>
      </c>
      <c r="B55" s="530" t="s">
        <v>387</v>
      </c>
      <c r="C55" s="531">
        <v>2017</v>
      </c>
      <c r="D55" s="531" t="s">
        <v>401</v>
      </c>
      <c r="E55" s="532"/>
      <c r="F55" s="533"/>
    </row>
    <row r="56" spans="1:6" ht="15">
      <c r="A56" s="529" t="s">
        <v>422</v>
      </c>
      <c r="B56" s="530" t="s">
        <v>387</v>
      </c>
      <c r="C56" s="531">
        <v>2017</v>
      </c>
      <c r="D56" s="531">
        <v>35</v>
      </c>
      <c r="E56" s="532"/>
      <c r="F56" s="533"/>
    </row>
    <row r="57" spans="1:6" ht="15">
      <c r="A57" s="529" t="s">
        <v>423</v>
      </c>
      <c r="B57" s="530" t="s">
        <v>387</v>
      </c>
      <c r="C57" s="531">
        <v>2017</v>
      </c>
      <c r="D57" s="531">
        <v>110</v>
      </c>
      <c r="E57" s="532"/>
      <c r="F57" s="533"/>
    </row>
    <row r="58" spans="1:6" ht="15">
      <c r="A58" s="529" t="s">
        <v>424</v>
      </c>
      <c r="B58" s="530" t="s">
        <v>389</v>
      </c>
      <c r="C58" s="531">
        <v>2017</v>
      </c>
      <c r="D58" s="531" t="s">
        <v>401</v>
      </c>
      <c r="E58" s="532"/>
      <c r="F58" s="533"/>
    </row>
    <row r="59" spans="1:6" ht="15">
      <c r="A59" s="529" t="s">
        <v>425</v>
      </c>
      <c r="B59" s="530" t="s">
        <v>389</v>
      </c>
      <c r="C59" s="531">
        <v>2017</v>
      </c>
      <c r="D59" s="531">
        <v>35</v>
      </c>
      <c r="E59" s="532"/>
      <c r="F59" s="533"/>
    </row>
    <row r="60" spans="1:6" ht="15">
      <c r="A60" s="529" t="s">
        <v>426</v>
      </c>
      <c r="B60" s="530" t="s">
        <v>389</v>
      </c>
      <c r="C60" s="531">
        <v>2017</v>
      </c>
      <c r="D60" s="531">
        <v>110</v>
      </c>
      <c r="E60" s="532"/>
      <c r="F60" s="533"/>
    </row>
    <row r="61" spans="1:6" ht="15.75" thickBot="1">
      <c r="A61" s="539" t="s">
        <v>427</v>
      </c>
      <c r="B61" s="540" t="s">
        <v>392</v>
      </c>
      <c r="C61" s="541">
        <v>2017</v>
      </c>
      <c r="D61" s="541">
        <v>110</v>
      </c>
      <c r="E61" s="542"/>
      <c r="F61" s="543"/>
    </row>
    <row r="62" spans="1:6" s="518" customFormat="1" ht="15">
      <c r="A62" s="512" t="s">
        <v>428</v>
      </c>
      <c r="B62" s="513" t="s">
        <v>429</v>
      </c>
      <c r="C62" s="514" t="s">
        <v>380</v>
      </c>
      <c r="D62" s="514" t="s">
        <v>380</v>
      </c>
      <c r="E62" s="515" t="s">
        <v>380</v>
      </c>
      <c r="F62" s="516" t="s">
        <v>380</v>
      </c>
    </row>
    <row r="63" spans="1:6" ht="15">
      <c r="A63" s="529" t="s">
        <v>430</v>
      </c>
      <c r="B63" s="530" t="s">
        <v>399</v>
      </c>
      <c r="C63" s="531">
        <v>2017</v>
      </c>
      <c r="D63" s="531" t="s">
        <v>401</v>
      </c>
      <c r="E63" s="532"/>
      <c r="F63" s="533"/>
    </row>
    <row r="64" spans="1:6" ht="15">
      <c r="A64" s="529" t="s">
        <v>431</v>
      </c>
      <c r="B64" s="530" t="s">
        <v>399</v>
      </c>
      <c r="C64" s="531">
        <v>2017</v>
      </c>
      <c r="D64" s="531">
        <v>35</v>
      </c>
      <c r="E64" s="532"/>
      <c r="F64" s="533"/>
    </row>
    <row r="65" spans="1:6" ht="15">
      <c r="A65" s="529" t="s">
        <v>432</v>
      </c>
      <c r="B65" s="530" t="s">
        <v>399</v>
      </c>
      <c r="C65" s="531">
        <v>2017</v>
      </c>
      <c r="D65" s="531">
        <v>110</v>
      </c>
      <c r="E65" s="532"/>
      <c r="F65" s="533"/>
    </row>
    <row r="66" spans="1:6" ht="15">
      <c r="A66" s="529" t="s">
        <v>433</v>
      </c>
      <c r="B66" s="530" t="s">
        <v>387</v>
      </c>
      <c r="C66" s="531">
        <v>2017</v>
      </c>
      <c r="D66" s="531" t="s">
        <v>401</v>
      </c>
      <c r="E66" s="532"/>
      <c r="F66" s="533"/>
    </row>
    <row r="67" spans="1:6" ht="15">
      <c r="A67" s="529" t="s">
        <v>434</v>
      </c>
      <c r="B67" s="530" t="s">
        <v>387</v>
      </c>
      <c r="C67" s="531">
        <v>2017</v>
      </c>
      <c r="D67" s="531">
        <v>35</v>
      </c>
      <c r="E67" s="532"/>
      <c r="F67" s="533"/>
    </row>
    <row r="68" spans="1:6" ht="15">
      <c r="A68" s="529" t="s">
        <v>435</v>
      </c>
      <c r="B68" s="530" t="s">
        <v>387</v>
      </c>
      <c r="C68" s="531">
        <v>2017</v>
      </c>
      <c r="D68" s="531">
        <v>110</v>
      </c>
      <c r="E68" s="532"/>
      <c r="F68" s="533"/>
    </row>
    <row r="69" spans="1:6" ht="15">
      <c r="A69" s="529" t="s">
        <v>436</v>
      </c>
      <c r="B69" s="530" t="s">
        <v>389</v>
      </c>
      <c r="C69" s="531">
        <v>2017</v>
      </c>
      <c r="D69" s="531" t="s">
        <v>401</v>
      </c>
      <c r="E69" s="532"/>
      <c r="F69" s="533"/>
    </row>
    <row r="70" spans="1:6" ht="15">
      <c r="A70" s="529" t="s">
        <v>437</v>
      </c>
      <c r="B70" s="530" t="s">
        <v>389</v>
      </c>
      <c r="C70" s="531">
        <v>2017</v>
      </c>
      <c r="D70" s="531">
        <v>35</v>
      </c>
      <c r="E70" s="532"/>
      <c r="F70" s="533"/>
    </row>
    <row r="71" spans="1:6" ht="15">
      <c r="A71" s="529" t="s">
        <v>438</v>
      </c>
      <c r="B71" s="530" t="s">
        <v>389</v>
      </c>
      <c r="C71" s="531">
        <v>2017</v>
      </c>
      <c r="D71" s="531">
        <v>110</v>
      </c>
      <c r="E71" s="532"/>
      <c r="F71" s="533"/>
    </row>
    <row r="72" spans="1:6" ht="15.75" thickBot="1">
      <c r="A72" s="539" t="s">
        <v>439</v>
      </c>
      <c r="B72" s="540" t="s">
        <v>392</v>
      </c>
      <c r="C72" s="541">
        <v>2017</v>
      </c>
      <c r="D72" s="541">
        <v>110</v>
      </c>
      <c r="E72" s="542"/>
      <c r="F72" s="543"/>
    </row>
    <row r="73" spans="1:6" s="518" customFormat="1" ht="15">
      <c r="A73" s="519" t="s">
        <v>170</v>
      </c>
      <c r="B73" s="520" t="s">
        <v>440</v>
      </c>
      <c r="C73" s="521" t="s">
        <v>380</v>
      </c>
      <c r="D73" s="521" t="s">
        <v>380</v>
      </c>
      <c r="E73" s="522" t="s">
        <v>380</v>
      </c>
      <c r="F73" s="523" t="s">
        <v>380</v>
      </c>
    </row>
    <row r="74" spans="1:6" s="518" customFormat="1" ht="15">
      <c r="A74" s="519" t="s">
        <v>171</v>
      </c>
      <c r="B74" s="520" t="s">
        <v>417</v>
      </c>
      <c r="C74" s="521" t="s">
        <v>380</v>
      </c>
      <c r="D74" s="521" t="s">
        <v>380</v>
      </c>
      <c r="E74" s="522" t="s">
        <v>380</v>
      </c>
      <c r="F74" s="523" t="s">
        <v>380</v>
      </c>
    </row>
    <row r="75" spans="1:6" ht="15">
      <c r="A75" s="529" t="s">
        <v>441</v>
      </c>
      <c r="B75" s="530" t="s">
        <v>399</v>
      </c>
      <c r="C75" s="531">
        <v>2017</v>
      </c>
      <c r="D75" s="531">
        <v>0.4</v>
      </c>
      <c r="E75" s="532"/>
      <c r="F75" s="533"/>
    </row>
    <row r="76" spans="1:6" ht="15">
      <c r="A76" s="529" t="s">
        <v>442</v>
      </c>
      <c r="B76" s="530" t="s">
        <v>399</v>
      </c>
      <c r="C76" s="531">
        <v>2017</v>
      </c>
      <c r="D76" s="531" t="s">
        <v>401</v>
      </c>
      <c r="E76" s="532"/>
      <c r="F76" s="533"/>
    </row>
    <row r="77" spans="1:6" ht="15">
      <c r="A77" s="529" t="s">
        <v>443</v>
      </c>
      <c r="B77" s="530" t="s">
        <v>399</v>
      </c>
      <c r="C77" s="531">
        <v>2017</v>
      </c>
      <c r="D77" s="531">
        <v>35</v>
      </c>
      <c r="E77" s="532"/>
      <c r="F77" s="533"/>
    </row>
    <row r="78" spans="1:6" ht="15">
      <c r="A78" s="529" t="s">
        <v>444</v>
      </c>
      <c r="B78" s="530" t="s">
        <v>399</v>
      </c>
      <c r="C78" s="531">
        <v>2017</v>
      </c>
      <c r="D78" s="531">
        <v>110</v>
      </c>
      <c r="E78" s="532"/>
      <c r="F78" s="533"/>
    </row>
    <row r="79" spans="1:6" ht="15">
      <c r="A79" s="529" t="s">
        <v>445</v>
      </c>
      <c r="B79" s="530" t="s">
        <v>387</v>
      </c>
      <c r="C79" s="531">
        <v>2017</v>
      </c>
      <c r="D79" s="531">
        <v>0.4</v>
      </c>
      <c r="E79" s="532">
        <v>200</v>
      </c>
      <c r="F79" s="533">
        <v>635.4</v>
      </c>
    </row>
    <row r="80" spans="1:6" ht="15">
      <c r="A80" s="529" t="s">
        <v>446</v>
      </c>
      <c r="B80" s="530" t="s">
        <v>387</v>
      </c>
      <c r="C80" s="531">
        <v>2017</v>
      </c>
      <c r="D80" s="531" t="s">
        <v>401</v>
      </c>
      <c r="E80" s="532">
        <v>200</v>
      </c>
      <c r="F80" s="533">
        <v>635.4</v>
      </c>
    </row>
    <row r="81" spans="1:6" ht="15">
      <c r="A81" s="529" t="s">
        <v>447</v>
      </c>
      <c r="B81" s="530" t="s">
        <v>387</v>
      </c>
      <c r="C81" s="531">
        <v>2017</v>
      </c>
      <c r="D81" s="531">
        <v>35</v>
      </c>
      <c r="E81" s="532"/>
      <c r="F81" s="533"/>
    </row>
    <row r="82" spans="1:6" ht="15">
      <c r="A82" s="529" t="s">
        <v>448</v>
      </c>
      <c r="B82" s="530" t="s">
        <v>387</v>
      </c>
      <c r="C82" s="531">
        <v>2017</v>
      </c>
      <c r="D82" s="531">
        <v>110</v>
      </c>
      <c r="E82" s="532"/>
      <c r="F82" s="533"/>
    </row>
    <row r="83" spans="1:6" ht="15">
      <c r="A83" s="529" t="s">
        <v>449</v>
      </c>
      <c r="B83" s="530" t="s">
        <v>389</v>
      </c>
      <c r="C83" s="531">
        <v>2017</v>
      </c>
      <c r="D83" s="531">
        <v>0.4</v>
      </c>
      <c r="E83" s="532"/>
      <c r="F83" s="533"/>
    </row>
    <row r="84" spans="1:6" ht="15">
      <c r="A84" s="529" t="s">
        <v>450</v>
      </c>
      <c r="B84" s="530" t="s">
        <v>389</v>
      </c>
      <c r="C84" s="531">
        <v>2017</v>
      </c>
      <c r="D84" s="531" t="s">
        <v>401</v>
      </c>
      <c r="E84" s="532"/>
      <c r="F84" s="533"/>
    </row>
    <row r="85" spans="1:6" ht="15">
      <c r="A85" s="529" t="s">
        <v>451</v>
      </c>
      <c r="B85" s="530" t="s">
        <v>389</v>
      </c>
      <c r="C85" s="531">
        <v>2017</v>
      </c>
      <c r="D85" s="531">
        <v>35</v>
      </c>
      <c r="E85" s="532"/>
      <c r="F85" s="533"/>
    </row>
    <row r="86" spans="1:6" ht="15">
      <c r="A86" s="529" t="s">
        <v>452</v>
      </c>
      <c r="B86" s="530" t="s">
        <v>389</v>
      </c>
      <c r="C86" s="531">
        <v>2017</v>
      </c>
      <c r="D86" s="531">
        <v>110</v>
      </c>
      <c r="E86" s="532"/>
      <c r="F86" s="533"/>
    </row>
    <row r="87" spans="1:6" ht="15">
      <c r="A87" s="529" t="s">
        <v>453</v>
      </c>
      <c r="B87" s="530" t="s">
        <v>392</v>
      </c>
      <c r="C87" s="531">
        <v>2017</v>
      </c>
      <c r="D87" s="531">
        <v>110</v>
      </c>
      <c r="E87" s="532"/>
      <c r="F87" s="533"/>
    </row>
    <row r="88" spans="1:6" ht="15">
      <c r="A88" s="529" t="s">
        <v>453</v>
      </c>
      <c r="B88" s="603" t="s">
        <v>392</v>
      </c>
      <c r="C88" s="604">
        <v>2017</v>
      </c>
      <c r="D88" s="604">
        <v>0.4</v>
      </c>
      <c r="E88" s="594">
        <v>720</v>
      </c>
      <c r="F88" s="595">
        <v>510</v>
      </c>
    </row>
    <row r="89" spans="1:6" ht="15">
      <c r="A89" s="529" t="s">
        <v>453</v>
      </c>
      <c r="B89" s="603" t="s">
        <v>392</v>
      </c>
      <c r="C89" s="604">
        <v>2017</v>
      </c>
      <c r="D89" s="604">
        <v>10</v>
      </c>
      <c r="E89" s="594">
        <v>9200</v>
      </c>
      <c r="F89" s="595">
        <v>2110</v>
      </c>
    </row>
    <row r="90" spans="1:6" ht="15.75" thickBot="1">
      <c r="A90" s="529" t="s">
        <v>453</v>
      </c>
      <c r="B90" s="608" t="s">
        <v>392</v>
      </c>
      <c r="C90" s="609">
        <v>2017</v>
      </c>
      <c r="D90" s="609">
        <v>6</v>
      </c>
      <c r="E90" s="610">
        <v>5360</v>
      </c>
      <c r="F90" s="611">
        <v>2700</v>
      </c>
    </row>
    <row r="91" spans="1:6" s="518" customFormat="1" ht="15">
      <c r="A91" s="512" t="s">
        <v>172</v>
      </c>
      <c r="B91" s="513" t="s">
        <v>429</v>
      </c>
      <c r="C91" s="514" t="s">
        <v>380</v>
      </c>
      <c r="D91" s="514" t="s">
        <v>380</v>
      </c>
      <c r="E91" s="515" t="s">
        <v>380</v>
      </c>
      <c r="F91" s="516" t="s">
        <v>380</v>
      </c>
    </row>
    <row r="92" spans="1:6" ht="15">
      <c r="A92" s="529" t="s">
        <v>455</v>
      </c>
      <c r="B92" s="530" t="s">
        <v>399</v>
      </c>
      <c r="C92" s="531">
        <v>2017</v>
      </c>
      <c r="D92" s="531">
        <v>0.4</v>
      </c>
      <c r="E92" s="532">
        <v>40</v>
      </c>
      <c r="F92" s="533">
        <v>12</v>
      </c>
    </row>
    <row r="93" spans="1:6" ht="15">
      <c r="A93" s="529" t="s">
        <v>456</v>
      </c>
      <c r="B93" s="530" t="s">
        <v>399</v>
      </c>
      <c r="C93" s="531">
        <v>2017</v>
      </c>
      <c r="D93" s="531" t="s">
        <v>401</v>
      </c>
      <c r="E93" s="532">
        <v>263</v>
      </c>
      <c r="F93" s="533">
        <v>12</v>
      </c>
    </row>
    <row r="94" spans="1:6" ht="15">
      <c r="A94" s="529" t="s">
        <v>457</v>
      </c>
      <c r="B94" s="530" t="s">
        <v>399</v>
      </c>
      <c r="C94" s="531">
        <v>2017</v>
      </c>
      <c r="D94" s="531">
        <v>35</v>
      </c>
      <c r="E94" s="532"/>
      <c r="F94" s="533"/>
    </row>
    <row r="95" spans="1:6" ht="15">
      <c r="A95" s="529" t="s">
        <v>458</v>
      </c>
      <c r="B95" s="530" t="s">
        <v>399</v>
      </c>
      <c r="C95" s="531">
        <v>2017</v>
      </c>
      <c r="D95" s="531">
        <v>110</v>
      </c>
      <c r="E95" s="532"/>
      <c r="F95" s="533"/>
    </row>
    <row r="96" spans="1:6" ht="15">
      <c r="A96" s="529" t="s">
        <v>459</v>
      </c>
      <c r="B96" s="530" t="s">
        <v>387</v>
      </c>
      <c r="C96" s="531">
        <v>2017</v>
      </c>
      <c r="D96" s="531">
        <v>0.4</v>
      </c>
      <c r="E96" s="532">
        <v>280</v>
      </c>
      <c r="F96" s="533">
        <v>103</v>
      </c>
    </row>
    <row r="97" spans="1:6" ht="15">
      <c r="A97" s="529" t="s">
        <v>460</v>
      </c>
      <c r="B97" s="530" t="s">
        <v>387</v>
      </c>
      <c r="C97" s="531">
        <v>2017</v>
      </c>
      <c r="D97" s="531" t="s">
        <v>401</v>
      </c>
      <c r="E97" s="532">
        <v>250</v>
      </c>
      <c r="F97" s="533">
        <v>86</v>
      </c>
    </row>
    <row r="98" spans="1:6" ht="15">
      <c r="A98" s="529" t="s">
        <v>461</v>
      </c>
      <c r="B98" s="530" t="s">
        <v>387</v>
      </c>
      <c r="C98" s="531">
        <v>2017</v>
      </c>
      <c r="D98" s="531">
        <v>35</v>
      </c>
      <c r="E98" s="532"/>
      <c r="F98" s="533"/>
    </row>
    <row r="99" spans="1:6" ht="15">
      <c r="A99" s="529" t="s">
        <v>462</v>
      </c>
      <c r="B99" s="530" t="s">
        <v>387</v>
      </c>
      <c r="C99" s="531">
        <v>2017</v>
      </c>
      <c r="D99" s="531">
        <v>110</v>
      </c>
      <c r="E99" s="532"/>
      <c r="F99" s="533"/>
    </row>
    <row r="100" spans="1:6" ht="15">
      <c r="A100" s="529" t="s">
        <v>463</v>
      </c>
      <c r="B100" s="530" t="s">
        <v>389</v>
      </c>
      <c r="C100" s="531">
        <v>2017</v>
      </c>
      <c r="D100" s="531">
        <v>0.4</v>
      </c>
      <c r="E100" s="532">
        <v>380</v>
      </c>
      <c r="F100" s="533">
        <v>55</v>
      </c>
    </row>
    <row r="101" spans="1:6" ht="15">
      <c r="A101" s="529" t="s">
        <v>464</v>
      </c>
      <c r="B101" s="530" t="s">
        <v>389</v>
      </c>
      <c r="C101" s="531">
        <v>2017</v>
      </c>
      <c r="D101" s="531" t="s">
        <v>401</v>
      </c>
      <c r="E101" s="532"/>
      <c r="F101" s="533"/>
    </row>
    <row r="102" spans="1:6" ht="15">
      <c r="A102" s="529" t="s">
        <v>465</v>
      </c>
      <c r="B102" s="530" t="s">
        <v>389</v>
      </c>
      <c r="C102" s="531">
        <v>2017</v>
      </c>
      <c r="D102" s="531">
        <v>35</v>
      </c>
      <c r="E102" s="532"/>
      <c r="F102" s="533"/>
    </row>
    <row r="103" spans="1:6" ht="15">
      <c r="A103" s="529" t="s">
        <v>466</v>
      </c>
      <c r="B103" s="530" t="s">
        <v>389</v>
      </c>
      <c r="C103" s="531">
        <v>2017</v>
      </c>
      <c r="D103" s="531">
        <v>110</v>
      </c>
      <c r="E103" s="532"/>
      <c r="F103" s="533"/>
    </row>
    <row r="104" spans="1:6" ht="15.75" thickBot="1">
      <c r="A104" s="539" t="s">
        <v>467</v>
      </c>
      <c r="B104" s="540" t="s">
        <v>392</v>
      </c>
      <c r="C104" s="541">
        <v>2017</v>
      </c>
      <c r="D104" s="541">
        <v>110</v>
      </c>
      <c r="E104" s="542"/>
      <c r="F104" s="543"/>
    </row>
    <row r="105" spans="1:6" s="518" customFormat="1" ht="15">
      <c r="A105" s="512" t="s">
        <v>173</v>
      </c>
      <c r="B105" s="513" t="s">
        <v>468</v>
      </c>
      <c r="C105" s="514" t="s">
        <v>380</v>
      </c>
      <c r="D105" s="514" t="s">
        <v>380</v>
      </c>
      <c r="E105" s="515" t="s">
        <v>380</v>
      </c>
      <c r="F105" s="516" t="s">
        <v>380</v>
      </c>
    </row>
    <row r="106" spans="1:6" s="518" customFormat="1" ht="15">
      <c r="A106" s="519" t="s">
        <v>174</v>
      </c>
      <c r="B106" s="520" t="s">
        <v>416</v>
      </c>
      <c r="C106" s="521" t="s">
        <v>380</v>
      </c>
      <c r="D106" s="521" t="s">
        <v>380</v>
      </c>
      <c r="E106" s="522" t="s">
        <v>380</v>
      </c>
      <c r="F106" s="523" t="s">
        <v>380</v>
      </c>
    </row>
    <row r="107" spans="1:6" s="518" customFormat="1" ht="15">
      <c r="A107" s="519" t="s">
        <v>175</v>
      </c>
      <c r="B107" s="520" t="s">
        <v>417</v>
      </c>
      <c r="C107" s="521" t="s">
        <v>380</v>
      </c>
      <c r="D107" s="521" t="s">
        <v>380</v>
      </c>
      <c r="E107" s="522" t="s">
        <v>380</v>
      </c>
      <c r="F107" s="523" t="s">
        <v>380</v>
      </c>
    </row>
    <row r="108" spans="1:6" ht="15">
      <c r="A108" s="529" t="s">
        <v>469</v>
      </c>
      <c r="B108" s="530" t="s">
        <v>399</v>
      </c>
      <c r="C108" s="531">
        <v>2017</v>
      </c>
      <c r="D108" s="531" t="s">
        <v>401</v>
      </c>
      <c r="E108" s="532"/>
      <c r="F108" s="533"/>
    </row>
    <row r="109" spans="1:6" ht="15">
      <c r="A109" s="529" t="s">
        <v>470</v>
      </c>
      <c r="B109" s="530" t="s">
        <v>399</v>
      </c>
      <c r="C109" s="531">
        <v>2017</v>
      </c>
      <c r="D109" s="531">
        <v>35</v>
      </c>
      <c r="E109" s="532"/>
      <c r="F109" s="533"/>
    </row>
    <row r="110" spans="1:6" ht="15">
      <c r="A110" s="529" t="s">
        <v>471</v>
      </c>
      <c r="B110" s="530" t="s">
        <v>399</v>
      </c>
      <c r="C110" s="531">
        <v>2017</v>
      </c>
      <c r="D110" s="531">
        <v>110</v>
      </c>
      <c r="E110" s="532"/>
      <c r="F110" s="533"/>
    </row>
    <row r="111" spans="1:6" ht="15">
      <c r="A111" s="529" t="s">
        <v>472</v>
      </c>
      <c r="B111" s="530" t="s">
        <v>387</v>
      </c>
      <c r="C111" s="531">
        <v>2017</v>
      </c>
      <c r="D111" s="531" t="s">
        <v>401</v>
      </c>
      <c r="E111" s="532"/>
      <c r="F111" s="533"/>
    </row>
    <row r="112" spans="1:6" ht="15">
      <c r="A112" s="529" t="s">
        <v>473</v>
      </c>
      <c r="B112" s="530" t="s">
        <v>387</v>
      </c>
      <c r="C112" s="531">
        <v>2017</v>
      </c>
      <c r="D112" s="531">
        <v>35</v>
      </c>
      <c r="E112" s="532"/>
      <c r="F112" s="533"/>
    </row>
    <row r="113" spans="1:6" ht="15">
      <c r="A113" s="529" t="s">
        <v>474</v>
      </c>
      <c r="B113" s="530" t="s">
        <v>387</v>
      </c>
      <c r="C113" s="531">
        <v>2017</v>
      </c>
      <c r="D113" s="531">
        <v>110</v>
      </c>
      <c r="E113" s="532"/>
      <c r="F113" s="533"/>
    </row>
    <row r="114" spans="1:6" ht="15">
      <c r="A114" s="529" t="s">
        <v>475</v>
      </c>
      <c r="B114" s="530" t="s">
        <v>389</v>
      </c>
      <c r="C114" s="531">
        <v>2017</v>
      </c>
      <c r="D114" s="531" t="s">
        <v>401</v>
      </c>
      <c r="E114" s="532"/>
      <c r="F114" s="533"/>
    </row>
    <row r="115" spans="1:6" ht="15">
      <c r="A115" s="529" t="s">
        <v>476</v>
      </c>
      <c r="B115" s="530" t="s">
        <v>389</v>
      </c>
      <c r="C115" s="531">
        <v>2017</v>
      </c>
      <c r="D115" s="531">
        <v>35</v>
      </c>
      <c r="E115" s="532"/>
      <c r="F115" s="533"/>
    </row>
    <row r="116" spans="1:6" ht="15">
      <c r="A116" s="529" t="s">
        <v>477</v>
      </c>
      <c r="B116" s="530" t="s">
        <v>389</v>
      </c>
      <c r="C116" s="531">
        <v>2017</v>
      </c>
      <c r="D116" s="531">
        <v>110</v>
      </c>
      <c r="E116" s="532"/>
      <c r="F116" s="533"/>
    </row>
    <row r="117" spans="1:6" ht="15.75" thickBot="1">
      <c r="A117" s="539" t="s">
        <v>478</v>
      </c>
      <c r="B117" s="540" t="s">
        <v>392</v>
      </c>
      <c r="C117" s="541">
        <v>2017</v>
      </c>
      <c r="D117" s="541">
        <v>110</v>
      </c>
      <c r="E117" s="542"/>
      <c r="F117" s="543"/>
    </row>
    <row r="118" spans="1:6" s="518" customFormat="1" ht="15">
      <c r="A118" s="512" t="s">
        <v>176</v>
      </c>
      <c r="B118" s="513" t="s">
        <v>429</v>
      </c>
      <c r="C118" s="514" t="s">
        <v>380</v>
      </c>
      <c r="D118" s="514" t="s">
        <v>380</v>
      </c>
      <c r="E118" s="515" t="s">
        <v>380</v>
      </c>
      <c r="F118" s="516" t="s">
        <v>380</v>
      </c>
    </row>
    <row r="119" spans="1:6" ht="15">
      <c r="A119" s="529" t="s">
        <v>480</v>
      </c>
      <c r="B119" s="530" t="s">
        <v>399</v>
      </c>
      <c r="C119" s="531">
        <v>2017</v>
      </c>
      <c r="D119" s="531" t="s">
        <v>401</v>
      </c>
      <c r="E119" s="532"/>
      <c r="F119" s="533"/>
    </row>
    <row r="120" spans="1:6" ht="15">
      <c r="A120" s="529" t="s">
        <v>481</v>
      </c>
      <c r="B120" s="530" t="s">
        <v>399</v>
      </c>
      <c r="C120" s="531">
        <v>2017</v>
      </c>
      <c r="D120" s="531">
        <v>35</v>
      </c>
      <c r="E120" s="532"/>
      <c r="F120" s="533"/>
    </row>
    <row r="121" spans="1:6" ht="15">
      <c r="A121" s="529" t="s">
        <v>482</v>
      </c>
      <c r="B121" s="530" t="s">
        <v>399</v>
      </c>
      <c r="C121" s="531">
        <v>2017</v>
      </c>
      <c r="D121" s="531">
        <v>110</v>
      </c>
      <c r="E121" s="532"/>
      <c r="F121" s="533"/>
    </row>
    <row r="122" spans="1:6" ht="15">
      <c r="A122" s="529" t="s">
        <v>483</v>
      </c>
      <c r="B122" s="530" t="s">
        <v>387</v>
      </c>
      <c r="C122" s="531">
        <v>2017</v>
      </c>
      <c r="D122" s="531" t="s">
        <v>401</v>
      </c>
      <c r="E122" s="532"/>
      <c r="F122" s="533"/>
    </row>
    <row r="123" spans="1:6" ht="15">
      <c r="A123" s="529" t="s">
        <v>484</v>
      </c>
      <c r="B123" s="530" t="s">
        <v>387</v>
      </c>
      <c r="C123" s="531">
        <v>2017</v>
      </c>
      <c r="D123" s="531">
        <v>35</v>
      </c>
      <c r="E123" s="532"/>
      <c r="F123" s="533"/>
    </row>
    <row r="124" spans="1:6" ht="15">
      <c r="A124" s="529" t="s">
        <v>485</v>
      </c>
      <c r="B124" s="530" t="s">
        <v>387</v>
      </c>
      <c r="C124" s="531">
        <v>2017</v>
      </c>
      <c r="D124" s="531">
        <v>110</v>
      </c>
      <c r="E124" s="532"/>
      <c r="F124" s="533"/>
    </row>
    <row r="125" spans="1:6" ht="15">
      <c r="A125" s="529" t="s">
        <v>486</v>
      </c>
      <c r="B125" s="530" t="s">
        <v>389</v>
      </c>
      <c r="C125" s="531">
        <v>2017</v>
      </c>
      <c r="D125" s="531" t="s">
        <v>401</v>
      </c>
      <c r="E125" s="532"/>
      <c r="F125" s="533"/>
    </row>
    <row r="126" spans="1:6" ht="15">
      <c r="A126" s="529" t="s">
        <v>487</v>
      </c>
      <c r="B126" s="530" t="s">
        <v>389</v>
      </c>
      <c r="C126" s="531">
        <v>2017</v>
      </c>
      <c r="D126" s="531">
        <v>35</v>
      </c>
      <c r="E126" s="532"/>
      <c r="F126" s="533"/>
    </row>
    <row r="127" spans="1:6" ht="15">
      <c r="A127" s="529" t="s">
        <v>488</v>
      </c>
      <c r="B127" s="530" t="s">
        <v>389</v>
      </c>
      <c r="C127" s="531">
        <v>2017</v>
      </c>
      <c r="D127" s="531">
        <v>110</v>
      </c>
      <c r="E127" s="532"/>
      <c r="F127" s="533"/>
    </row>
    <row r="128" spans="1:6" ht="15.75" thickBot="1">
      <c r="A128" s="539" t="s">
        <v>489</v>
      </c>
      <c r="B128" s="540" t="s">
        <v>392</v>
      </c>
      <c r="C128" s="541">
        <v>2017</v>
      </c>
      <c r="D128" s="541">
        <v>110</v>
      </c>
      <c r="E128" s="542"/>
      <c r="F128" s="543"/>
    </row>
    <row r="129" spans="1:6" s="518" customFormat="1" ht="15">
      <c r="A129" s="519" t="s">
        <v>177</v>
      </c>
      <c r="B129" s="520" t="s">
        <v>440</v>
      </c>
      <c r="C129" s="521" t="s">
        <v>380</v>
      </c>
      <c r="D129" s="521" t="s">
        <v>380</v>
      </c>
      <c r="E129" s="522" t="s">
        <v>380</v>
      </c>
      <c r="F129" s="523" t="s">
        <v>380</v>
      </c>
    </row>
    <row r="130" spans="1:6" s="518" customFormat="1" ht="15">
      <c r="A130" s="519" t="s">
        <v>178</v>
      </c>
      <c r="B130" s="520" t="s">
        <v>417</v>
      </c>
      <c r="C130" s="521" t="s">
        <v>380</v>
      </c>
      <c r="D130" s="521" t="s">
        <v>380</v>
      </c>
      <c r="E130" s="522" t="s">
        <v>380</v>
      </c>
      <c r="F130" s="523" t="s">
        <v>380</v>
      </c>
    </row>
    <row r="131" spans="1:6" ht="15">
      <c r="A131" s="529" t="s">
        <v>490</v>
      </c>
      <c r="B131" s="530" t="s">
        <v>399</v>
      </c>
      <c r="C131" s="531">
        <v>2017</v>
      </c>
      <c r="D131" s="531" t="s">
        <v>401</v>
      </c>
      <c r="E131" s="532"/>
      <c r="F131" s="533"/>
    </row>
    <row r="132" spans="1:6" ht="15">
      <c r="A132" s="529" t="s">
        <v>491</v>
      </c>
      <c r="B132" s="530" t="s">
        <v>399</v>
      </c>
      <c r="C132" s="531">
        <v>2017</v>
      </c>
      <c r="D132" s="531">
        <v>35</v>
      </c>
      <c r="E132" s="532"/>
      <c r="F132" s="533"/>
    </row>
    <row r="133" spans="1:6" ht="15">
      <c r="A133" s="529" t="s">
        <v>492</v>
      </c>
      <c r="B133" s="530" t="s">
        <v>399</v>
      </c>
      <c r="C133" s="531">
        <v>2017</v>
      </c>
      <c r="D133" s="531">
        <v>110</v>
      </c>
      <c r="E133" s="532"/>
      <c r="F133" s="533"/>
    </row>
    <row r="134" spans="1:6" ht="15">
      <c r="A134" s="529" t="s">
        <v>493</v>
      </c>
      <c r="B134" s="530" t="s">
        <v>387</v>
      </c>
      <c r="C134" s="531">
        <v>2017</v>
      </c>
      <c r="D134" s="531" t="s">
        <v>401</v>
      </c>
      <c r="E134" s="532"/>
      <c r="F134" s="533"/>
    </row>
    <row r="135" spans="1:6" ht="15">
      <c r="A135" s="529" t="s">
        <v>494</v>
      </c>
      <c r="B135" s="530" t="s">
        <v>387</v>
      </c>
      <c r="C135" s="531">
        <v>2017</v>
      </c>
      <c r="D135" s="531">
        <v>35</v>
      </c>
      <c r="E135" s="532"/>
      <c r="F135" s="533"/>
    </row>
    <row r="136" spans="1:6" ht="15">
      <c r="A136" s="529" t="s">
        <v>495</v>
      </c>
      <c r="B136" s="530" t="s">
        <v>387</v>
      </c>
      <c r="C136" s="531">
        <v>2017</v>
      </c>
      <c r="D136" s="531">
        <v>110</v>
      </c>
      <c r="E136" s="532"/>
      <c r="F136" s="533"/>
    </row>
    <row r="137" spans="1:6" ht="15">
      <c r="A137" s="529" t="s">
        <v>496</v>
      </c>
      <c r="B137" s="530" t="s">
        <v>389</v>
      </c>
      <c r="C137" s="531">
        <v>2017</v>
      </c>
      <c r="D137" s="531" t="s">
        <v>401</v>
      </c>
      <c r="E137" s="532"/>
      <c r="F137" s="533"/>
    </row>
    <row r="138" spans="1:6" ht="15">
      <c r="A138" s="529" t="s">
        <v>497</v>
      </c>
      <c r="B138" s="530" t="s">
        <v>389</v>
      </c>
      <c r="C138" s="531">
        <v>2017</v>
      </c>
      <c r="D138" s="531">
        <v>35</v>
      </c>
      <c r="E138" s="532"/>
      <c r="F138" s="533"/>
    </row>
    <row r="139" spans="1:6" ht="15">
      <c r="A139" s="529" t="s">
        <v>498</v>
      </c>
      <c r="B139" s="530" t="s">
        <v>389</v>
      </c>
      <c r="C139" s="531">
        <v>2017</v>
      </c>
      <c r="D139" s="531">
        <v>110</v>
      </c>
      <c r="E139" s="532"/>
      <c r="F139" s="533"/>
    </row>
    <row r="140" spans="1:6" ht="15.75" thickBot="1">
      <c r="A140" s="539" t="s">
        <v>499</v>
      </c>
      <c r="B140" s="540" t="s">
        <v>392</v>
      </c>
      <c r="C140" s="541">
        <v>2017</v>
      </c>
      <c r="D140" s="541">
        <v>110</v>
      </c>
      <c r="E140" s="542"/>
      <c r="F140" s="543"/>
    </row>
    <row r="141" spans="1:6" s="518" customFormat="1" ht="15">
      <c r="A141" s="512" t="s">
        <v>179</v>
      </c>
      <c r="B141" s="513" t="s">
        <v>429</v>
      </c>
      <c r="C141" s="514" t="s">
        <v>380</v>
      </c>
      <c r="D141" s="514" t="s">
        <v>380</v>
      </c>
      <c r="E141" s="515" t="s">
        <v>380</v>
      </c>
      <c r="F141" s="516" t="s">
        <v>380</v>
      </c>
    </row>
    <row r="142" spans="1:6" ht="15">
      <c r="A142" s="529" t="s">
        <v>500</v>
      </c>
      <c r="B142" s="530" t="s">
        <v>399</v>
      </c>
      <c r="C142" s="531">
        <v>2017</v>
      </c>
      <c r="D142" s="531" t="s">
        <v>401</v>
      </c>
      <c r="E142" s="532"/>
      <c r="F142" s="533"/>
    </row>
    <row r="143" spans="1:6" ht="15">
      <c r="A143" s="529" t="s">
        <v>501</v>
      </c>
      <c r="B143" s="530" t="s">
        <v>399</v>
      </c>
      <c r="C143" s="531">
        <v>2017</v>
      </c>
      <c r="D143" s="531">
        <v>35</v>
      </c>
      <c r="E143" s="532"/>
      <c r="F143" s="533"/>
    </row>
    <row r="144" spans="1:6" ht="15">
      <c r="A144" s="529" t="s">
        <v>502</v>
      </c>
      <c r="B144" s="530" t="s">
        <v>399</v>
      </c>
      <c r="C144" s="531">
        <v>2017</v>
      </c>
      <c r="D144" s="531">
        <v>110</v>
      </c>
      <c r="E144" s="532"/>
      <c r="F144" s="533"/>
    </row>
    <row r="145" spans="1:6" ht="15">
      <c r="A145" s="529" t="s">
        <v>503</v>
      </c>
      <c r="B145" s="530" t="s">
        <v>387</v>
      </c>
      <c r="C145" s="531">
        <v>2017</v>
      </c>
      <c r="D145" s="531" t="s">
        <v>401</v>
      </c>
      <c r="E145" s="532"/>
      <c r="F145" s="533"/>
    </row>
    <row r="146" spans="1:6" ht="15">
      <c r="A146" s="529" t="s">
        <v>504</v>
      </c>
      <c r="B146" s="530" t="s">
        <v>387</v>
      </c>
      <c r="C146" s="531">
        <v>2017</v>
      </c>
      <c r="D146" s="531">
        <v>35</v>
      </c>
      <c r="E146" s="532"/>
      <c r="F146" s="533"/>
    </row>
    <row r="147" spans="1:6" ht="15">
      <c r="A147" s="529" t="s">
        <v>505</v>
      </c>
      <c r="B147" s="530" t="s">
        <v>387</v>
      </c>
      <c r="C147" s="531">
        <v>2017</v>
      </c>
      <c r="D147" s="531">
        <v>110</v>
      </c>
      <c r="E147" s="532"/>
      <c r="F147" s="533"/>
    </row>
    <row r="148" spans="1:6" ht="15">
      <c r="A148" s="529" t="s">
        <v>506</v>
      </c>
      <c r="B148" s="530" t="s">
        <v>389</v>
      </c>
      <c r="C148" s="531">
        <v>2017</v>
      </c>
      <c r="D148" s="531" t="s">
        <v>401</v>
      </c>
      <c r="E148" s="532"/>
      <c r="F148" s="533"/>
    </row>
    <row r="149" spans="1:6" ht="15">
      <c r="A149" s="529" t="s">
        <v>507</v>
      </c>
      <c r="B149" s="530" t="s">
        <v>389</v>
      </c>
      <c r="C149" s="531">
        <v>2017</v>
      </c>
      <c r="D149" s="531">
        <v>35</v>
      </c>
      <c r="E149" s="532"/>
      <c r="F149" s="533"/>
    </row>
    <row r="150" spans="1:6" ht="15">
      <c r="A150" s="529" t="s">
        <v>508</v>
      </c>
      <c r="B150" s="530" t="s">
        <v>389</v>
      </c>
      <c r="C150" s="531">
        <v>2017</v>
      </c>
      <c r="D150" s="531">
        <v>110</v>
      </c>
      <c r="E150" s="532"/>
      <c r="F150" s="533"/>
    </row>
    <row r="151" spans="1:6" ht="15.75" thickBot="1">
      <c r="A151" s="539" t="s">
        <v>509</v>
      </c>
      <c r="B151" s="540" t="s">
        <v>392</v>
      </c>
      <c r="C151" s="541">
        <v>2017</v>
      </c>
      <c r="D151" s="541">
        <v>110</v>
      </c>
      <c r="E151" s="542"/>
      <c r="F151" s="543"/>
    </row>
    <row r="152" spans="1:6" s="518" customFormat="1" ht="30">
      <c r="A152" s="512" t="s">
        <v>180</v>
      </c>
      <c r="B152" s="513" t="s">
        <v>510</v>
      </c>
      <c r="C152" s="514" t="s">
        <v>380</v>
      </c>
      <c r="D152" s="514" t="s">
        <v>380</v>
      </c>
      <c r="E152" s="515" t="s">
        <v>380</v>
      </c>
      <c r="F152" s="516" t="s">
        <v>380</v>
      </c>
    </row>
    <row r="153" spans="1:6" s="518" customFormat="1" ht="15">
      <c r="A153" s="519" t="s">
        <v>181</v>
      </c>
      <c r="B153" s="520" t="s">
        <v>440</v>
      </c>
      <c r="C153" s="521" t="s">
        <v>380</v>
      </c>
      <c r="D153" s="521" t="s">
        <v>380</v>
      </c>
      <c r="E153" s="522" t="s">
        <v>380</v>
      </c>
      <c r="F153" s="523" t="s">
        <v>380</v>
      </c>
    </row>
    <row r="154" spans="1:6" s="518" customFormat="1" ht="15">
      <c r="A154" s="519" t="s">
        <v>511</v>
      </c>
      <c r="B154" s="520" t="s">
        <v>417</v>
      </c>
      <c r="C154" s="521" t="s">
        <v>380</v>
      </c>
      <c r="D154" s="521" t="s">
        <v>380</v>
      </c>
      <c r="E154" s="522" t="s">
        <v>380</v>
      </c>
      <c r="F154" s="523" t="s">
        <v>380</v>
      </c>
    </row>
    <row r="155" spans="1:6" ht="15">
      <c r="A155" s="529" t="s">
        <v>512</v>
      </c>
      <c r="B155" s="530" t="s">
        <v>392</v>
      </c>
      <c r="C155" s="531">
        <v>2017</v>
      </c>
      <c r="D155" s="531" t="s">
        <v>401</v>
      </c>
      <c r="E155" s="532"/>
      <c r="F155" s="533"/>
    </row>
    <row r="156" spans="1:6" ht="15">
      <c r="A156" s="529" t="s">
        <v>513</v>
      </c>
      <c r="B156" s="530" t="s">
        <v>392</v>
      </c>
      <c r="C156" s="531">
        <v>2017</v>
      </c>
      <c r="D156" s="531">
        <v>35</v>
      </c>
      <c r="E156" s="532"/>
      <c r="F156" s="533"/>
    </row>
    <row r="157" spans="1:6" ht="15">
      <c r="A157" s="529" t="s">
        <v>514</v>
      </c>
      <c r="B157" s="530" t="s">
        <v>392</v>
      </c>
      <c r="C157" s="531">
        <v>2017</v>
      </c>
      <c r="D157" s="531">
        <v>110</v>
      </c>
      <c r="E157" s="532"/>
      <c r="F157" s="533"/>
    </row>
    <row r="158" spans="1:6" s="518" customFormat="1" ht="15">
      <c r="A158" s="519" t="s">
        <v>515</v>
      </c>
      <c r="B158" s="520" t="s">
        <v>429</v>
      </c>
      <c r="C158" s="521" t="s">
        <v>380</v>
      </c>
      <c r="D158" s="521" t="s">
        <v>380</v>
      </c>
      <c r="E158" s="522" t="s">
        <v>380</v>
      </c>
      <c r="F158" s="523" t="s">
        <v>380</v>
      </c>
    </row>
    <row r="159" spans="1:6" ht="15">
      <c r="A159" s="529" t="s">
        <v>516</v>
      </c>
      <c r="B159" s="530" t="s">
        <v>392</v>
      </c>
      <c r="C159" s="531">
        <v>2017</v>
      </c>
      <c r="D159" s="531" t="s">
        <v>401</v>
      </c>
      <c r="E159" s="532"/>
      <c r="F159" s="533"/>
    </row>
    <row r="160" spans="1:6" ht="15">
      <c r="A160" s="529" t="s">
        <v>517</v>
      </c>
      <c r="B160" s="530" t="s">
        <v>392</v>
      </c>
      <c r="C160" s="531">
        <v>2017</v>
      </c>
      <c r="D160" s="531">
        <v>35</v>
      </c>
      <c r="E160" s="532"/>
      <c r="F160" s="533"/>
    </row>
    <row r="161" spans="1:7" ht="15.75" thickBot="1">
      <c r="A161" s="529" t="s">
        <v>518</v>
      </c>
      <c r="B161" s="530" t="s">
        <v>392</v>
      </c>
      <c r="C161" s="531">
        <v>2017</v>
      </c>
      <c r="D161" s="531">
        <v>110</v>
      </c>
      <c r="E161" s="532"/>
      <c r="F161" s="533"/>
    </row>
    <row r="162" spans="1:7" s="518" customFormat="1" ht="15.75" thickBot="1">
      <c r="A162" s="544" t="s">
        <v>182</v>
      </c>
      <c r="B162" s="545" t="s">
        <v>604</v>
      </c>
      <c r="C162" s="546"/>
      <c r="D162" s="546"/>
      <c r="E162" s="547"/>
      <c r="F162" s="548"/>
    </row>
    <row r="163" spans="1:7" ht="15">
      <c r="A163" s="529" t="s">
        <v>183</v>
      </c>
      <c r="B163" s="530" t="s">
        <v>739</v>
      </c>
      <c r="C163" s="531">
        <v>2017</v>
      </c>
      <c r="D163" s="531">
        <v>0.4</v>
      </c>
      <c r="E163" s="532">
        <v>200</v>
      </c>
      <c r="F163" s="533">
        <v>635.4</v>
      </c>
    </row>
    <row r="164" spans="1:7" ht="15">
      <c r="A164" s="529" t="s">
        <v>184</v>
      </c>
      <c r="B164" s="530" t="s">
        <v>740</v>
      </c>
      <c r="C164" s="531">
        <v>2017</v>
      </c>
      <c r="D164" s="531">
        <v>10</v>
      </c>
      <c r="E164" s="532">
        <v>200</v>
      </c>
      <c r="F164" s="533">
        <v>635.4</v>
      </c>
    </row>
    <row r="165" spans="1:7" ht="30">
      <c r="A165" s="524" t="s">
        <v>624</v>
      </c>
      <c r="B165" s="525" t="s">
        <v>741</v>
      </c>
      <c r="C165" s="526">
        <v>2017</v>
      </c>
      <c r="D165" s="526">
        <v>0.4</v>
      </c>
      <c r="E165" s="527">
        <v>720</v>
      </c>
      <c r="F165" s="528">
        <v>510</v>
      </c>
    </row>
    <row r="166" spans="1:7" ht="30">
      <c r="A166" s="529" t="s">
        <v>185</v>
      </c>
      <c r="B166" s="525" t="s">
        <v>742</v>
      </c>
      <c r="C166" s="526">
        <v>2017</v>
      </c>
      <c r="D166" s="526">
        <v>10</v>
      </c>
      <c r="E166" s="527">
        <v>800</v>
      </c>
      <c r="F166" s="528">
        <v>510</v>
      </c>
    </row>
    <row r="167" spans="1:7" ht="15">
      <c r="A167" s="529" t="s">
        <v>628</v>
      </c>
      <c r="B167" s="525" t="s">
        <v>743</v>
      </c>
      <c r="C167" s="526">
        <v>2017</v>
      </c>
      <c r="D167" s="526">
        <v>6</v>
      </c>
      <c r="E167" s="527">
        <v>120</v>
      </c>
      <c r="F167" s="528">
        <v>400</v>
      </c>
    </row>
    <row r="168" spans="1:7" ht="15">
      <c r="A168" s="524" t="s">
        <v>186</v>
      </c>
      <c r="B168" s="525" t="s">
        <v>744</v>
      </c>
      <c r="C168" s="526">
        <v>2017</v>
      </c>
      <c r="D168" s="526">
        <v>6</v>
      </c>
      <c r="E168" s="527">
        <v>1040</v>
      </c>
      <c r="F168" s="528">
        <v>1000</v>
      </c>
    </row>
    <row r="169" spans="1:7" ht="15">
      <c r="A169" s="529" t="s">
        <v>187</v>
      </c>
      <c r="B169" s="525" t="s">
        <v>745</v>
      </c>
      <c r="C169" s="526">
        <v>2017</v>
      </c>
      <c r="D169" s="526">
        <v>10</v>
      </c>
      <c r="E169" s="527">
        <v>8400</v>
      </c>
      <c r="F169" s="528">
        <v>1600</v>
      </c>
    </row>
    <row r="170" spans="1:7" ht="15">
      <c r="A170" s="529" t="s">
        <v>188</v>
      </c>
      <c r="B170" s="525" t="s">
        <v>746</v>
      </c>
      <c r="C170" s="526">
        <v>2017</v>
      </c>
      <c r="D170" s="526">
        <v>6</v>
      </c>
      <c r="E170" s="527">
        <v>4200</v>
      </c>
      <c r="F170" s="528">
        <v>1300</v>
      </c>
    </row>
    <row r="171" spans="1:7" ht="15">
      <c r="A171" s="529" t="s">
        <v>189</v>
      </c>
      <c r="B171" s="530" t="s">
        <v>747</v>
      </c>
      <c r="C171" s="531">
        <v>2017</v>
      </c>
      <c r="D171" s="531">
        <v>0.4</v>
      </c>
      <c r="E171" s="532">
        <f>40+280+380</f>
        <v>700</v>
      </c>
      <c r="F171" s="533">
        <f>12+103+55</f>
        <v>170</v>
      </c>
    </row>
    <row r="172" spans="1:7" ht="15.75" thickBot="1">
      <c r="A172" s="539" t="s">
        <v>190</v>
      </c>
      <c r="B172" s="540" t="s">
        <v>747</v>
      </c>
      <c r="C172" s="541">
        <v>2017</v>
      </c>
      <c r="D172" s="541" t="s">
        <v>401</v>
      </c>
      <c r="E172" s="542">
        <f>263+250</f>
        <v>513</v>
      </c>
      <c r="F172" s="543">
        <f>12+86</f>
        <v>98</v>
      </c>
    </row>
    <row r="175" spans="1:7" ht="15.75">
      <c r="A175" s="722" t="s">
        <v>841</v>
      </c>
      <c r="B175" s="187"/>
      <c r="C175" s="187"/>
      <c r="D175" s="723"/>
      <c r="E175" s="724"/>
      <c r="F175" s="725"/>
      <c r="G175" s="726"/>
    </row>
    <row r="176" spans="1:7" ht="15.75">
      <c r="A176" s="722" t="s">
        <v>88</v>
      </c>
      <c r="B176" s="187"/>
      <c r="C176" s="187"/>
      <c r="D176" s="722"/>
      <c r="E176" s="722"/>
      <c r="F176" s="727" t="s">
        <v>842</v>
      </c>
      <c r="G176" s="726"/>
    </row>
    <row r="177" spans="1:7" ht="15">
      <c r="A177" s="713"/>
      <c r="B177" s="714"/>
      <c r="C177" s="714"/>
      <c r="D177" s="714"/>
      <c r="E177" s="715"/>
      <c r="F177" s="715"/>
      <c r="G177" s="506"/>
    </row>
    <row r="178" spans="1:7" ht="15">
      <c r="A178" s="716" t="s">
        <v>706</v>
      </c>
      <c r="B178" s="714"/>
      <c r="C178" s="714"/>
      <c r="D178" s="714"/>
      <c r="E178" s="715"/>
      <c r="F178" s="715"/>
      <c r="G178" s="506"/>
    </row>
    <row r="179" spans="1:7" ht="15">
      <c r="A179" s="718" t="s">
        <v>843</v>
      </c>
      <c r="B179" s="714"/>
      <c r="C179" s="714"/>
      <c r="D179" s="714"/>
      <c r="E179" s="715"/>
      <c r="F179" s="715"/>
      <c r="G179" s="506"/>
    </row>
    <row r="180" spans="1:7" ht="15">
      <c r="A180" s="719" t="s">
        <v>844</v>
      </c>
      <c r="B180" s="714"/>
      <c r="C180" s="714"/>
      <c r="D180" s="714"/>
      <c r="E180" s="715"/>
      <c r="F180" s="715"/>
      <c r="G180" s="506"/>
    </row>
  </sheetData>
  <mergeCells count="2">
    <mergeCell ref="A1:F1"/>
    <mergeCell ref="B2:F2"/>
  </mergeCells>
  <pageMargins left="0.7" right="0.7" top="0.54" bottom="0.34" header="0.3" footer="0.3"/>
  <pageSetup paperSize="9" scale="75"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P172"/>
  <sheetViews>
    <sheetView zoomScale="85" zoomScaleNormal="85" workbookViewId="0">
      <pane ySplit="4" topLeftCell="A92" activePane="bottomLeft" state="frozen"/>
      <selection activeCell="H271" sqref="H271"/>
      <selection pane="bottomLeft" activeCell="B179" sqref="B179"/>
    </sheetView>
  </sheetViews>
  <sheetFormatPr defaultRowHeight="12.75"/>
  <cols>
    <col min="1" max="1" width="11" style="505" customWidth="1"/>
    <col min="2" max="2" width="60.5703125" style="504" customWidth="1"/>
    <col min="3" max="4" width="16.28515625" style="504" customWidth="1"/>
    <col min="5" max="5" width="16.28515625" style="614" customWidth="1"/>
    <col min="6" max="6" width="16.28515625" style="506" customWidth="1"/>
    <col min="7" max="7" width="20.7109375" style="503" customWidth="1"/>
    <col min="8" max="42" width="9.140625" style="506"/>
    <col min="43" max="16384" width="9.140625" style="504"/>
  </cols>
  <sheetData>
    <row r="1" spans="1:42" ht="57.75" customHeight="1">
      <c r="A1" s="952" t="s">
        <v>840</v>
      </c>
      <c r="B1" s="952"/>
      <c r="C1" s="952"/>
      <c r="D1" s="952"/>
      <c r="E1" s="952"/>
      <c r="F1" s="952"/>
    </row>
    <row r="2" spans="1:42" ht="24.75" customHeight="1">
      <c r="B2" s="1160" t="s">
        <v>790</v>
      </c>
      <c r="C2" s="1160"/>
      <c r="D2" s="1160"/>
      <c r="E2" s="1160"/>
      <c r="F2" s="1160"/>
    </row>
    <row r="3" spans="1:42" ht="13.5" thickBot="1"/>
    <row r="4" spans="1:42" ht="75.75" thickBot="1">
      <c r="A4" s="507" t="s">
        <v>597</v>
      </c>
      <c r="B4" s="508" t="s">
        <v>598</v>
      </c>
      <c r="C4" s="508" t="s">
        <v>599</v>
      </c>
      <c r="D4" s="508" t="s">
        <v>600</v>
      </c>
      <c r="E4" s="509" t="s">
        <v>601</v>
      </c>
      <c r="F4" s="509" t="s">
        <v>602</v>
      </c>
    </row>
    <row r="5" spans="1:42" ht="15.75" thickBot="1">
      <c r="A5" s="510">
        <v>1</v>
      </c>
      <c r="B5" s="511">
        <v>2</v>
      </c>
      <c r="C5" s="511">
        <v>3</v>
      </c>
      <c r="D5" s="511">
        <v>4</v>
      </c>
      <c r="E5" s="698">
        <v>5</v>
      </c>
      <c r="F5" s="698">
        <v>6</v>
      </c>
    </row>
    <row r="6" spans="1:42" ht="15.75" thickBot="1">
      <c r="A6" s="699" t="s">
        <v>14</v>
      </c>
      <c r="B6" s="700" t="s">
        <v>379</v>
      </c>
      <c r="C6" s="701" t="s">
        <v>380</v>
      </c>
      <c r="D6" s="701" t="s">
        <v>380</v>
      </c>
      <c r="E6" s="702" t="s">
        <v>380</v>
      </c>
      <c r="F6" s="703" t="s">
        <v>380</v>
      </c>
    </row>
    <row r="7" spans="1:42" s="518" customFormat="1" ht="15">
      <c r="A7" s="512" t="s">
        <v>381</v>
      </c>
      <c r="B7" s="513" t="s">
        <v>382</v>
      </c>
      <c r="C7" s="514" t="s">
        <v>380</v>
      </c>
      <c r="D7" s="514" t="s">
        <v>380</v>
      </c>
      <c r="E7" s="515" t="s">
        <v>380</v>
      </c>
      <c r="F7" s="516" t="s">
        <v>380</v>
      </c>
      <c r="G7" s="517"/>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row>
    <row r="8" spans="1:42" s="518" customFormat="1" ht="15">
      <c r="A8" s="519" t="s">
        <v>383</v>
      </c>
      <c r="B8" s="520" t="s">
        <v>384</v>
      </c>
      <c r="C8" s="521" t="s">
        <v>380</v>
      </c>
      <c r="D8" s="521" t="s">
        <v>380</v>
      </c>
      <c r="E8" s="522" t="s">
        <v>380</v>
      </c>
      <c r="F8" s="523" t="s">
        <v>380</v>
      </c>
      <c r="G8" s="517"/>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row>
    <row r="9" spans="1:42" s="518" customFormat="1" ht="15">
      <c r="A9" s="519" t="s">
        <v>385</v>
      </c>
      <c r="B9" s="520" t="s">
        <v>386</v>
      </c>
      <c r="C9" s="521" t="s">
        <v>380</v>
      </c>
      <c r="D9" s="521" t="s">
        <v>380</v>
      </c>
      <c r="E9" s="522" t="s">
        <v>380</v>
      </c>
      <c r="F9" s="523" t="s">
        <v>380</v>
      </c>
      <c r="G9" s="517"/>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row>
    <row r="10" spans="1:42" ht="15">
      <c r="A10" s="524" t="s">
        <v>579</v>
      </c>
      <c r="B10" s="525" t="s">
        <v>387</v>
      </c>
      <c r="C10" s="526">
        <v>2015</v>
      </c>
      <c r="D10" s="526">
        <v>35</v>
      </c>
      <c r="E10" s="527"/>
      <c r="F10" s="528"/>
    </row>
    <row r="11" spans="1:42" ht="15">
      <c r="A11" s="529" t="s">
        <v>388</v>
      </c>
      <c r="B11" s="530" t="s">
        <v>389</v>
      </c>
      <c r="C11" s="531">
        <v>2015</v>
      </c>
      <c r="D11" s="531">
        <v>35</v>
      </c>
      <c r="E11" s="532"/>
      <c r="F11" s="533"/>
    </row>
    <row r="12" spans="1:42" ht="15">
      <c r="A12" s="529" t="s">
        <v>390</v>
      </c>
      <c r="B12" s="530" t="s">
        <v>389</v>
      </c>
      <c r="C12" s="531">
        <v>2015</v>
      </c>
      <c r="D12" s="531">
        <v>110</v>
      </c>
      <c r="E12" s="532"/>
      <c r="F12" s="533"/>
    </row>
    <row r="13" spans="1:42" ht="15.75" thickBot="1">
      <c r="A13" s="534" t="s">
        <v>391</v>
      </c>
      <c r="B13" s="535" t="s">
        <v>392</v>
      </c>
      <c r="C13" s="536">
        <v>2015</v>
      </c>
      <c r="D13" s="536">
        <v>110</v>
      </c>
      <c r="E13" s="537"/>
      <c r="F13" s="538"/>
    </row>
    <row r="14" spans="1:42" s="518" customFormat="1" ht="15">
      <c r="A14" s="512" t="s">
        <v>393</v>
      </c>
      <c r="B14" s="513" t="s">
        <v>394</v>
      </c>
      <c r="C14" s="514" t="s">
        <v>380</v>
      </c>
      <c r="D14" s="514" t="s">
        <v>380</v>
      </c>
      <c r="E14" s="515" t="s">
        <v>380</v>
      </c>
      <c r="F14" s="516" t="s">
        <v>380</v>
      </c>
      <c r="G14" s="517"/>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row>
    <row r="15" spans="1:42" s="518" customFormat="1" ht="15">
      <c r="A15" s="519" t="s">
        <v>395</v>
      </c>
      <c r="B15" s="520" t="s">
        <v>396</v>
      </c>
      <c r="C15" s="521" t="s">
        <v>380</v>
      </c>
      <c r="D15" s="521" t="s">
        <v>380</v>
      </c>
      <c r="E15" s="522" t="s">
        <v>380</v>
      </c>
      <c r="F15" s="523" t="s">
        <v>380</v>
      </c>
      <c r="G15" s="517"/>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row>
    <row r="16" spans="1:42" s="518" customFormat="1" ht="15">
      <c r="A16" s="519" t="s">
        <v>397</v>
      </c>
      <c r="B16" s="520" t="s">
        <v>386</v>
      </c>
      <c r="C16" s="521" t="s">
        <v>380</v>
      </c>
      <c r="D16" s="521" t="s">
        <v>380</v>
      </c>
      <c r="E16" s="522" t="s">
        <v>380</v>
      </c>
      <c r="F16" s="523" t="s">
        <v>380</v>
      </c>
      <c r="G16" s="517"/>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row>
    <row r="17" spans="1:42" ht="15">
      <c r="A17" s="529" t="s">
        <v>398</v>
      </c>
      <c r="B17" s="530" t="s">
        <v>399</v>
      </c>
      <c r="C17" s="531">
        <v>2015</v>
      </c>
      <c r="D17" s="531">
        <v>0.4</v>
      </c>
      <c r="E17" s="532">
        <v>58.6</v>
      </c>
      <c r="F17" s="533">
        <v>7025</v>
      </c>
    </row>
    <row r="18" spans="1:42" ht="15">
      <c r="A18" s="529" t="s">
        <v>400</v>
      </c>
      <c r="B18" s="530" t="s">
        <v>399</v>
      </c>
      <c r="C18" s="531">
        <v>2015</v>
      </c>
      <c r="D18" s="531" t="s">
        <v>401</v>
      </c>
      <c r="E18" s="532">
        <f>6.85+E36+E40</f>
        <v>7.4289999999999994</v>
      </c>
      <c r="F18" s="533">
        <f>668+F36+F40</f>
        <v>898</v>
      </c>
    </row>
    <row r="19" spans="1:42" ht="15">
      <c r="A19" s="529" t="s">
        <v>402</v>
      </c>
      <c r="B19" s="530" t="s">
        <v>387</v>
      </c>
      <c r="C19" s="531">
        <v>2015</v>
      </c>
      <c r="D19" s="531">
        <v>0.4</v>
      </c>
      <c r="E19" s="532">
        <v>43.6</v>
      </c>
      <c r="F19" s="533">
        <v>5188</v>
      </c>
    </row>
    <row r="20" spans="1:42" ht="15">
      <c r="A20" s="524" t="s">
        <v>403</v>
      </c>
      <c r="B20" s="525" t="s">
        <v>387</v>
      </c>
      <c r="C20" s="526">
        <v>2015</v>
      </c>
      <c r="D20" s="526" t="s">
        <v>401</v>
      </c>
      <c r="E20" s="527">
        <f>1+E43</f>
        <v>1.3879999999999999</v>
      </c>
      <c r="F20" s="528">
        <f>475+F43</f>
        <v>1175</v>
      </c>
    </row>
    <row r="21" spans="1:42" ht="15">
      <c r="A21" s="524" t="s">
        <v>404</v>
      </c>
      <c r="B21" s="525" t="s">
        <v>387</v>
      </c>
      <c r="C21" s="526">
        <v>2015</v>
      </c>
      <c r="D21" s="526">
        <v>35</v>
      </c>
      <c r="E21" s="527"/>
      <c r="F21" s="528"/>
    </row>
    <row r="22" spans="1:42" s="587" customFormat="1" ht="15">
      <c r="A22" s="596" t="s">
        <v>405</v>
      </c>
      <c r="B22" s="597" t="s">
        <v>389</v>
      </c>
      <c r="C22" s="598">
        <v>2015</v>
      </c>
      <c r="D22" s="598">
        <v>0.4</v>
      </c>
      <c r="E22" s="599">
        <f>2.1+E41</f>
        <v>2.1619999999999999</v>
      </c>
      <c r="F22" s="600">
        <f>247+F41</f>
        <v>277</v>
      </c>
      <c r="G22" s="617"/>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row>
    <row r="23" spans="1:42" ht="15">
      <c r="A23" s="524" t="s">
        <v>406</v>
      </c>
      <c r="B23" s="525" t="s">
        <v>389</v>
      </c>
      <c r="C23" s="526">
        <v>2015</v>
      </c>
      <c r="D23" s="526" t="s">
        <v>401</v>
      </c>
      <c r="E23" s="527">
        <f>E37</f>
        <v>9.4049999999999994</v>
      </c>
      <c r="F23" s="528">
        <f>F37</f>
        <v>1300</v>
      </c>
    </row>
    <row r="24" spans="1:42" ht="15.75" thickBot="1">
      <c r="A24" s="524" t="s">
        <v>407</v>
      </c>
      <c r="B24" s="525" t="s">
        <v>389</v>
      </c>
      <c r="C24" s="526">
        <v>2015</v>
      </c>
      <c r="D24" s="526">
        <v>35</v>
      </c>
      <c r="E24" s="527"/>
      <c r="F24" s="528"/>
    </row>
    <row r="25" spans="1:42" s="518" customFormat="1" ht="15">
      <c r="A25" s="512" t="s">
        <v>408</v>
      </c>
      <c r="B25" s="513" t="s">
        <v>384</v>
      </c>
      <c r="C25" s="514" t="s">
        <v>380</v>
      </c>
      <c r="D25" s="514" t="s">
        <v>380</v>
      </c>
      <c r="E25" s="515" t="s">
        <v>380</v>
      </c>
      <c r="F25" s="516" t="s">
        <v>380</v>
      </c>
      <c r="G25" s="517"/>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5"/>
      <c r="AL25" s="615"/>
      <c r="AM25" s="615"/>
      <c r="AN25" s="615"/>
      <c r="AO25" s="615"/>
      <c r="AP25" s="615"/>
    </row>
    <row r="26" spans="1:42" s="518" customFormat="1" ht="15">
      <c r="A26" s="519" t="s">
        <v>409</v>
      </c>
      <c r="B26" s="520" t="s">
        <v>386</v>
      </c>
      <c r="C26" s="521" t="s">
        <v>380</v>
      </c>
      <c r="D26" s="521" t="s">
        <v>380</v>
      </c>
      <c r="E26" s="522" t="s">
        <v>380</v>
      </c>
      <c r="F26" s="523" t="s">
        <v>380</v>
      </c>
      <c r="G26" s="517"/>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5"/>
      <c r="AM26" s="615"/>
      <c r="AN26" s="615"/>
      <c r="AO26" s="615"/>
      <c r="AP26" s="615"/>
    </row>
    <row r="27" spans="1:42" ht="15">
      <c r="A27" s="529" t="s">
        <v>410</v>
      </c>
      <c r="B27" s="530" t="s">
        <v>399</v>
      </c>
      <c r="C27" s="531">
        <v>2015</v>
      </c>
      <c r="D27" s="531">
        <v>0.4</v>
      </c>
      <c r="E27" s="532">
        <v>14</v>
      </c>
      <c r="F27" s="533">
        <v>1684</v>
      </c>
    </row>
    <row r="28" spans="1:42" ht="15">
      <c r="A28" s="529" t="s">
        <v>411</v>
      </c>
      <c r="B28" s="530" t="s">
        <v>399</v>
      </c>
      <c r="C28" s="531">
        <v>2015</v>
      </c>
      <c r="D28" s="531" t="s">
        <v>401</v>
      </c>
      <c r="E28" s="532">
        <f>33.2+E34+E39+E44</f>
        <v>35.501500000000007</v>
      </c>
      <c r="F28" s="533">
        <f>3557+F34+F39+F44</f>
        <v>4082</v>
      </c>
    </row>
    <row r="29" spans="1:42" ht="15">
      <c r="A29" s="524" t="s">
        <v>412</v>
      </c>
      <c r="B29" s="525" t="s">
        <v>387</v>
      </c>
      <c r="C29" s="526">
        <v>2015</v>
      </c>
      <c r="D29" s="526" t="s">
        <v>401</v>
      </c>
      <c r="E29" s="527">
        <f>E38</f>
        <v>0.58699999999999997</v>
      </c>
      <c r="F29" s="528">
        <f>F38</f>
        <v>50</v>
      </c>
    </row>
    <row r="30" spans="1:42" ht="15.75" thickBot="1">
      <c r="A30" s="539" t="s">
        <v>413</v>
      </c>
      <c r="B30" s="540" t="s">
        <v>399</v>
      </c>
      <c r="C30" s="541">
        <v>2015</v>
      </c>
      <c r="D30" s="541">
        <v>35</v>
      </c>
      <c r="E30" s="542">
        <f>E42</f>
        <v>0.24199999999999999</v>
      </c>
      <c r="F30" s="543">
        <f>F42</f>
        <v>100</v>
      </c>
    </row>
    <row r="31" spans="1:42" s="518" customFormat="1" ht="15.75" thickBot="1">
      <c r="A31" s="544" t="s">
        <v>21</v>
      </c>
      <c r="B31" s="545" t="s">
        <v>604</v>
      </c>
      <c r="C31" s="546"/>
      <c r="D31" s="546"/>
      <c r="E31" s="556"/>
      <c r="F31" s="548"/>
      <c r="G31" s="503"/>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5"/>
      <c r="AL31" s="615"/>
      <c r="AM31" s="615"/>
      <c r="AN31" s="615"/>
      <c r="AO31" s="615"/>
      <c r="AP31" s="615"/>
    </row>
    <row r="32" spans="1:42" ht="15">
      <c r="A32" s="529" t="s">
        <v>605</v>
      </c>
      <c r="B32" s="530" t="s">
        <v>606</v>
      </c>
      <c r="C32" s="531">
        <v>2015</v>
      </c>
      <c r="D32" s="531">
        <v>0.4</v>
      </c>
      <c r="E32" s="532">
        <v>118.3</v>
      </c>
      <c r="F32" s="533">
        <v>14144</v>
      </c>
    </row>
    <row r="33" spans="1:42" s="587" customFormat="1" ht="15">
      <c r="A33" s="613" t="s">
        <v>607</v>
      </c>
      <c r="B33" s="603" t="s">
        <v>608</v>
      </c>
      <c r="C33" s="604">
        <v>2015</v>
      </c>
      <c r="D33" s="604" t="s">
        <v>401</v>
      </c>
      <c r="E33" s="594">
        <v>41.050000000000004</v>
      </c>
      <c r="F33" s="595">
        <v>4700</v>
      </c>
      <c r="G33" s="503"/>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6"/>
    </row>
    <row r="34" spans="1:42" s="587" customFormat="1" ht="15">
      <c r="A34" s="596" t="s">
        <v>609</v>
      </c>
      <c r="B34" s="597" t="s">
        <v>789</v>
      </c>
      <c r="C34" s="598">
        <v>2015</v>
      </c>
      <c r="D34" s="598">
        <v>10</v>
      </c>
      <c r="E34" s="599">
        <v>0.03</v>
      </c>
      <c r="F34" s="600">
        <f>400-380</f>
        <v>20</v>
      </c>
      <c r="G34" s="503"/>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6"/>
      <c r="AP34" s="616"/>
    </row>
    <row r="35" spans="1:42" s="587" customFormat="1" ht="15">
      <c r="A35" s="613" t="s">
        <v>610</v>
      </c>
      <c r="B35" s="597" t="s">
        <v>788</v>
      </c>
      <c r="C35" s="598">
        <v>2015</v>
      </c>
      <c r="D35" s="598">
        <v>6</v>
      </c>
      <c r="E35" s="599">
        <v>0.1</v>
      </c>
      <c r="F35" s="600">
        <v>300</v>
      </c>
      <c r="G35" s="503"/>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6"/>
      <c r="AO35" s="616"/>
      <c r="AP35" s="616"/>
    </row>
    <row r="36" spans="1:42" s="587" customFormat="1" ht="15">
      <c r="A36" s="613" t="s">
        <v>611</v>
      </c>
      <c r="B36" s="597" t="s">
        <v>787</v>
      </c>
      <c r="C36" s="598">
        <v>2015</v>
      </c>
      <c r="D36" s="598">
        <v>10</v>
      </c>
      <c r="E36" s="599">
        <v>0.313</v>
      </c>
      <c r="F36" s="600">
        <v>180</v>
      </c>
      <c r="G36" s="503"/>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row>
    <row r="37" spans="1:42" s="587" customFormat="1" ht="15">
      <c r="A37" s="596" t="s">
        <v>612</v>
      </c>
      <c r="B37" s="597" t="s">
        <v>786</v>
      </c>
      <c r="C37" s="598">
        <v>2015</v>
      </c>
      <c r="D37" s="598">
        <v>6</v>
      </c>
      <c r="E37" s="599">
        <v>9.4049999999999994</v>
      </c>
      <c r="F37" s="600">
        <f>1500-200</f>
        <v>1300</v>
      </c>
      <c r="G37" s="503"/>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row>
    <row r="38" spans="1:42" s="587" customFormat="1" ht="30">
      <c r="A38" s="613" t="s">
        <v>613</v>
      </c>
      <c r="B38" s="597" t="s">
        <v>785</v>
      </c>
      <c r="C38" s="598">
        <v>2015</v>
      </c>
      <c r="D38" s="598">
        <v>6</v>
      </c>
      <c r="E38" s="599">
        <v>0.58699999999999997</v>
      </c>
      <c r="F38" s="600">
        <v>50</v>
      </c>
      <c r="G38" s="503"/>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L38" s="616"/>
      <c r="AM38" s="616"/>
      <c r="AN38" s="616"/>
      <c r="AO38" s="616"/>
      <c r="AP38" s="616"/>
    </row>
    <row r="39" spans="1:42" s="587" customFormat="1" ht="15">
      <c r="A39" s="613" t="s">
        <v>614</v>
      </c>
      <c r="B39" s="597" t="s">
        <v>784</v>
      </c>
      <c r="C39" s="598">
        <v>2015</v>
      </c>
      <c r="D39" s="598">
        <v>10</v>
      </c>
      <c r="E39" s="599">
        <v>3.5999999999999997E-2</v>
      </c>
      <c r="F39" s="600">
        <v>230</v>
      </c>
      <c r="G39" s="503"/>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6"/>
      <c r="AO39" s="616"/>
      <c r="AP39" s="616"/>
    </row>
    <row r="40" spans="1:42" s="587" customFormat="1" ht="15">
      <c r="A40" s="596" t="s">
        <v>615</v>
      </c>
      <c r="B40" s="597" t="s">
        <v>783</v>
      </c>
      <c r="C40" s="598">
        <v>2015</v>
      </c>
      <c r="D40" s="598">
        <v>10</v>
      </c>
      <c r="E40" s="599">
        <v>0.26600000000000001</v>
      </c>
      <c r="F40" s="600">
        <v>50</v>
      </c>
      <c r="G40" s="503"/>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6"/>
      <c r="AO40" s="616"/>
      <c r="AP40" s="616"/>
    </row>
    <row r="41" spans="1:42" s="587" customFormat="1" ht="15">
      <c r="A41" s="613" t="s">
        <v>616</v>
      </c>
      <c r="B41" s="597" t="s">
        <v>782</v>
      </c>
      <c r="C41" s="598">
        <v>2015</v>
      </c>
      <c r="D41" s="598">
        <v>0.4</v>
      </c>
      <c r="E41" s="599">
        <v>6.2E-2</v>
      </c>
      <c r="F41" s="600">
        <v>30</v>
      </c>
      <c r="G41" s="503"/>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row>
    <row r="42" spans="1:42" s="587" customFormat="1" ht="30">
      <c r="A42" s="613" t="s">
        <v>617</v>
      </c>
      <c r="B42" s="597" t="s">
        <v>781</v>
      </c>
      <c r="C42" s="598">
        <v>2015</v>
      </c>
      <c r="D42" s="598">
        <v>35</v>
      </c>
      <c r="E42" s="599">
        <v>0.24199999999999999</v>
      </c>
      <c r="F42" s="600">
        <f>595-495</f>
        <v>100</v>
      </c>
      <c r="G42" s="503"/>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row>
    <row r="43" spans="1:42" s="587" customFormat="1" ht="30">
      <c r="A43" s="596" t="s">
        <v>618</v>
      </c>
      <c r="B43" s="597" t="s">
        <v>780</v>
      </c>
      <c r="C43" s="598">
        <v>2015</v>
      </c>
      <c r="D43" s="598">
        <v>10</v>
      </c>
      <c r="E43" s="599">
        <v>0.38800000000000001</v>
      </c>
      <c r="F43" s="600">
        <v>700</v>
      </c>
      <c r="G43" s="503"/>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row>
    <row r="44" spans="1:42" s="587" customFormat="1" ht="15">
      <c r="A44" s="613" t="s">
        <v>619</v>
      </c>
      <c r="B44" s="597" t="s">
        <v>779</v>
      </c>
      <c r="C44" s="598">
        <v>2015</v>
      </c>
      <c r="D44" s="598">
        <v>10</v>
      </c>
      <c r="E44" s="599">
        <f>0.1325+2.103</f>
        <v>2.2355</v>
      </c>
      <c r="F44" s="600">
        <f>550/2</f>
        <v>275</v>
      </c>
      <c r="G44" s="503"/>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6"/>
      <c r="AO44" s="616"/>
      <c r="AP44" s="616"/>
    </row>
    <row r="45" spans="1:42" ht="15">
      <c r="A45" s="529" t="s">
        <v>620</v>
      </c>
      <c r="B45" s="525"/>
      <c r="C45" s="526"/>
      <c r="D45" s="526"/>
      <c r="E45" s="527"/>
      <c r="F45" s="528"/>
    </row>
    <row r="46" spans="1:42" ht="15.75" thickBot="1">
      <c r="A46" s="524" t="s">
        <v>621</v>
      </c>
      <c r="B46" s="525"/>
      <c r="C46" s="526"/>
      <c r="D46" s="526"/>
      <c r="E46" s="527"/>
      <c r="F46" s="528"/>
    </row>
    <row r="47" spans="1:42" s="518" customFormat="1" ht="15.75" thickBot="1">
      <c r="A47" s="699" t="s">
        <v>135</v>
      </c>
      <c r="B47" s="700" t="s">
        <v>414</v>
      </c>
      <c r="C47" s="701" t="s">
        <v>380</v>
      </c>
      <c r="D47" s="701" t="s">
        <v>380</v>
      </c>
      <c r="E47" s="702" t="s">
        <v>380</v>
      </c>
      <c r="F47" s="703" t="s">
        <v>380</v>
      </c>
      <c r="G47" s="503"/>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row>
    <row r="48" spans="1:42" s="518" customFormat="1" ht="15">
      <c r="A48" s="512" t="s">
        <v>167</v>
      </c>
      <c r="B48" s="513" t="s">
        <v>415</v>
      </c>
      <c r="C48" s="514" t="s">
        <v>380</v>
      </c>
      <c r="D48" s="514" t="s">
        <v>380</v>
      </c>
      <c r="E48" s="515" t="s">
        <v>380</v>
      </c>
      <c r="F48" s="516" t="s">
        <v>380</v>
      </c>
      <c r="G48" s="503"/>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row>
    <row r="49" spans="1:42" s="518" customFormat="1" ht="15">
      <c r="A49" s="519" t="s">
        <v>168</v>
      </c>
      <c r="B49" s="520" t="s">
        <v>416</v>
      </c>
      <c r="C49" s="521" t="s">
        <v>380</v>
      </c>
      <c r="D49" s="521" t="s">
        <v>380</v>
      </c>
      <c r="E49" s="522" t="s">
        <v>380</v>
      </c>
      <c r="F49" s="523" t="s">
        <v>380</v>
      </c>
      <c r="G49" s="503"/>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row>
    <row r="50" spans="1:42" s="518" customFormat="1" ht="15">
      <c r="A50" s="519" t="s">
        <v>169</v>
      </c>
      <c r="B50" s="520" t="s">
        <v>417</v>
      </c>
      <c r="C50" s="521" t="s">
        <v>380</v>
      </c>
      <c r="D50" s="521" t="s">
        <v>380</v>
      </c>
      <c r="E50" s="522" t="s">
        <v>380</v>
      </c>
      <c r="F50" s="523" t="s">
        <v>380</v>
      </c>
      <c r="G50" s="503"/>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row>
    <row r="51" spans="1:42" ht="15">
      <c r="A51" s="529" t="s">
        <v>418</v>
      </c>
      <c r="B51" s="530" t="s">
        <v>399</v>
      </c>
      <c r="C51" s="531">
        <v>2015</v>
      </c>
      <c r="D51" s="531" t="s">
        <v>401</v>
      </c>
      <c r="E51" s="532"/>
      <c r="F51" s="533"/>
    </row>
    <row r="52" spans="1:42" ht="15">
      <c r="A52" s="529" t="s">
        <v>419</v>
      </c>
      <c r="B52" s="530" t="s">
        <v>399</v>
      </c>
      <c r="C52" s="531">
        <v>2015</v>
      </c>
      <c r="D52" s="531">
        <v>35</v>
      </c>
      <c r="E52" s="532"/>
      <c r="F52" s="533"/>
    </row>
    <row r="53" spans="1:42" ht="15">
      <c r="A53" s="529" t="s">
        <v>420</v>
      </c>
      <c r="B53" s="530" t="s">
        <v>399</v>
      </c>
      <c r="C53" s="531">
        <v>2015</v>
      </c>
      <c r="D53" s="531">
        <v>110</v>
      </c>
      <c r="E53" s="532"/>
      <c r="F53" s="533"/>
    </row>
    <row r="54" spans="1:42" ht="15">
      <c r="A54" s="529" t="s">
        <v>421</v>
      </c>
      <c r="B54" s="530" t="s">
        <v>387</v>
      </c>
      <c r="C54" s="531">
        <v>2015</v>
      </c>
      <c r="D54" s="531" t="s">
        <v>401</v>
      </c>
      <c r="E54" s="532"/>
      <c r="F54" s="533"/>
    </row>
    <row r="55" spans="1:42" ht="15">
      <c r="A55" s="529" t="s">
        <v>422</v>
      </c>
      <c r="B55" s="530" t="s">
        <v>387</v>
      </c>
      <c r="C55" s="531">
        <v>2015</v>
      </c>
      <c r="D55" s="531">
        <v>35</v>
      </c>
      <c r="E55" s="532"/>
      <c r="F55" s="533"/>
    </row>
    <row r="56" spans="1:42" ht="15">
      <c r="A56" s="529" t="s">
        <v>423</v>
      </c>
      <c r="B56" s="530" t="s">
        <v>387</v>
      </c>
      <c r="C56" s="531">
        <v>2015</v>
      </c>
      <c r="D56" s="531">
        <v>110</v>
      </c>
      <c r="E56" s="532"/>
      <c r="F56" s="533"/>
    </row>
    <row r="57" spans="1:42" ht="15">
      <c r="A57" s="529" t="s">
        <v>424</v>
      </c>
      <c r="B57" s="530" t="s">
        <v>389</v>
      </c>
      <c r="C57" s="531">
        <v>2015</v>
      </c>
      <c r="D57" s="531" t="s">
        <v>401</v>
      </c>
      <c r="E57" s="532"/>
      <c r="F57" s="533"/>
    </row>
    <row r="58" spans="1:42" ht="15">
      <c r="A58" s="529" t="s">
        <v>425</v>
      </c>
      <c r="B58" s="530" t="s">
        <v>389</v>
      </c>
      <c r="C58" s="531">
        <v>2015</v>
      </c>
      <c r="D58" s="531">
        <v>35</v>
      </c>
      <c r="E58" s="532"/>
      <c r="F58" s="533"/>
    </row>
    <row r="59" spans="1:42" ht="15">
      <c r="A59" s="529" t="s">
        <v>426</v>
      </c>
      <c r="B59" s="530" t="s">
        <v>389</v>
      </c>
      <c r="C59" s="531">
        <v>2015</v>
      </c>
      <c r="D59" s="531">
        <v>110</v>
      </c>
      <c r="E59" s="532"/>
      <c r="F59" s="533"/>
    </row>
    <row r="60" spans="1:42" ht="15.75" thickBot="1">
      <c r="A60" s="539" t="s">
        <v>427</v>
      </c>
      <c r="B60" s="540" t="s">
        <v>392</v>
      </c>
      <c r="C60" s="541">
        <v>2015</v>
      </c>
      <c r="D60" s="541">
        <v>110</v>
      </c>
      <c r="E60" s="542"/>
      <c r="F60" s="543"/>
    </row>
    <row r="61" spans="1:42" s="518" customFormat="1" ht="15">
      <c r="A61" s="512" t="s">
        <v>428</v>
      </c>
      <c r="B61" s="513" t="s">
        <v>429</v>
      </c>
      <c r="C61" s="514" t="s">
        <v>380</v>
      </c>
      <c r="D61" s="514" t="s">
        <v>380</v>
      </c>
      <c r="E61" s="515" t="s">
        <v>380</v>
      </c>
      <c r="F61" s="516" t="s">
        <v>380</v>
      </c>
      <c r="G61" s="503"/>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row>
    <row r="62" spans="1:42" ht="15">
      <c r="A62" s="529" t="s">
        <v>430</v>
      </c>
      <c r="B62" s="530" t="s">
        <v>399</v>
      </c>
      <c r="C62" s="531">
        <v>2015</v>
      </c>
      <c r="D62" s="531" t="s">
        <v>401</v>
      </c>
      <c r="E62" s="532"/>
      <c r="F62" s="533"/>
    </row>
    <row r="63" spans="1:42" ht="15">
      <c r="A63" s="529" t="s">
        <v>431</v>
      </c>
      <c r="B63" s="530" t="s">
        <v>399</v>
      </c>
      <c r="C63" s="531">
        <v>2015</v>
      </c>
      <c r="D63" s="531">
        <v>35</v>
      </c>
      <c r="E63" s="532"/>
      <c r="F63" s="533"/>
    </row>
    <row r="64" spans="1:42" ht="15">
      <c r="A64" s="529" t="s">
        <v>432</v>
      </c>
      <c r="B64" s="530" t="s">
        <v>399</v>
      </c>
      <c r="C64" s="531">
        <v>2015</v>
      </c>
      <c r="D64" s="531">
        <v>110</v>
      </c>
      <c r="E64" s="532"/>
      <c r="F64" s="533"/>
    </row>
    <row r="65" spans="1:42" ht="15">
      <c r="A65" s="529" t="s">
        <v>433</v>
      </c>
      <c r="B65" s="530" t="s">
        <v>387</v>
      </c>
      <c r="C65" s="531">
        <v>2015</v>
      </c>
      <c r="D65" s="531" t="s">
        <v>401</v>
      </c>
      <c r="E65" s="532"/>
      <c r="F65" s="533"/>
    </row>
    <row r="66" spans="1:42" ht="15">
      <c r="A66" s="529" t="s">
        <v>434</v>
      </c>
      <c r="B66" s="530" t="s">
        <v>387</v>
      </c>
      <c r="C66" s="531">
        <v>2015</v>
      </c>
      <c r="D66" s="531">
        <v>35</v>
      </c>
      <c r="E66" s="532"/>
      <c r="F66" s="533"/>
    </row>
    <row r="67" spans="1:42" ht="15">
      <c r="A67" s="529" t="s">
        <v>435</v>
      </c>
      <c r="B67" s="530" t="s">
        <v>387</v>
      </c>
      <c r="C67" s="531">
        <v>2015</v>
      </c>
      <c r="D67" s="531">
        <v>110</v>
      </c>
      <c r="E67" s="532"/>
      <c r="F67" s="533"/>
    </row>
    <row r="68" spans="1:42" ht="15">
      <c r="A68" s="529" t="s">
        <v>436</v>
      </c>
      <c r="B68" s="530" t="s">
        <v>389</v>
      </c>
      <c r="C68" s="531">
        <v>2015</v>
      </c>
      <c r="D68" s="531" t="s">
        <v>401</v>
      </c>
      <c r="E68" s="532"/>
      <c r="F68" s="533"/>
    </row>
    <row r="69" spans="1:42" ht="15">
      <c r="A69" s="529" t="s">
        <v>437</v>
      </c>
      <c r="B69" s="530" t="s">
        <v>389</v>
      </c>
      <c r="C69" s="531">
        <v>2015</v>
      </c>
      <c r="D69" s="531">
        <v>35</v>
      </c>
      <c r="E69" s="532"/>
      <c r="F69" s="533"/>
    </row>
    <row r="70" spans="1:42" ht="15">
      <c r="A70" s="529" t="s">
        <v>438</v>
      </c>
      <c r="B70" s="530" t="s">
        <v>389</v>
      </c>
      <c r="C70" s="531">
        <v>2015</v>
      </c>
      <c r="D70" s="531">
        <v>110</v>
      </c>
      <c r="E70" s="532"/>
      <c r="F70" s="533"/>
    </row>
    <row r="71" spans="1:42" ht="15.75" thickBot="1">
      <c r="A71" s="539" t="s">
        <v>439</v>
      </c>
      <c r="B71" s="540" t="s">
        <v>392</v>
      </c>
      <c r="C71" s="541">
        <v>2015</v>
      </c>
      <c r="D71" s="541">
        <v>110</v>
      </c>
      <c r="E71" s="542"/>
      <c r="F71" s="543"/>
    </row>
    <row r="72" spans="1:42" s="518" customFormat="1" ht="15">
      <c r="A72" s="519" t="s">
        <v>170</v>
      </c>
      <c r="B72" s="520" t="s">
        <v>440</v>
      </c>
      <c r="C72" s="521" t="s">
        <v>380</v>
      </c>
      <c r="D72" s="521" t="s">
        <v>380</v>
      </c>
      <c r="E72" s="522" t="s">
        <v>380</v>
      </c>
      <c r="F72" s="523" t="s">
        <v>380</v>
      </c>
      <c r="G72" s="503"/>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row>
    <row r="73" spans="1:42" s="518" customFormat="1" ht="15">
      <c r="A73" s="519" t="s">
        <v>171</v>
      </c>
      <c r="B73" s="520" t="s">
        <v>417</v>
      </c>
      <c r="C73" s="521" t="s">
        <v>380</v>
      </c>
      <c r="D73" s="521" t="s">
        <v>380</v>
      </c>
      <c r="E73" s="522" t="s">
        <v>380</v>
      </c>
      <c r="F73" s="523" t="s">
        <v>380</v>
      </c>
      <c r="G73" s="503"/>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row>
    <row r="74" spans="1:42" ht="15">
      <c r="A74" s="529" t="s">
        <v>441</v>
      </c>
      <c r="B74" s="530" t="s">
        <v>399</v>
      </c>
      <c r="C74" s="531">
        <v>2015</v>
      </c>
      <c r="D74" s="531">
        <v>0.4</v>
      </c>
      <c r="E74" s="532"/>
      <c r="F74" s="533"/>
    </row>
    <row r="75" spans="1:42" ht="15">
      <c r="A75" s="529" t="s">
        <v>442</v>
      </c>
      <c r="B75" s="530" t="s">
        <v>399</v>
      </c>
      <c r="C75" s="531">
        <v>2015</v>
      </c>
      <c r="D75" s="531" t="s">
        <v>401</v>
      </c>
      <c r="E75" s="532"/>
      <c r="F75" s="533"/>
    </row>
    <row r="76" spans="1:42" ht="15">
      <c r="A76" s="529" t="s">
        <v>443</v>
      </c>
      <c r="B76" s="530" t="s">
        <v>399</v>
      </c>
      <c r="C76" s="531">
        <v>2015</v>
      </c>
      <c r="D76" s="531">
        <v>35</v>
      </c>
      <c r="E76" s="532"/>
      <c r="F76" s="533"/>
    </row>
    <row r="77" spans="1:42" ht="15">
      <c r="A77" s="529" t="s">
        <v>444</v>
      </c>
      <c r="B77" s="530" t="s">
        <v>399</v>
      </c>
      <c r="C77" s="531">
        <v>2015</v>
      </c>
      <c r="D77" s="531">
        <v>110</v>
      </c>
      <c r="E77" s="532"/>
      <c r="F77" s="533"/>
    </row>
    <row r="78" spans="1:42" ht="15">
      <c r="A78" s="529" t="s">
        <v>445</v>
      </c>
      <c r="B78" s="530" t="s">
        <v>387</v>
      </c>
      <c r="C78" s="531">
        <v>2015</v>
      </c>
      <c r="D78" s="531">
        <v>0.4</v>
      </c>
      <c r="E78" s="532">
        <v>0.41999999999999993</v>
      </c>
      <c r="F78" s="533">
        <v>175</v>
      </c>
    </row>
    <row r="79" spans="1:42" ht="15">
      <c r="A79" s="529" t="s">
        <v>446</v>
      </c>
      <c r="B79" s="530" t="s">
        <v>387</v>
      </c>
      <c r="C79" s="531">
        <v>2015</v>
      </c>
      <c r="D79" s="531" t="s">
        <v>401</v>
      </c>
      <c r="E79" s="532"/>
      <c r="F79" s="533"/>
    </row>
    <row r="80" spans="1:42" ht="15">
      <c r="A80" s="529" t="s">
        <v>447</v>
      </c>
      <c r="B80" s="530" t="s">
        <v>387</v>
      </c>
      <c r="C80" s="531">
        <v>2015</v>
      </c>
      <c r="D80" s="531">
        <v>35</v>
      </c>
      <c r="E80" s="532"/>
      <c r="F80" s="533"/>
    </row>
    <row r="81" spans="1:42" ht="15">
      <c r="A81" s="529" t="s">
        <v>448</v>
      </c>
      <c r="B81" s="530" t="s">
        <v>387</v>
      </c>
      <c r="C81" s="531">
        <v>2015</v>
      </c>
      <c r="D81" s="531">
        <v>110</v>
      </c>
      <c r="E81" s="532"/>
      <c r="F81" s="533"/>
    </row>
    <row r="82" spans="1:42" ht="15">
      <c r="A82" s="529" t="s">
        <v>449</v>
      </c>
      <c r="B82" s="530" t="s">
        <v>389</v>
      </c>
      <c r="C82" s="531">
        <v>2015</v>
      </c>
      <c r="D82" s="531">
        <v>0.4</v>
      </c>
      <c r="E82" s="532">
        <v>0.7</v>
      </c>
      <c r="F82" s="533">
        <v>180</v>
      </c>
    </row>
    <row r="83" spans="1:42" ht="15">
      <c r="A83" s="529" t="s">
        <v>450</v>
      </c>
      <c r="B83" s="530" t="s">
        <v>389</v>
      </c>
      <c r="C83" s="531">
        <v>2015</v>
      </c>
      <c r="D83" s="531" t="s">
        <v>401</v>
      </c>
      <c r="E83" s="532"/>
      <c r="F83" s="533"/>
    </row>
    <row r="84" spans="1:42" ht="15">
      <c r="A84" s="529" t="s">
        <v>451</v>
      </c>
      <c r="B84" s="530" t="s">
        <v>389</v>
      </c>
      <c r="C84" s="531">
        <v>2015</v>
      </c>
      <c r="D84" s="531">
        <v>35</v>
      </c>
      <c r="E84" s="532"/>
      <c r="F84" s="533"/>
    </row>
    <row r="85" spans="1:42" ht="15">
      <c r="A85" s="529" t="s">
        <v>452</v>
      </c>
      <c r="B85" s="530" t="s">
        <v>389</v>
      </c>
      <c r="C85" s="531">
        <v>2015</v>
      </c>
      <c r="D85" s="531">
        <v>110</v>
      </c>
      <c r="E85" s="532"/>
      <c r="F85" s="533"/>
    </row>
    <row r="86" spans="1:42" ht="15">
      <c r="A86" s="524" t="s">
        <v>453</v>
      </c>
      <c r="B86" s="525" t="s">
        <v>392</v>
      </c>
      <c r="C86" s="526">
        <v>2015</v>
      </c>
      <c r="D86" s="526">
        <v>0.4</v>
      </c>
      <c r="E86" s="527">
        <v>0.3</v>
      </c>
      <c r="F86" s="528">
        <v>100</v>
      </c>
    </row>
    <row r="87" spans="1:42" ht="15.75" thickBot="1">
      <c r="A87" s="539" t="s">
        <v>454</v>
      </c>
      <c r="B87" s="540" t="s">
        <v>392</v>
      </c>
      <c r="C87" s="541">
        <v>2015</v>
      </c>
      <c r="D87" s="541">
        <v>110</v>
      </c>
      <c r="E87" s="542"/>
      <c r="F87" s="543"/>
    </row>
    <row r="88" spans="1:42" s="518" customFormat="1" ht="15">
      <c r="A88" s="512" t="s">
        <v>172</v>
      </c>
      <c r="B88" s="513" t="s">
        <v>429</v>
      </c>
      <c r="C88" s="514" t="s">
        <v>380</v>
      </c>
      <c r="D88" s="514" t="s">
        <v>380</v>
      </c>
      <c r="E88" s="515" t="s">
        <v>380</v>
      </c>
      <c r="F88" s="516" t="s">
        <v>380</v>
      </c>
      <c r="G88" s="503"/>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5"/>
      <c r="AL88" s="615"/>
      <c r="AM88" s="615"/>
      <c r="AN88" s="615"/>
      <c r="AO88" s="615"/>
      <c r="AP88" s="615"/>
    </row>
    <row r="89" spans="1:42" ht="15">
      <c r="A89" s="529" t="s">
        <v>455</v>
      </c>
      <c r="B89" s="530" t="s">
        <v>399</v>
      </c>
      <c r="C89" s="531">
        <v>2015</v>
      </c>
      <c r="D89" s="531">
        <v>0.4</v>
      </c>
      <c r="E89" s="532"/>
      <c r="F89" s="533"/>
    </row>
    <row r="90" spans="1:42" ht="15">
      <c r="A90" s="529" t="s">
        <v>456</v>
      </c>
      <c r="B90" s="530" t="s">
        <v>399</v>
      </c>
      <c r="C90" s="531">
        <v>2015</v>
      </c>
      <c r="D90" s="531" t="s">
        <v>401</v>
      </c>
      <c r="E90" s="532"/>
      <c r="F90" s="533"/>
    </row>
    <row r="91" spans="1:42" ht="15">
      <c r="A91" s="529" t="s">
        <v>457</v>
      </c>
      <c r="B91" s="530" t="s">
        <v>399</v>
      </c>
      <c r="C91" s="531">
        <v>2015</v>
      </c>
      <c r="D91" s="531">
        <v>35</v>
      </c>
      <c r="E91" s="532"/>
      <c r="F91" s="533"/>
    </row>
    <row r="92" spans="1:42" ht="15">
      <c r="A92" s="529" t="s">
        <v>458</v>
      </c>
      <c r="B92" s="530" t="s">
        <v>399</v>
      </c>
      <c r="C92" s="531">
        <v>2015</v>
      </c>
      <c r="D92" s="531">
        <v>110</v>
      </c>
      <c r="E92" s="532"/>
      <c r="F92" s="533"/>
    </row>
    <row r="93" spans="1:42" ht="15">
      <c r="A93" s="529" t="s">
        <v>459</v>
      </c>
      <c r="B93" s="530" t="s">
        <v>387</v>
      </c>
      <c r="C93" s="531">
        <v>2015</v>
      </c>
      <c r="D93" s="531">
        <v>0.4</v>
      </c>
      <c r="E93" s="532"/>
      <c r="F93" s="533"/>
    </row>
    <row r="94" spans="1:42" ht="15">
      <c r="A94" s="529" t="s">
        <v>460</v>
      </c>
      <c r="B94" s="530" t="s">
        <v>387</v>
      </c>
      <c r="C94" s="531">
        <v>2015</v>
      </c>
      <c r="D94" s="531" t="s">
        <v>401</v>
      </c>
      <c r="E94" s="532">
        <f>E162</f>
        <v>0.05</v>
      </c>
      <c r="F94" s="533">
        <f>F162</f>
        <v>20</v>
      </c>
    </row>
    <row r="95" spans="1:42" ht="15">
      <c r="A95" s="529" t="s">
        <v>461</v>
      </c>
      <c r="B95" s="530" t="s">
        <v>387</v>
      </c>
      <c r="C95" s="531">
        <v>2015</v>
      </c>
      <c r="D95" s="531">
        <v>35</v>
      </c>
      <c r="E95" s="532"/>
      <c r="F95" s="533"/>
    </row>
    <row r="96" spans="1:42" ht="15">
      <c r="A96" s="529" t="s">
        <v>462</v>
      </c>
      <c r="B96" s="530" t="s">
        <v>387</v>
      </c>
      <c r="C96" s="531">
        <v>2015</v>
      </c>
      <c r="D96" s="531">
        <v>110</v>
      </c>
      <c r="E96" s="532"/>
      <c r="F96" s="533"/>
    </row>
    <row r="97" spans="1:42" ht="15">
      <c r="A97" s="529" t="s">
        <v>463</v>
      </c>
      <c r="B97" s="530" t="s">
        <v>389</v>
      </c>
      <c r="C97" s="531">
        <v>2015</v>
      </c>
      <c r="D97" s="531">
        <v>0.4</v>
      </c>
      <c r="E97" s="532"/>
      <c r="F97" s="533"/>
    </row>
    <row r="98" spans="1:42" ht="15">
      <c r="A98" s="529" t="s">
        <v>464</v>
      </c>
      <c r="B98" s="530" t="s">
        <v>389</v>
      </c>
      <c r="C98" s="531">
        <v>2015</v>
      </c>
      <c r="D98" s="531" t="s">
        <v>401</v>
      </c>
      <c r="E98" s="532"/>
      <c r="F98" s="533"/>
    </row>
    <row r="99" spans="1:42" ht="15">
      <c r="A99" s="529" t="s">
        <v>465</v>
      </c>
      <c r="B99" s="530" t="s">
        <v>389</v>
      </c>
      <c r="C99" s="531">
        <v>2015</v>
      </c>
      <c r="D99" s="531">
        <v>35</v>
      </c>
      <c r="E99" s="532"/>
      <c r="F99" s="533"/>
    </row>
    <row r="100" spans="1:42" ht="15">
      <c r="A100" s="529" t="s">
        <v>466</v>
      </c>
      <c r="B100" s="530" t="s">
        <v>389</v>
      </c>
      <c r="C100" s="531">
        <v>2015</v>
      </c>
      <c r="D100" s="531">
        <v>110</v>
      </c>
      <c r="E100" s="532"/>
      <c r="F100" s="533"/>
    </row>
    <row r="101" spans="1:42" ht="15.75" thickBot="1">
      <c r="A101" s="539" t="s">
        <v>467</v>
      </c>
      <c r="B101" s="540" t="s">
        <v>392</v>
      </c>
      <c r="C101" s="541">
        <v>2015</v>
      </c>
      <c r="D101" s="541" t="s">
        <v>401</v>
      </c>
      <c r="E101" s="542">
        <f>E163</f>
        <v>0.93</v>
      </c>
      <c r="F101" s="543">
        <f>F163</f>
        <v>200</v>
      </c>
    </row>
    <row r="102" spans="1:42" s="518" customFormat="1" ht="15.75" thickBot="1">
      <c r="A102" s="512" t="s">
        <v>173</v>
      </c>
      <c r="B102" s="513" t="s">
        <v>468</v>
      </c>
      <c r="C102" s="514" t="s">
        <v>380</v>
      </c>
      <c r="D102" s="514" t="s">
        <v>380</v>
      </c>
      <c r="E102" s="515" t="s">
        <v>380</v>
      </c>
      <c r="F102" s="516" t="s">
        <v>380</v>
      </c>
      <c r="G102" s="503"/>
      <c r="H102" s="615"/>
      <c r="I102" s="615"/>
      <c r="J102" s="615"/>
      <c r="K102" s="615"/>
      <c r="L102" s="615"/>
      <c r="M102" s="615"/>
      <c r="N102" s="615"/>
      <c r="O102" s="615"/>
      <c r="P102" s="615"/>
      <c r="Q102" s="615"/>
      <c r="R102" s="615"/>
      <c r="S102" s="615"/>
      <c r="T102" s="615"/>
      <c r="U102" s="615"/>
      <c r="V102" s="615"/>
      <c r="W102" s="615"/>
      <c r="X102" s="615"/>
      <c r="Y102" s="615"/>
      <c r="Z102" s="615"/>
      <c r="AA102" s="615"/>
      <c r="AB102" s="615"/>
      <c r="AC102" s="615"/>
      <c r="AD102" s="615"/>
      <c r="AE102" s="615"/>
      <c r="AF102" s="615"/>
      <c r="AG102" s="615"/>
      <c r="AH102" s="615"/>
      <c r="AI102" s="615"/>
      <c r="AJ102" s="615"/>
      <c r="AK102" s="615"/>
      <c r="AL102" s="615"/>
      <c r="AM102" s="615"/>
      <c r="AN102" s="615"/>
      <c r="AO102" s="615"/>
      <c r="AP102" s="615"/>
    </row>
    <row r="103" spans="1:42" s="518" customFormat="1" ht="15.75" hidden="1" thickBot="1">
      <c r="A103" s="519" t="s">
        <v>174</v>
      </c>
      <c r="B103" s="520" t="s">
        <v>416</v>
      </c>
      <c r="C103" s="521" t="s">
        <v>380</v>
      </c>
      <c r="D103" s="521" t="s">
        <v>380</v>
      </c>
      <c r="E103" s="522" t="s">
        <v>380</v>
      </c>
      <c r="F103" s="523" t="s">
        <v>380</v>
      </c>
      <c r="G103" s="503"/>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15"/>
      <c r="AL103" s="615"/>
      <c r="AM103" s="615"/>
      <c r="AN103" s="615"/>
      <c r="AO103" s="615"/>
      <c r="AP103" s="615"/>
    </row>
    <row r="104" spans="1:42" s="518" customFormat="1" ht="15.75" hidden="1" thickBot="1">
      <c r="A104" s="519" t="s">
        <v>175</v>
      </c>
      <c r="B104" s="520" t="s">
        <v>417</v>
      </c>
      <c r="C104" s="521" t="s">
        <v>380</v>
      </c>
      <c r="D104" s="521" t="s">
        <v>380</v>
      </c>
      <c r="E104" s="522" t="s">
        <v>380</v>
      </c>
      <c r="F104" s="523" t="s">
        <v>380</v>
      </c>
      <c r="G104" s="503"/>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15"/>
      <c r="AL104" s="615"/>
      <c r="AM104" s="615"/>
      <c r="AN104" s="615"/>
      <c r="AO104" s="615"/>
      <c r="AP104" s="615"/>
    </row>
    <row r="105" spans="1:42" ht="15.75" hidden="1" thickBot="1">
      <c r="A105" s="529" t="s">
        <v>469</v>
      </c>
      <c r="B105" s="530" t="s">
        <v>399</v>
      </c>
      <c r="C105" s="531"/>
      <c r="D105" s="531" t="s">
        <v>401</v>
      </c>
      <c r="E105" s="532"/>
      <c r="F105" s="533"/>
    </row>
    <row r="106" spans="1:42" ht="15.75" hidden="1" thickBot="1">
      <c r="A106" s="529" t="s">
        <v>470</v>
      </c>
      <c r="B106" s="530" t="s">
        <v>399</v>
      </c>
      <c r="C106" s="531"/>
      <c r="D106" s="531">
        <v>35</v>
      </c>
      <c r="E106" s="532"/>
      <c r="F106" s="533"/>
    </row>
    <row r="107" spans="1:42" ht="15.75" hidden="1" thickBot="1">
      <c r="A107" s="529" t="s">
        <v>471</v>
      </c>
      <c r="B107" s="530" t="s">
        <v>399</v>
      </c>
      <c r="C107" s="531"/>
      <c r="D107" s="531">
        <v>110</v>
      </c>
      <c r="E107" s="532"/>
      <c r="F107" s="533"/>
    </row>
    <row r="108" spans="1:42" ht="15.75" hidden="1" thickBot="1">
      <c r="A108" s="529" t="s">
        <v>472</v>
      </c>
      <c r="B108" s="530" t="s">
        <v>387</v>
      </c>
      <c r="C108" s="531"/>
      <c r="D108" s="531" t="s">
        <v>401</v>
      </c>
      <c r="E108" s="532"/>
      <c r="F108" s="533"/>
    </row>
    <row r="109" spans="1:42" ht="15.75" hidden="1" thickBot="1">
      <c r="A109" s="529" t="s">
        <v>473</v>
      </c>
      <c r="B109" s="530" t="s">
        <v>387</v>
      </c>
      <c r="C109" s="531"/>
      <c r="D109" s="531">
        <v>35</v>
      </c>
      <c r="E109" s="532"/>
      <c r="F109" s="533"/>
    </row>
    <row r="110" spans="1:42" ht="15.75" hidden="1" thickBot="1">
      <c r="A110" s="529" t="s">
        <v>474</v>
      </c>
      <c r="B110" s="530" t="s">
        <v>387</v>
      </c>
      <c r="C110" s="531"/>
      <c r="D110" s="531">
        <v>110</v>
      </c>
      <c r="E110" s="532"/>
      <c r="F110" s="533"/>
    </row>
    <row r="111" spans="1:42" ht="15.75" hidden="1" thickBot="1">
      <c r="A111" s="529" t="s">
        <v>475</v>
      </c>
      <c r="B111" s="530" t="s">
        <v>389</v>
      </c>
      <c r="C111" s="531"/>
      <c r="D111" s="531" t="s">
        <v>401</v>
      </c>
      <c r="E111" s="532"/>
      <c r="F111" s="533"/>
    </row>
    <row r="112" spans="1:42" ht="15.75" hidden="1" thickBot="1">
      <c r="A112" s="529" t="s">
        <v>476</v>
      </c>
      <c r="B112" s="530" t="s">
        <v>389</v>
      </c>
      <c r="C112" s="531"/>
      <c r="D112" s="531">
        <v>35</v>
      </c>
      <c r="E112" s="532"/>
      <c r="F112" s="533"/>
    </row>
    <row r="113" spans="1:42" ht="15.75" hidden="1" thickBot="1">
      <c r="A113" s="529" t="s">
        <v>477</v>
      </c>
      <c r="B113" s="530" t="s">
        <v>389</v>
      </c>
      <c r="C113" s="531"/>
      <c r="D113" s="531">
        <v>110</v>
      </c>
      <c r="E113" s="532"/>
      <c r="F113" s="533"/>
    </row>
    <row r="114" spans="1:42" ht="15.75" hidden="1" thickBot="1">
      <c r="A114" s="539" t="s">
        <v>478</v>
      </c>
      <c r="B114" s="540" t="s">
        <v>392</v>
      </c>
      <c r="C114" s="541"/>
      <c r="D114" s="541">
        <v>110</v>
      </c>
      <c r="E114" s="542"/>
      <c r="F114" s="543"/>
    </row>
    <row r="115" spans="1:42" s="518" customFormat="1" ht="15.75" hidden="1" thickBot="1">
      <c r="A115" s="512" t="s">
        <v>176</v>
      </c>
      <c r="B115" s="513" t="s">
        <v>429</v>
      </c>
      <c r="C115" s="514" t="s">
        <v>380</v>
      </c>
      <c r="D115" s="514" t="s">
        <v>380</v>
      </c>
      <c r="E115" s="515" t="s">
        <v>380</v>
      </c>
      <c r="F115" s="516" t="s">
        <v>380</v>
      </c>
      <c r="G115" s="503"/>
      <c r="H115" s="615"/>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c r="AI115" s="615"/>
      <c r="AJ115" s="615"/>
      <c r="AK115" s="615"/>
      <c r="AL115" s="615"/>
      <c r="AM115" s="615"/>
      <c r="AN115" s="615"/>
      <c r="AO115" s="615"/>
      <c r="AP115" s="615"/>
    </row>
    <row r="116" spans="1:42" ht="15.75" hidden="1" thickBot="1">
      <c r="A116" s="529" t="s">
        <v>480</v>
      </c>
      <c r="B116" s="530" t="s">
        <v>399</v>
      </c>
      <c r="C116" s="531"/>
      <c r="D116" s="531" t="s">
        <v>401</v>
      </c>
      <c r="E116" s="532"/>
      <c r="F116" s="533"/>
    </row>
    <row r="117" spans="1:42" ht="15.75" hidden="1" thickBot="1">
      <c r="A117" s="529" t="s">
        <v>481</v>
      </c>
      <c r="B117" s="530" t="s">
        <v>399</v>
      </c>
      <c r="C117" s="531"/>
      <c r="D117" s="531">
        <v>35</v>
      </c>
      <c r="E117" s="532"/>
      <c r="F117" s="533"/>
    </row>
    <row r="118" spans="1:42" ht="15.75" hidden="1" thickBot="1">
      <c r="A118" s="529" t="s">
        <v>482</v>
      </c>
      <c r="B118" s="530" t="s">
        <v>399</v>
      </c>
      <c r="C118" s="531"/>
      <c r="D118" s="531">
        <v>110</v>
      </c>
      <c r="E118" s="532"/>
      <c r="F118" s="533"/>
    </row>
    <row r="119" spans="1:42" ht="15.75" hidden="1" thickBot="1">
      <c r="A119" s="529" t="s">
        <v>483</v>
      </c>
      <c r="B119" s="530" t="s">
        <v>387</v>
      </c>
      <c r="C119" s="531"/>
      <c r="D119" s="531" t="s">
        <v>401</v>
      </c>
      <c r="E119" s="532"/>
      <c r="F119" s="533"/>
    </row>
    <row r="120" spans="1:42" ht="15.75" hidden="1" thickBot="1">
      <c r="A120" s="529" t="s">
        <v>484</v>
      </c>
      <c r="B120" s="530" t="s">
        <v>387</v>
      </c>
      <c r="C120" s="531"/>
      <c r="D120" s="531">
        <v>35</v>
      </c>
      <c r="E120" s="532"/>
      <c r="F120" s="533"/>
    </row>
    <row r="121" spans="1:42" ht="15.75" hidden="1" thickBot="1">
      <c r="A121" s="529" t="s">
        <v>485</v>
      </c>
      <c r="B121" s="530" t="s">
        <v>387</v>
      </c>
      <c r="C121" s="531"/>
      <c r="D121" s="531">
        <v>110</v>
      </c>
      <c r="E121" s="532"/>
      <c r="F121" s="533"/>
    </row>
    <row r="122" spans="1:42" ht="15.75" hidden="1" thickBot="1">
      <c r="A122" s="529" t="s">
        <v>486</v>
      </c>
      <c r="B122" s="530" t="s">
        <v>389</v>
      </c>
      <c r="C122" s="531"/>
      <c r="D122" s="531" t="s">
        <v>401</v>
      </c>
      <c r="E122" s="532"/>
      <c r="F122" s="533"/>
    </row>
    <row r="123" spans="1:42" ht="15.75" hidden="1" thickBot="1">
      <c r="A123" s="529" t="s">
        <v>487</v>
      </c>
      <c r="B123" s="530" t="s">
        <v>389</v>
      </c>
      <c r="C123" s="531"/>
      <c r="D123" s="531">
        <v>35</v>
      </c>
      <c r="E123" s="532"/>
      <c r="F123" s="533"/>
    </row>
    <row r="124" spans="1:42" ht="15.75" hidden="1" thickBot="1">
      <c r="A124" s="529" t="s">
        <v>488</v>
      </c>
      <c r="B124" s="530" t="s">
        <v>389</v>
      </c>
      <c r="C124" s="531"/>
      <c r="D124" s="531">
        <v>110</v>
      </c>
      <c r="E124" s="532"/>
      <c r="F124" s="533"/>
    </row>
    <row r="125" spans="1:42" ht="15.75" hidden="1" thickBot="1">
      <c r="A125" s="539" t="s">
        <v>489</v>
      </c>
      <c r="B125" s="540" t="s">
        <v>392</v>
      </c>
      <c r="C125" s="541"/>
      <c r="D125" s="541">
        <v>110</v>
      </c>
      <c r="E125" s="542"/>
      <c r="F125" s="543"/>
    </row>
    <row r="126" spans="1:42" s="518" customFormat="1" ht="15.75" hidden="1" thickBot="1">
      <c r="A126" s="519" t="s">
        <v>177</v>
      </c>
      <c r="B126" s="520" t="s">
        <v>440</v>
      </c>
      <c r="C126" s="521" t="s">
        <v>380</v>
      </c>
      <c r="D126" s="521" t="s">
        <v>380</v>
      </c>
      <c r="E126" s="522" t="s">
        <v>380</v>
      </c>
      <c r="F126" s="523" t="s">
        <v>380</v>
      </c>
      <c r="G126" s="503"/>
      <c r="H126" s="615"/>
      <c r="I126" s="615"/>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5"/>
      <c r="AK126" s="615"/>
      <c r="AL126" s="615"/>
      <c r="AM126" s="615"/>
      <c r="AN126" s="615"/>
      <c r="AO126" s="615"/>
      <c r="AP126" s="615"/>
    </row>
    <row r="127" spans="1:42" s="518" customFormat="1" ht="15.75" hidden="1" thickBot="1">
      <c r="A127" s="519" t="s">
        <v>178</v>
      </c>
      <c r="B127" s="520" t="s">
        <v>417</v>
      </c>
      <c r="C127" s="521" t="s">
        <v>380</v>
      </c>
      <c r="D127" s="521" t="s">
        <v>380</v>
      </c>
      <c r="E127" s="522" t="s">
        <v>380</v>
      </c>
      <c r="F127" s="523" t="s">
        <v>380</v>
      </c>
      <c r="G127" s="503"/>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row>
    <row r="128" spans="1:42" ht="15.75" hidden="1" thickBot="1">
      <c r="A128" s="529" t="s">
        <v>490</v>
      </c>
      <c r="B128" s="530" t="s">
        <v>399</v>
      </c>
      <c r="C128" s="531"/>
      <c r="D128" s="531" t="s">
        <v>401</v>
      </c>
      <c r="E128" s="532"/>
      <c r="F128" s="533"/>
    </row>
    <row r="129" spans="1:42" ht="15.75" hidden="1" thickBot="1">
      <c r="A129" s="529" t="s">
        <v>491</v>
      </c>
      <c r="B129" s="530" t="s">
        <v>399</v>
      </c>
      <c r="C129" s="531"/>
      <c r="D129" s="531">
        <v>35</v>
      </c>
      <c r="E129" s="532"/>
      <c r="F129" s="533"/>
    </row>
    <row r="130" spans="1:42" ht="15.75" hidden="1" thickBot="1">
      <c r="A130" s="529" t="s">
        <v>492</v>
      </c>
      <c r="B130" s="530" t="s">
        <v>399</v>
      </c>
      <c r="C130" s="531"/>
      <c r="D130" s="531">
        <v>110</v>
      </c>
      <c r="E130" s="532"/>
      <c r="F130" s="533"/>
    </row>
    <row r="131" spans="1:42" ht="15.75" hidden="1" thickBot="1">
      <c r="A131" s="529" t="s">
        <v>493</v>
      </c>
      <c r="B131" s="530" t="s">
        <v>387</v>
      </c>
      <c r="C131" s="531"/>
      <c r="D131" s="531" t="s">
        <v>401</v>
      </c>
      <c r="E131" s="532"/>
      <c r="F131" s="533"/>
    </row>
    <row r="132" spans="1:42" ht="15.75" hidden="1" thickBot="1">
      <c r="A132" s="529" t="s">
        <v>494</v>
      </c>
      <c r="B132" s="530" t="s">
        <v>387</v>
      </c>
      <c r="C132" s="531"/>
      <c r="D132" s="531">
        <v>35</v>
      </c>
      <c r="E132" s="532"/>
      <c r="F132" s="533"/>
    </row>
    <row r="133" spans="1:42" ht="15.75" hidden="1" thickBot="1">
      <c r="A133" s="529" t="s">
        <v>495</v>
      </c>
      <c r="B133" s="530" t="s">
        <v>387</v>
      </c>
      <c r="C133" s="531"/>
      <c r="D133" s="531">
        <v>110</v>
      </c>
      <c r="E133" s="532"/>
      <c r="F133" s="533"/>
    </row>
    <row r="134" spans="1:42" ht="15.75" hidden="1" thickBot="1">
      <c r="A134" s="529" t="s">
        <v>496</v>
      </c>
      <c r="B134" s="530" t="s">
        <v>389</v>
      </c>
      <c r="C134" s="531"/>
      <c r="D134" s="531" t="s">
        <v>401</v>
      </c>
      <c r="E134" s="532"/>
      <c r="F134" s="533"/>
    </row>
    <row r="135" spans="1:42" ht="15.75" hidden="1" thickBot="1">
      <c r="A135" s="529" t="s">
        <v>497</v>
      </c>
      <c r="B135" s="530" t="s">
        <v>389</v>
      </c>
      <c r="C135" s="531"/>
      <c r="D135" s="531">
        <v>35</v>
      </c>
      <c r="E135" s="532"/>
      <c r="F135" s="533"/>
    </row>
    <row r="136" spans="1:42" ht="15.75" hidden="1" thickBot="1">
      <c r="A136" s="529" t="s">
        <v>498</v>
      </c>
      <c r="B136" s="530" t="s">
        <v>389</v>
      </c>
      <c r="C136" s="531"/>
      <c r="D136" s="531">
        <v>110</v>
      </c>
      <c r="E136" s="532"/>
      <c r="F136" s="533"/>
    </row>
    <row r="137" spans="1:42" ht="15.75" hidden="1" thickBot="1">
      <c r="A137" s="539" t="s">
        <v>499</v>
      </c>
      <c r="B137" s="540" t="s">
        <v>392</v>
      </c>
      <c r="C137" s="541"/>
      <c r="D137" s="541">
        <v>110</v>
      </c>
      <c r="E137" s="542"/>
      <c r="F137" s="543"/>
    </row>
    <row r="138" spans="1:42" s="518" customFormat="1" ht="15.75" hidden="1" thickBot="1">
      <c r="A138" s="512" t="s">
        <v>179</v>
      </c>
      <c r="B138" s="513" t="s">
        <v>429</v>
      </c>
      <c r="C138" s="514" t="s">
        <v>380</v>
      </c>
      <c r="D138" s="514" t="s">
        <v>380</v>
      </c>
      <c r="E138" s="515" t="s">
        <v>380</v>
      </c>
      <c r="F138" s="516" t="s">
        <v>380</v>
      </c>
      <c r="G138" s="503"/>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5"/>
      <c r="AL138" s="615"/>
      <c r="AM138" s="615"/>
      <c r="AN138" s="615"/>
      <c r="AO138" s="615"/>
      <c r="AP138" s="615"/>
    </row>
    <row r="139" spans="1:42" ht="15.75" hidden="1" thickBot="1">
      <c r="A139" s="529" t="s">
        <v>500</v>
      </c>
      <c r="B139" s="530" t="s">
        <v>399</v>
      </c>
      <c r="C139" s="531"/>
      <c r="D139" s="531" t="s">
        <v>401</v>
      </c>
      <c r="E139" s="532"/>
      <c r="F139" s="533"/>
    </row>
    <row r="140" spans="1:42" ht="15.75" hidden="1" thickBot="1">
      <c r="A140" s="529" t="s">
        <v>501</v>
      </c>
      <c r="B140" s="530" t="s">
        <v>399</v>
      </c>
      <c r="C140" s="531"/>
      <c r="D140" s="531">
        <v>35</v>
      </c>
      <c r="E140" s="532"/>
      <c r="F140" s="533"/>
    </row>
    <row r="141" spans="1:42" ht="15.75" hidden="1" thickBot="1">
      <c r="A141" s="529" t="s">
        <v>502</v>
      </c>
      <c r="B141" s="530" t="s">
        <v>399</v>
      </c>
      <c r="C141" s="531"/>
      <c r="D141" s="531">
        <v>110</v>
      </c>
      <c r="E141" s="532"/>
      <c r="F141" s="533"/>
    </row>
    <row r="142" spans="1:42" ht="15.75" hidden="1" thickBot="1">
      <c r="A142" s="529" t="s">
        <v>503</v>
      </c>
      <c r="B142" s="530" t="s">
        <v>387</v>
      </c>
      <c r="C142" s="531"/>
      <c r="D142" s="531" t="s">
        <v>401</v>
      </c>
      <c r="E142" s="532"/>
      <c r="F142" s="533"/>
    </row>
    <row r="143" spans="1:42" ht="15.75" hidden="1" thickBot="1">
      <c r="A143" s="529" t="s">
        <v>504</v>
      </c>
      <c r="B143" s="530" t="s">
        <v>387</v>
      </c>
      <c r="C143" s="531"/>
      <c r="D143" s="531">
        <v>35</v>
      </c>
      <c r="E143" s="532"/>
      <c r="F143" s="533"/>
    </row>
    <row r="144" spans="1:42" ht="15.75" hidden="1" thickBot="1">
      <c r="A144" s="529" t="s">
        <v>505</v>
      </c>
      <c r="B144" s="530" t="s">
        <v>387</v>
      </c>
      <c r="C144" s="531"/>
      <c r="D144" s="531">
        <v>110</v>
      </c>
      <c r="E144" s="532"/>
      <c r="F144" s="533"/>
    </row>
    <row r="145" spans="1:42" ht="15.75" hidden="1" thickBot="1">
      <c r="A145" s="529" t="s">
        <v>506</v>
      </c>
      <c r="B145" s="530" t="s">
        <v>389</v>
      </c>
      <c r="C145" s="531"/>
      <c r="D145" s="531" t="s">
        <v>401</v>
      </c>
      <c r="E145" s="532"/>
      <c r="F145" s="533"/>
    </row>
    <row r="146" spans="1:42" ht="15.75" hidden="1" thickBot="1">
      <c r="A146" s="529" t="s">
        <v>507</v>
      </c>
      <c r="B146" s="530" t="s">
        <v>389</v>
      </c>
      <c r="C146" s="531"/>
      <c r="D146" s="531">
        <v>35</v>
      </c>
      <c r="E146" s="532"/>
      <c r="F146" s="533"/>
    </row>
    <row r="147" spans="1:42" ht="15.75" hidden="1" thickBot="1">
      <c r="A147" s="529" t="s">
        <v>508</v>
      </c>
      <c r="B147" s="530" t="s">
        <v>389</v>
      </c>
      <c r="C147" s="531"/>
      <c r="D147" s="531">
        <v>110</v>
      </c>
      <c r="E147" s="532"/>
      <c r="F147" s="533"/>
    </row>
    <row r="148" spans="1:42" ht="15.75" hidden="1" thickBot="1">
      <c r="A148" s="539" t="s">
        <v>509</v>
      </c>
      <c r="B148" s="540" t="s">
        <v>392</v>
      </c>
      <c r="C148" s="541"/>
      <c r="D148" s="541">
        <v>110</v>
      </c>
      <c r="E148" s="542"/>
      <c r="F148" s="543"/>
    </row>
    <row r="149" spans="1:42" s="518" customFormat="1" ht="30.75" hidden="1" thickBot="1">
      <c r="A149" s="512" t="s">
        <v>180</v>
      </c>
      <c r="B149" s="513" t="s">
        <v>510</v>
      </c>
      <c r="C149" s="514" t="s">
        <v>380</v>
      </c>
      <c r="D149" s="514" t="s">
        <v>380</v>
      </c>
      <c r="E149" s="515" t="s">
        <v>380</v>
      </c>
      <c r="F149" s="516" t="s">
        <v>380</v>
      </c>
      <c r="G149" s="503"/>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615"/>
      <c r="AL149" s="615"/>
      <c r="AM149" s="615"/>
      <c r="AN149" s="615"/>
      <c r="AO149" s="615"/>
      <c r="AP149" s="615"/>
    </row>
    <row r="150" spans="1:42" s="518" customFormat="1" ht="15.75" hidden="1" thickBot="1">
      <c r="A150" s="519" t="s">
        <v>181</v>
      </c>
      <c r="B150" s="520" t="s">
        <v>440</v>
      </c>
      <c r="C150" s="521" t="s">
        <v>380</v>
      </c>
      <c r="D150" s="521" t="s">
        <v>380</v>
      </c>
      <c r="E150" s="522" t="s">
        <v>380</v>
      </c>
      <c r="F150" s="523" t="s">
        <v>380</v>
      </c>
      <c r="G150" s="503"/>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15"/>
      <c r="AL150" s="615"/>
      <c r="AM150" s="615"/>
      <c r="AN150" s="615"/>
      <c r="AO150" s="615"/>
      <c r="AP150" s="615"/>
    </row>
    <row r="151" spans="1:42" s="518" customFormat="1" ht="15.75" hidden="1" thickBot="1">
      <c r="A151" s="519" t="s">
        <v>511</v>
      </c>
      <c r="B151" s="520" t="s">
        <v>417</v>
      </c>
      <c r="C151" s="521" t="s">
        <v>380</v>
      </c>
      <c r="D151" s="521" t="s">
        <v>380</v>
      </c>
      <c r="E151" s="522" t="s">
        <v>380</v>
      </c>
      <c r="F151" s="523" t="s">
        <v>380</v>
      </c>
      <c r="G151" s="503"/>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615"/>
      <c r="AL151" s="615"/>
      <c r="AM151" s="615"/>
      <c r="AN151" s="615"/>
      <c r="AO151" s="615"/>
      <c r="AP151" s="615"/>
    </row>
    <row r="152" spans="1:42" ht="15.75" hidden="1" thickBot="1">
      <c r="A152" s="529" t="s">
        <v>512</v>
      </c>
      <c r="B152" s="530" t="s">
        <v>392</v>
      </c>
      <c r="C152" s="531"/>
      <c r="D152" s="531" t="s">
        <v>401</v>
      </c>
      <c r="E152" s="532"/>
      <c r="F152" s="533"/>
    </row>
    <row r="153" spans="1:42" ht="15.75" hidden="1" thickBot="1">
      <c r="A153" s="529" t="s">
        <v>513</v>
      </c>
      <c r="B153" s="530" t="s">
        <v>392</v>
      </c>
      <c r="C153" s="531"/>
      <c r="D153" s="531">
        <v>35</v>
      </c>
      <c r="E153" s="532"/>
      <c r="F153" s="533"/>
    </row>
    <row r="154" spans="1:42" ht="15.75" hidden="1" thickBot="1">
      <c r="A154" s="529" t="s">
        <v>514</v>
      </c>
      <c r="B154" s="530" t="s">
        <v>392</v>
      </c>
      <c r="C154" s="531"/>
      <c r="D154" s="531">
        <v>110</v>
      </c>
      <c r="E154" s="532"/>
      <c r="F154" s="533"/>
    </row>
    <row r="155" spans="1:42" s="518" customFormat="1" ht="15.75" hidden="1" thickBot="1">
      <c r="A155" s="519" t="s">
        <v>515</v>
      </c>
      <c r="B155" s="520" t="s">
        <v>429</v>
      </c>
      <c r="C155" s="521" t="s">
        <v>380</v>
      </c>
      <c r="D155" s="521" t="s">
        <v>380</v>
      </c>
      <c r="E155" s="522" t="s">
        <v>380</v>
      </c>
      <c r="F155" s="523" t="s">
        <v>380</v>
      </c>
      <c r="G155" s="503"/>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15"/>
      <c r="AL155" s="615"/>
      <c r="AM155" s="615"/>
      <c r="AN155" s="615"/>
      <c r="AO155" s="615"/>
      <c r="AP155" s="615"/>
    </row>
    <row r="156" spans="1:42" ht="15.75" hidden="1" thickBot="1">
      <c r="A156" s="529" t="s">
        <v>516</v>
      </c>
      <c r="B156" s="530" t="s">
        <v>392</v>
      </c>
      <c r="C156" s="531"/>
      <c r="D156" s="531" t="s">
        <v>401</v>
      </c>
      <c r="E156" s="532">
        <f>E161</f>
        <v>0.08</v>
      </c>
      <c r="F156" s="533">
        <f>F161</f>
        <v>300</v>
      </c>
    </row>
    <row r="157" spans="1:42" ht="15.75" hidden="1" thickBot="1">
      <c r="A157" s="529" t="s">
        <v>517</v>
      </c>
      <c r="B157" s="530" t="s">
        <v>392</v>
      </c>
      <c r="C157" s="531"/>
      <c r="D157" s="531">
        <v>35</v>
      </c>
      <c r="E157" s="532"/>
      <c r="F157" s="533"/>
    </row>
    <row r="158" spans="1:42" ht="15.75" hidden="1" thickBot="1">
      <c r="A158" s="529" t="s">
        <v>518</v>
      </c>
      <c r="B158" s="530" t="s">
        <v>392</v>
      </c>
      <c r="C158" s="531"/>
      <c r="D158" s="531">
        <v>110</v>
      </c>
      <c r="E158" s="532"/>
      <c r="F158" s="533"/>
    </row>
    <row r="159" spans="1:42" s="518" customFormat="1" ht="15.75" thickBot="1">
      <c r="A159" s="544" t="s">
        <v>182</v>
      </c>
      <c r="B159" s="545" t="s">
        <v>604</v>
      </c>
      <c r="C159" s="546"/>
      <c r="D159" s="546"/>
      <c r="E159" s="556"/>
      <c r="F159" s="548"/>
      <c r="G159" s="503"/>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615"/>
      <c r="AL159" s="615"/>
      <c r="AM159" s="615"/>
      <c r="AN159" s="615"/>
      <c r="AO159" s="615"/>
      <c r="AP159" s="615"/>
    </row>
    <row r="160" spans="1:42" ht="15">
      <c r="A160" s="529" t="s">
        <v>183</v>
      </c>
      <c r="B160" s="530" t="s">
        <v>622</v>
      </c>
      <c r="C160" s="531">
        <v>2015</v>
      </c>
      <c r="D160" s="531">
        <v>0.4</v>
      </c>
      <c r="E160" s="532">
        <v>1.42</v>
      </c>
      <c r="F160" s="533">
        <v>455</v>
      </c>
    </row>
    <row r="161" spans="1:7" ht="15">
      <c r="A161" s="529" t="s">
        <v>184</v>
      </c>
      <c r="B161" s="530" t="s">
        <v>778</v>
      </c>
      <c r="C161" s="531">
        <v>2015</v>
      </c>
      <c r="D161" s="531">
        <v>6</v>
      </c>
      <c r="E161" s="532">
        <v>0.08</v>
      </c>
      <c r="F161" s="533">
        <v>300</v>
      </c>
    </row>
    <row r="162" spans="1:7" ht="15">
      <c r="A162" s="524" t="s">
        <v>624</v>
      </c>
      <c r="B162" s="525" t="s">
        <v>777</v>
      </c>
      <c r="C162" s="526">
        <v>2015</v>
      </c>
      <c r="D162" s="526">
        <v>10</v>
      </c>
      <c r="E162" s="527">
        <v>0.05</v>
      </c>
      <c r="F162" s="528">
        <v>20</v>
      </c>
    </row>
    <row r="163" spans="1:7" ht="15">
      <c r="A163" s="529" t="s">
        <v>185</v>
      </c>
      <c r="B163" s="525" t="s">
        <v>776</v>
      </c>
      <c r="C163" s="526">
        <v>2015</v>
      </c>
      <c r="D163" s="526">
        <v>6</v>
      </c>
      <c r="E163" s="527">
        <v>0.93</v>
      </c>
      <c r="F163" s="528">
        <v>200</v>
      </c>
    </row>
    <row r="164" spans="1:7" ht="15.75" thickBot="1">
      <c r="A164" s="539" t="s">
        <v>628</v>
      </c>
      <c r="B164" s="540"/>
      <c r="C164" s="541"/>
      <c r="D164" s="541"/>
      <c r="E164" s="542"/>
      <c r="F164" s="543"/>
    </row>
    <row r="167" spans="1:7" ht="15.75">
      <c r="A167" s="722" t="s">
        <v>841</v>
      </c>
      <c r="B167" s="187"/>
      <c r="C167" s="187"/>
      <c r="D167" s="723"/>
      <c r="E167" s="724"/>
      <c r="F167" s="725"/>
      <c r="G167" s="726"/>
    </row>
    <row r="168" spans="1:7" ht="15.75">
      <c r="A168" s="722" t="s">
        <v>88</v>
      </c>
      <c r="B168" s="187"/>
      <c r="C168" s="187"/>
      <c r="D168" s="722"/>
      <c r="E168" s="722"/>
      <c r="F168" s="727" t="s">
        <v>842</v>
      </c>
      <c r="G168" s="726"/>
    </row>
    <row r="169" spans="1:7" ht="15">
      <c r="A169" s="713"/>
      <c r="B169" s="714"/>
      <c r="C169" s="714"/>
      <c r="D169" s="714"/>
      <c r="E169" s="715"/>
      <c r="F169" s="715"/>
      <c r="G169" s="506"/>
    </row>
    <row r="170" spans="1:7" ht="15">
      <c r="A170" s="716" t="s">
        <v>706</v>
      </c>
      <c r="B170" s="714"/>
      <c r="C170" s="714"/>
      <c r="D170" s="714"/>
      <c r="E170" s="715"/>
      <c r="F170" s="715"/>
      <c r="G170" s="506"/>
    </row>
    <row r="171" spans="1:7" ht="15">
      <c r="A171" s="718" t="s">
        <v>843</v>
      </c>
      <c r="B171" s="714"/>
      <c r="C171" s="714"/>
      <c r="D171" s="714"/>
      <c r="E171" s="715"/>
      <c r="F171" s="715"/>
      <c r="G171" s="506"/>
    </row>
    <row r="172" spans="1:7" ht="15">
      <c r="A172" s="719" t="s">
        <v>844</v>
      </c>
      <c r="B172" s="714"/>
      <c r="C172" s="714"/>
      <c r="D172" s="714"/>
      <c r="E172" s="715"/>
      <c r="F172" s="715"/>
      <c r="G172" s="506"/>
    </row>
  </sheetData>
  <mergeCells count="2">
    <mergeCell ref="A1:F1"/>
    <mergeCell ref="B2:F2"/>
  </mergeCells>
  <pageMargins left="0.7" right="0.7" top="0.75" bottom="0.75" header="0.3" footer="0.3"/>
  <pageSetup paperSize="9" scale="77" fitToHeight="0" orientation="landscape"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172"/>
  <sheetViews>
    <sheetView zoomScale="85" zoomScaleNormal="85" workbookViewId="0">
      <pane ySplit="4" topLeftCell="A158" activePane="bottomLeft" state="frozen"/>
      <selection activeCell="H271" sqref="H271"/>
      <selection pane="bottomLeft" activeCell="D186" sqref="D186"/>
    </sheetView>
  </sheetViews>
  <sheetFormatPr defaultRowHeight="12.75"/>
  <cols>
    <col min="1" max="1" width="11" style="505" customWidth="1"/>
    <col min="2" max="2" width="60.5703125" style="504" customWidth="1"/>
    <col min="3" max="4" width="16.28515625" style="504" customWidth="1"/>
    <col min="5" max="6" width="16.28515625" style="506" customWidth="1"/>
    <col min="7" max="7" width="16.5703125" style="506" customWidth="1"/>
    <col min="8" max="8" width="43.7109375" style="618" customWidth="1"/>
    <col min="9" max="37" width="9.140625" style="506"/>
    <col min="38" max="16384" width="9.140625" style="504"/>
  </cols>
  <sheetData>
    <row r="1" spans="1:37" ht="59.25" customHeight="1">
      <c r="A1" s="952" t="s">
        <v>840</v>
      </c>
      <c r="B1" s="952"/>
      <c r="C1" s="952"/>
      <c r="D1" s="952"/>
      <c r="E1" s="952"/>
      <c r="F1" s="952"/>
    </row>
    <row r="2" spans="1:37" ht="24.75" customHeight="1">
      <c r="B2" s="1160" t="s">
        <v>820</v>
      </c>
      <c r="C2" s="1160"/>
      <c r="D2" s="1160"/>
      <c r="E2" s="1160"/>
      <c r="F2" s="1160"/>
    </row>
    <row r="3" spans="1:37" ht="13.5" thickBot="1"/>
    <row r="4" spans="1:37" ht="75.75" thickBot="1">
      <c r="A4" s="507" t="s">
        <v>597</v>
      </c>
      <c r="B4" s="508" t="s">
        <v>598</v>
      </c>
      <c r="C4" s="508" t="s">
        <v>599</v>
      </c>
      <c r="D4" s="508" t="s">
        <v>600</v>
      </c>
      <c r="E4" s="509" t="s">
        <v>601</v>
      </c>
      <c r="F4" s="509" t="s">
        <v>602</v>
      </c>
    </row>
    <row r="5" spans="1:37" ht="15.75" thickBot="1">
      <c r="A5" s="510">
        <v>1</v>
      </c>
      <c r="B5" s="511">
        <v>2</v>
      </c>
      <c r="C5" s="511">
        <v>3</v>
      </c>
      <c r="D5" s="511">
        <v>4</v>
      </c>
      <c r="E5" s="698">
        <v>5</v>
      </c>
      <c r="F5" s="698">
        <v>6</v>
      </c>
    </row>
    <row r="6" spans="1:37" ht="15.75" thickBot="1">
      <c r="A6" s="699" t="s">
        <v>14</v>
      </c>
      <c r="B6" s="700" t="s">
        <v>379</v>
      </c>
      <c r="C6" s="701" t="s">
        <v>380</v>
      </c>
      <c r="D6" s="701" t="s">
        <v>380</v>
      </c>
      <c r="E6" s="702" t="s">
        <v>380</v>
      </c>
      <c r="F6" s="703" t="s">
        <v>380</v>
      </c>
    </row>
    <row r="7" spans="1:37" s="518" customFormat="1" ht="15">
      <c r="A7" s="512" t="s">
        <v>381</v>
      </c>
      <c r="B7" s="513" t="s">
        <v>382</v>
      </c>
      <c r="C7" s="514" t="s">
        <v>380</v>
      </c>
      <c r="D7" s="514" t="s">
        <v>380</v>
      </c>
      <c r="E7" s="515" t="s">
        <v>380</v>
      </c>
      <c r="F7" s="516" t="s">
        <v>380</v>
      </c>
      <c r="G7" s="615"/>
      <c r="H7" s="619"/>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row>
    <row r="8" spans="1:37" s="518" customFormat="1" ht="15">
      <c r="A8" s="519" t="s">
        <v>383</v>
      </c>
      <c r="B8" s="520" t="s">
        <v>384</v>
      </c>
      <c r="C8" s="521" t="s">
        <v>380</v>
      </c>
      <c r="D8" s="521" t="s">
        <v>380</v>
      </c>
      <c r="E8" s="522" t="s">
        <v>380</v>
      </c>
      <c r="F8" s="523" t="s">
        <v>380</v>
      </c>
      <c r="G8" s="615"/>
      <c r="H8" s="619"/>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row>
    <row r="9" spans="1:37" s="518" customFormat="1" ht="15">
      <c r="A9" s="519" t="s">
        <v>385</v>
      </c>
      <c r="B9" s="520" t="s">
        <v>386</v>
      </c>
      <c r="C9" s="521" t="s">
        <v>380</v>
      </c>
      <c r="D9" s="521" t="s">
        <v>380</v>
      </c>
      <c r="E9" s="522" t="s">
        <v>380</v>
      </c>
      <c r="F9" s="523" t="s">
        <v>380</v>
      </c>
      <c r="G9" s="615"/>
      <c r="H9" s="619"/>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row>
    <row r="10" spans="1:37" ht="15">
      <c r="A10" s="524" t="s">
        <v>579</v>
      </c>
      <c r="B10" s="525" t="s">
        <v>387</v>
      </c>
      <c r="C10" s="526"/>
      <c r="D10" s="526">
        <v>35</v>
      </c>
      <c r="E10" s="527"/>
      <c r="F10" s="528"/>
    </row>
    <row r="11" spans="1:37" ht="15">
      <c r="A11" s="529" t="s">
        <v>388</v>
      </c>
      <c r="B11" s="530" t="s">
        <v>389</v>
      </c>
      <c r="C11" s="531"/>
      <c r="D11" s="531">
        <v>35</v>
      </c>
      <c r="E11" s="532"/>
      <c r="F11" s="533"/>
    </row>
    <row r="12" spans="1:37" ht="15">
      <c r="A12" s="529" t="s">
        <v>390</v>
      </c>
      <c r="B12" s="530" t="s">
        <v>389</v>
      </c>
      <c r="C12" s="531"/>
      <c r="D12" s="531">
        <v>110</v>
      </c>
      <c r="E12" s="532"/>
      <c r="F12" s="533"/>
    </row>
    <row r="13" spans="1:37" ht="15.75" thickBot="1">
      <c r="A13" s="534" t="s">
        <v>391</v>
      </c>
      <c r="B13" s="535" t="s">
        <v>392</v>
      </c>
      <c r="C13" s="536"/>
      <c r="D13" s="536">
        <v>110</v>
      </c>
      <c r="E13" s="537"/>
      <c r="F13" s="538"/>
    </row>
    <row r="14" spans="1:37" s="518" customFormat="1" ht="15">
      <c r="A14" s="512" t="s">
        <v>393</v>
      </c>
      <c r="B14" s="513" t="s">
        <v>394</v>
      </c>
      <c r="C14" s="514" t="s">
        <v>380</v>
      </c>
      <c r="D14" s="514" t="s">
        <v>380</v>
      </c>
      <c r="E14" s="515" t="s">
        <v>380</v>
      </c>
      <c r="F14" s="516" t="s">
        <v>380</v>
      </c>
      <c r="G14" s="615"/>
      <c r="H14" s="619"/>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row>
    <row r="15" spans="1:37" s="518" customFormat="1" ht="15">
      <c r="A15" s="519" t="s">
        <v>395</v>
      </c>
      <c r="B15" s="520" t="s">
        <v>396</v>
      </c>
      <c r="C15" s="521" t="s">
        <v>380</v>
      </c>
      <c r="D15" s="521" t="s">
        <v>380</v>
      </c>
      <c r="E15" s="522" t="s">
        <v>380</v>
      </c>
      <c r="F15" s="523" t="s">
        <v>380</v>
      </c>
      <c r="G15" s="615"/>
      <c r="H15" s="619"/>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row>
    <row r="16" spans="1:37" s="518" customFormat="1" ht="15">
      <c r="A16" s="519" t="s">
        <v>397</v>
      </c>
      <c r="B16" s="520" t="s">
        <v>386</v>
      </c>
      <c r="C16" s="521" t="s">
        <v>380</v>
      </c>
      <c r="D16" s="521" t="s">
        <v>380</v>
      </c>
      <c r="E16" s="522" t="s">
        <v>380</v>
      </c>
      <c r="F16" s="523" t="s">
        <v>380</v>
      </c>
      <c r="G16" s="615"/>
      <c r="H16" s="619"/>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row>
    <row r="17" spans="1:37" ht="15">
      <c r="A17" s="529" t="s">
        <v>398</v>
      </c>
      <c r="B17" s="530" t="s">
        <v>399</v>
      </c>
      <c r="C17" s="531"/>
      <c r="D17" s="531">
        <v>0.4</v>
      </c>
      <c r="E17" s="532">
        <f>26.5+0.422</f>
        <v>26.922000000000001</v>
      </c>
      <c r="F17" s="533">
        <f>2716+20</f>
        <v>2736</v>
      </c>
    </row>
    <row r="18" spans="1:37" ht="15">
      <c r="A18" s="529" t="s">
        <v>400</v>
      </c>
      <c r="B18" s="530" t="s">
        <v>399</v>
      </c>
      <c r="C18" s="531"/>
      <c r="D18" s="531" t="s">
        <v>401</v>
      </c>
      <c r="E18" s="532">
        <f>11.8+E36+E39+E42</f>
        <v>12.590000000000002</v>
      </c>
      <c r="F18" s="533">
        <f>1352+F36+F39+F42</f>
        <v>2164</v>
      </c>
    </row>
    <row r="19" spans="1:37" ht="15">
      <c r="A19" s="529" t="s">
        <v>402</v>
      </c>
      <c r="B19" s="530" t="s">
        <v>387</v>
      </c>
      <c r="C19" s="531"/>
      <c r="D19" s="531">
        <v>0.4</v>
      </c>
      <c r="E19" s="532">
        <f>19.5+1.87+E37</f>
        <v>21.884</v>
      </c>
      <c r="F19" s="533">
        <f>1135+30+F37</f>
        <v>1195</v>
      </c>
    </row>
    <row r="20" spans="1:37" ht="15">
      <c r="A20" s="524" t="s">
        <v>403</v>
      </c>
      <c r="B20" s="525" t="s">
        <v>387</v>
      </c>
      <c r="C20" s="526"/>
      <c r="D20" s="526" t="s">
        <v>401</v>
      </c>
      <c r="E20" s="527">
        <f>1.4+0.176</f>
        <v>1.5759999999999998</v>
      </c>
      <c r="F20" s="528">
        <f>226+80</f>
        <v>306</v>
      </c>
    </row>
    <row r="21" spans="1:37" ht="15">
      <c r="A21" s="524" t="s">
        <v>404</v>
      </c>
      <c r="B21" s="525" t="s">
        <v>387</v>
      </c>
      <c r="C21" s="526"/>
      <c r="D21" s="526">
        <v>35</v>
      </c>
      <c r="E21" s="527"/>
      <c r="F21" s="528"/>
    </row>
    <row r="22" spans="1:37" ht="15">
      <c r="A22" s="524" t="s">
        <v>405</v>
      </c>
      <c r="B22" s="525" t="s">
        <v>389</v>
      </c>
      <c r="C22" s="526"/>
      <c r="D22" s="526">
        <v>0.4</v>
      </c>
      <c r="E22" s="527">
        <f>2.26+E41</f>
        <v>2.3249999999999997</v>
      </c>
      <c r="F22" s="528">
        <f>50+F41</f>
        <v>70</v>
      </c>
    </row>
    <row r="23" spans="1:37" ht="15">
      <c r="A23" s="524" t="s">
        <v>406</v>
      </c>
      <c r="B23" s="525" t="s">
        <v>389</v>
      </c>
      <c r="C23" s="526"/>
      <c r="D23" s="526" t="s">
        <v>401</v>
      </c>
      <c r="E23" s="527">
        <f>E35</f>
        <v>1.3339999999999999</v>
      </c>
      <c r="F23" s="528">
        <f>F35</f>
        <v>1000</v>
      </c>
    </row>
    <row r="24" spans="1:37" ht="15.75" thickBot="1">
      <c r="A24" s="524" t="s">
        <v>407</v>
      </c>
      <c r="B24" s="525" t="s">
        <v>389</v>
      </c>
      <c r="C24" s="526"/>
      <c r="D24" s="526">
        <v>35</v>
      </c>
      <c r="E24" s="527"/>
      <c r="F24" s="528"/>
    </row>
    <row r="25" spans="1:37" s="518" customFormat="1" ht="15">
      <c r="A25" s="512" t="s">
        <v>408</v>
      </c>
      <c r="B25" s="513" t="s">
        <v>384</v>
      </c>
      <c r="C25" s="514" t="s">
        <v>380</v>
      </c>
      <c r="D25" s="514" t="s">
        <v>380</v>
      </c>
      <c r="E25" s="515" t="s">
        <v>380</v>
      </c>
      <c r="F25" s="516" t="s">
        <v>380</v>
      </c>
      <c r="G25" s="615"/>
      <c r="H25" s="618"/>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5"/>
    </row>
    <row r="26" spans="1:37" s="518" customFormat="1" ht="15">
      <c r="A26" s="519" t="s">
        <v>409</v>
      </c>
      <c r="B26" s="520" t="s">
        <v>386</v>
      </c>
      <c r="C26" s="521" t="s">
        <v>380</v>
      </c>
      <c r="D26" s="521" t="s">
        <v>380</v>
      </c>
      <c r="E26" s="522" t="s">
        <v>380</v>
      </c>
      <c r="F26" s="523" t="s">
        <v>380</v>
      </c>
      <c r="G26" s="615"/>
      <c r="H26" s="618"/>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row>
    <row r="27" spans="1:37" ht="15">
      <c r="A27" s="529" t="s">
        <v>410</v>
      </c>
      <c r="B27" s="530" t="s">
        <v>399</v>
      </c>
      <c r="C27" s="531"/>
      <c r="D27" s="531">
        <v>0.4</v>
      </c>
      <c r="E27" s="532">
        <v>5.3</v>
      </c>
      <c r="F27" s="533">
        <v>986</v>
      </c>
    </row>
    <row r="28" spans="1:37" ht="15">
      <c r="A28" s="529" t="s">
        <v>411</v>
      </c>
      <c r="B28" s="530" t="s">
        <v>399</v>
      </c>
      <c r="C28" s="531"/>
      <c r="D28" s="531" t="s">
        <v>401</v>
      </c>
      <c r="E28" s="532">
        <f>8.4+0.047+E43</f>
        <v>8.4720000000000013</v>
      </c>
      <c r="F28" s="533">
        <f>1109+20+F43</f>
        <v>1457</v>
      </c>
    </row>
    <row r="29" spans="1:37" ht="15">
      <c r="A29" s="524" t="s">
        <v>412</v>
      </c>
      <c r="B29" s="525" t="s">
        <v>387</v>
      </c>
      <c r="C29" s="526"/>
      <c r="D29" s="526" t="s">
        <v>401</v>
      </c>
      <c r="E29" s="527">
        <f>4.077+E40</f>
        <v>4.0889999999999995</v>
      </c>
      <c r="F29" s="528">
        <f>160+F40</f>
        <v>180</v>
      </c>
    </row>
    <row r="30" spans="1:37" ht="15.75" thickBot="1">
      <c r="A30" s="539" t="s">
        <v>413</v>
      </c>
      <c r="B30" s="540" t="s">
        <v>389</v>
      </c>
      <c r="C30" s="541"/>
      <c r="D30" s="541">
        <v>35</v>
      </c>
      <c r="E30" s="542"/>
      <c r="F30" s="543"/>
    </row>
    <row r="31" spans="1:37" s="518" customFormat="1" ht="15.75" thickBot="1">
      <c r="A31" s="544" t="s">
        <v>21</v>
      </c>
      <c r="B31" s="545" t="s">
        <v>604</v>
      </c>
      <c r="C31" s="546"/>
      <c r="D31" s="546"/>
      <c r="E31" s="547"/>
      <c r="F31" s="548"/>
      <c r="G31" s="615"/>
      <c r="H31" s="618"/>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5"/>
    </row>
    <row r="32" spans="1:37" ht="15">
      <c r="A32" s="529" t="s">
        <v>605</v>
      </c>
      <c r="B32" s="530" t="s">
        <v>606</v>
      </c>
      <c r="C32" s="531"/>
      <c r="D32" s="531">
        <v>0.4</v>
      </c>
      <c r="E32" s="532">
        <v>51.3</v>
      </c>
      <c r="F32" s="533">
        <v>4837</v>
      </c>
      <c r="G32" s="616"/>
    </row>
    <row r="33" spans="1:37" ht="15">
      <c r="A33" s="529" t="s">
        <v>607</v>
      </c>
      <c r="B33" s="530" t="s">
        <v>608</v>
      </c>
      <c r="C33" s="531"/>
      <c r="D33" s="531" t="s">
        <v>401</v>
      </c>
      <c r="E33" s="532">
        <v>21.6</v>
      </c>
      <c r="F33" s="533">
        <v>2687</v>
      </c>
      <c r="G33" s="616"/>
    </row>
    <row r="34" spans="1:37" ht="63.75">
      <c r="A34" s="524" t="s">
        <v>609</v>
      </c>
      <c r="B34" s="525" t="s">
        <v>819</v>
      </c>
      <c r="C34" s="526"/>
      <c r="D34" s="526">
        <v>0.4</v>
      </c>
      <c r="E34" s="527">
        <v>4.5519999999999996</v>
      </c>
      <c r="F34" s="528">
        <v>100</v>
      </c>
      <c r="G34" s="616" t="s">
        <v>818</v>
      </c>
    </row>
    <row r="35" spans="1:37" ht="15">
      <c r="A35" s="529" t="s">
        <v>610</v>
      </c>
      <c r="B35" s="525" t="s">
        <v>788</v>
      </c>
      <c r="C35" s="526"/>
      <c r="D35" s="526">
        <v>6</v>
      </c>
      <c r="E35" s="527">
        <f>1.309+0.025</f>
        <v>1.3339999999999999</v>
      </c>
      <c r="F35" s="528">
        <v>1000</v>
      </c>
      <c r="G35" s="616" t="s">
        <v>808</v>
      </c>
    </row>
    <row r="36" spans="1:37" ht="15">
      <c r="A36" s="529" t="s">
        <v>611</v>
      </c>
      <c r="B36" s="525" t="s">
        <v>817</v>
      </c>
      <c r="C36" s="526"/>
      <c r="D36" s="526">
        <v>6</v>
      </c>
      <c r="E36" s="527">
        <v>0.27</v>
      </c>
      <c r="F36" s="528">
        <f>270/2</f>
        <v>135</v>
      </c>
      <c r="G36" s="616" t="s">
        <v>806</v>
      </c>
    </row>
    <row r="37" spans="1:37" ht="30">
      <c r="A37" s="524" t="s">
        <v>612</v>
      </c>
      <c r="B37" s="525" t="s">
        <v>816</v>
      </c>
      <c r="C37" s="526"/>
      <c r="D37" s="526">
        <v>0.4</v>
      </c>
      <c r="E37" s="527">
        <v>0.51400000000000001</v>
      </c>
      <c r="F37" s="528">
        <v>30</v>
      </c>
      <c r="G37" s="616" t="s">
        <v>815</v>
      </c>
    </row>
    <row r="38" spans="1:37" ht="63.75">
      <c r="A38" s="529" t="s">
        <v>613</v>
      </c>
      <c r="B38" s="525" t="s">
        <v>814</v>
      </c>
      <c r="C38" s="526"/>
      <c r="D38" s="526">
        <v>10</v>
      </c>
      <c r="E38" s="527">
        <f>0.047+4.077+0.176+2.017</f>
        <v>6.3170000000000002</v>
      </c>
      <c r="F38" s="528">
        <f>408-18-30-100</f>
        <v>260</v>
      </c>
      <c r="G38" s="616" t="s">
        <v>813</v>
      </c>
    </row>
    <row r="39" spans="1:37" ht="15">
      <c r="A39" s="529" t="s">
        <v>614</v>
      </c>
      <c r="B39" s="525" t="s">
        <v>812</v>
      </c>
      <c r="C39" s="526"/>
      <c r="D39" s="526">
        <v>6</v>
      </c>
      <c r="E39" s="527">
        <v>1.7999999999999999E-2</v>
      </c>
      <c r="F39" s="528">
        <v>500</v>
      </c>
      <c r="G39" s="616" t="s">
        <v>806</v>
      </c>
    </row>
    <row r="40" spans="1:37" ht="15">
      <c r="A40" s="524" t="s">
        <v>615</v>
      </c>
      <c r="B40" s="525" t="s">
        <v>811</v>
      </c>
      <c r="C40" s="526"/>
      <c r="D40" s="526">
        <v>10</v>
      </c>
      <c r="E40" s="527">
        <v>1.2E-2</v>
      </c>
      <c r="F40" s="528">
        <v>20</v>
      </c>
      <c r="G40" s="616" t="s">
        <v>810</v>
      </c>
    </row>
    <row r="41" spans="1:37" ht="15">
      <c r="A41" s="529" t="s">
        <v>616</v>
      </c>
      <c r="B41" s="525" t="s">
        <v>809</v>
      </c>
      <c r="C41" s="526"/>
      <c r="D41" s="526">
        <v>0.4</v>
      </c>
      <c r="E41" s="527">
        <v>6.5000000000000002E-2</v>
      </c>
      <c r="F41" s="528">
        <v>20</v>
      </c>
      <c r="G41" s="616" t="s">
        <v>808</v>
      </c>
    </row>
    <row r="42" spans="1:37" ht="15">
      <c r="A42" s="529" t="s">
        <v>617</v>
      </c>
      <c r="B42" s="525" t="s">
        <v>807</v>
      </c>
      <c r="C42" s="526"/>
      <c r="D42" s="526">
        <v>10</v>
      </c>
      <c r="E42" s="527">
        <v>0.502</v>
      </c>
      <c r="F42" s="528">
        <f>354/2</f>
        <v>177</v>
      </c>
      <c r="G42" s="616" t="s">
        <v>806</v>
      </c>
    </row>
    <row r="43" spans="1:37" ht="15">
      <c r="A43" s="524" t="s">
        <v>618</v>
      </c>
      <c r="B43" s="525" t="s">
        <v>805</v>
      </c>
      <c r="C43" s="526"/>
      <c r="D43" s="526">
        <v>10</v>
      </c>
      <c r="E43" s="527">
        <v>2.5000000000000001E-2</v>
      </c>
      <c r="F43" s="528">
        <v>328</v>
      </c>
      <c r="G43" s="616" t="s">
        <v>804</v>
      </c>
    </row>
    <row r="44" spans="1:37" ht="15">
      <c r="A44" s="529" t="s">
        <v>619</v>
      </c>
      <c r="B44" s="525"/>
      <c r="C44" s="526"/>
      <c r="D44" s="526"/>
      <c r="E44" s="527"/>
      <c r="F44" s="528"/>
      <c r="G44" s="616"/>
    </row>
    <row r="45" spans="1:37" ht="15">
      <c r="A45" s="529" t="s">
        <v>620</v>
      </c>
      <c r="B45" s="525"/>
      <c r="C45" s="526"/>
      <c r="D45" s="526"/>
      <c r="E45" s="527"/>
      <c r="F45" s="528"/>
      <c r="G45" s="616"/>
    </row>
    <row r="46" spans="1:37" ht="15.75" thickBot="1">
      <c r="A46" s="524" t="s">
        <v>621</v>
      </c>
      <c r="B46" s="525"/>
      <c r="C46" s="526"/>
      <c r="D46" s="526"/>
      <c r="E46" s="527"/>
      <c r="F46" s="528"/>
    </row>
    <row r="47" spans="1:37" s="518" customFormat="1" ht="15.75" thickBot="1">
      <c r="A47" s="699" t="s">
        <v>135</v>
      </c>
      <c r="B47" s="700" t="s">
        <v>414</v>
      </c>
      <c r="C47" s="701" t="s">
        <v>380</v>
      </c>
      <c r="D47" s="701" t="s">
        <v>380</v>
      </c>
      <c r="E47" s="702" t="s">
        <v>380</v>
      </c>
      <c r="F47" s="703" t="s">
        <v>380</v>
      </c>
      <c r="G47" s="615"/>
      <c r="H47" s="618"/>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row>
    <row r="48" spans="1:37" s="518" customFormat="1" ht="15">
      <c r="A48" s="512" t="s">
        <v>167</v>
      </c>
      <c r="B48" s="513" t="s">
        <v>415</v>
      </c>
      <c r="C48" s="514" t="s">
        <v>380</v>
      </c>
      <c r="D48" s="514" t="s">
        <v>380</v>
      </c>
      <c r="E48" s="515" t="s">
        <v>380</v>
      </c>
      <c r="F48" s="516" t="s">
        <v>380</v>
      </c>
      <c r="G48" s="615"/>
      <c r="H48" s="618"/>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row>
    <row r="49" spans="1:37" s="518" customFormat="1" ht="15">
      <c r="A49" s="519" t="s">
        <v>168</v>
      </c>
      <c r="B49" s="520" t="s">
        <v>416</v>
      </c>
      <c r="C49" s="521" t="s">
        <v>380</v>
      </c>
      <c r="D49" s="521" t="s">
        <v>380</v>
      </c>
      <c r="E49" s="522" t="s">
        <v>380</v>
      </c>
      <c r="F49" s="523" t="s">
        <v>380</v>
      </c>
      <c r="G49" s="615"/>
      <c r="H49" s="618"/>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row>
    <row r="50" spans="1:37" s="518" customFormat="1" ht="15">
      <c r="A50" s="519" t="s">
        <v>169</v>
      </c>
      <c r="B50" s="520" t="s">
        <v>417</v>
      </c>
      <c r="C50" s="521" t="s">
        <v>380</v>
      </c>
      <c r="D50" s="521" t="s">
        <v>380</v>
      </c>
      <c r="E50" s="522" t="s">
        <v>380</v>
      </c>
      <c r="F50" s="523" t="s">
        <v>380</v>
      </c>
      <c r="G50" s="615"/>
      <c r="H50" s="618"/>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row>
    <row r="51" spans="1:37" ht="15">
      <c r="A51" s="529" t="s">
        <v>418</v>
      </c>
      <c r="B51" s="530" t="s">
        <v>399</v>
      </c>
      <c r="C51" s="531"/>
      <c r="D51" s="531" t="s">
        <v>401</v>
      </c>
      <c r="E51" s="532"/>
      <c r="F51" s="533"/>
    </row>
    <row r="52" spans="1:37" ht="15">
      <c r="A52" s="529" t="s">
        <v>419</v>
      </c>
      <c r="B52" s="530" t="s">
        <v>399</v>
      </c>
      <c r="C52" s="531"/>
      <c r="D52" s="531">
        <v>35</v>
      </c>
      <c r="E52" s="532"/>
      <c r="F52" s="533"/>
    </row>
    <row r="53" spans="1:37" ht="15">
      <c r="A53" s="529" t="s">
        <v>420</v>
      </c>
      <c r="B53" s="530" t="s">
        <v>399</v>
      </c>
      <c r="C53" s="531"/>
      <c r="D53" s="531">
        <v>110</v>
      </c>
      <c r="E53" s="532"/>
      <c r="F53" s="533"/>
    </row>
    <row r="54" spans="1:37" ht="15">
      <c r="A54" s="529" t="s">
        <v>421</v>
      </c>
      <c r="B54" s="530" t="s">
        <v>387</v>
      </c>
      <c r="C54" s="531"/>
      <c r="D54" s="531" t="s">
        <v>401</v>
      </c>
      <c r="E54" s="532"/>
      <c r="F54" s="533"/>
    </row>
    <row r="55" spans="1:37" ht="15">
      <c r="A55" s="529" t="s">
        <v>422</v>
      </c>
      <c r="B55" s="530" t="s">
        <v>387</v>
      </c>
      <c r="C55" s="531"/>
      <c r="D55" s="531">
        <v>35</v>
      </c>
      <c r="E55" s="532"/>
      <c r="F55" s="533"/>
    </row>
    <row r="56" spans="1:37" ht="15">
      <c r="A56" s="529" t="s">
        <v>423</v>
      </c>
      <c r="B56" s="530" t="s">
        <v>387</v>
      </c>
      <c r="C56" s="531"/>
      <c r="D56" s="531">
        <v>110</v>
      </c>
      <c r="E56" s="532"/>
      <c r="F56" s="533"/>
    </row>
    <row r="57" spans="1:37" ht="15">
      <c r="A57" s="529" t="s">
        <v>424</v>
      </c>
      <c r="B57" s="530" t="s">
        <v>389</v>
      </c>
      <c r="C57" s="531"/>
      <c r="D57" s="531" t="s">
        <v>401</v>
      </c>
      <c r="E57" s="532"/>
      <c r="F57" s="533"/>
    </row>
    <row r="58" spans="1:37" ht="15">
      <c r="A58" s="529" t="s">
        <v>425</v>
      </c>
      <c r="B58" s="530" t="s">
        <v>389</v>
      </c>
      <c r="C58" s="531"/>
      <c r="D58" s="531">
        <v>35</v>
      </c>
      <c r="E58" s="532"/>
      <c r="F58" s="533"/>
    </row>
    <row r="59" spans="1:37" ht="15">
      <c r="A59" s="529" t="s">
        <v>426</v>
      </c>
      <c r="B59" s="530" t="s">
        <v>389</v>
      </c>
      <c r="C59" s="531"/>
      <c r="D59" s="531">
        <v>110</v>
      </c>
      <c r="E59" s="532"/>
      <c r="F59" s="533"/>
    </row>
    <row r="60" spans="1:37" ht="15.75" thickBot="1">
      <c r="A60" s="539" t="s">
        <v>427</v>
      </c>
      <c r="B60" s="540" t="s">
        <v>392</v>
      </c>
      <c r="C60" s="541"/>
      <c r="D60" s="541">
        <v>110</v>
      </c>
      <c r="E60" s="542"/>
      <c r="F60" s="543"/>
    </row>
    <row r="61" spans="1:37" s="518" customFormat="1" ht="15">
      <c r="A61" s="512" t="s">
        <v>428</v>
      </c>
      <c r="B61" s="513" t="s">
        <v>429</v>
      </c>
      <c r="C61" s="514" t="s">
        <v>380</v>
      </c>
      <c r="D61" s="514" t="s">
        <v>380</v>
      </c>
      <c r="E61" s="515" t="s">
        <v>380</v>
      </c>
      <c r="F61" s="516" t="s">
        <v>380</v>
      </c>
      <c r="G61" s="615"/>
      <c r="H61" s="618"/>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row>
    <row r="62" spans="1:37" ht="15">
      <c r="A62" s="529" t="s">
        <v>430</v>
      </c>
      <c r="B62" s="530" t="s">
        <v>399</v>
      </c>
      <c r="C62" s="531"/>
      <c r="D62" s="531" t="s">
        <v>401</v>
      </c>
      <c r="E62" s="532"/>
      <c r="F62" s="533"/>
    </row>
    <row r="63" spans="1:37" ht="15">
      <c r="A63" s="529" t="s">
        <v>431</v>
      </c>
      <c r="B63" s="530" t="s">
        <v>399</v>
      </c>
      <c r="C63" s="531"/>
      <c r="D63" s="531">
        <v>35</v>
      </c>
      <c r="E63" s="532"/>
      <c r="F63" s="533"/>
    </row>
    <row r="64" spans="1:37" ht="15">
      <c r="A64" s="529" t="s">
        <v>432</v>
      </c>
      <c r="B64" s="530" t="s">
        <v>399</v>
      </c>
      <c r="C64" s="531"/>
      <c r="D64" s="531">
        <v>110</v>
      </c>
      <c r="E64" s="532"/>
      <c r="F64" s="533"/>
    </row>
    <row r="65" spans="1:37" ht="15">
      <c r="A65" s="529" t="s">
        <v>433</v>
      </c>
      <c r="B65" s="530" t="s">
        <v>387</v>
      </c>
      <c r="C65" s="531"/>
      <c r="D65" s="531" t="s">
        <v>401</v>
      </c>
      <c r="E65" s="532"/>
      <c r="F65" s="533"/>
    </row>
    <row r="66" spans="1:37" ht="15">
      <c r="A66" s="529" t="s">
        <v>434</v>
      </c>
      <c r="B66" s="530" t="s">
        <v>387</v>
      </c>
      <c r="C66" s="531"/>
      <c r="D66" s="531">
        <v>35</v>
      </c>
      <c r="E66" s="532"/>
      <c r="F66" s="533"/>
    </row>
    <row r="67" spans="1:37" ht="15">
      <c r="A67" s="529" t="s">
        <v>435</v>
      </c>
      <c r="B67" s="530" t="s">
        <v>387</v>
      </c>
      <c r="C67" s="531"/>
      <c r="D67" s="531">
        <v>110</v>
      </c>
      <c r="E67" s="532"/>
      <c r="F67" s="533"/>
    </row>
    <row r="68" spans="1:37" ht="15">
      <c r="A68" s="529" t="s">
        <v>436</v>
      </c>
      <c r="B68" s="530" t="s">
        <v>389</v>
      </c>
      <c r="C68" s="531"/>
      <c r="D68" s="531" t="s">
        <v>401</v>
      </c>
      <c r="E68" s="532"/>
      <c r="F68" s="533"/>
    </row>
    <row r="69" spans="1:37" ht="15">
      <c r="A69" s="529" t="s">
        <v>437</v>
      </c>
      <c r="B69" s="530" t="s">
        <v>389</v>
      </c>
      <c r="C69" s="531"/>
      <c r="D69" s="531">
        <v>35</v>
      </c>
      <c r="E69" s="532"/>
      <c r="F69" s="533"/>
    </row>
    <row r="70" spans="1:37" ht="15">
      <c r="A70" s="529" t="s">
        <v>438</v>
      </c>
      <c r="B70" s="530" t="s">
        <v>389</v>
      </c>
      <c r="C70" s="531"/>
      <c r="D70" s="531">
        <v>110</v>
      </c>
      <c r="E70" s="532"/>
      <c r="F70" s="533"/>
    </row>
    <row r="71" spans="1:37" ht="15.75" thickBot="1">
      <c r="A71" s="539" t="s">
        <v>439</v>
      </c>
      <c r="B71" s="540" t="s">
        <v>392</v>
      </c>
      <c r="C71" s="541"/>
      <c r="D71" s="541">
        <v>110</v>
      </c>
      <c r="E71" s="542"/>
      <c r="F71" s="543"/>
    </row>
    <row r="72" spans="1:37" s="518" customFormat="1" ht="15">
      <c r="A72" s="519" t="s">
        <v>170</v>
      </c>
      <c r="B72" s="520" t="s">
        <v>440</v>
      </c>
      <c r="C72" s="521" t="s">
        <v>380</v>
      </c>
      <c r="D72" s="521" t="s">
        <v>380</v>
      </c>
      <c r="E72" s="522" t="s">
        <v>380</v>
      </c>
      <c r="F72" s="523" t="s">
        <v>380</v>
      </c>
      <c r="G72" s="615"/>
      <c r="H72" s="618"/>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row>
    <row r="73" spans="1:37" s="518" customFormat="1" ht="15">
      <c r="A73" s="519" t="s">
        <v>171</v>
      </c>
      <c r="B73" s="520" t="s">
        <v>417</v>
      </c>
      <c r="C73" s="521" t="s">
        <v>380</v>
      </c>
      <c r="D73" s="521" t="s">
        <v>380</v>
      </c>
      <c r="E73" s="522" t="s">
        <v>380</v>
      </c>
      <c r="F73" s="523" t="s">
        <v>380</v>
      </c>
      <c r="G73" s="615"/>
      <c r="H73" s="618"/>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row>
    <row r="74" spans="1:37" ht="15">
      <c r="A74" s="529" t="s">
        <v>441</v>
      </c>
      <c r="B74" s="530" t="s">
        <v>399</v>
      </c>
      <c r="C74" s="531"/>
      <c r="D74" s="531">
        <v>0.4</v>
      </c>
      <c r="E74" s="532"/>
      <c r="F74" s="533"/>
    </row>
    <row r="75" spans="1:37" ht="15">
      <c r="A75" s="529" t="s">
        <v>442</v>
      </c>
      <c r="B75" s="530" t="s">
        <v>399</v>
      </c>
      <c r="C75" s="531"/>
      <c r="D75" s="531" t="s">
        <v>401</v>
      </c>
      <c r="E75" s="532"/>
      <c r="F75" s="533"/>
    </row>
    <row r="76" spans="1:37" ht="15">
      <c r="A76" s="529" t="s">
        <v>443</v>
      </c>
      <c r="B76" s="530" t="s">
        <v>399</v>
      </c>
      <c r="C76" s="531"/>
      <c r="D76" s="531">
        <v>35</v>
      </c>
      <c r="E76" s="532"/>
      <c r="F76" s="533"/>
    </row>
    <row r="77" spans="1:37" ht="15">
      <c r="A77" s="529" t="s">
        <v>444</v>
      </c>
      <c r="B77" s="530" t="s">
        <v>399</v>
      </c>
      <c r="C77" s="531"/>
      <c r="D77" s="531">
        <v>110</v>
      </c>
      <c r="E77" s="532"/>
      <c r="F77" s="533"/>
    </row>
    <row r="78" spans="1:37" ht="15">
      <c r="A78" s="529" t="s">
        <v>445</v>
      </c>
      <c r="B78" s="530" t="s">
        <v>387</v>
      </c>
      <c r="C78" s="531"/>
      <c r="D78" s="531">
        <v>0.4</v>
      </c>
      <c r="E78" s="532"/>
      <c r="F78" s="533"/>
    </row>
    <row r="79" spans="1:37" ht="15">
      <c r="A79" s="529" t="s">
        <v>446</v>
      </c>
      <c r="B79" s="530" t="s">
        <v>387</v>
      </c>
      <c r="C79" s="531"/>
      <c r="D79" s="531" t="s">
        <v>401</v>
      </c>
      <c r="E79" s="532"/>
      <c r="F79" s="533"/>
    </row>
    <row r="80" spans="1:37" ht="15">
      <c r="A80" s="529" t="s">
        <v>447</v>
      </c>
      <c r="B80" s="530" t="s">
        <v>387</v>
      </c>
      <c r="C80" s="531"/>
      <c r="D80" s="531">
        <v>35</v>
      </c>
      <c r="E80" s="532"/>
      <c r="F80" s="533"/>
    </row>
    <row r="81" spans="1:37" ht="15">
      <c r="A81" s="529" t="s">
        <v>448</v>
      </c>
      <c r="B81" s="530" t="s">
        <v>387</v>
      </c>
      <c r="C81" s="531"/>
      <c r="D81" s="531">
        <v>110</v>
      </c>
      <c r="E81" s="532"/>
      <c r="F81" s="533"/>
    </row>
    <row r="82" spans="1:37" ht="15">
      <c r="A82" s="529" t="s">
        <v>449</v>
      </c>
      <c r="B82" s="530" t="s">
        <v>389</v>
      </c>
      <c r="C82" s="531"/>
      <c r="D82" s="531">
        <v>0.4</v>
      </c>
      <c r="E82" s="532"/>
      <c r="F82" s="533"/>
    </row>
    <row r="83" spans="1:37" ht="15">
      <c r="A83" s="529" t="s">
        <v>450</v>
      </c>
      <c r="B83" s="530" t="s">
        <v>389</v>
      </c>
      <c r="C83" s="531"/>
      <c r="D83" s="531" t="s">
        <v>401</v>
      </c>
      <c r="E83" s="532"/>
      <c r="F83" s="533"/>
    </row>
    <row r="84" spans="1:37" ht="15">
      <c r="A84" s="529" t="s">
        <v>451</v>
      </c>
      <c r="B84" s="530" t="s">
        <v>389</v>
      </c>
      <c r="C84" s="531"/>
      <c r="D84" s="531">
        <v>35</v>
      </c>
      <c r="E84" s="532"/>
      <c r="F84" s="533"/>
    </row>
    <row r="85" spans="1:37" ht="15">
      <c r="A85" s="529" t="s">
        <v>452</v>
      </c>
      <c r="B85" s="530" t="s">
        <v>389</v>
      </c>
      <c r="C85" s="531"/>
      <c r="D85" s="531">
        <v>110</v>
      </c>
      <c r="E85" s="532"/>
      <c r="F85" s="533"/>
    </row>
    <row r="86" spans="1:37" ht="15">
      <c r="A86" s="524" t="s">
        <v>453</v>
      </c>
      <c r="B86" s="525" t="s">
        <v>392</v>
      </c>
      <c r="C86" s="526">
        <v>2014</v>
      </c>
      <c r="D86" s="526">
        <v>0.4</v>
      </c>
      <c r="E86" s="527"/>
      <c r="F86" s="528"/>
    </row>
    <row r="87" spans="1:37" ht="15.75" thickBot="1">
      <c r="A87" s="539" t="s">
        <v>454</v>
      </c>
      <c r="B87" s="540" t="s">
        <v>392</v>
      </c>
      <c r="C87" s="541"/>
      <c r="D87" s="541">
        <v>110</v>
      </c>
      <c r="E87" s="542"/>
      <c r="F87" s="543"/>
    </row>
    <row r="88" spans="1:37" s="518" customFormat="1" ht="15">
      <c r="A88" s="512" t="s">
        <v>172</v>
      </c>
      <c r="B88" s="513" t="s">
        <v>429</v>
      </c>
      <c r="C88" s="514" t="s">
        <v>380</v>
      </c>
      <c r="D88" s="514" t="s">
        <v>380</v>
      </c>
      <c r="E88" s="515" t="s">
        <v>380</v>
      </c>
      <c r="F88" s="516" t="s">
        <v>380</v>
      </c>
      <c r="G88" s="615"/>
      <c r="H88" s="618"/>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5"/>
    </row>
    <row r="89" spans="1:37" ht="15">
      <c r="A89" s="529" t="s">
        <v>455</v>
      </c>
      <c r="B89" s="530" t="s">
        <v>399</v>
      </c>
      <c r="C89" s="531"/>
      <c r="D89" s="531">
        <v>0.4</v>
      </c>
      <c r="E89" s="532"/>
      <c r="F89" s="533"/>
    </row>
    <row r="90" spans="1:37" ht="15">
      <c r="A90" s="529" t="s">
        <v>456</v>
      </c>
      <c r="B90" s="530" t="s">
        <v>399</v>
      </c>
      <c r="C90" s="531"/>
      <c r="D90" s="531" t="s">
        <v>401</v>
      </c>
      <c r="E90" s="532"/>
      <c r="F90" s="533"/>
    </row>
    <row r="91" spans="1:37" ht="15">
      <c r="A91" s="529" t="s">
        <v>457</v>
      </c>
      <c r="B91" s="530" t="s">
        <v>399</v>
      </c>
      <c r="C91" s="531"/>
      <c r="D91" s="531">
        <v>35</v>
      </c>
      <c r="E91" s="532"/>
      <c r="F91" s="533"/>
    </row>
    <row r="92" spans="1:37" ht="15">
      <c r="A92" s="529" t="s">
        <v>458</v>
      </c>
      <c r="B92" s="530" t="s">
        <v>399</v>
      </c>
      <c r="C92" s="531"/>
      <c r="D92" s="531">
        <v>110</v>
      </c>
      <c r="E92" s="532"/>
      <c r="F92" s="533"/>
    </row>
    <row r="93" spans="1:37" ht="15">
      <c r="A93" s="529" t="s">
        <v>459</v>
      </c>
      <c r="B93" s="530" t="s">
        <v>387</v>
      </c>
      <c r="C93" s="531"/>
      <c r="D93" s="531">
        <v>0.4</v>
      </c>
      <c r="E93" s="532">
        <f>E162</f>
        <v>0.19539999999999999</v>
      </c>
      <c r="F93" s="533">
        <f>F162</f>
        <v>18</v>
      </c>
    </row>
    <row r="94" spans="1:37" ht="15">
      <c r="A94" s="529" t="s">
        <v>460</v>
      </c>
      <c r="B94" s="530" t="s">
        <v>387</v>
      </c>
      <c r="C94" s="531"/>
      <c r="D94" s="531" t="s">
        <v>401</v>
      </c>
      <c r="E94" s="532"/>
      <c r="F94" s="533"/>
    </row>
    <row r="95" spans="1:37" ht="15">
      <c r="A95" s="529" t="s">
        <v>461</v>
      </c>
      <c r="B95" s="530" t="s">
        <v>387</v>
      </c>
      <c r="C95" s="531"/>
      <c r="D95" s="531">
        <v>35</v>
      </c>
      <c r="E95" s="532"/>
      <c r="F95" s="533"/>
    </row>
    <row r="96" spans="1:37" ht="15">
      <c r="A96" s="529" t="s">
        <v>462</v>
      </c>
      <c r="B96" s="530" t="s">
        <v>387</v>
      </c>
      <c r="C96" s="531"/>
      <c r="D96" s="531">
        <v>110</v>
      </c>
      <c r="E96" s="532"/>
      <c r="F96" s="533"/>
    </row>
    <row r="97" spans="1:37" ht="15">
      <c r="A97" s="529" t="s">
        <v>463</v>
      </c>
      <c r="B97" s="530" t="s">
        <v>389</v>
      </c>
      <c r="C97" s="531"/>
      <c r="D97" s="531">
        <v>0.4</v>
      </c>
      <c r="E97" s="532"/>
      <c r="F97" s="533"/>
    </row>
    <row r="98" spans="1:37" ht="15">
      <c r="A98" s="529" t="s">
        <v>464</v>
      </c>
      <c r="B98" s="530" t="s">
        <v>389</v>
      </c>
      <c r="C98" s="531"/>
      <c r="D98" s="531" t="s">
        <v>401</v>
      </c>
      <c r="E98" s="532"/>
      <c r="F98" s="533"/>
    </row>
    <row r="99" spans="1:37" ht="15">
      <c r="A99" s="529" t="s">
        <v>465</v>
      </c>
      <c r="B99" s="530" t="s">
        <v>389</v>
      </c>
      <c r="C99" s="531"/>
      <c r="D99" s="531">
        <v>35</v>
      </c>
      <c r="E99" s="532"/>
      <c r="F99" s="533"/>
    </row>
    <row r="100" spans="1:37" ht="15">
      <c r="A100" s="529" t="s">
        <v>466</v>
      </c>
      <c r="B100" s="530" t="s">
        <v>389</v>
      </c>
      <c r="C100" s="531"/>
      <c r="D100" s="531">
        <v>110</v>
      </c>
      <c r="E100" s="532"/>
      <c r="F100" s="533"/>
    </row>
    <row r="101" spans="1:37" ht="15.75" thickBot="1">
      <c r="A101" s="539" t="s">
        <v>467</v>
      </c>
      <c r="B101" s="540" t="s">
        <v>392</v>
      </c>
      <c r="C101" s="541"/>
      <c r="D101" s="541">
        <v>0.4</v>
      </c>
      <c r="E101" s="542">
        <f>E163</f>
        <v>0.2407</v>
      </c>
      <c r="F101" s="543">
        <f>F163</f>
        <v>301.39999999999998</v>
      </c>
    </row>
    <row r="102" spans="1:37" s="518" customFormat="1" ht="15">
      <c r="A102" s="512" t="s">
        <v>173</v>
      </c>
      <c r="B102" s="513" t="s">
        <v>468</v>
      </c>
      <c r="C102" s="514" t="s">
        <v>380</v>
      </c>
      <c r="D102" s="514" t="s">
        <v>380</v>
      </c>
      <c r="E102" s="515" t="s">
        <v>380</v>
      </c>
      <c r="F102" s="516" t="s">
        <v>380</v>
      </c>
      <c r="G102" s="615"/>
      <c r="H102" s="618"/>
      <c r="I102" s="615"/>
      <c r="J102" s="615"/>
      <c r="K102" s="615"/>
      <c r="L102" s="615"/>
      <c r="M102" s="615"/>
      <c r="N102" s="615"/>
      <c r="O102" s="615"/>
      <c r="P102" s="615"/>
      <c r="Q102" s="615"/>
      <c r="R102" s="615"/>
      <c r="S102" s="615"/>
      <c r="T102" s="615"/>
      <c r="U102" s="615"/>
      <c r="V102" s="615"/>
      <c r="W102" s="615"/>
      <c r="X102" s="615"/>
      <c r="Y102" s="615"/>
      <c r="Z102" s="615"/>
      <c r="AA102" s="615"/>
      <c r="AB102" s="615"/>
      <c r="AC102" s="615"/>
      <c r="AD102" s="615"/>
      <c r="AE102" s="615"/>
      <c r="AF102" s="615"/>
      <c r="AG102" s="615"/>
      <c r="AH102" s="615"/>
      <c r="AI102" s="615"/>
      <c r="AJ102" s="615"/>
      <c r="AK102" s="615"/>
    </row>
    <row r="103" spans="1:37" s="518" customFormat="1" ht="15">
      <c r="A103" s="519" t="s">
        <v>174</v>
      </c>
      <c r="B103" s="520" t="s">
        <v>416</v>
      </c>
      <c r="C103" s="521" t="s">
        <v>380</v>
      </c>
      <c r="D103" s="521" t="s">
        <v>380</v>
      </c>
      <c r="E103" s="522" t="s">
        <v>380</v>
      </c>
      <c r="F103" s="523" t="s">
        <v>380</v>
      </c>
      <c r="G103" s="615"/>
      <c r="H103" s="618"/>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15"/>
    </row>
    <row r="104" spans="1:37" s="518" customFormat="1" ht="15">
      <c r="A104" s="519" t="s">
        <v>175</v>
      </c>
      <c r="B104" s="520" t="s">
        <v>417</v>
      </c>
      <c r="C104" s="521" t="s">
        <v>380</v>
      </c>
      <c r="D104" s="521" t="s">
        <v>380</v>
      </c>
      <c r="E104" s="522" t="s">
        <v>380</v>
      </c>
      <c r="F104" s="523" t="s">
        <v>380</v>
      </c>
      <c r="G104" s="615"/>
      <c r="H104" s="618"/>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15"/>
    </row>
    <row r="105" spans="1:37" ht="15">
      <c r="A105" s="529" t="s">
        <v>469</v>
      </c>
      <c r="B105" s="530" t="s">
        <v>399</v>
      </c>
      <c r="C105" s="531"/>
      <c r="D105" s="531" t="s">
        <v>401</v>
      </c>
      <c r="E105" s="532"/>
      <c r="F105" s="533"/>
    </row>
    <row r="106" spans="1:37" ht="15">
      <c r="A106" s="529" t="s">
        <v>470</v>
      </c>
      <c r="B106" s="530" t="s">
        <v>399</v>
      </c>
      <c r="C106" s="531"/>
      <c r="D106" s="531">
        <v>35</v>
      </c>
      <c r="E106" s="532"/>
      <c r="F106" s="533"/>
    </row>
    <row r="107" spans="1:37" ht="15">
      <c r="A107" s="529" t="s">
        <v>471</v>
      </c>
      <c r="B107" s="530" t="s">
        <v>399</v>
      </c>
      <c r="C107" s="531"/>
      <c r="D107" s="531">
        <v>110</v>
      </c>
      <c r="E107" s="532"/>
      <c r="F107" s="533"/>
    </row>
    <row r="108" spans="1:37" ht="15">
      <c r="A108" s="529" t="s">
        <v>472</v>
      </c>
      <c r="B108" s="530" t="s">
        <v>387</v>
      </c>
      <c r="C108" s="531"/>
      <c r="D108" s="531" t="s">
        <v>401</v>
      </c>
      <c r="E108" s="532"/>
      <c r="F108" s="533"/>
    </row>
    <row r="109" spans="1:37" ht="15">
      <c r="A109" s="529" t="s">
        <v>473</v>
      </c>
      <c r="B109" s="530" t="s">
        <v>387</v>
      </c>
      <c r="C109" s="531"/>
      <c r="D109" s="531">
        <v>35</v>
      </c>
      <c r="E109" s="532"/>
      <c r="F109" s="533"/>
    </row>
    <row r="110" spans="1:37" ht="15">
      <c r="A110" s="529" t="s">
        <v>474</v>
      </c>
      <c r="B110" s="530" t="s">
        <v>387</v>
      </c>
      <c r="C110" s="531"/>
      <c r="D110" s="531">
        <v>110</v>
      </c>
      <c r="E110" s="532"/>
      <c r="F110" s="533"/>
    </row>
    <row r="111" spans="1:37" ht="15">
      <c r="A111" s="529" t="s">
        <v>475</v>
      </c>
      <c r="B111" s="530" t="s">
        <v>389</v>
      </c>
      <c r="C111" s="531"/>
      <c r="D111" s="531" t="s">
        <v>401</v>
      </c>
      <c r="E111" s="532"/>
      <c r="F111" s="533"/>
    </row>
    <row r="112" spans="1:37" ht="15">
      <c r="A112" s="529" t="s">
        <v>476</v>
      </c>
      <c r="B112" s="530" t="s">
        <v>389</v>
      </c>
      <c r="C112" s="531"/>
      <c r="D112" s="531">
        <v>35</v>
      </c>
      <c r="E112" s="532"/>
      <c r="F112" s="533"/>
    </row>
    <row r="113" spans="1:37" ht="15">
      <c r="A113" s="529" t="s">
        <v>477</v>
      </c>
      <c r="B113" s="530" t="s">
        <v>389</v>
      </c>
      <c r="C113" s="531"/>
      <c r="D113" s="531">
        <v>110</v>
      </c>
      <c r="E113" s="532"/>
      <c r="F113" s="533"/>
    </row>
    <row r="114" spans="1:37" ht="15.75" thickBot="1">
      <c r="A114" s="539" t="s">
        <v>478</v>
      </c>
      <c r="B114" s="540" t="s">
        <v>392</v>
      </c>
      <c r="C114" s="541"/>
      <c r="D114" s="541">
        <v>110</v>
      </c>
      <c r="E114" s="542"/>
      <c r="F114" s="543"/>
    </row>
    <row r="115" spans="1:37" s="518" customFormat="1" ht="15">
      <c r="A115" s="512" t="s">
        <v>176</v>
      </c>
      <c r="B115" s="513" t="s">
        <v>429</v>
      </c>
      <c r="C115" s="514" t="s">
        <v>380</v>
      </c>
      <c r="D115" s="514" t="s">
        <v>380</v>
      </c>
      <c r="E115" s="515" t="s">
        <v>380</v>
      </c>
      <c r="F115" s="516" t="s">
        <v>380</v>
      </c>
      <c r="G115" s="615"/>
      <c r="H115" s="618"/>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c r="AI115" s="615"/>
      <c r="AJ115" s="615"/>
      <c r="AK115" s="615"/>
    </row>
    <row r="116" spans="1:37" ht="15">
      <c r="A116" s="529" t="s">
        <v>480</v>
      </c>
      <c r="B116" s="530" t="s">
        <v>399</v>
      </c>
      <c r="C116" s="531"/>
      <c r="D116" s="531" t="s">
        <v>401</v>
      </c>
      <c r="E116" s="532"/>
      <c r="F116" s="533"/>
    </row>
    <row r="117" spans="1:37" ht="15">
      <c r="A117" s="529" t="s">
        <v>481</v>
      </c>
      <c r="B117" s="530" t="s">
        <v>399</v>
      </c>
      <c r="C117" s="531"/>
      <c r="D117" s="531">
        <v>35</v>
      </c>
      <c r="E117" s="532"/>
      <c r="F117" s="533"/>
    </row>
    <row r="118" spans="1:37" ht="15">
      <c r="A118" s="529" t="s">
        <v>482</v>
      </c>
      <c r="B118" s="530" t="s">
        <v>399</v>
      </c>
      <c r="C118" s="531"/>
      <c r="D118" s="531">
        <v>110</v>
      </c>
      <c r="E118" s="532"/>
      <c r="F118" s="533"/>
    </row>
    <row r="119" spans="1:37" ht="15">
      <c r="A119" s="529" t="s">
        <v>483</v>
      </c>
      <c r="B119" s="530" t="s">
        <v>387</v>
      </c>
      <c r="C119" s="531"/>
      <c r="D119" s="531" t="s">
        <v>401</v>
      </c>
      <c r="E119" s="532"/>
      <c r="F119" s="533"/>
    </row>
    <row r="120" spans="1:37" ht="15">
      <c r="A120" s="529" t="s">
        <v>484</v>
      </c>
      <c r="B120" s="530" t="s">
        <v>387</v>
      </c>
      <c r="C120" s="531"/>
      <c r="D120" s="531">
        <v>35</v>
      </c>
      <c r="E120" s="532"/>
      <c r="F120" s="533"/>
    </row>
    <row r="121" spans="1:37" ht="15">
      <c r="A121" s="529" t="s">
        <v>485</v>
      </c>
      <c r="B121" s="530" t="s">
        <v>387</v>
      </c>
      <c r="C121" s="531"/>
      <c r="D121" s="531">
        <v>110</v>
      </c>
      <c r="E121" s="532"/>
      <c r="F121" s="533"/>
    </row>
    <row r="122" spans="1:37" ht="15">
      <c r="A122" s="529" t="s">
        <v>486</v>
      </c>
      <c r="B122" s="530" t="s">
        <v>389</v>
      </c>
      <c r="C122" s="531"/>
      <c r="D122" s="531" t="s">
        <v>401</v>
      </c>
      <c r="E122" s="532"/>
      <c r="F122" s="533"/>
    </row>
    <row r="123" spans="1:37" ht="15">
      <c r="A123" s="529" t="s">
        <v>487</v>
      </c>
      <c r="B123" s="530" t="s">
        <v>389</v>
      </c>
      <c r="C123" s="531"/>
      <c r="D123" s="531">
        <v>35</v>
      </c>
      <c r="E123" s="532"/>
      <c r="F123" s="533"/>
    </row>
    <row r="124" spans="1:37" ht="15">
      <c r="A124" s="529" t="s">
        <v>488</v>
      </c>
      <c r="B124" s="530" t="s">
        <v>389</v>
      </c>
      <c r="C124" s="531"/>
      <c r="D124" s="531">
        <v>110</v>
      </c>
      <c r="E124" s="532"/>
      <c r="F124" s="533"/>
    </row>
    <row r="125" spans="1:37" ht="15.75" thickBot="1">
      <c r="A125" s="539" t="s">
        <v>489</v>
      </c>
      <c r="B125" s="540" t="s">
        <v>392</v>
      </c>
      <c r="C125" s="541"/>
      <c r="D125" s="541">
        <v>110</v>
      </c>
      <c r="E125" s="542"/>
      <c r="F125" s="543"/>
    </row>
    <row r="126" spans="1:37" s="518" customFormat="1" ht="15">
      <c r="A126" s="519" t="s">
        <v>177</v>
      </c>
      <c r="B126" s="520" t="s">
        <v>440</v>
      </c>
      <c r="C126" s="521" t="s">
        <v>380</v>
      </c>
      <c r="D126" s="521" t="s">
        <v>380</v>
      </c>
      <c r="E126" s="522" t="s">
        <v>380</v>
      </c>
      <c r="F126" s="523" t="s">
        <v>380</v>
      </c>
      <c r="G126" s="615"/>
      <c r="H126" s="618"/>
      <c r="I126" s="615"/>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5"/>
      <c r="AK126" s="615"/>
    </row>
    <row r="127" spans="1:37" s="518" customFormat="1" ht="15">
      <c r="A127" s="519" t="s">
        <v>178</v>
      </c>
      <c r="B127" s="520" t="s">
        <v>417</v>
      </c>
      <c r="C127" s="521" t="s">
        <v>380</v>
      </c>
      <c r="D127" s="521" t="s">
        <v>380</v>
      </c>
      <c r="E127" s="522" t="s">
        <v>380</v>
      </c>
      <c r="F127" s="523" t="s">
        <v>380</v>
      </c>
      <c r="G127" s="615"/>
      <c r="H127" s="618"/>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row>
    <row r="128" spans="1:37" ht="15">
      <c r="A128" s="529" t="s">
        <v>490</v>
      </c>
      <c r="B128" s="530" t="s">
        <v>399</v>
      </c>
      <c r="C128" s="531"/>
      <c r="D128" s="531" t="s">
        <v>401</v>
      </c>
      <c r="E128" s="532"/>
      <c r="F128" s="533"/>
    </row>
    <row r="129" spans="1:37" ht="15">
      <c r="A129" s="529" t="s">
        <v>491</v>
      </c>
      <c r="B129" s="530" t="s">
        <v>399</v>
      </c>
      <c r="C129" s="531"/>
      <c r="D129" s="531">
        <v>35</v>
      </c>
      <c r="E129" s="532"/>
      <c r="F129" s="533"/>
    </row>
    <row r="130" spans="1:37" ht="15">
      <c r="A130" s="529" t="s">
        <v>492</v>
      </c>
      <c r="B130" s="530" t="s">
        <v>399</v>
      </c>
      <c r="C130" s="531"/>
      <c r="D130" s="531">
        <v>110</v>
      </c>
      <c r="E130" s="532"/>
      <c r="F130" s="533"/>
    </row>
    <row r="131" spans="1:37" ht="15">
      <c r="A131" s="529" t="s">
        <v>493</v>
      </c>
      <c r="B131" s="530" t="s">
        <v>387</v>
      </c>
      <c r="C131" s="531"/>
      <c r="D131" s="531" t="s">
        <v>401</v>
      </c>
      <c r="E131" s="532"/>
      <c r="F131" s="533"/>
    </row>
    <row r="132" spans="1:37" ht="15">
      <c r="A132" s="529" t="s">
        <v>494</v>
      </c>
      <c r="B132" s="530" t="s">
        <v>387</v>
      </c>
      <c r="C132" s="531"/>
      <c r="D132" s="531">
        <v>35</v>
      </c>
      <c r="E132" s="532"/>
      <c r="F132" s="533"/>
    </row>
    <row r="133" spans="1:37" ht="15">
      <c r="A133" s="529" t="s">
        <v>495</v>
      </c>
      <c r="B133" s="530" t="s">
        <v>387</v>
      </c>
      <c r="C133" s="531"/>
      <c r="D133" s="531">
        <v>110</v>
      </c>
      <c r="E133" s="532"/>
      <c r="F133" s="533"/>
    </row>
    <row r="134" spans="1:37" ht="15">
      <c r="A134" s="529" t="s">
        <v>496</v>
      </c>
      <c r="B134" s="530" t="s">
        <v>389</v>
      </c>
      <c r="C134" s="531"/>
      <c r="D134" s="531" t="s">
        <v>401</v>
      </c>
      <c r="E134" s="532"/>
      <c r="F134" s="533"/>
    </row>
    <row r="135" spans="1:37" ht="15">
      <c r="A135" s="529" t="s">
        <v>497</v>
      </c>
      <c r="B135" s="530" t="s">
        <v>389</v>
      </c>
      <c r="C135" s="531"/>
      <c r="D135" s="531">
        <v>35</v>
      </c>
      <c r="E135" s="532"/>
      <c r="F135" s="533"/>
    </row>
    <row r="136" spans="1:37" ht="15">
      <c r="A136" s="529" t="s">
        <v>498</v>
      </c>
      <c r="B136" s="530" t="s">
        <v>389</v>
      </c>
      <c r="C136" s="531"/>
      <c r="D136" s="531">
        <v>110</v>
      </c>
      <c r="E136" s="532"/>
      <c r="F136" s="533"/>
    </row>
    <row r="137" spans="1:37" ht="15.75" thickBot="1">
      <c r="A137" s="539" t="s">
        <v>499</v>
      </c>
      <c r="B137" s="540" t="s">
        <v>392</v>
      </c>
      <c r="C137" s="541"/>
      <c r="D137" s="541">
        <v>110</v>
      </c>
      <c r="E137" s="542"/>
      <c r="F137" s="543"/>
    </row>
    <row r="138" spans="1:37" s="518" customFormat="1" ht="15">
      <c r="A138" s="512" t="s">
        <v>179</v>
      </c>
      <c r="B138" s="513" t="s">
        <v>429</v>
      </c>
      <c r="C138" s="514" t="s">
        <v>380</v>
      </c>
      <c r="D138" s="514" t="s">
        <v>380</v>
      </c>
      <c r="E138" s="515" t="s">
        <v>380</v>
      </c>
      <c r="F138" s="516" t="s">
        <v>380</v>
      </c>
      <c r="G138" s="615"/>
      <c r="H138" s="618"/>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5"/>
    </row>
    <row r="139" spans="1:37" ht="15">
      <c r="A139" s="529" t="s">
        <v>500</v>
      </c>
      <c r="B139" s="530" t="s">
        <v>399</v>
      </c>
      <c r="C139" s="531"/>
      <c r="D139" s="531" t="s">
        <v>401</v>
      </c>
      <c r="E139" s="532"/>
      <c r="F139" s="533"/>
    </row>
    <row r="140" spans="1:37" ht="15">
      <c r="A140" s="529" t="s">
        <v>501</v>
      </c>
      <c r="B140" s="530" t="s">
        <v>399</v>
      </c>
      <c r="C140" s="531"/>
      <c r="D140" s="531">
        <v>35</v>
      </c>
      <c r="E140" s="532"/>
      <c r="F140" s="533"/>
    </row>
    <row r="141" spans="1:37" ht="15">
      <c r="A141" s="529" t="s">
        <v>502</v>
      </c>
      <c r="B141" s="530" t="s">
        <v>399</v>
      </c>
      <c r="C141" s="531"/>
      <c r="D141" s="531">
        <v>110</v>
      </c>
      <c r="E141" s="532"/>
      <c r="F141" s="533"/>
    </row>
    <row r="142" spans="1:37" ht="15">
      <c r="A142" s="529" t="s">
        <v>503</v>
      </c>
      <c r="B142" s="530" t="s">
        <v>387</v>
      </c>
      <c r="C142" s="531"/>
      <c r="D142" s="531" t="s">
        <v>401</v>
      </c>
      <c r="E142" s="532"/>
      <c r="F142" s="533"/>
    </row>
    <row r="143" spans="1:37" ht="15">
      <c r="A143" s="529" t="s">
        <v>504</v>
      </c>
      <c r="B143" s="530" t="s">
        <v>387</v>
      </c>
      <c r="C143" s="531"/>
      <c r="D143" s="531">
        <v>35</v>
      </c>
      <c r="E143" s="532"/>
      <c r="F143" s="533"/>
    </row>
    <row r="144" spans="1:37" ht="15">
      <c r="A144" s="529" t="s">
        <v>505</v>
      </c>
      <c r="B144" s="530" t="s">
        <v>387</v>
      </c>
      <c r="C144" s="531"/>
      <c r="D144" s="531">
        <v>110</v>
      </c>
      <c r="E144" s="532"/>
      <c r="F144" s="533"/>
    </row>
    <row r="145" spans="1:37" ht="15">
      <c r="A145" s="529" t="s">
        <v>506</v>
      </c>
      <c r="B145" s="530" t="s">
        <v>389</v>
      </c>
      <c r="C145" s="531"/>
      <c r="D145" s="531" t="s">
        <v>401</v>
      </c>
      <c r="E145" s="532"/>
      <c r="F145" s="533"/>
    </row>
    <row r="146" spans="1:37" ht="15">
      <c r="A146" s="529" t="s">
        <v>507</v>
      </c>
      <c r="B146" s="530" t="s">
        <v>389</v>
      </c>
      <c r="C146" s="531"/>
      <c r="D146" s="531">
        <v>35</v>
      </c>
      <c r="E146" s="532"/>
      <c r="F146" s="533"/>
    </row>
    <row r="147" spans="1:37" ht="15">
      <c r="A147" s="529" t="s">
        <v>508</v>
      </c>
      <c r="B147" s="530" t="s">
        <v>389</v>
      </c>
      <c r="C147" s="531"/>
      <c r="D147" s="531">
        <v>110</v>
      </c>
      <c r="E147" s="532"/>
      <c r="F147" s="533"/>
    </row>
    <row r="148" spans="1:37" ht="15.75" thickBot="1">
      <c r="A148" s="539" t="s">
        <v>509</v>
      </c>
      <c r="B148" s="540" t="s">
        <v>392</v>
      </c>
      <c r="C148" s="541"/>
      <c r="D148" s="541">
        <v>110</v>
      </c>
      <c r="E148" s="542"/>
      <c r="F148" s="543"/>
    </row>
    <row r="149" spans="1:37" s="518" customFormat="1" ht="30">
      <c r="A149" s="512" t="s">
        <v>180</v>
      </c>
      <c r="B149" s="513" t="s">
        <v>510</v>
      </c>
      <c r="C149" s="514" t="s">
        <v>380</v>
      </c>
      <c r="D149" s="514" t="s">
        <v>380</v>
      </c>
      <c r="E149" s="515" t="s">
        <v>380</v>
      </c>
      <c r="F149" s="516" t="s">
        <v>380</v>
      </c>
      <c r="G149" s="615"/>
      <c r="H149" s="618"/>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615"/>
    </row>
    <row r="150" spans="1:37" s="518" customFormat="1" ht="15">
      <c r="A150" s="519" t="s">
        <v>181</v>
      </c>
      <c r="B150" s="520" t="s">
        <v>440</v>
      </c>
      <c r="C150" s="521" t="s">
        <v>380</v>
      </c>
      <c r="D150" s="521" t="s">
        <v>380</v>
      </c>
      <c r="E150" s="522" t="s">
        <v>380</v>
      </c>
      <c r="F150" s="523" t="s">
        <v>380</v>
      </c>
      <c r="G150" s="615"/>
      <c r="H150" s="618"/>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15"/>
    </row>
    <row r="151" spans="1:37" s="518" customFormat="1" ht="15">
      <c r="A151" s="519" t="s">
        <v>511</v>
      </c>
      <c r="B151" s="520" t="s">
        <v>417</v>
      </c>
      <c r="C151" s="521" t="s">
        <v>380</v>
      </c>
      <c r="D151" s="521" t="s">
        <v>380</v>
      </c>
      <c r="E151" s="522" t="s">
        <v>380</v>
      </c>
      <c r="F151" s="523" t="s">
        <v>380</v>
      </c>
      <c r="G151" s="615"/>
      <c r="H151" s="618"/>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615"/>
    </row>
    <row r="152" spans="1:37" ht="15">
      <c r="A152" s="529" t="s">
        <v>512</v>
      </c>
      <c r="B152" s="530" t="s">
        <v>392</v>
      </c>
      <c r="C152" s="531"/>
      <c r="D152" s="531" t="s">
        <v>401</v>
      </c>
      <c r="E152" s="532"/>
      <c r="F152" s="533"/>
    </row>
    <row r="153" spans="1:37" ht="15">
      <c r="A153" s="529" t="s">
        <v>513</v>
      </c>
      <c r="B153" s="530" t="s">
        <v>392</v>
      </c>
      <c r="C153" s="531"/>
      <c r="D153" s="531">
        <v>35</v>
      </c>
      <c r="E153" s="532"/>
      <c r="F153" s="533"/>
    </row>
    <row r="154" spans="1:37" ht="15">
      <c r="A154" s="529" t="s">
        <v>514</v>
      </c>
      <c r="B154" s="530" t="s">
        <v>392</v>
      </c>
      <c r="C154" s="531"/>
      <c r="D154" s="531">
        <v>110</v>
      </c>
      <c r="E154" s="532"/>
      <c r="F154" s="533"/>
    </row>
    <row r="155" spans="1:37" s="518" customFormat="1" ht="15">
      <c r="A155" s="519" t="s">
        <v>515</v>
      </c>
      <c r="B155" s="520" t="s">
        <v>429</v>
      </c>
      <c r="C155" s="521" t="s">
        <v>380</v>
      </c>
      <c r="D155" s="521" t="s">
        <v>380</v>
      </c>
      <c r="E155" s="522" t="s">
        <v>380</v>
      </c>
      <c r="F155" s="523" t="s">
        <v>380</v>
      </c>
      <c r="G155" s="615"/>
      <c r="H155" s="618"/>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15"/>
    </row>
    <row r="156" spans="1:37" ht="15">
      <c r="A156" s="529" t="s">
        <v>516</v>
      </c>
      <c r="B156" s="530" t="s">
        <v>392</v>
      </c>
      <c r="C156" s="531"/>
      <c r="D156" s="531" t="s">
        <v>401</v>
      </c>
      <c r="E156" s="532">
        <f>E161</f>
        <v>0.13700000000000001</v>
      </c>
      <c r="F156" s="533">
        <f>F161</f>
        <v>500</v>
      </c>
    </row>
    <row r="157" spans="1:37" ht="15">
      <c r="A157" s="529" t="s">
        <v>517</v>
      </c>
      <c r="B157" s="530" t="s">
        <v>392</v>
      </c>
      <c r="C157" s="531"/>
      <c r="D157" s="531">
        <v>35</v>
      </c>
      <c r="E157" s="532"/>
      <c r="F157" s="533"/>
    </row>
    <row r="158" spans="1:37" ht="15.75" thickBot="1">
      <c r="A158" s="529" t="s">
        <v>518</v>
      </c>
      <c r="B158" s="530" t="s">
        <v>392</v>
      </c>
      <c r="C158" s="531"/>
      <c r="D158" s="531">
        <v>110</v>
      </c>
      <c r="E158" s="532"/>
      <c r="F158" s="533"/>
    </row>
    <row r="159" spans="1:37" s="518" customFormat="1" ht="15.75" thickBot="1">
      <c r="A159" s="544" t="s">
        <v>182</v>
      </c>
      <c r="B159" s="545" t="s">
        <v>604</v>
      </c>
      <c r="C159" s="546"/>
      <c r="D159" s="546"/>
      <c r="E159" s="547"/>
      <c r="F159" s="548"/>
      <c r="G159" s="615"/>
      <c r="H159" s="618"/>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615"/>
    </row>
    <row r="160" spans="1:37" ht="15">
      <c r="A160" s="529" t="s">
        <v>183</v>
      </c>
      <c r="B160" s="530" t="s">
        <v>778</v>
      </c>
      <c r="C160" s="531"/>
      <c r="D160" s="531">
        <v>6</v>
      </c>
      <c r="E160" s="532">
        <v>0.27600000000000002</v>
      </c>
      <c r="F160" s="533">
        <v>500</v>
      </c>
    </row>
    <row r="161" spans="1:7" ht="25.5">
      <c r="A161" s="529" t="s">
        <v>184</v>
      </c>
      <c r="B161" s="530" t="s">
        <v>803</v>
      </c>
      <c r="C161" s="531"/>
      <c r="D161" s="531">
        <v>6</v>
      </c>
      <c r="E161" s="532">
        <v>0.13700000000000001</v>
      </c>
      <c r="F161" s="533">
        <v>500</v>
      </c>
      <c r="G161" s="506" t="s">
        <v>802</v>
      </c>
    </row>
    <row r="162" spans="1:7" ht="30">
      <c r="A162" s="524" t="s">
        <v>624</v>
      </c>
      <c r="B162" s="525" t="s">
        <v>801</v>
      </c>
      <c r="C162" s="526"/>
      <c r="D162" s="526">
        <v>0.4</v>
      </c>
      <c r="E162" s="527">
        <v>0.19539999999999999</v>
      </c>
      <c r="F162" s="528">
        <v>18</v>
      </c>
      <c r="G162" s="506" t="s">
        <v>800</v>
      </c>
    </row>
    <row r="163" spans="1:7" ht="30">
      <c r="A163" s="529" t="s">
        <v>185</v>
      </c>
      <c r="B163" s="525" t="s">
        <v>799</v>
      </c>
      <c r="C163" s="526"/>
      <c r="D163" s="526">
        <v>0.4</v>
      </c>
      <c r="E163" s="527">
        <v>0.2407</v>
      </c>
      <c r="F163" s="528">
        <v>301.39999999999998</v>
      </c>
      <c r="G163" s="506" t="s">
        <v>798</v>
      </c>
    </row>
    <row r="164" spans="1:7" ht="15.75" thickBot="1">
      <c r="A164" s="539" t="s">
        <v>628</v>
      </c>
      <c r="B164" s="540"/>
      <c r="C164" s="541"/>
      <c r="D164" s="541"/>
      <c r="E164" s="542"/>
      <c r="F164" s="543"/>
    </row>
    <row r="167" spans="1:7" ht="15.75">
      <c r="A167" s="722" t="s">
        <v>841</v>
      </c>
      <c r="B167" s="187"/>
      <c r="C167" s="187"/>
      <c r="D167" s="723"/>
      <c r="E167" s="724"/>
      <c r="F167" s="725"/>
      <c r="G167" s="726"/>
    </row>
    <row r="168" spans="1:7" ht="15.75">
      <c r="A168" s="722" t="s">
        <v>88</v>
      </c>
      <c r="B168" s="187"/>
      <c r="C168" s="187"/>
      <c r="D168" s="722"/>
      <c r="E168" s="722"/>
      <c r="F168" s="727" t="s">
        <v>842</v>
      </c>
      <c r="G168" s="726"/>
    </row>
    <row r="169" spans="1:7" ht="15">
      <c r="A169" s="713"/>
      <c r="B169" s="714"/>
      <c r="C169" s="714"/>
      <c r="D169" s="714"/>
      <c r="E169" s="715"/>
      <c r="F169" s="715"/>
    </row>
    <row r="170" spans="1:7" ht="15">
      <c r="A170" s="716" t="s">
        <v>706</v>
      </c>
      <c r="B170" s="714"/>
      <c r="C170" s="714"/>
      <c r="D170" s="714"/>
      <c r="E170" s="715"/>
      <c r="F170" s="715"/>
    </row>
    <row r="171" spans="1:7" ht="15">
      <c r="A171" s="718" t="s">
        <v>843</v>
      </c>
      <c r="B171" s="714"/>
      <c r="C171" s="714"/>
      <c r="D171" s="714"/>
      <c r="E171" s="715"/>
      <c r="F171" s="715"/>
    </row>
    <row r="172" spans="1:7" ht="15">
      <c r="A172" s="719" t="s">
        <v>844</v>
      </c>
      <c r="B172" s="714"/>
      <c r="C172" s="714"/>
      <c r="D172" s="714"/>
      <c r="E172" s="715"/>
      <c r="F172" s="715"/>
    </row>
  </sheetData>
  <mergeCells count="2">
    <mergeCell ref="A1:F1"/>
    <mergeCell ref="B2:F2"/>
  </mergeCells>
  <pageMargins left="0.7" right="0.7" top="0.75" bottom="0.75" header="0.3" footer="0.3"/>
  <pageSetup paperSize="9" scale="70"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163"/>
  <sheetViews>
    <sheetView zoomScale="85" zoomScaleNormal="85" workbookViewId="0">
      <pane ySplit="4" topLeftCell="A146" activePane="bottomLeft" state="frozen"/>
      <selection activeCell="H271" sqref="H271"/>
      <selection pane="bottomLeft" activeCell="H167" sqref="H167"/>
    </sheetView>
  </sheetViews>
  <sheetFormatPr defaultRowHeight="12.75"/>
  <cols>
    <col min="1" max="1" width="11" style="505" customWidth="1"/>
    <col min="2" max="2" width="60.5703125" style="504" customWidth="1"/>
    <col min="3" max="4" width="16.28515625" style="504" customWidth="1"/>
    <col min="5" max="6" width="16.28515625" style="506" customWidth="1"/>
    <col min="7" max="16384" width="9.140625" style="504"/>
  </cols>
  <sheetData>
    <row r="1" spans="1:6" ht="57" customHeight="1">
      <c r="A1" s="952" t="s">
        <v>840</v>
      </c>
      <c r="B1" s="952"/>
      <c r="C1" s="952"/>
      <c r="D1" s="952"/>
      <c r="E1" s="952"/>
      <c r="F1" s="952"/>
    </row>
    <row r="2" spans="1:6" ht="24.75" customHeight="1">
      <c r="B2" s="1160" t="s">
        <v>832</v>
      </c>
      <c r="C2" s="1160"/>
      <c r="D2" s="1160"/>
      <c r="E2" s="1160"/>
      <c r="F2" s="1160"/>
    </row>
    <row r="3" spans="1:6" ht="13.5" thickBot="1"/>
    <row r="4" spans="1:6" ht="75.75" thickBot="1">
      <c r="A4" s="507" t="s">
        <v>597</v>
      </c>
      <c r="B4" s="508" t="s">
        <v>598</v>
      </c>
      <c r="C4" s="508" t="s">
        <v>599</v>
      </c>
      <c r="D4" s="508" t="s">
        <v>600</v>
      </c>
      <c r="E4" s="509" t="s">
        <v>601</v>
      </c>
      <c r="F4" s="509" t="s">
        <v>602</v>
      </c>
    </row>
    <row r="5" spans="1:6" ht="15.75" thickBot="1">
      <c r="A5" s="510">
        <v>1</v>
      </c>
      <c r="B5" s="511">
        <v>2</v>
      </c>
      <c r="C5" s="511">
        <v>3</v>
      </c>
      <c r="D5" s="511">
        <v>4</v>
      </c>
      <c r="E5" s="698">
        <v>5</v>
      </c>
      <c r="F5" s="698">
        <v>6</v>
      </c>
    </row>
    <row r="6" spans="1:6" ht="15.75" thickBot="1">
      <c r="A6" s="699" t="s">
        <v>14</v>
      </c>
      <c r="B6" s="700" t="s">
        <v>379</v>
      </c>
      <c r="C6" s="701" t="s">
        <v>380</v>
      </c>
      <c r="D6" s="701" t="s">
        <v>380</v>
      </c>
      <c r="E6" s="702" t="s">
        <v>380</v>
      </c>
      <c r="F6" s="703" t="s">
        <v>380</v>
      </c>
    </row>
    <row r="7" spans="1:6" s="518" customFormat="1" ht="15">
      <c r="A7" s="512" t="s">
        <v>381</v>
      </c>
      <c r="B7" s="513" t="s">
        <v>382</v>
      </c>
      <c r="C7" s="514" t="s">
        <v>380</v>
      </c>
      <c r="D7" s="514" t="s">
        <v>380</v>
      </c>
      <c r="E7" s="515" t="s">
        <v>380</v>
      </c>
      <c r="F7" s="516" t="s">
        <v>380</v>
      </c>
    </row>
    <row r="8" spans="1:6" s="518" customFormat="1" ht="15">
      <c r="A8" s="519" t="s">
        <v>383</v>
      </c>
      <c r="B8" s="520" t="s">
        <v>384</v>
      </c>
      <c r="C8" s="521" t="s">
        <v>380</v>
      </c>
      <c r="D8" s="521" t="s">
        <v>380</v>
      </c>
      <c r="E8" s="522" t="s">
        <v>380</v>
      </c>
      <c r="F8" s="523" t="s">
        <v>380</v>
      </c>
    </row>
    <row r="9" spans="1:6" s="518" customFormat="1" ht="15">
      <c r="A9" s="519" t="s">
        <v>385</v>
      </c>
      <c r="B9" s="520" t="s">
        <v>386</v>
      </c>
      <c r="C9" s="521" t="s">
        <v>380</v>
      </c>
      <c r="D9" s="521" t="s">
        <v>380</v>
      </c>
      <c r="E9" s="522" t="s">
        <v>380</v>
      </c>
      <c r="F9" s="523" t="s">
        <v>380</v>
      </c>
    </row>
    <row r="10" spans="1:6" ht="15">
      <c r="A10" s="524" t="s">
        <v>579</v>
      </c>
      <c r="B10" s="525" t="s">
        <v>387</v>
      </c>
      <c r="C10" s="526">
        <v>2017</v>
      </c>
      <c r="D10" s="526">
        <v>35</v>
      </c>
      <c r="E10" s="527"/>
      <c r="F10" s="528"/>
    </row>
    <row r="11" spans="1:6" ht="15">
      <c r="A11" s="529" t="s">
        <v>388</v>
      </c>
      <c r="B11" s="530" t="s">
        <v>389</v>
      </c>
      <c r="C11" s="531">
        <v>2017</v>
      </c>
      <c r="D11" s="531">
        <v>35</v>
      </c>
      <c r="E11" s="532"/>
      <c r="F11" s="533"/>
    </row>
    <row r="12" spans="1:6" ht="15">
      <c r="A12" s="529" t="s">
        <v>390</v>
      </c>
      <c r="B12" s="530" t="s">
        <v>389</v>
      </c>
      <c r="C12" s="531">
        <v>2017</v>
      </c>
      <c r="D12" s="531">
        <v>110</v>
      </c>
      <c r="E12" s="532"/>
      <c r="F12" s="533"/>
    </row>
    <row r="13" spans="1:6" ht="15.75" thickBot="1">
      <c r="A13" s="529" t="s">
        <v>391</v>
      </c>
      <c r="B13" s="530" t="s">
        <v>392</v>
      </c>
      <c r="C13" s="531">
        <v>2017</v>
      </c>
      <c r="D13" s="531">
        <v>110</v>
      </c>
      <c r="E13" s="532"/>
      <c r="F13" s="533"/>
    </row>
    <row r="14" spans="1:6" s="518" customFormat="1" ht="15">
      <c r="A14" s="512" t="s">
        <v>393</v>
      </c>
      <c r="B14" s="513" t="s">
        <v>394</v>
      </c>
      <c r="C14" s="514" t="s">
        <v>380</v>
      </c>
      <c r="D14" s="514" t="s">
        <v>380</v>
      </c>
      <c r="E14" s="515" t="s">
        <v>380</v>
      </c>
      <c r="F14" s="516" t="s">
        <v>380</v>
      </c>
    </row>
    <row r="15" spans="1:6" s="518" customFormat="1" ht="15">
      <c r="A15" s="519" t="s">
        <v>395</v>
      </c>
      <c r="B15" s="520" t="s">
        <v>396</v>
      </c>
      <c r="C15" s="521" t="s">
        <v>380</v>
      </c>
      <c r="D15" s="521" t="s">
        <v>380</v>
      </c>
      <c r="E15" s="522" t="s">
        <v>380</v>
      </c>
      <c r="F15" s="523" t="s">
        <v>380</v>
      </c>
    </row>
    <row r="16" spans="1:6" s="518" customFormat="1" ht="15">
      <c r="A16" s="519" t="s">
        <v>397</v>
      </c>
      <c r="B16" s="520" t="s">
        <v>386</v>
      </c>
      <c r="C16" s="521" t="s">
        <v>380</v>
      </c>
      <c r="D16" s="620" t="s">
        <v>380</v>
      </c>
      <c r="E16" s="621" t="s">
        <v>380</v>
      </c>
      <c r="F16" s="709" t="s">
        <v>380</v>
      </c>
    </row>
    <row r="17" spans="1:6" ht="15">
      <c r="A17" s="529" t="s">
        <v>398</v>
      </c>
      <c r="B17" s="530" t="s">
        <v>399</v>
      </c>
      <c r="C17" s="531">
        <v>2017</v>
      </c>
      <c r="D17" s="604">
        <v>0.4</v>
      </c>
      <c r="E17" s="594">
        <v>14693</v>
      </c>
      <c r="F17" s="595">
        <v>1966</v>
      </c>
    </row>
    <row r="18" spans="1:6" ht="15">
      <c r="A18" s="529" t="s">
        <v>400</v>
      </c>
      <c r="B18" s="530" t="s">
        <v>399</v>
      </c>
      <c r="C18" s="531">
        <v>2017</v>
      </c>
      <c r="D18" s="604" t="s">
        <v>401</v>
      </c>
      <c r="E18" s="594">
        <v>5740</v>
      </c>
      <c r="F18" s="595">
        <v>906</v>
      </c>
    </row>
    <row r="19" spans="1:6" ht="15">
      <c r="A19" s="529" t="s">
        <v>402</v>
      </c>
      <c r="B19" s="530" t="s">
        <v>387</v>
      </c>
      <c r="C19" s="531">
        <v>2017</v>
      </c>
      <c r="D19" s="604">
        <v>0.4</v>
      </c>
      <c r="E19" s="594">
        <v>12460</v>
      </c>
      <c r="F19" s="595">
        <v>1364</v>
      </c>
    </row>
    <row r="20" spans="1:6" ht="15">
      <c r="A20" s="529" t="s">
        <v>402</v>
      </c>
      <c r="B20" s="530" t="s">
        <v>387</v>
      </c>
      <c r="C20" s="531">
        <v>2017</v>
      </c>
      <c r="D20" s="598" t="s">
        <v>401</v>
      </c>
      <c r="E20" s="599"/>
      <c r="F20" s="600"/>
    </row>
    <row r="21" spans="1:6" ht="15">
      <c r="A21" s="524" t="s">
        <v>403</v>
      </c>
      <c r="B21" s="525" t="s">
        <v>387</v>
      </c>
      <c r="C21" s="526">
        <v>2017</v>
      </c>
      <c r="D21" s="598" t="s">
        <v>401</v>
      </c>
      <c r="E21" s="599"/>
      <c r="F21" s="600"/>
    </row>
    <row r="22" spans="1:6" ht="15">
      <c r="A22" s="524" t="s">
        <v>404</v>
      </c>
      <c r="B22" s="525" t="s">
        <v>387</v>
      </c>
      <c r="C22" s="526">
        <v>2017</v>
      </c>
      <c r="D22" s="598">
        <v>35</v>
      </c>
      <c r="E22" s="599"/>
      <c r="F22" s="600"/>
    </row>
    <row r="23" spans="1:6" ht="15">
      <c r="A23" s="524" t="s">
        <v>405</v>
      </c>
      <c r="B23" s="525" t="s">
        <v>389</v>
      </c>
      <c r="C23" s="526">
        <v>2017</v>
      </c>
      <c r="D23" s="598">
        <v>0.4</v>
      </c>
      <c r="E23" s="599">
        <v>3388</v>
      </c>
      <c r="F23" s="600">
        <v>156</v>
      </c>
    </row>
    <row r="24" spans="1:6" ht="15">
      <c r="A24" s="524" t="s">
        <v>406</v>
      </c>
      <c r="B24" s="525" t="s">
        <v>389</v>
      </c>
      <c r="C24" s="526">
        <v>2017</v>
      </c>
      <c r="D24" s="598" t="s">
        <v>401</v>
      </c>
      <c r="E24" s="599"/>
      <c r="F24" s="600"/>
    </row>
    <row r="25" spans="1:6" ht="15.75" thickBot="1">
      <c r="A25" s="524" t="s">
        <v>407</v>
      </c>
      <c r="B25" s="525" t="s">
        <v>389</v>
      </c>
      <c r="C25" s="526">
        <v>2017</v>
      </c>
      <c r="D25" s="598">
        <v>35</v>
      </c>
      <c r="E25" s="599"/>
      <c r="F25" s="600"/>
    </row>
    <row r="26" spans="1:6" s="518" customFormat="1" ht="15">
      <c r="A26" s="512" t="s">
        <v>408</v>
      </c>
      <c r="B26" s="513" t="s">
        <v>384</v>
      </c>
      <c r="C26" s="514" t="s">
        <v>380</v>
      </c>
      <c r="D26" s="622" t="s">
        <v>380</v>
      </c>
      <c r="E26" s="623" t="s">
        <v>380</v>
      </c>
      <c r="F26" s="710" t="s">
        <v>380</v>
      </c>
    </row>
    <row r="27" spans="1:6" s="518" customFormat="1" ht="15">
      <c r="A27" s="519" t="s">
        <v>409</v>
      </c>
      <c r="B27" s="520" t="s">
        <v>386</v>
      </c>
      <c r="C27" s="521" t="s">
        <v>380</v>
      </c>
      <c r="D27" s="620" t="s">
        <v>380</v>
      </c>
      <c r="E27" s="621" t="s">
        <v>380</v>
      </c>
      <c r="F27" s="709" t="s">
        <v>380</v>
      </c>
    </row>
    <row r="28" spans="1:6" ht="15">
      <c r="A28" s="529" t="s">
        <v>410</v>
      </c>
      <c r="B28" s="530" t="s">
        <v>399</v>
      </c>
      <c r="C28" s="531">
        <v>2017</v>
      </c>
      <c r="D28" s="604">
        <v>0.4</v>
      </c>
      <c r="E28" s="594">
        <v>364</v>
      </c>
      <c r="F28" s="595">
        <v>55</v>
      </c>
    </row>
    <row r="29" spans="1:6" ht="15">
      <c r="A29" s="529" t="s">
        <v>411</v>
      </c>
      <c r="B29" s="530" t="s">
        <v>399</v>
      </c>
      <c r="C29" s="531">
        <v>2017</v>
      </c>
      <c r="D29" s="604" t="s">
        <v>401</v>
      </c>
      <c r="E29" s="594">
        <v>29576</v>
      </c>
      <c r="F29" s="595">
        <v>1211</v>
      </c>
    </row>
    <row r="30" spans="1:6" ht="15">
      <c r="A30" s="524" t="s">
        <v>412</v>
      </c>
      <c r="B30" s="525" t="s">
        <v>387</v>
      </c>
      <c r="C30" s="526">
        <v>2017</v>
      </c>
      <c r="D30" s="526">
        <v>35</v>
      </c>
      <c r="E30" s="527"/>
      <c r="F30" s="528"/>
    </row>
    <row r="31" spans="1:6" ht="15.75" thickBot="1">
      <c r="A31" s="539" t="s">
        <v>413</v>
      </c>
      <c r="B31" s="540" t="s">
        <v>389</v>
      </c>
      <c r="C31" s="541">
        <v>2017</v>
      </c>
      <c r="D31" s="541">
        <v>35</v>
      </c>
      <c r="E31" s="542"/>
      <c r="F31" s="543"/>
    </row>
    <row r="32" spans="1:6" s="518" customFormat="1" ht="15.75" thickBot="1">
      <c r="A32" s="544" t="s">
        <v>21</v>
      </c>
      <c r="B32" s="545" t="s">
        <v>604</v>
      </c>
      <c r="C32" s="546"/>
      <c r="D32" s="546"/>
      <c r="E32" s="547"/>
      <c r="F32" s="548"/>
    </row>
    <row r="33" spans="1:6" ht="15">
      <c r="A33" s="529" t="s">
        <v>605</v>
      </c>
      <c r="B33" s="525" t="s">
        <v>738</v>
      </c>
      <c r="C33" s="526">
        <v>2017</v>
      </c>
      <c r="D33" s="526">
        <v>0.4</v>
      </c>
      <c r="E33" s="527">
        <f>E17+E19+E23+E28</f>
        <v>30905</v>
      </c>
      <c r="F33" s="528">
        <f>F17+F19+F23+F28</f>
        <v>3541</v>
      </c>
    </row>
    <row r="34" spans="1:6" ht="15">
      <c r="A34" s="529" t="s">
        <v>607</v>
      </c>
      <c r="B34" s="525" t="s">
        <v>738</v>
      </c>
      <c r="C34" s="526">
        <v>2017</v>
      </c>
      <c r="D34" s="526" t="s">
        <v>401</v>
      </c>
      <c r="E34" s="527">
        <f>E18+E29</f>
        <v>35316</v>
      </c>
      <c r="F34" s="528">
        <f>F18+F29</f>
        <v>2117</v>
      </c>
    </row>
    <row r="35" spans="1:6" ht="15">
      <c r="A35" s="524" t="s">
        <v>609</v>
      </c>
      <c r="B35" s="525"/>
      <c r="C35" s="526">
        <v>2017</v>
      </c>
      <c r="D35" s="526"/>
      <c r="E35" s="527"/>
      <c r="F35" s="528"/>
    </row>
    <row r="36" spans="1:6" ht="15">
      <c r="A36" s="529" t="s">
        <v>610</v>
      </c>
      <c r="B36" s="525"/>
      <c r="C36" s="526">
        <v>2017</v>
      </c>
      <c r="D36" s="526"/>
      <c r="E36" s="527"/>
      <c r="F36" s="528"/>
    </row>
    <row r="37" spans="1:6" ht="15.75" thickBot="1">
      <c r="A37" s="529" t="s">
        <v>611</v>
      </c>
      <c r="B37" s="525"/>
      <c r="C37" s="526">
        <v>2017</v>
      </c>
      <c r="D37" s="526"/>
      <c r="E37" s="527"/>
      <c r="F37" s="528"/>
    </row>
    <row r="38" spans="1:6" s="518" customFormat="1" ht="15.75" thickBot="1">
      <c r="A38" s="699" t="s">
        <v>135</v>
      </c>
      <c r="B38" s="700" t="s">
        <v>414</v>
      </c>
      <c r="C38" s="701" t="s">
        <v>380</v>
      </c>
      <c r="D38" s="701" t="s">
        <v>380</v>
      </c>
      <c r="E38" s="702" t="s">
        <v>380</v>
      </c>
      <c r="F38" s="703" t="s">
        <v>380</v>
      </c>
    </row>
    <row r="39" spans="1:6" s="518" customFormat="1" ht="15">
      <c r="A39" s="512" t="s">
        <v>167</v>
      </c>
      <c r="B39" s="513" t="s">
        <v>415</v>
      </c>
      <c r="C39" s="514" t="s">
        <v>380</v>
      </c>
      <c r="D39" s="514" t="s">
        <v>380</v>
      </c>
      <c r="E39" s="515" t="s">
        <v>380</v>
      </c>
      <c r="F39" s="516" t="s">
        <v>380</v>
      </c>
    </row>
    <row r="40" spans="1:6" s="518" customFormat="1" ht="15">
      <c r="A40" s="519" t="s">
        <v>168</v>
      </c>
      <c r="B40" s="520" t="s">
        <v>416</v>
      </c>
      <c r="C40" s="521" t="s">
        <v>380</v>
      </c>
      <c r="D40" s="521" t="s">
        <v>380</v>
      </c>
      <c r="E40" s="522" t="s">
        <v>380</v>
      </c>
      <c r="F40" s="523" t="s">
        <v>380</v>
      </c>
    </row>
    <row r="41" spans="1:6" s="518" customFormat="1" ht="15">
      <c r="A41" s="519" t="s">
        <v>169</v>
      </c>
      <c r="B41" s="520" t="s">
        <v>417</v>
      </c>
      <c r="C41" s="521" t="s">
        <v>380</v>
      </c>
      <c r="D41" s="521" t="s">
        <v>380</v>
      </c>
      <c r="E41" s="522" t="s">
        <v>380</v>
      </c>
      <c r="F41" s="523" t="s">
        <v>380</v>
      </c>
    </row>
    <row r="42" spans="1:6" ht="15">
      <c r="A42" s="529" t="s">
        <v>418</v>
      </c>
      <c r="B42" s="530" t="s">
        <v>399</v>
      </c>
      <c r="C42" s="531">
        <v>2017</v>
      </c>
      <c r="D42" s="531" t="s">
        <v>401</v>
      </c>
      <c r="E42" s="532"/>
      <c r="F42" s="533"/>
    </row>
    <row r="43" spans="1:6" ht="15">
      <c r="A43" s="529" t="s">
        <v>419</v>
      </c>
      <c r="B43" s="530" t="s">
        <v>399</v>
      </c>
      <c r="C43" s="531">
        <v>2017</v>
      </c>
      <c r="D43" s="531">
        <v>35</v>
      </c>
      <c r="E43" s="532"/>
      <c r="F43" s="533"/>
    </row>
    <row r="44" spans="1:6" ht="15">
      <c r="A44" s="529" t="s">
        <v>420</v>
      </c>
      <c r="B44" s="530" t="s">
        <v>399</v>
      </c>
      <c r="C44" s="531">
        <v>2017</v>
      </c>
      <c r="D44" s="531">
        <v>110</v>
      </c>
      <c r="E44" s="532"/>
      <c r="F44" s="533"/>
    </row>
    <row r="45" spans="1:6" ht="15">
      <c r="A45" s="529" t="s">
        <v>421</v>
      </c>
      <c r="B45" s="530" t="s">
        <v>387</v>
      </c>
      <c r="C45" s="531">
        <v>2017</v>
      </c>
      <c r="D45" s="531" t="s">
        <v>401</v>
      </c>
      <c r="E45" s="532"/>
      <c r="F45" s="533"/>
    </row>
    <row r="46" spans="1:6" ht="15">
      <c r="A46" s="529" t="s">
        <v>422</v>
      </c>
      <c r="B46" s="530" t="s">
        <v>387</v>
      </c>
      <c r="C46" s="531">
        <v>2017</v>
      </c>
      <c r="D46" s="531">
        <v>35</v>
      </c>
      <c r="E46" s="532"/>
      <c r="F46" s="533"/>
    </row>
    <row r="47" spans="1:6" ht="15">
      <c r="A47" s="529" t="s">
        <v>423</v>
      </c>
      <c r="B47" s="530" t="s">
        <v>387</v>
      </c>
      <c r="C47" s="531">
        <v>2017</v>
      </c>
      <c r="D47" s="531">
        <v>110</v>
      </c>
      <c r="E47" s="532"/>
      <c r="F47" s="533"/>
    </row>
    <row r="48" spans="1:6" ht="15">
      <c r="A48" s="529" t="s">
        <v>424</v>
      </c>
      <c r="B48" s="530" t="s">
        <v>389</v>
      </c>
      <c r="C48" s="531">
        <v>2017</v>
      </c>
      <c r="D48" s="531" t="s">
        <v>401</v>
      </c>
      <c r="E48" s="532"/>
      <c r="F48" s="533"/>
    </row>
    <row r="49" spans="1:6" ht="15">
      <c r="A49" s="529" t="s">
        <v>425</v>
      </c>
      <c r="B49" s="530" t="s">
        <v>389</v>
      </c>
      <c r="C49" s="531">
        <v>2017</v>
      </c>
      <c r="D49" s="531">
        <v>35</v>
      </c>
      <c r="E49" s="532"/>
      <c r="F49" s="533"/>
    </row>
    <row r="50" spans="1:6" ht="15">
      <c r="A50" s="529" t="s">
        <v>426</v>
      </c>
      <c r="B50" s="530" t="s">
        <v>389</v>
      </c>
      <c r="C50" s="531">
        <v>2017</v>
      </c>
      <c r="D50" s="531">
        <v>110</v>
      </c>
      <c r="E50" s="532"/>
      <c r="F50" s="533"/>
    </row>
    <row r="51" spans="1:6" ht="15.75" thickBot="1">
      <c r="A51" s="539" t="s">
        <v>427</v>
      </c>
      <c r="B51" s="540" t="s">
        <v>392</v>
      </c>
      <c r="C51" s="541">
        <v>2017</v>
      </c>
      <c r="D51" s="541">
        <v>110</v>
      </c>
      <c r="E51" s="542"/>
      <c r="F51" s="543"/>
    </row>
    <row r="52" spans="1:6" s="518" customFormat="1" ht="15">
      <c r="A52" s="512" t="s">
        <v>428</v>
      </c>
      <c r="B52" s="513" t="s">
        <v>429</v>
      </c>
      <c r="C52" s="514" t="s">
        <v>380</v>
      </c>
      <c r="D52" s="514" t="s">
        <v>380</v>
      </c>
      <c r="E52" s="515" t="s">
        <v>380</v>
      </c>
      <c r="F52" s="516" t="s">
        <v>380</v>
      </c>
    </row>
    <row r="53" spans="1:6" ht="15">
      <c r="A53" s="529" t="s">
        <v>430</v>
      </c>
      <c r="B53" s="530" t="s">
        <v>399</v>
      </c>
      <c r="C53" s="531">
        <v>2017</v>
      </c>
      <c r="D53" s="531" t="s">
        <v>401</v>
      </c>
      <c r="E53" s="532"/>
      <c r="F53" s="533"/>
    </row>
    <row r="54" spans="1:6" ht="15">
      <c r="A54" s="529" t="s">
        <v>431</v>
      </c>
      <c r="B54" s="530" t="s">
        <v>399</v>
      </c>
      <c r="C54" s="531">
        <v>2017</v>
      </c>
      <c r="D54" s="531">
        <v>35</v>
      </c>
      <c r="E54" s="532"/>
      <c r="F54" s="533"/>
    </row>
    <row r="55" spans="1:6" ht="15">
      <c r="A55" s="529" t="s">
        <v>432</v>
      </c>
      <c r="B55" s="530" t="s">
        <v>399</v>
      </c>
      <c r="C55" s="531">
        <v>2017</v>
      </c>
      <c r="D55" s="531">
        <v>110</v>
      </c>
      <c r="E55" s="532"/>
      <c r="F55" s="533"/>
    </row>
    <row r="56" spans="1:6" ht="15">
      <c r="A56" s="529" t="s">
        <v>433</v>
      </c>
      <c r="B56" s="530" t="s">
        <v>387</v>
      </c>
      <c r="C56" s="531">
        <v>2017</v>
      </c>
      <c r="D56" s="531" t="s">
        <v>401</v>
      </c>
      <c r="E56" s="532"/>
      <c r="F56" s="533"/>
    </row>
    <row r="57" spans="1:6" ht="15">
      <c r="A57" s="529" t="s">
        <v>434</v>
      </c>
      <c r="B57" s="530" t="s">
        <v>387</v>
      </c>
      <c r="C57" s="531">
        <v>2017</v>
      </c>
      <c r="D57" s="531">
        <v>35</v>
      </c>
      <c r="E57" s="532"/>
      <c r="F57" s="533"/>
    </row>
    <row r="58" spans="1:6" ht="15">
      <c r="A58" s="529" t="s">
        <v>435</v>
      </c>
      <c r="B58" s="530" t="s">
        <v>387</v>
      </c>
      <c r="C58" s="531">
        <v>2017</v>
      </c>
      <c r="D58" s="531">
        <v>110</v>
      </c>
      <c r="E58" s="532"/>
      <c r="F58" s="533"/>
    </row>
    <row r="59" spans="1:6" ht="15">
      <c r="A59" s="529" t="s">
        <v>436</v>
      </c>
      <c r="B59" s="530" t="s">
        <v>389</v>
      </c>
      <c r="C59" s="531">
        <v>2017</v>
      </c>
      <c r="D59" s="531" t="s">
        <v>401</v>
      </c>
      <c r="E59" s="532"/>
      <c r="F59" s="533"/>
    </row>
    <row r="60" spans="1:6" ht="15">
      <c r="A60" s="529" t="s">
        <v>437</v>
      </c>
      <c r="B60" s="530" t="s">
        <v>389</v>
      </c>
      <c r="C60" s="531">
        <v>2017</v>
      </c>
      <c r="D60" s="531">
        <v>35</v>
      </c>
      <c r="E60" s="532"/>
      <c r="F60" s="533"/>
    </row>
    <row r="61" spans="1:6" ht="15">
      <c r="A61" s="529" t="s">
        <v>438</v>
      </c>
      <c r="B61" s="530" t="s">
        <v>389</v>
      </c>
      <c r="C61" s="531">
        <v>2017</v>
      </c>
      <c r="D61" s="531">
        <v>110</v>
      </c>
      <c r="E61" s="532"/>
      <c r="F61" s="533"/>
    </row>
    <row r="62" spans="1:6" ht="15.75" thickBot="1">
      <c r="A62" s="539" t="s">
        <v>439</v>
      </c>
      <c r="B62" s="540" t="s">
        <v>392</v>
      </c>
      <c r="C62" s="541">
        <v>2017</v>
      </c>
      <c r="D62" s="541">
        <v>110</v>
      </c>
      <c r="E62" s="542"/>
      <c r="F62" s="543"/>
    </row>
    <row r="63" spans="1:6" s="518" customFormat="1" ht="15">
      <c r="A63" s="519" t="s">
        <v>170</v>
      </c>
      <c r="B63" s="520" t="s">
        <v>440</v>
      </c>
      <c r="C63" s="521" t="s">
        <v>380</v>
      </c>
      <c r="D63" s="521" t="s">
        <v>380</v>
      </c>
      <c r="E63" s="522" t="s">
        <v>380</v>
      </c>
      <c r="F63" s="523" t="s">
        <v>380</v>
      </c>
    </row>
    <row r="64" spans="1:6" s="518" customFormat="1" ht="15">
      <c r="A64" s="519" t="s">
        <v>171</v>
      </c>
      <c r="B64" s="520" t="s">
        <v>417</v>
      </c>
      <c r="C64" s="521" t="s">
        <v>380</v>
      </c>
      <c r="D64" s="521" t="s">
        <v>380</v>
      </c>
      <c r="E64" s="522" t="s">
        <v>380</v>
      </c>
      <c r="F64" s="523" t="s">
        <v>380</v>
      </c>
    </row>
    <row r="65" spans="1:6" ht="15">
      <c r="A65" s="529" t="s">
        <v>441</v>
      </c>
      <c r="B65" s="530" t="s">
        <v>399</v>
      </c>
      <c r="C65" s="531">
        <v>2017</v>
      </c>
      <c r="D65" s="531">
        <v>0.4</v>
      </c>
      <c r="E65" s="532"/>
      <c r="F65" s="533"/>
    </row>
    <row r="66" spans="1:6" ht="15">
      <c r="A66" s="529" t="s">
        <v>442</v>
      </c>
      <c r="B66" s="530" t="s">
        <v>399</v>
      </c>
      <c r="C66" s="531">
        <v>2017</v>
      </c>
      <c r="D66" s="531" t="s">
        <v>401</v>
      </c>
      <c r="E66" s="532"/>
      <c r="F66" s="533"/>
    </row>
    <row r="67" spans="1:6" ht="15">
      <c r="A67" s="529" t="s">
        <v>443</v>
      </c>
      <c r="B67" s="530" t="s">
        <v>399</v>
      </c>
      <c r="C67" s="531">
        <v>2017</v>
      </c>
      <c r="D67" s="531">
        <v>35</v>
      </c>
      <c r="E67" s="532"/>
      <c r="F67" s="533"/>
    </row>
    <row r="68" spans="1:6" ht="15">
      <c r="A68" s="529" t="s">
        <v>444</v>
      </c>
      <c r="B68" s="530" t="s">
        <v>399</v>
      </c>
      <c r="C68" s="531">
        <v>2017</v>
      </c>
      <c r="D68" s="531">
        <v>110</v>
      </c>
      <c r="E68" s="532"/>
      <c r="F68" s="533"/>
    </row>
    <row r="69" spans="1:6" ht="15">
      <c r="A69" s="529" t="s">
        <v>445</v>
      </c>
      <c r="B69" s="530" t="s">
        <v>387</v>
      </c>
      <c r="C69" s="531">
        <v>2017</v>
      </c>
      <c r="D69" s="531">
        <v>0.4</v>
      </c>
      <c r="E69" s="532"/>
      <c r="F69" s="533"/>
    </row>
    <row r="70" spans="1:6" ht="15">
      <c r="A70" s="529" t="s">
        <v>446</v>
      </c>
      <c r="B70" s="530" t="s">
        <v>387</v>
      </c>
      <c r="C70" s="531">
        <v>2017</v>
      </c>
      <c r="D70" s="531" t="s">
        <v>401</v>
      </c>
      <c r="E70" s="532"/>
      <c r="F70" s="533"/>
    </row>
    <row r="71" spans="1:6" ht="15">
      <c r="A71" s="529" t="s">
        <v>447</v>
      </c>
      <c r="B71" s="530" t="s">
        <v>387</v>
      </c>
      <c r="C71" s="531">
        <v>2017</v>
      </c>
      <c r="D71" s="531">
        <v>35</v>
      </c>
      <c r="E71" s="532"/>
      <c r="F71" s="533"/>
    </row>
    <row r="72" spans="1:6" ht="15">
      <c r="A72" s="529" t="s">
        <v>448</v>
      </c>
      <c r="B72" s="530" t="s">
        <v>387</v>
      </c>
      <c r="C72" s="531">
        <v>2017</v>
      </c>
      <c r="D72" s="531">
        <v>110</v>
      </c>
      <c r="E72" s="532"/>
      <c r="F72" s="533"/>
    </row>
    <row r="73" spans="1:6" ht="15">
      <c r="A73" s="529" t="s">
        <v>449</v>
      </c>
      <c r="B73" s="530" t="s">
        <v>389</v>
      </c>
      <c r="C73" s="531">
        <v>2017</v>
      </c>
      <c r="D73" s="531">
        <v>0.4</v>
      </c>
      <c r="E73" s="532"/>
      <c r="F73" s="533"/>
    </row>
    <row r="74" spans="1:6" ht="15">
      <c r="A74" s="529" t="s">
        <v>450</v>
      </c>
      <c r="B74" s="530" t="s">
        <v>389</v>
      </c>
      <c r="C74" s="531">
        <v>2017</v>
      </c>
      <c r="D74" s="531" t="s">
        <v>401</v>
      </c>
      <c r="E74" s="532"/>
      <c r="F74" s="533"/>
    </row>
    <row r="75" spans="1:6" ht="15">
      <c r="A75" s="529" t="s">
        <v>451</v>
      </c>
      <c r="B75" s="530" t="s">
        <v>389</v>
      </c>
      <c r="C75" s="531">
        <v>2017</v>
      </c>
      <c r="D75" s="531">
        <v>35</v>
      </c>
      <c r="E75" s="532"/>
      <c r="F75" s="533"/>
    </row>
    <row r="76" spans="1:6" ht="15">
      <c r="A76" s="529" t="s">
        <v>452</v>
      </c>
      <c r="B76" s="530" t="s">
        <v>389</v>
      </c>
      <c r="C76" s="531">
        <v>2017</v>
      </c>
      <c r="D76" s="531">
        <v>110</v>
      </c>
      <c r="E76" s="532"/>
      <c r="F76" s="533"/>
    </row>
    <row r="77" spans="1:6" ht="15.75" thickBot="1">
      <c r="A77" s="539" t="s">
        <v>453</v>
      </c>
      <c r="B77" s="540" t="s">
        <v>392</v>
      </c>
      <c r="C77" s="541">
        <v>2017</v>
      </c>
      <c r="D77" s="541">
        <v>110</v>
      </c>
      <c r="E77" s="542"/>
      <c r="F77" s="543"/>
    </row>
    <row r="78" spans="1:6" s="518" customFormat="1" ht="15">
      <c r="A78" s="512" t="s">
        <v>172</v>
      </c>
      <c r="B78" s="513" t="s">
        <v>429</v>
      </c>
      <c r="C78" s="514" t="s">
        <v>380</v>
      </c>
      <c r="D78" s="514" t="s">
        <v>380</v>
      </c>
      <c r="E78" s="515" t="s">
        <v>380</v>
      </c>
      <c r="F78" s="516" t="s">
        <v>380</v>
      </c>
    </row>
    <row r="79" spans="1:6" ht="15">
      <c r="A79" s="529" t="s">
        <v>455</v>
      </c>
      <c r="B79" s="530" t="s">
        <v>399</v>
      </c>
      <c r="C79" s="531">
        <v>2017</v>
      </c>
      <c r="D79" s="531">
        <v>0.4</v>
      </c>
      <c r="E79" s="532"/>
      <c r="F79" s="533"/>
    </row>
    <row r="80" spans="1:6" ht="15">
      <c r="A80" s="529" t="s">
        <v>456</v>
      </c>
      <c r="B80" s="530" t="s">
        <v>399</v>
      </c>
      <c r="C80" s="531">
        <v>2017</v>
      </c>
      <c r="D80" s="531" t="s">
        <v>401</v>
      </c>
      <c r="E80" s="532"/>
      <c r="F80" s="533"/>
    </row>
    <row r="81" spans="1:6" ht="15">
      <c r="A81" s="529" t="s">
        <v>457</v>
      </c>
      <c r="B81" s="530" t="s">
        <v>399</v>
      </c>
      <c r="C81" s="531">
        <v>2017</v>
      </c>
      <c r="D81" s="531">
        <v>35</v>
      </c>
      <c r="E81" s="532"/>
      <c r="F81" s="533"/>
    </row>
    <row r="82" spans="1:6" ht="15">
      <c r="A82" s="529" t="s">
        <v>458</v>
      </c>
      <c r="B82" s="530" t="s">
        <v>399</v>
      </c>
      <c r="C82" s="531">
        <v>2017</v>
      </c>
      <c r="D82" s="531">
        <v>110</v>
      </c>
      <c r="E82" s="532"/>
      <c r="F82" s="533"/>
    </row>
    <row r="83" spans="1:6" ht="15">
      <c r="A83" s="529" t="s">
        <v>459</v>
      </c>
      <c r="B83" s="530" t="s">
        <v>387</v>
      </c>
      <c r="C83" s="531">
        <v>2017</v>
      </c>
      <c r="D83" s="531">
        <v>0.4</v>
      </c>
      <c r="E83" s="532"/>
      <c r="F83" s="533"/>
    </row>
    <row r="84" spans="1:6" ht="15">
      <c r="A84" s="529" t="s">
        <v>460</v>
      </c>
      <c r="B84" s="530" t="s">
        <v>387</v>
      </c>
      <c r="C84" s="531">
        <v>2017</v>
      </c>
      <c r="D84" s="531" t="s">
        <v>401</v>
      </c>
      <c r="E84" s="532"/>
      <c r="F84" s="533"/>
    </row>
    <row r="85" spans="1:6" ht="15">
      <c r="A85" s="529" t="s">
        <v>461</v>
      </c>
      <c r="B85" s="530" t="s">
        <v>387</v>
      </c>
      <c r="C85" s="531">
        <v>2017</v>
      </c>
      <c r="D85" s="531">
        <v>35</v>
      </c>
      <c r="E85" s="532"/>
      <c r="F85" s="533"/>
    </row>
    <row r="86" spans="1:6" ht="15">
      <c r="A86" s="529" t="s">
        <v>462</v>
      </c>
      <c r="B86" s="530" t="s">
        <v>387</v>
      </c>
      <c r="C86" s="531">
        <v>2017</v>
      </c>
      <c r="D86" s="531">
        <v>110</v>
      </c>
      <c r="E86" s="532"/>
      <c r="F86" s="533"/>
    </row>
    <row r="87" spans="1:6" ht="15">
      <c r="A87" s="529" t="s">
        <v>463</v>
      </c>
      <c r="B87" s="530" t="s">
        <v>389</v>
      </c>
      <c r="C87" s="531">
        <v>2017</v>
      </c>
      <c r="D87" s="531">
        <v>0.4</v>
      </c>
      <c r="E87" s="532"/>
      <c r="F87" s="533"/>
    </row>
    <row r="88" spans="1:6" ht="15">
      <c r="A88" s="529" t="s">
        <v>464</v>
      </c>
      <c r="B88" s="530" t="s">
        <v>389</v>
      </c>
      <c r="C88" s="531">
        <v>2017</v>
      </c>
      <c r="D88" s="531" t="s">
        <v>401</v>
      </c>
      <c r="E88" s="532"/>
      <c r="F88" s="533"/>
    </row>
    <row r="89" spans="1:6" ht="15">
      <c r="A89" s="529" t="s">
        <v>465</v>
      </c>
      <c r="B89" s="530" t="s">
        <v>389</v>
      </c>
      <c r="C89" s="531">
        <v>2017</v>
      </c>
      <c r="D89" s="531">
        <v>35</v>
      </c>
      <c r="E89" s="532"/>
      <c r="F89" s="533"/>
    </row>
    <row r="90" spans="1:6" ht="15">
      <c r="A90" s="529" t="s">
        <v>466</v>
      </c>
      <c r="B90" s="530" t="s">
        <v>389</v>
      </c>
      <c r="C90" s="531">
        <v>2017</v>
      </c>
      <c r="D90" s="531">
        <v>110</v>
      </c>
      <c r="E90" s="532"/>
      <c r="F90" s="533"/>
    </row>
    <row r="91" spans="1:6" ht="15">
      <c r="A91" s="529" t="s">
        <v>467</v>
      </c>
      <c r="B91" s="530" t="s">
        <v>392</v>
      </c>
      <c r="C91" s="531">
        <v>2017</v>
      </c>
      <c r="D91" s="531">
        <v>110</v>
      </c>
      <c r="E91" s="532"/>
      <c r="F91" s="533"/>
    </row>
    <row r="92" spans="1:6" ht="15.75" thickBot="1">
      <c r="A92" s="529" t="s">
        <v>467</v>
      </c>
      <c r="B92" s="530" t="s">
        <v>392</v>
      </c>
      <c r="C92" s="604">
        <v>2017</v>
      </c>
      <c r="D92" s="609">
        <v>10</v>
      </c>
      <c r="E92" s="610"/>
      <c r="F92" s="611"/>
    </row>
    <row r="93" spans="1:6" s="518" customFormat="1" ht="15">
      <c r="A93" s="512" t="s">
        <v>173</v>
      </c>
      <c r="B93" s="513" t="s">
        <v>468</v>
      </c>
      <c r="C93" s="514" t="s">
        <v>380</v>
      </c>
      <c r="D93" s="514" t="s">
        <v>380</v>
      </c>
      <c r="E93" s="515" t="s">
        <v>380</v>
      </c>
      <c r="F93" s="516" t="s">
        <v>380</v>
      </c>
    </row>
    <row r="94" spans="1:6" s="518" customFormat="1" ht="15">
      <c r="A94" s="519" t="s">
        <v>174</v>
      </c>
      <c r="B94" s="520" t="s">
        <v>416</v>
      </c>
      <c r="C94" s="521" t="s">
        <v>380</v>
      </c>
      <c r="D94" s="521" t="s">
        <v>380</v>
      </c>
      <c r="E94" s="522" t="s">
        <v>380</v>
      </c>
      <c r="F94" s="523" t="s">
        <v>380</v>
      </c>
    </row>
    <row r="95" spans="1:6" s="518" customFormat="1" ht="15">
      <c r="A95" s="519" t="s">
        <v>175</v>
      </c>
      <c r="B95" s="520" t="s">
        <v>417</v>
      </c>
      <c r="C95" s="521" t="s">
        <v>380</v>
      </c>
      <c r="D95" s="521" t="s">
        <v>380</v>
      </c>
      <c r="E95" s="522" t="s">
        <v>380</v>
      </c>
      <c r="F95" s="523" t="s">
        <v>380</v>
      </c>
    </row>
    <row r="96" spans="1:6" ht="15">
      <c r="A96" s="529" t="s">
        <v>469</v>
      </c>
      <c r="B96" s="530" t="s">
        <v>399</v>
      </c>
      <c r="C96" s="531">
        <v>2017</v>
      </c>
      <c r="D96" s="531" t="s">
        <v>401</v>
      </c>
      <c r="E96" s="532"/>
      <c r="F96" s="533"/>
    </row>
    <row r="97" spans="1:6" ht="15">
      <c r="A97" s="529" t="s">
        <v>470</v>
      </c>
      <c r="B97" s="530" t="s">
        <v>399</v>
      </c>
      <c r="C97" s="531">
        <v>2017</v>
      </c>
      <c r="D97" s="531">
        <v>35</v>
      </c>
      <c r="E97" s="532"/>
      <c r="F97" s="533"/>
    </row>
    <row r="98" spans="1:6" ht="15">
      <c r="A98" s="529" t="s">
        <v>471</v>
      </c>
      <c r="B98" s="530" t="s">
        <v>399</v>
      </c>
      <c r="C98" s="531">
        <v>2017</v>
      </c>
      <c r="D98" s="531">
        <v>110</v>
      </c>
      <c r="E98" s="532"/>
      <c r="F98" s="533"/>
    </row>
    <row r="99" spans="1:6" ht="15">
      <c r="A99" s="529" t="s">
        <v>472</v>
      </c>
      <c r="B99" s="530" t="s">
        <v>387</v>
      </c>
      <c r="C99" s="531">
        <v>2017</v>
      </c>
      <c r="D99" s="531" t="s">
        <v>401</v>
      </c>
      <c r="E99" s="532"/>
      <c r="F99" s="533"/>
    </row>
    <row r="100" spans="1:6" ht="15">
      <c r="A100" s="529" t="s">
        <v>473</v>
      </c>
      <c r="B100" s="530" t="s">
        <v>387</v>
      </c>
      <c r="C100" s="531">
        <v>2017</v>
      </c>
      <c r="D100" s="531">
        <v>35</v>
      </c>
      <c r="E100" s="532"/>
      <c r="F100" s="533"/>
    </row>
    <row r="101" spans="1:6" ht="15">
      <c r="A101" s="529" t="s">
        <v>474</v>
      </c>
      <c r="B101" s="530" t="s">
        <v>387</v>
      </c>
      <c r="C101" s="531">
        <v>2017</v>
      </c>
      <c r="D101" s="531">
        <v>110</v>
      </c>
      <c r="E101" s="532"/>
      <c r="F101" s="533"/>
    </row>
    <row r="102" spans="1:6" ht="15">
      <c r="A102" s="529" t="s">
        <v>475</v>
      </c>
      <c r="B102" s="530" t="s">
        <v>389</v>
      </c>
      <c r="C102" s="531">
        <v>2017</v>
      </c>
      <c r="D102" s="531" t="s">
        <v>401</v>
      </c>
      <c r="E102" s="532"/>
      <c r="F102" s="533"/>
    </row>
    <row r="103" spans="1:6" ht="15">
      <c r="A103" s="529" t="s">
        <v>476</v>
      </c>
      <c r="B103" s="530" t="s">
        <v>389</v>
      </c>
      <c r="C103" s="531">
        <v>2017</v>
      </c>
      <c r="D103" s="531">
        <v>35</v>
      </c>
      <c r="E103" s="532"/>
      <c r="F103" s="533"/>
    </row>
    <row r="104" spans="1:6" ht="15">
      <c r="A104" s="529" t="s">
        <v>477</v>
      </c>
      <c r="B104" s="530" t="s">
        <v>389</v>
      </c>
      <c r="C104" s="531">
        <v>2017</v>
      </c>
      <c r="D104" s="531">
        <v>110</v>
      </c>
      <c r="E104" s="532"/>
      <c r="F104" s="533"/>
    </row>
    <row r="105" spans="1:6" ht="15.75" thickBot="1">
      <c r="A105" s="539" t="s">
        <v>478</v>
      </c>
      <c r="B105" s="540" t="s">
        <v>392</v>
      </c>
      <c r="C105" s="541">
        <v>2017</v>
      </c>
      <c r="D105" s="541">
        <v>110</v>
      </c>
      <c r="E105" s="542"/>
      <c r="F105" s="543"/>
    </row>
    <row r="106" spans="1:6" s="518" customFormat="1" ht="15">
      <c r="A106" s="512" t="s">
        <v>176</v>
      </c>
      <c r="B106" s="513" t="s">
        <v>429</v>
      </c>
      <c r="C106" s="514" t="s">
        <v>380</v>
      </c>
      <c r="D106" s="514" t="s">
        <v>380</v>
      </c>
      <c r="E106" s="515" t="s">
        <v>380</v>
      </c>
      <c r="F106" s="516" t="s">
        <v>380</v>
      </c>
    </row>
    <row r="107" spans="1:6" ht="15">
      <c r="A107" s="529" t="s">
        <v>480</v>
      </c>
      <c r="B107" s="530" t="s">
        <v>399</v>
      </c>
      <c r="C107" s="531">
        <v>2017</v>
      </c>
      <c r="D107" s="531" t="s">
        <v>401</v>
      </c>
      <c r="E107" s="532"/>
      <c r="F107" s="533"/>
    </row>
    <row r="108" spans="1:6" ht="15">
      <c r="A108" s="529" t="s">
        <v>481</v>
      </c>
      <c r="B108" s="530" t="s">
        <v>399</v>
      </c>
      <c r="C108" s="531">
        <v>2017</v>
      </c>
      <c r="D108" s="531">
        <v>35</v>
      </c>
      <c r="E108" s="532"/>
      <c r="F108" s="533"/>
    </row>
    <row r="109" spans="1:6" ht="15">
      <c r="A109" s="529" t="s">
        <v>482</v>
      </c>
      <c r="B109" s="530" t="s">
        <v>399</v>
      </c>
      <c r="C109" s="531">
        <v>2017</v>
      </c>
      <c r="D109" s="531">
        <v>110</v>
      </c>
      <c r="E109" s="532"/>
      <c r="F109" s="533"/>
    </row>
    <row r="110" spans="1:6" ht="15">
      <c r="A110" s="529" t="s">
        <v>483</v>
      </c>
      <c r="B110" s="530" t="s">
        <v>387</v>
      </c>
      <c r="C110" s="531">
        <v>2017</v>
      </c>
      <c r="D110" s="531" t="s">
        <v>401</v>
      </c>
      <c r="E110" s="532"/>
      <c r="F110" s="533"/>
    </row>
    <row r="111" spans="1:6" ht="15">
      <c r="A111" s="529" t="s">
        <v>484</v>
      </c>
      <c r="B111" s="530" t="s">
        <v>387</v>
      </c>
      <c r="C111" s="531">
        <v>2017</v>
      </c>
      <c r="D111" s="531">
        <v>35</v>
      </c>
      <c r="E111" s="532"/>
      <c r="F111" s="533"/>
    </row>
    <row r="112" spans="1:6" ht="15">
      <c r="A112" s="529" t="s">
        <v>485</v>
      </c>
      <c r="B112" s="530" t="s">
        <v>387</v>
      </c>
      <c r="C112" s="531">
        <v>2017</v>
      </c>
      <c r="D112" s="531">
        <v>110</v>
      </c>
      <c r="E112" s="532"/>
      <c r="F112" s="533"/>
    </row>
    <row r="113" spans="1:6" ht="15">
      <c r="A113" s="529" t="s">
        <v>486</v>
      </c>
      <c r="B113" s="530" t="s">
        <v>389</v>
      </c>
      <c r="C113" s="531">
        <v>2017</v>
      </c>
      <c r="D113" s="531" t="s">
        <v>401</v>
      </c>
      <c r="E113" s="532"/>
      <c r="F113" s="533"/>
    </row>
    <row r="114" spans="1:6" ht="15">
      <c r="A114" s="529" t="s">
        <v>487</v>
      </c>
      <c r="B114" s="530" t="s">
        <v>389</v>
      </c>
      <c r="C114" s="531">
        <v>2017</v>
      </c>
      <c r="D114" s="531">
        <v>35</v>
      </c>
      <c r="E114" s="532"/>
      <c r="F114" s="533"/>
    </row>
    <row r="115" spans="1:6" ht="15">
      <c r="A115" s="529" t="s">
        <v>488</v>
      </c>
      <c r="B115" s="530" t="s">
        <v>389</v>
      </c>
      <c r="C115" s="531">
        <v>2017</v>
      </c>
      <c r="D115" s="531">
        <v>110</v>
      </c>
      <c r="E115" s="532"/>
      <c r="F115" s="533"/>
    </row>
    <row r="116" spans="1:6" ht="15.75" thickBot="1">
      <c r="A116" s="539" t="s">
        <v>489</v>
      </c>
      <c r="B116" s="540" t="s">
        <v>392</v>
      </c>
      <c r="C116" s="541">
        <v>2017</v>
      </c>
      <c r="D116" s="541">
        <v>110</v>
      </c>
      <c r="E116" s="542"/>
      <c r="F116" s="543"/>
    </row>
    <row r="117" spans="1:6" s="518" customFormat="1" ht="15">
      <c r="A117" s="519" t="s">
        <v>177</v>
      </c>
      <c r="B117" s="520" t="s">
        <v>440</v>
      </c>
      <c r="C117" s="521" t="s">
        <v>380</v>
      </c>
      <c r="D117" s="521" t="s">
        <v>380</v>
      </c>
      <c r="E117" s="522" t="s">
        <v>380</v>
      </c>
      <c r="F117" s="523" t="s">
        <v>380</v>
      </c>
    </row>
    <row r="118" spans="1:6" s="518" customFormat="1" ht="15">
      <c r="A118" s="519" t="s">
        <v>178</v>
      </c>
      <c r="B118" s="520" t="s">
        <v>417</v>
      </c>
      <c r="C118" s="521" t="s">
        <v>380</v>
      </c>
      <c r="D118" s="521" t="s">
        <v>380</v>
      </c>
      <c r="E118" s="522" t="s">
        <v>380</v>
      </c>
      <c r="F118" s="523" t="s">
        <v>380</v>
      </c>
    </row>
    <row r="119" spans="1:6" ht="15">
      <c r="A119" s="529" t="s">
        <v>490</v>
      </c>
      <c r="B119" s="530" t="s">
        <v>399</v>
      </c>
      <c r="C119" s="531">
        <v>2017</v>
      </c>
      <c r="D119" s="531" t="s">
        <v>401</v>
      </c>
      <c r="E119" s="532"/>
      <c r="F119" s="533"/>
    </row>
    <row r="120" spans="1:6" ht="15">
      <c r="A120" s="529" t="s">
        <v>491</v>
      </c>
      <c r="B120" s="530" t="s">
        <v>399</v>
      </c>
      <c r="C120" s="531">
        <v>2017</v>
      </c>
      <c r="D120" s="531">
        <v>35</v>
      </c>
      <c r="E120" s="532"/>
      <c r="F120" s="533"/>
    </row>
    <row r="121" spans="1:6" ht="15">
      <c r="A121" s="529" t="s">
        <v>492</v>
      </c>
      <c r="B121" s="530" t="s">
        <v>399</v>
      </c>
      <c r="C121" s="531">
        <v>2017</v>
      </c>
      <c r="D121" s="531">
        <v>110</v>
      </c>
      <c r="E121" s="532"/>
      <c r="F121" s="533"/>
    </row>
    <row r="122" spans="1:6" ht="15">
      <c r="A122" s="529" t="s">
        <v>493</v>
      </c>
      <c r="B122" s="530" t="s">
        <v>387</v>
      </c>
      <c r="C122" s="531">
        <v>2017</v>
      </c>
      <c r="D122" s="531" t="s">
        <v>401</v>
      </c>
      <c r="E122" s="532"/>
      <c r="F122" s="533"/>
    </row>
    <row r="123" spans="1:6" ht="15">
      <c r="A123" s="529" t="s">
        <v>494</v>
      </c>
      <c r="B123" s="530" t="s">
        <v>387</v>
      </c>
      <c r="C123" s="531">
        <v>2017</v>
      </c>
      <c r="D123" s="531">
        <v>35</v>
      </c>
      <c r="E123" s="532"/>
      <c r="F123" s="533"/>
    </row>
    <row r="124" spans="1:6" ht="15">
      <c r="A124" s="529" t="s">
        <v>495</v>
      </c>
      <c r="B124" s="530" t="s">
        <v>387</v>
      </c>
      <c r="C124" s="531">
        <v>2017</v>
      </c>
      <c r="D124" s="531">
        <v>110</v>
      </c>
      <c r="E124" s="532"/>
      <c r="F124" s="533"/>
    </row>
    <row r="125" spans="1:6" ht="15">
      <c r="A125" s="529" t="s">
        <v>496</v>
      </c>
      <c r="B125" s="530" t="s">
        <v>389</v>
      </c>
      <c r="C125" s="531">
        <v>2017</v>
      </c>
      <c r="D125" s="531" t="s">
        <v>401</v>
      </c>
      <c r="E125" s="532"/>
      <c r="F125" s="533"/>
    </row>
    <row r="126" spans="1:6" ht="15">
      <c r="A126" s="529" t="s">
        <v>497</v>
      </c>
      <c r="B126" s="530" t="s">
        <v>389</v>
      </c>
      <c r="C126" s="531">
        <v>2017</v>
      </c>
      <c r="D126" s="531">
        <v>35</v>
      </c>
      <c r="E126" s="532"/>
      <c r="F126" s="533"/>
    </row>
    <row r="127" spans="1:6" ht="15">
      <c r="A127" s="529" t="s">
        <v>498</v>
      </c>
      <c r="B127" s="530" t="s">
        <v>389</v>
      </c>
      <c r="C127" s="531">
        <v>2017</v>
      </c>
      <c r="D127" s="531">
        <v>110</v>
      </c>
      <c r="E127" s="532"/>
      <c r="F127" s="533"/>
    </row>
    <row r="128" spans="1:6" ht="15.75" thickBot="1">
      <c r="A128" s="539" t="s">
        <v>499</v>
      </c>
      <c r="B128" s="540" t="s">
        <v>392</v>
      </c>
      <c r="C128" s="541">
        <v>2017</v>
      </c>
      <c r="D128" s="541">
        <v>110</v>
      </c>
      <c r="E128" s="542"/>
      <c r="F128" s="543"/>
    </row>
    <row r="129" spans="1:6" s="518" customFormat="1" ht="15">
      <c r="A129" s="512" t="s">
        <v>179</v>
      </c>
      <c r="B129" s="513" t="s">
        <v>429</v>
      </c>
      <c r="C129" s="514" t="s">
        <v>380</v>
      </c>
      <c r="D129" s="514" t="s">
        <v>380</v>
      </c>
      <c r="E129" s="515" t="s">
        <v>380</v>
      </c>
      <c r="F129" s="516" t="s">
        <v>380</v>
      </c>
    </row>
    <row r="130" spans="1:6" ht="15">
      <c r="A130" s="529" t="s">
        <v>500</v>
      </c>
      <c r="B130" s="530" t="s">
        <v>399</v>
      </c>
      <c r="C130" s="531">
        <v>2017</v>
      </c>
      <c r="D130" s="531" t="s">
        <v>401</v>
      </c>
      <c r="E130" s="532"/>
      <c r="F130" s="533"/>
    </row>
    <row r="131" spans="1:6" ht="15">
      <c r="A131" s="529" t="s">
        <v>501</v>
      </c>
      <c r="B131" s="530" t="s">
        <v>399</v>
      </c>
      <c r="C131" s="531">
        <v>2017</v>
      </c>
      <c r="D131" s="531">
        <v>35</v>
      </c>
      <c r="E131" s="532"/>
      <c r="F131" s="533"/>
    </row>
    <row r="132" spans="1:6" ht="15">
      <c r="A132" s="529" t="s">
        <v>502</v>
      </c>
      <c r="B132" s="530" t="s">
        <v>399</v>
      </c>
      <c r="C132" s="531">
        <v>2017</v>
      </c>
      <c r="D132" s="531">
        <v>110</v>
      </c>
      <c r="E132" s="532"/>
      <c r="F132" s="533"/>
    </row>
    <row r="133" spans="1:6" ht="15">
      <c r="A133" s="529" t="s">
        <v>503</v>
      </c>
      <c r="B133" s="530" t="s">
        <v>387</v>
      </c>
      <c r="C133" s="531">
        <v>2017</v>
      </c>
      <c r="D133" s="531" t="s">
        <v>401</v>
      </c>
      <c r="E133" s="532"/>
      <c r="F133" s="533"/>
    </row>
    <row r="134" spans="1:6" ht="15">
      <c r="A134" s="529" t="s">
        <v>504</v>
      </c>
      <c r="B134" s="530" t="s">
        <v>387</v>
      </c>
      <c r="C134" s="531">
        <v>2017</v>
      </c>
      <c r="D134" s="531">
        <v>35</v>
      </c>
      <c r="E134" s="532"/>
      <c r="F134" s="533"/>
    </row>
    <row r="135" spans="1:6" ht="15">
      <c r="A135" s="529" t="s">
        <v>505</v>
      </c>
      <c r="B135" s="530" t="s">
        <v>387</v>
      </c>
      <c r="C135" s="531">
        <v>2017</v>
      </c>
      <c r="D135" s="531">
        <v>110</v>
      </c>
      <c r="E135" s="532"/>
      <c r="F135" s="533"/>
    </row>
    <row r="136" spans="1:6" ht="15">
      <c r="A136" s="529" t="s">
        <v>506</v>
      </c>
      <c r="B136" s="530" t="s">
        <v>389</v>
      </c>
      <c r="C136" s="531">
        <v>2017</v>
      </c>
      <c r="D136" s="531" t="s">
        <v>401</v>
      </c>
      <c r="E136" s="532"/>
      <c r="F136" s="533"/>
    </row>
    <row r="137" spans="1:6" ht="15">
      <c r="A137" s="529" t="s">
        <v>507</v>
      </c>
      <c r="B137" s="530" t="s">
        <v>389</v>
      </c>
      <c r="C137" s="531">
        <v>2017</v>
      </c>
      <c r="D137" s="531">
        <v>35</v>
      </c>
      <c r="E137" s="532"/>
      <c r="F137" s="533"/>
    </row>
    <row r="138" spans="1:6" ht="15">
      <c r="A138" s="529" t="s">
        <v>508</v>
      </c>
      <c r="B138" s="530" t="s">
        <v>389</v>
      </c>
      <c r="C138" s="531">
        <v>2017</v>
      </c>
      <c r="D138" s="531">
        <v>110</v>
      </c>
      <c r="E138" s="532"/>
      <c r="F138" s="533"/>
    </row>
    <row r="139" spans="1:6" ht="15.75" thickBot="1">
      <c r="A139" s="539" t="s">
        <v>509</v>
      </c>
      <c r="B139" s="540" t="s">
        <v>392</v>
      </c>
      <c r="C139" s="541">
        <v>2017</v>
      </c>
      <c r="D139" s="541">
        <v>110</v>
      </c>
      <c r="E139" s="542"/>
      <c r="F139" s="543"/>
    </row>
    <row r="140" spans="1:6" s="518" customFormat="1" ht="30">
      <c r="A140" s="512" t="s">
        <v>180</v>
      </c>
      <c r="B140" s="513" t="s">
        <v>510</v>
      </c>
      <c r="C140" s="514" t="s">
        <v>380</v>
      </c>
      <c r="D140" s="514" t="s">
        <v>380</v>
      </c>
      <c r="E140" s="515" t="s">
        <v>380</v>
      </c>
      <c r="F140" s="516" t="s">
        <v>380</v>
      </c>
    </row>
    <row r="141" spans="1:6" s="518" customFormat="1" ht="15">
      <c r="A141" s="519" t="s">
        <v>181</v>
      </c>
      <c r="B141" s="520" t="s">
        <v>440</v>
      </c>
      <c r="C141" s="521" t="s">
        <v>380</v>
      </c>
      <c r="D141" s="521" t="s">
        <v>380</v>
      </c>
      <c r="E141" s="522" t="s">
        <v>380</v>
      </c>
      <c r="F141" s="523" t="s">
        <v>380</v>
      </c>
    </row>
    <row r="142" spans="1:6" s="518" customFormat="1" ht="15">
      <c r="A142" s="519" t="s">
        <v>511</v>
      </c>
      <c r="B142" s="520" t="s">
        <v>417</v>
      </c>
      <c r="C142" s="521" t="s">
        <v>380</v>
      </c>
      <c r="D142" s="521" t="s">
        <v>380</v>
      </c>
      <c r="E142" s="522" t="s">
        <v>380</v>
      </c>
      <c r="F142" s="523" t="s">
        <v>380</v>
      </c>
    </row>
    <row r="143" spans="1:6" ht="15">
      <c r="A143" s="529" t="s">
        <v>512</v>
      </c>
      <c r="B143" s="530" t="s">
        <v>392</v>
      </c>
      <c r="C143" s="531">
        <v>2017</v>
      </c>
      <c r="D143" s="531" t="s">
        <v>401</v>
      </c>
      <c r="E143" s="532"/>
      <c r="F143" s="533"/>
    </row>
    <row r="144" spans="1:6" ht="15">
      <c r="A144" s="529" t="s">
        <v>513</v>
      </c>
      <c r="B144" s="530" t="s">
        <v>392</v>
      </c>
      <c r="C144" s="531">
        <v>2017</v>
      </c>
      <c r="D144" s="531">
        <v>35</v>
      </c>
      <c r="E144" s="532"/>
      <c r="F144" s="533"/>
    </row>
    <row r="145" spans="1:7" ht="15">
      <c r="A145" s="529" t="s">
        <v>514</v>
      </c>
      <c r="B145" s="530" t="s">
        <v>392</v>
      </c>
      <c r="C145" s="531">
        <v>2017</v>
      </c>
      <c r="D145" s="531">
        <v>110</v>
      </c>
      <c r="E145" s="532"/>
      <c r="F145" s="533"/>
    </row>
    <row r="146" spans="1:7" s="518" customFormat="1" ht="15">
      <c r="A146" s="519" t="s">
        <v>515</v>
      </c>
      <c r="B146" s="520" t="s">
        <v>429</v>
      </c>
      <c r="C146" s="521" t="s">
        <v>380</v>
      </c>
      <c r="D146" s="521" t="s">
        <v>380</v>
      </c>
      <c r="E146" s="522" t="s">
        <v>380</v>
      </c>
      <c r="F146" s="523" t="s">
        <v>380</v>
      </c>
    </row>
    <row r="147" spans="1:7" ht="15">
      <c r="A147" s="529" t="s">
        <v>516</v>
      </c>
      <c r="B147" s="530" t="s">
        <v>392</v>
      </c>
      <c r="C147" s="531">
        <v>2017</v>
      </c>
      <c r="D147" s="531" t="s">
        <v>401</v>
      </c>
      <c r="E147" s="532"/>
      <c r="F147" s="533"/>
    </row>
    <row r="148" spans="1:7" ht="15">
      <c r="A148" s="529" t="s">
        <v>517</v>
      </c>
      <c r="B148" s="530" t="s">
        <v>392</v>
      </c>
      <c r="C148" s="531">
        <v>2017</v>
      </c>
      <c r="D148" s="531">
        <v>35</v>
      </c>
      <c r="E148" s="532"/>
      <c r="F148" s="533"/>
    </row>
    <row r="149" spans="1:7" ht="15.75" thickBot="1">
      <c r="A149" s="529" t="s">
        <v>518</v>
      </c>
      <c r="B149" s="530" t="s">
        <v>392</v>
      </c>
      <c r="C149" s="531">
        <v>2017</v>
      </c>
      <c r="D149" s="531">
        <v>110</v>
      </c>
      <c r="E149" s="532"/>
      <c r="F149" s="533"/>
    </row>
    <row r="150" spans="1:7" s="518" customFormat="1" ht="15.75" thickBot="1">
      <c r="A150" s="544" t="s">
        <v>182</v>
      </c>
      <c r="B150" s="545" t="s">
        <v>604</v>
      </c>
      <c r="C150" s="546"/>
      <c r="D150" s="546"/>
      <c r="E150" s="547"/>
      <c r="F150" s="548"/>
    </row>
    <row r="151" spans="1:7" ht="15">
      <c r="A151" s="529" t="s">
        <v>183</v>
      </c>
      <c r="B151" s="530"/>
      <c r="C151" s="531">
        <v>2017</v>
      </c>
      <c r="D151" s="531"/>
      <c r="E151" s="532"/>
      <c r="F151" s="533"/>
    </row>
    <row r="152" spans="1:7" ht="15">
      <c r="A152" s="529" t="s">
        <v>184</v>
      </c>
      <c r="B152" s="530"/>
      <c r="C152" s="531">
        <v>2017</v>
      </c>
      <c r="D152" s="531"/>
      <c r="E152" s="532"/>
      <c r="F152" s="533"/>
    </row>
    <row r="153" spans="1:7" ht="15">
      <c r="A153" s="524" t="s">
        <v>624</v>
      </c>
      <c r="B153" s="525"/>
      <c r="C153" s="526">
        <v>2017</v>
      </c>
      <c r="D153" s="526"/>
      <c r="E153" s="527"/>
      <c r="F153" s="528"/>
    </row>
    <row r="154" spans="1:7" ht="15">
      <c r="A154" s="529" t="s">
        <v>185</v>
      </c>
      <c r="B154" s="525"/>
      <c r="C154" s="526">
        <v>2017</v>
      </c>
      <c r="D154" s="526"/>
      <c r="E154" s="527"/>
      <c r="F154" s="528"/>
    </row>
    <row r="155" spans="1:7" ht="15.75" thickBot="1">
      <c r="A155" s="539" t="s">
        <v>628</v>
      </c>
      <c r="B155" s="540"/>
      <c r="C155" s="541">
        <v>2017</v>
      </c>
      <c r="D155" s="541"/>
      <c r="E155" s="542"/>
      <c r="F155" s="543"/>
    </row>
    <row r="158" spans="1:7" ht="15.75">
      <c r="A158" s="722" t="s">
        <v>841</v>
      </c>
      <c r="B158" s="187"/>
      <c r="C158" s="187"/>
      <c r="D158" s="723"/>
      <c r="E158" s="724"/>
      <c r="F158" s="725"/>
      <c r="G158" s="726"/>
    </row>
    <row r="159" spans="1:7" ht="15.75">
      <c r="A159" s="722" t="s">
        <v>88</v>
      </c>
      <c r="B159" s="187"/>
      <c r="C159" s="187"/>
      <c r="D159" s="722"/>
      <c r="E159" s="722"/>
      <c r="F159" s="727" t="s">
        <v>842</v>
      </c>
      <c r="G159" s="726"/>
    </row>
    <row r="160" spans="1:7" ht="15">
      <c r="A160" s="713"/>
      <c r="B160" s="714"/>
      <c r="C160" s="714"/>
      <c r="D160" s="714"/>
      <c r="E160" s="715"/>
      <c r="F160" s="715"/>
      <c r="G160" s="506"/>
    </row>
    <row r="161" spans="1:7" ht="15">
      <c r="A161" s="716" t="s">
        <v>706</v>
      </c>
      <c r="B161" s="714"/>
      <c r="C161" s="714"/>
      <c r="D161" s="714"/>
      <c r="E161" s="715"/>
      <c r="F161" s="715"/>
      <c r="G161" s="506"/>
    </row>
    <row r="162" spans="1:7" ht="15">
      <c r="A162" s="718" t="s">
        <v>843</v>
      </c>
      <c r="B162" s="714"/>
      <c r="C162" s="714"/>
      <c r="D162" s="714"/>
      <c r="E162" s="715"/>
      <c r="F162" s="715"/>
      <c r="G162" s="506"/>
    </row>
    <row r="163" spans="1:7" ht="15">
      <c r="A163" s="719" t="s">
        <v>844</v>
      </c>
      <c r="B163" s="714"/>
      <c r="C163" s="714"/>
      <c r="D163" s="714"/>
      <c r="E163" s="715"/>
      <c r="F163" s="715"/>
      <c r="G163" s="506"/>
    </row>
  </sheetData>
  <mergeCells count="2">
    <mergeCell ref="A1:F1"/>
    <mergeCell ref="B2:F2"/>
  </mergeCells>
  <pageMargins left="0.7" right="0.7" top="0.54" bottom="0.34" header="0.3" footer="0.3"/>
  <pageSetup paperSize="8"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7"/>
  <sheetViews>
    <sheetView view="pageBreakPreview" zoomScale="80" zoomScaleNormal="80" zoomScaleSheetLayoutView="80" workbookViewId="0">
      <pane xSplit="2" ySplit="10" topLeftCell="C116" activePane="bottomRight" state="frozen"/>
      <selection pane="topRight" activeCell="C1" sqref="C1"/>
      <selection pane="bottomLeft" activeCell="A11" sqref="A11"/>
      <selection pane="bottomRight" activeCell="E185" sqref="E185"/>
    </sheetView>
  </sheetViews>
  <sheetFormatPr defaultRowHeight="12.75" outlineLevelRow="1"/>
  <cols>
    <col min="1" max="1" width="9.140625" style="215"/>
    <col min="2" max="2" width="62" style="215" customWidth="1"/>
    <col min="3" max="3" width="18.42578125" style="1164" customWidth="1"/>
    <col min="4" max="4" width="21" style="215" customWidth="1"/>
    <col min="5" max="5" width="20" style="215" customWidth="1"/>
    <col min="6" max="6" width="21.7109375" style="215" customWidth="1"/>
    <col min="7" max="7" width="22.5703125" style="215" customWidth="1"/>
    <col min="8" max="8" width="16.28515625" style="215" customWidth="1"/>
    <col min="9" max="9" width="16.85546875" style="215" customWidth="1"/>
    <col min="10" max="10" width="16.28515625" style="215" customWidth="1"/>
    <col min="11" max="11" width="19.5703125" style="215" customWidth="1"/>
    <col min="12" max="12" width="20.140625" style="215" customWidth="1"/>
    <col min="13" max="13" width="15.5703125" style="215" bestFit="1" customWidth="1"/>
    <col min="14" max="14" width="13" style="215" customWidth="1"/>
    <col min="15" max="257" width="9.140625" style="215"/>
    <col min="258" max="258" width="62" style="215" customWidth="1"/>
    <col min="259" max="259" width="18.42578125" style="215" customWidth="1"/>
    <col min="260" max="260" width="21" style="215" customWidth="1"/>
    <col min="261" max="261" width="20" style="215" customWidth="1"/>
    <col min="262" max="262" width="21.7109375" style="215" customWidth="1"/>
    <col min="263" max="263" width="22.5703125" style="215" customWidth="1"/>
    <col min="264" max="264" width="16.28515625" style="215" customWidth="1"/>
    <col min="265" max="265" width="16.85546875" style="215" customWidth="1"/>
    <col min="266" max="266" width="16.28515625" style="215" customWidth="1"/>
    <col min="267" max="267" width="19.5703125" style="215" customWidth="1"/>
    <col min="268" max="268" width="20.140625" style="215" customWidth="1"/>
    <col min="269" max="269" width="15.5703125" style="215" bestFit="1" customWidth="1"/>
    <col min="270" max="270" width="13" style="215" customWidth="1"/>
    <col min="271" max="513" width="9.140625" style="215"/>
    <col min="514" max="514" width="62" style="215" customWidth="1"/>
    <col min="515" max="515" width="18.42578125" style="215" customWidth="1"/>
    <col min="516" max="516" width="21" style="215" customWidth="1"/>
    <col min="517" max="517" width="20" style="215" customWidth="1"/>
    <col min="518" max="518" width="21.7109375" style="215" customWidth="1"/>
    <col min="519" max="519" width="22.5703125" style="215" customWidth="1"/>
    <col min="520" max="520" width="16.28515625" style="215" customWidth="1"/>
    <col min="521" max="521" width="16.85546875" style="215" customWidth="1"/>
    <col min="522" max="522" width="16.28515625" style="215" customWidth="1"/>
    <col min="523" max="523" width="19.5703125" style="215" customWidth="1"/>
    <col min="524" max="524" width="20.140625" style="215" customWidth="1"/>
    <col min="525" max="525" width="15.5703125" style="215" bestFit="1" customWidth="1"/>
    <col min="526" max="526" width="13" style="215" customWidth="1"/>
    <col min="527" max="769" width="9.140625" style="215"/>
    <col min="770" max="770" width="62" style="215" customWidth="1"/>
    <col min="771" max="771" width="18.42578125" style="215" customWidth="1"/>
    <col min="772" max="772" width="21" style="215" customWidth="1"/>
    <col min="773" max="773" width="20" style="215" customWidth="1"/>
    <col min="774" max="774" width="21.7109375" style="215" customWidth="1"/>
    <col min="775" max="775" width="22.5703125" style="215" customWidth="1"/>
    <col min="776" max="776" width="16.28515625" style="215" customWidth="1"/>
    <col min="777" max="777" width="16.85546875" style="215" customWidth="1"/>
    <col min="778" max="778" width="16.28515625" style="215" customWidth="1"/>
    <col min="779" max="779" width="19.5703125" style="215" customWidth="1"/>
    <col min="780" max="780" width="20.140625" style="215" customWidth="1"/>
    <col min="781" max="781" width="15.5703125" style="215" bestFit="1" customWidth="1"/>
    <col min="782" max="782" width="13" style="215" customWidth="1"/>
    <col min="783" max="1025" width="9.140625" style="215"/>
    <col min="1026" max="1026" width="62" style="215" customWidth="1"/>
    <col min="1027" max="1027" width="18.42578125" style="215" customWidth="1"/>
    <col min="1028" max="1028" width="21" style="215" customWidth="1"/>
    <col min="1029" max="1029" width="20" style="215" customWidth="1"/>
    <col min="1030" max="1030" width="21.7109375" style="215" customWidth="1"/>
    <col min="1031" max="1031" width="22.5703125" style="215" customWidth="1"/>
    <col min="1032" max="1032" width="16.28515625" style="215" customWidth="1"/>
    <col min="1033" max="1033" width="16.85546875" style="215" customWidth="1"/>
    <col min="1034" max="1034" width="16.28515625" style="215" customWidth="1"/>
    <col min="1035" max="1035" width="19.5703125" style="215" customWidth="1"/>
    <col min="1036" max="1036" width="20.140625" style="215" customWidth="1"/>
    <col min="1037" max="1037" width="15.5703125" style="215" bestFit="1" customWidth="1"/>
    <col min="1038" max="1038" width="13" style="215" customWidth="1"/>
    <col min="1039" max="1281" width="9.140625" style="215"/>
    <col min="1282" max="1282" width="62" style="215" customWidth="1"/>
    <col min="1283" max="1283" width="18.42578125" style="215" customWidth="1"/>
    <col min="1284" max="1284" width="21" style="215" customWidth="1"/>
    <col min="1285" max="1285" width="20" style="215" customWidth="1"/>
    <col min="1286" max="1286" width="21.7109375" style="215" customWidth="1"/>
    <col min="1287" max="1287" width="22.5703125" style="215" customWidth="1"/>
    <col min="1288" max="1288" width="16.28515625" style="215" customWidth="1"/>
    <col min="1289" max="1289" width="16.85546875" style="215" customWidth="1"/>
    <col min="1290" max="1290" width="16.28515625" style="215" customWidth="1"/>
    <col min="1291" max="1291" width="19.5703125" style="215" customWidth="1"/>
    <col min="1292" max="1292" width="20.140625" style="215" customWidth="1"/>
    <col min="1293" max="1293" width="15.5703125" style="215" bestFit="1" customWidth="1"/>
    <col min="1294" max="1294" width="13" style="215" customWidth="1"/>
    <col min="1295" max="1537" width="9.140625" style="215"/>
    <col min="1538" max="1538" width="62" style="215" customWidth="1"/>
    <col min="1539" max="1539" width="18.42578125" style="215" customWidth="1"/>
    <col min="1540" max="1540" width="21" style="215" customWidth="1"/>
    <col min="1541" max="1541" width="20" style="215" customWidth="1"/>
    <col min="1542" max="1542" width="21.7109375" style="215" customWidth="1"/>
    <col min="1543" max="1543" width="22.5703125" style="215" customWidth="1"/>
    <col min="1544" max="1544" width="16.28515625" style="215" customWidth="1"/>
    <col min="1545" max="1545" width="16.85546875" style="215" customWidth="1"/>
    <col min="1546" max="1546" width="16.28515625" style="215" customWidth="1"/>
    <col min="1547" max="1547" width="19.5703125" style="215" customWidth="1"/>
    <col min="1548" max="1548" width="20.140625" style="215" customWidth="1"/>
    <col min="1549" max="1549" width="15.5703125" style="215" bestFit="1" customWidth="1"/>
    <col min="1550" max="1550" width="13" style="215" customWidth="1"/>
    <col min="1551" max="1793" width="9.140625" style="215"/>
    <col min="1794" max="1794" width="62" style="215" customWidth="1"/>
    <col min="1795" max="1795" width="18.42578125" style="215" customWidth="1"/>
    <col min="1796" max="1796" width="21" style="215" customWidth="1"/>
    <col min="1797" max="1797" width="20" style="215" customWidth="1"/>
    <col min="1798" max="1798" width="21.7109375" style="215" customWidth="1"/>
    <col min="1799" max="1799" width="22.5703125" style="215" customWidth="1"/>
    <col min="1800" max="1800" width="16.28515625" style="215" customWidth="1"/>
    <col min="1801" max="1801" width="16.85546875" style="215" customWidth="1"/>
    <col min="1802" max="1802" width="16.28515625" style="215" customWidth="1"/>
    <col min="1803" max="1803" width="19.5703125" style="215" customWidth="1"/>
    <col min="1804" max="1804" width="20.140625" style="215" customWidth="1"/>
    <col min="1805" max="1805" width="15.5703125" style="215" bestFit="1" customWidth="1"/>
    <col min="1806" max="1806" width="13" style="215" customWidth="1"/>
    <col min="1807" max="2049" width="9.140625" style="215"/>
    <col min="2050" max="2050" width="62" style="215" customWidth="1"/>
    <col min="2051" max="2051" width="18.42578125" style="215" customWidth="1"/>
    <col min="2052" max="2052" width="21" style="215" customWidth="1"/>
    <col min="2053" max="2053" width="20" style="215" customWidth="1"/>
    <col min="2054" max="2054" width="21.7109375" style="215" customWidth="1"/>
    <col min="2055" max="2055" width="22.5703125" style="215" customWidth="1"/>
    <col min="2056" max="2056" width="16.28515625" style="215" customWidth="1"/>
    <col min="2057" max="2057" width="16.85546875" style="215" customWidth="1"/>
    <col min="2058" max="2058" width="16.28515625" style="215" customWidth="1"/>
    <col min="2059" max="2059" width="19.5703125" style="215" customWidth="1"/>
    <col min="2060" max="2060" width="20.140625" style="215" customWidth="1"/>
    <col min="2061" max="2061" width="15.5703125" style="215" bestFit="1" customWidth="1"/>
    <col min="2062" max="2062" width="13" style="215" customWidth="1"/>
    <col min="2063" max="2305" width="9.140625" style="215"/>
    <col min="2306" max="2306" width="62" style="215" customWidth="1"/>
    <col min="2307" max="2307" width="18.42578125" style="215" customWidth="1"/>
    <col min="2308" max="2308" width="21" style="215" customWidth="1"/>
    <col min="2309" max="2309" width="20" style="215" customWidth="1"/>
    <col min="2310" max="2310" width="21.7109375" style="215" customWidth="1"/>
    <col min="2311" max="2311" width="22.5703125" style="215" customWidth="1"/>
    <col min="2312" max="2312" width="16.28515625" style="215" customWidth="1"/>
    <col min="2313" max="2313" width="16.85546875" style="215" customWidth="1"/>
    <col min="2314" max="2314" width="16.28515625" style="215" customWidth="1"/>
    <col min="2315" max="2315" width="19.5703125" style="215" customWidth="1"/>
    <col min="2316" max="2316" width="20.140625" style="215" customWidth="1"/>
    <col min="2317" max="2317" width="15.5703125" style="215" bestFit="1" customWidth="1"/>
    <col min="2318" max="2318" width="13" style="215" customWidth="1"/>
    <col min="2319" max="2561" width="9.140625" style="215"/>
    <col min="2562" max="2562" width="62" style="215" customWidth="1"/>
    <col min="2563" max="2563" width="18.42578125" style="215" customWidth="1"/>
    <col min="2564" max="2564" width="21" style="215" customWidth="1"/>
    <col min="2565" max="2565" width="20" style="215" customWidth="1"/>
    <col min="2566" max="2566" width="21.7109375" style="215" customWidth="1"/>
    <col min="2567" max="2567" width="22.5703125" style="215" customWidth="1"/>
    <col min="2568" max="2568" width="16.28515625" style="215" customWidth="1"/>
    <col min="2569" max="2569" width="16.85546875" style="215" customWidth="1"/>
    <col min="2570" max="2570" width="16.28515625" style="215" customWidth="1"/>
    <col min="2571" max="2571" width="19.5703125" style="215" customWidth="1"/>
    <col min="2572" max="2572" width="20.140625" style="215" customWidth="1"/>
    <col min="2573" max="2573" width="15.5703125" style="215" bestFit="1" customWidth="1"/>
    <col min="2574" max="2574" width="13" style="215" customWidth="1"/>
    <col min="2575" max="2817" width="9.140625" style="215"/>
    <col min="2818" max="2818" width="62" style="215" customWidth="1"/>
    <col min="2819" max="2819" width="18.42578125" style="215" customWidth="1"/>
    <col min="2820" max="2820" width="21" style="215" customWidth="1"/>
    <col min="2821" max="2821" width="20" style="215" customWidth="1"/>
    <col min="2822" max="2822" width="21.7109375" style="215" customWidth="1"/>
    <col min="2823" max="2823" width="22.5703125" style="215" customWidth="1"/>
    <col min="2824" max="2824" width="16.28515625" style="215" customWidth="1"/>
    <col min="2825" max="2825" width="16.85546875" style="215" customWidth="1"/>
    <col min="2826" max="2826" width="16.28515625" style="215" customWidth="1"/>
    <col min="2827" max="2827" width="19.5703125" style="215" customWidth="1"/>
    <col min="2828" max="2828" width="20.140625" style="215" customWidth="1"/>
    <col min="2829" max="2829" width="15.5703125" style="215" bestFit="1" customWidth="1"/>
    <col min="2830" max="2830" width="13" style="215" customWidth="1"/>
    <col min="2831" max="3073" width="9.140625" style="215"/>
    <col min="3074" max="3074" width="62" style="215" customWidth="1"/>
    <col min="3075" max="3075" width="18.42578125" style="215" customWidth="1"/>
    <col min="3076" max="3076" width="21" style="215" customWidth="1"/>
    <col min="3077" max="3077" width="20" style="215" customWidth="1"/>
    <col min="3078" max="3078" width="21.7109375" style="215" customWidth="1"/>
    <col min="3079" max="3079" width="22.5703125" style="215" customWidth="1"/>
    <col min="3080" max="3080" width="16.28515625" style="215" customWidth="1"/>
    <col min="3081" max="3081" width="16.85546875" style="215" customWidth="1"/>
    <col min="3082" max="3082" width="16.28515625" style="215" customWidth="1"/>
    <col min="3083" max="3083" width="19.5703125" style="215" customWidth="1"/>
    <col min="3084" max="3084" width="20.140625" style="215" customWidth="1"/>
    <col min="3085" max="3085" width="15.5703125" style="215" bestFit="1" customWidth="1"/>
    <col min="3086" max="3086" width="13" style="215" customWidth="1"/>
    <col min="3087" max="3329" width="9.140625" style="215"/>
    <col min="3330" max="3330" width="62" style="215" customWidth="1"/>
    <col min="3331" max="3331" width="18.42578125" style="215" customWidth="1"/>
    <col min="3332" max="3332" width="21" style="215" customWidth="1"/>
    <col min="3333" max="3333" width="20" style="215" customWidth="1"/>
    <col min="3334" max="3334" width="21.7109375" style="215" customWidth="1"/>
    <col min="3335" max="3335" width="22.5703125" style="215" customWidth="1"/>
    <col min="3336" max="3336" width="16.28515625" style="215" customWidth="1"/>
    <col min="3337" max="3337" width="16.85546875" style="215" customWidth="1"/>
    <col min="3338" max="3338" width="16.28515625" style="215" customWidth="1"/>
    <col min="3339" max="3339" width="19.5703125" style="215" customWidth="1"/>
    <col min="3340" max="3340" width="20.140625" style="215" customWidth="1"/>
    <col min="3341" max="3341" width="15.5703125" style="215" bestFit="1" customWidth="1"/>
    <col min="3342" max="3342" width="13" style="215" customWidth="1"/>
    <col min="3343" max="3585" width="9.140625" style="215"/>
    <col min="3586" max="3586" width="62" style="215" customWidth="1"/>
    <col min="3587" max="3587" width="18.42578125" style="215" customWidth="1"/>
    <col min="3588" max="3588" width="21" style="215" customWidth="1"/>
    <col min="3589" max="3589" width="20" style="215" customWidth="1"/>
    <col min="3590" max="3590" width="21.7109375" style="215" customWidth="1"/>
    <col min="3591" max="3591" width="22.5703125" style="215" customWidth="1"/>
    <col min="3592" max="3592" width="16.28515625" style="215" customWidth="1"/>
    <col min="3593" max="3593" width="16.85546875" style="215" customWidth="1"/>
    <col min="3594" max="3594" width="16.28515625" style="215" customWidth="1"/>
    <col min="3595" max="3595" width="19.5703125" style="215" customWidth="1"/>
    <col min="3596" max="3596" width="20.140625" style="215" customWidth="1"/>
    <col min="3597" max="3597" width="15.5703125" style="215" bestFit="1" customWidth="1"/>
    <col min="3598" max="3598" width="13" style="215" customWidth="1"/>
    <col min="3599" max="3841" width="9.140625" style="215"/>
    <col min="3842" max="3842" width="62" style="215" customWidth="1"/>
    <col min="3843" max="3843" width="18.42578125" style="215" customWidth="1"/>
    <col min="3844" max="3844" width="21" style="215" customWidth="1"/>
    <col min="3845" max="3845" width="20" style="215" customWidth="1"/>
    <col min="3846" max="3846" width="21.7109375" style="215" customWidth="1"/>
    <col min="3847" max="3847" width="22.5703125" style="215" customWidth="1"/>
    <col min="3848" max="3848" width="16.28515625" style="215" customWidth="1"/>
    <col min="3849" max="3849" width="16.85546875" style="215" customWidth="1"/>
    <col min="3850" max="3850" width="16.28515625" style="215" customWidth="1"/>
    <col min="3851" max="3851" width="19.5703125" style="215" customWidth="1"/>
    <col min="3852" max="3852" width="20.140625" style="215" customWidth="1"/>
    <col min="3853" max="3853" width="15.5703125" style="215" bestFit="1" customWidth="1"/>
    <col min="3854" max="3854" width="13" style="215" customWidth="1"/>
    <col min="3855" max="4097" width="9.140625" style="215"/>
    <col min="4098" max="4098" width="62" style="215" customWidth="1"/>
    <col min="4099" max="4099" width="18.42578125" style="215" customWidth="1"/>
    <col min="4100" max="4100" width="21" style="215" customWidth="1"/>
    <col min="4101" max="4101" width="20" style="215" customWidth="1"/>
    <col min="4102" max="4102" width="21.7109375" style="215" customWidth="1"/>
    <col min="4103" max="4103" width="22.5703125" style="215" customWidth="1"/>
    <col min="4104" max="4104" width="16.28515625" style="215" customWidth="1"/>
    <col min="4105" max="4105" width="16.85546875" style="215" customWidth="1"/>
    <col min="4106" max="4106" width="16.28515625" style="215" customWidth="1"/>
    <col min="4107" max="4107" width="19.5703125" style="215" customWidth="1"/>
    <col min="4108" max="4108" width="20.140625" style="215" customWidth="1"/>
    <col min="4109" max="4109" width="15.5703125" style="215" bestFit="1" customWidth="1"/>
    <col min="4110" max="4110" width="13" style="215" customWidth="1"/>
    <col min="4111" max="4353" width="9.140625" style="215"/>
    <col min="4354" max="4354" width="62" style="215" customWidth="1"/>
    <col min="4355" max="4355" width="18.42578125" style="215" customWidth="1"/>
    <col min="4356" max="4356" width="21" style="215" customWidth="1"/>
    <col min="4357" max="4357" width="20" style="215" customWidth="1"/>
    <col min="4358" max="4358" width="21.7109375" style="215" customWidth="1"/>
    <col min="4359" max="4359" width="22.5703125" style="215" customWidth="1"/>
    <col min="4360" max="4360" width="16.28515625" style="215" customWidth="1"/>
    <col min="4361" max="4361" width="16.85546875" style="215" customWidth="1"/>
    <col min="4362" max="4362" width="16.28515625" style="215" customWidth="1"/>
    <col min="4363" max="4363" width="19.5703125" style="215" customWidth="1"/>
    <col min="4364" max="4364" width="20.140625" style="215" customWidth="1"/>
    <col min="4365" max="4365" width="15.5703125" style="215" bestFit="1" customWidth="1"/>
    <col min="4366" max="4366" width="13" style="215" customWidth="1"/>
    <col min="4367" max="4609" width="9.140625" style="215"/>
    <col min="4610" max="4610" width="62" style="215" customWidth="1"/>
    <col min="4611" max="4611" width="18.42578125" style="215" customWidth="1"/>
    <col min="4612" max="4612" width="21" style="215" customWidth="1"/>
    <col min="4613" max="4613" width="20" style="215" customWidth="1"/>
    <col min="4614" max="4614" width="21.7109375" style="215" customWidth="1"/>
    <col min="4615" max="4615" width="22.5703125" style="215" customWidth="1"/>
    <col min="4616" max="4616" width="16.28515625" style="215" customWidth="1"/>
    <col min="4617" max="4617" width="16.85546875" style="215" customWidth="1"/>
    <col min="4618" max="4618" width="16.28515625" style="215" customWidth="1"/>
    <col min="4619" max="4619" width="19.5703125" style="215" customWidth="1"/>
    <col min="4620" max="4620" width="20.140625" style="215" customWidth="1"/>
    <col min="4621" max="4621" width="15.5703125" style="215" bestFit="1" customWidth="1"/>
    <col min="4622" max="4622" width="13" style="215" customWidth="1"/>
    <col min="4623" max="4865" width="9.140625" style="215"/>
    <col min="4866" max="4866" width="62" style="215" customWidth="1"/>
    <col min="4867" max="4867" width="18.42578125" style="215" customWidth="1"/>
    <col min="4868" max="4868" width="21" style="215" customWidth="1"/>
    <col min="4869" max="4869" width="20" style="215" customWidth="1"/>
    <col min="4870" max="4870" width="21.7109375" style="215" customWidth="1"/>
    <col min="4871" max="4871" width="22.5703125" style="215" customWidth="1"/>
    <col min="4872" max="4872" width="16.28515625" style="215" customWidth="1"/>
    <col min="4873" max="4873" width="16.85546875" style="215" customWidth="1"/>
    <col min="4874" max="4874" width="16.28515625" style="215" customWidth="1"/>
    <col min="4875" max="4875" width="19.5703125" style="215" customWidth="1"/>
    <col min="4876" max="4876" width="20.140625" style="215" customWidth="1"/>
    <col min="4877" max="4877" width="15.5703125" style="215" bestFit="1" customWidth="1"/>
    <col min="4878" max="4878" width="13" style="215" customWidth="1"/>
    <col min="4879" max="5121" width="9.140625" style="215"/>
    <col min="5122" max="5122" width="62" style="215" customWidth="1"/>
    <col min="5123" max="5123" width="18.42578125" style="215" customWidth="1"/>
    <col min="5124" max="5124" width="21" style="215" customWidth="1"/>
    <col min="5125" max="5125" width="20" style="215" customWidth="1"/>
    <col min="5126" max="5126" width="21.7109375" style="215" customWidth="1"/>
    <col min="5127" max="5127" width="22.5703125" style="215" customWidth="1"/>
    <col min="5128" max="5128" width="16.28515625" style="215" customWidth="1"/>
    <col min="5129" max="5129" width="16.85546875" style="215" customWidth="1"/>
    <col min="5130" max="5130" width="16.28515625" style="215" customWidth="1"/>
    <col min="5131" max="5131" width="19.5703125" style="215" customWidth="1"/>
    <col min="5132" max="5132" width="20.140625" style="215" customWidth="1"/>
    <col min="5133" max="5133" width="15.5703125" style="215" bestFit="1" customWidth="1"/>
    <col min="5134" max="5134" width="13" style="215" customWidth="1"/>
    <col min="5135" max="5377" width="9.140625" style="215"/>
    <col min="5378" max="5378" width="62" style="215" customWidth="1"/>
    <col min="5379" max="5379" width="18.42578125" style="215" customWidth="1"/>
    <col min="5380" max="5380" width="21" style="215" customWidth="1"/>
    <col min="5381" max="5381" width="20" style="215" customWidth="1"/>
    <col min="5382" max="5382" width="21.7109375" style="215" customWidth="1"/>
    <col min="5383" max="5383" width="22.5703125" style="215" customWidth="1"/>
    <col min="5384" max="5384" width="16.28515625" style="215" customWidth="1"/>
    <col min="5385" max="5385" width="16.85546875" style="215" customWidth="1"/>
    <col min="5386" max="5386" width="16.28515625" style="215" customWidth="1"/>
    <col min="5387" max="5387" width="19.5703125" style="215" customWidth="1"/>
    <col min="5388" max="5388" width="20.140625" style="215" customWidth="1"/>
    <col min="5389" max="5389" width="15.5703125" style="215" bestFit="1" customWidth="1"/>
    <col min="5390" max="5390" width="13" style="215" customWidth="1"/>
    <col min="5391" max="5633" width="9.140625" style="215"/>
    <col min="5634" max="5634" width="62" style="215" customWidth="1"/>
    <col min="5635" max="5635" width="18.42578125" style="215" customWidth="1"/>
    <col min="5636" max="5636" width="21" style="215" customWidth="1"/>
    <col min="5637" max="5637" width="20" style="215" customWidth="1"/>
    <col min="5638" max="5638" width="21.7109375" style="215" customWidth="1"/>
    <col min="5639" max="5639" width="22.5703125" style="215" customWidth="1"/>
    <col min="5640" max="5640" width="16.28515625" style="215" customWidth="1"/>
    <col min="5641" max="5641" width="16.85546875" style="215" customWidth="1"/>
    <col min="5642" max="5642" width="16.28515625" style="215" customWidth="1"/>
    <col min="5643" max="5643" width="19.5703125" style="215" customWidth="1"/>
    <col min="5644" max="5644" width="20.140625" style="215" customWidth="1"/>
    <col min="5645" max="5645" width="15.5703125" style="215" bestFit="1" customWidth="1"/>
    <col min="5646" max="5646" width="13" style="215" customWidth="1"/>
    <col min="5647" max="5889" width="9.140625" style="215"/>
    <col min="5890" max="5890" width="62" style="215" customWidth="1"/>
    <col min="5891" max="5891" width="18.42578125" style="215" customWidth="1"/>
    <col min="5892" max="5892" width="21" style="215" customWidth="1"/>
    <col min="5893" max="5893" width="20" style="215" customWidth="1"/>
    <col min="5894" max="5894" width="21.7109375" style="215" customWidth="1"/>
    <col min="5895" max="5895" width="22.5703125" style="215" customWidth="1"/>
    <col min="5896" max="5896" width="16.28515625" style="215" customWidth="1"/>
    <col min="5897" max="5897" width="16.85546875" style="215" customWidth="1"/>
    <col min="5898" max="5898" width="16.28515625" style="215" customWidth="1"/>
    <col min="5899" max="5899" width="19.5703125" style="215" customWidth="1"/>
    <col min="5900" max="5900" width="20.140625" style="215" customWidth="1"/>
    <col min="5901" max="5901" width="15.5703125" style="215" bestFit="1" customWidth="1"/>
    <col min="5902" max="5902" width="13" style="215" customWidth="1"/>
    <col min="5903" max="6145" width="9.140625" style="215"/>
    <col min="6146" max="6146" width="62" style="215" customWidth="1"/>
    <col min="6147" max="6147" width="18.42578125" style="215" customWidth="1"/>
    <col min="6148" max="6148" width="21" style="215" customWidth="1"/>
    <col min="6149" max="6149" width="20" style="215" customWidth="1"/>
    <col min="6150" max="6150" width="21.7109375" style="215" customWidth="1"/>
    <col min="6151" max="6151" width="22.5703125" style="215" customWidth="1"/>
    <col min="6152" max="6152" width="16.28515625" style="215" customWidth="1"/>
    <col min="6153" max="6153" width="16.85546875" style="215" customWidth="1"/>
    <col min="6154" max="6154" width="16.28515625" style="215" customWidth="1"/>
    <col min="6155" max="6155" width="19.5703125" style="215" customWidth="1"/>
    <col min="6156" max="6156" width="20.140625" style="215" customWidth="1"/>
    <col min="6157" max="6157" width="15.5703125" style="215" bestFit="1" customWidth="1"/>
    <col min="6158" max="6158" width="13" style="215" customWidth="1"/>
    <col min="6159" max="6401" width="9.140625" style="215"/>
    <col min="6402" max="6402" width="62" style="215" customWidth="1"/>
    <col min="6403" max="6403" width="18.42578125" style="215" customWidth="1"/>
    <col min="6404" max="6404" width="21" style="215" customWidth="1"/>
    <col min="6405" max="6405" width="20" style="215" customWidth="1"/>
    <col min="6406" max="6406" width="21.7109375" style="215" customWidth="1"/>
    <col min="6407" max="6407" width="22.5703125" style="215" customWidth="1"/>
    <col min="6408" max="6408" width="16.28515625" style="215" customWidth="1"/>
    <col min="6409" max="6409" width="16.85546875" style="215" customWidth="1"/>
    <col min="6410" max="6410" width="16.28515625" style="215" customWidth="1"/>
    <col min="6411" max="6411" width="19.5703125" style="215" customWidth="1"/>
    <col min="6412" max="6412" width="20.140625" style="215" customWidth="1"/>
    <col min="6413" max="6413" width="15.5703125" style="215" bestFit="1" customWidth="1"/>
    <col min="6414" max="6414" width="13" style="215" customWidth="1"/>
    <col min="6415" max="6657" width="9.140625" style="215"/>
    <col min="6658" max="6658" width="62" style="215" customWidth="1"/>
    <col min="6659" max="6659" width="18.42578125" style="215" customWidth="1"/>
    <col min="6660" max="6660" width="21" style="215" customWidth="1"/>
    <col min="6661" max="6661" width="20" style="215" customWidth="1"/>
    <col min="6662" max="6662" width="21.7109375" style="215" customWidth="1"/>
    <col min="6663" max="6663" width="22.5703125" style="215" customWidth="1"/>
    <col min="6664" max="6664" width="16.28515625" style="215" customWidth="1"/>
    <col min="6665" max="6665" width="16.85546875" style="215" customWidth="1"/>
    <col min="6666" max="6666" width="16.28515625" style="215" customWidth="1"/>
    <col min="6667" max="6667" width="19.5703125" style="215" customWidth="1"/>
    <col min="6668" max="6668" width="20.140625" style="215" customWidth="1"/>
    <col min="6669" max="6669" width="15.5703125" style="215" bestFit="1" customWidth="1"/>
    <col min="6670" max="6670" width="13" style="215" customWidth="1"/>
    <col min="6671" max="6913" width="9.140625" style="215"/>
    <col min="6914" max="6914" width="62" style="215" customWidth="1"/>
    <col min="6915" max="6915" width="18.42578125" style="215" customWidth="1"/>
    <col min="6916" max="6916" width="21" style="215" customWidth="1"/>
    <col min="6917" max="6917" width="20" style="215" customWidth="1"/>
    <col min="6918" max="6918" width="21.7109375" style="215" customWidth="1"/>
    <col min="6919" max="6919" width="22.5703125" style="215" customWidth="1"/>
    <col min="6920" max="6920" width="16.28515625" style="215" customWidth="1"/>
    <col min="6921" max="6921" width="16.85546875" style="215" customWidth="1"/>
    <col min="6922" max="6922" width="16.28515625" style="215" customWidth="1"/>
    <col min="6923" max="6923" width="19.5703125" style="215" customWidth="1"/>
    <col min="6924" max="6924" width="20.140625" style="215" customWidth="1"/>
    <col min="6925" max="6925" width="15.5703125" style="215" bestFit="1" customWidth="1"/>
    <col min="6926" max="6926" width="13" style="215" customWidth="1"/>
    <col min="6927" max="7169" width="9.140625" style="215"/>
    <col min="7170" max="7170" width="62" style="215" customWidth="1"/>
    <col min="7171" max="7171" width="18.42578125" style="215" customWidth="1"/>
    <col min="7172" max="7172" width="21" style="215" customWidth="1"/>
    <col min="7173" max="7173" width="20" style="215" customWidth="1"/>
    <col min="7174" max="7174" width="21.7109375" style="215" customWidth="1"/>
    <col min="7175" max="7175" width="22.5703125" style="215" customWidth="1"/>
    <col min="7176" max="7176" width="16.28515625" style="215" customWidth="1"/>
    <col min="7177" max="7177" width="16.85546875" style="215" customWidth="1"/>
    <col min="7178" max="7178" width="16.28515625" style="215" customWidth="1"/>
    <col min="7179" max="7179" width="19.5703125" style="215" customWidth="1"/>
    <col min="7180" max="7180" width="20.140625" style="215" customWidth="1"/>
    <col min="7181" max="7181" width="15.5703125" style="215" bestFit="1" customWidth="1"/>
    <col min="7182" max="7182" width="13" style="215" customWidth="1"/>
    <col min="7183" max="7425" width="9.140625" style="215"/>
    <col min="7426" max="7426" width="62" style="215" customWidth="1"/>
    <col min="7427" max="7427" width="18.42578125" style="215" customWidth="1"/>
    <col min="7428" max="7428" width="21" style="215" customWidth="1"/>
    <col min="7429" max="7429" width="20" style="215" customWidth="1"/>
    <col min="7430" max="7430" width="21.7109375" style="215" customWidth="1"/>
    <col min="7431" max="7431" width="22.5703125" style="215" customWidth="1"/>
    <col min="7432" max="7432" width="16.28515625" style="215" customWidth="1"/>
    <col min="7433" max="7433" width="16.85546875" style="215" customWidth="1"/>
    <col min="7434" max="7434" width="16.28515625" style="215" customWidth="1"/>
    <col min="7435" max="7435" width="19.5703125" style="215" customWidth="1"/>
    <col min="7436" max="7436" width="20.140625" style="215" customWidth="1"/>
    <col min="7437" max="7437" width="15.5703125" style="215" bestFit="1" customWidth="1"/>
    <col min="7438" max="7438" width="13" style="215" customWidth="1"/>
    <col min="7439" max="7681" width="9.140625" style="215"/>
    <col min="7682" max="7682" width="62" style="215" customWidth="1"/>
    <col min="7683" max="7683" width="18.42578125" style="215" customWidth="1"/>
    <col min="7684" max="7684" width="21" style="215" customWidth="1"/>
    <col min="7685" max="7685" width="20" style="215" customWidth="1"/>
    <col min="7686" max="7686" width="21.7109375" style="215" customWidth="1"/>
    <col min="7687" max="7687" width="22.5703125" style="215" customWidth="1"/>
    <col min="7688" max="7688" width="16.28515625" style="215" customWidth="1"/>
    <col min="7689" max="7689" width="16.85546875" style="215" customWidth="1"/>
    <col min="7690" max="7690" width="16.28515625" style="215" customWidth="1"/>
    <col min="7691" max="7691" width="19.5703125" style="215" customWidth="1"/>
    <col min="7692" max="7692" width="20.140625" style="215" customWidth="1"/>
    <col min="7693" max="7693" width="15.5703125" style="215" bestFit="1" customWidth="1"/>
    <col min="7694" max="7694" width="13" style="215" customWidth="1"/>
    <col min="7695" max="7937" width="9.140625" style="215"/>
    <col min="7938" max="7938" width="62" style="215" customWidth="1"/>
    <col min="7939" max="7939" width="18.42578125" style="215" customWidth="1"/>
    <col min="7940" max="7940" width="21" style="215" customWidth="1"/>
    <col min="7941" max="7941" width="20" style="215" customWidth="1"/>
    <col min="7942" max="7942" width="21.7109375" style="215" customWidth="1"/>
    <col min="7943" max="7943" width="22.5703125" style="215" customWidth="1"/>
    <col min="7944" max="7944" width="16.28515625" style="215" customWidth="1"/>
    <col min="7945" max="7945" width="16.85546875" style="215" customWidth="1"/>
    <col min="7946" max="7946" width="16.28515625" style="215" customWidth="1"/>
    <col min="7947" max="7947" width="19.5703125" style="215" customWidth="1"/>
    <col min="7948" max="7948" width="20.140625" style="215" customWidth="1"/>
    <col min="7949" max="7949" width="15.5703125" style="215" bestFit="1" customWidth="1"/>
    <col min="7950" max="7950" width="13" style="215" customWidth="1"/>
    <col min="7951" max="8193" width="9.140625" style="215"/>
    <col min="8194" max="8194" width="62" style="215" customWidth="1"/>
    <col min="8195" max="8195" width="18.42578125" style="215" customWidth="1"/>
    <col min="8196" max="8196" width="21" style="215" customWidth="1"/>
    <col min="8197" max="8197" width="20" style="215" customWidth="1"/>
    <col min="8198" max="8198" width="21.7109375" style="215" customWidth="1"/>
    <col min="8199" max="8199" width="22.5703125" style="215" customWidth="1"/>
    <col min="8200" max="8200" width="16.28515625" style="215" customWidth="1"/>
    <col min="8201" max="8201" width="16.85546875" style="215" customWidth="1"/>
    <col min="8202" max="8202" width="16.28515625" style="215" customWidth="1"/>
    <col min="8203" max="8203" width="19.5703125" style="215" customWidth="1"/>
    <col min="8204" max="8204" width="20.140625" style="215" customWidth="1"/>
    <col min="8205" max="8205" width="15.5703125" style="215" bestFit="1" customWidth="1"/>
    <col min="8206" max="8206" width="13" style="215" customWidth="1"/>
    <col min="8207" max="8449" width="9.140625" style="215"/>
    <col min="8450" max="8450" width="62" style="215" customWidth="1"/>
    <col min="8451" max="8451" width="18.42578125" style="215" customWidth="1"/>
    <col min="8452" max="8452" width="21" style="215" customWidth="1"/>
    <col min="8453" max="8453" width="20" style="215" customWidth="1"/>
    <col min="8454" max="8454" width="21.7109375" style="215" customWidth="1"/>
    <col min="8455" max="8455" width="22.5703125" style="215" customWidth="1"/>
    <col min="8456" max="8456" width="16.28515625" style="215" customWidth="1"/>
    <col min="8457" max="8457" width="16.85546875" style="215" customWidth="1"/>
    <col min="8458" max="8458" width="16.28515625" style="215" customWidth="1"/>
    <col min="8459" max="8459" width="19.5703125" style="215" customWidth="1"/>
    <col min="8460" max="8460" width="20.140625" style="215" customWidth="1"/>
    <col min="8461" max="8461" width="15.5703125" style="215" bestFit="1" customWidth="1"/>
    <col min="8462" max="8462" width="13" style="215" customWidth="1"/>
    <col min="8463" max="8705" width="9.140625" style="215"/>
    <col min="8706" max="8706" width="62" style="215" customWidth="1"/>
    <col min="8707" max="8707" width="18.42578125" style="215" customWidth="1"/>
    <col min="8708" max="8708" width="21" style="215" customWidth="1"/>
    <col min="8709" max="8709" width="20" style="215" customWidth="1"/>
    <col min="8710" max="8710" width="21.7109375" style="215" customWidth="1"/>
    <col min="8711" max="8711" width="22.5703125" style="215" customWidth="1"/>
    <col min="8712" max="8712" width="16.28515625" style="215" customWidth="1"/>
    <col min="8713" max="8713" width="16.85546875" style="215" customWidth="1"/>
    <col min="8714" max="8714" width="16.28515625" style="215" customWidth="1"/>
    <col min="8715" max="8715" width="19.5703125" style="215" customWidth="1"/>
    <col min="8716" max="8716" width="20.140625" style="215" customWidth="1"/>
    <col min="8717" max="8717" width="15.5703125" style="215" bestFit="1" customWidth="1"/>
    <col min="8718" max="8718" width="13" style="215" customWidth="1"/>
    <col min="8719" max="8961" width="9.140625" style="215"/>
    <col min="8962" max="8962" width="62" style="215" customWidth="1"/>
    <col min="8963" max="8963" width="18.42578125" style="215" customWidth="1"/>
    <col min="8964" max="8964" width="21" style="215" customWidth="1"/>
    <col min="8965" max="8965" width="20" style="215" customWidth="1"/>
    <col min="8966" max="8966" width="21.7109375" style="215" customWidth="1"/>
    <col min="8967" max="8967" width="22.5703125" style="215" customWidth="1"/>
    <col min="8968" max="8968" width="16.28515625" style="215" customWidth="1"/>
    <col min="8969" max="8969" width="16.85546875" style="215" customWidth="1"/>
    <col min="8970" max="8970" width="16.28515625" style="215" customWidth="1"/>
    <col min="8971" max="8971" width="19.5703125" style="215" customWidth="1"/>
    <col min="8972" max="8972" width="20.140625" style="215" customWidth="1"/>
    <col min="8973" max="8973" width="15.5703125" style="215" bestFit="1" customWidth="1"/>
    <col min="8974" max="8974" width="13" style="215" customWidth="1"/>
    <col min="8975" max="9217" width="9.140625" style="215"/>
    <col min="9218" max="9218" width="62" style="215" customWidth="1"/>
    <col min="9219" max="9219" width="18.42578125" style="215" customWidth="1"/>
    <col min="9220" max="9220" width="21" style="215" customWidth="1"/>
    <col min="9221" max="9221" width="20" style="215" customWidth="1"/>
    <col min="9222" max="9222" width="21.7109375" style="215" customWidth="1"/>
    <col min="9223" max="9223" width="22.5703125" style="215" customWidth="1"/>
    <col min="9224" max="9224" width="16.28515625" style="215" customWidth="1"/>
    <col min="9225" max="9225" width="16.85546875" style="215" customWidth="1"/>
    <col min="9226" max="9226" width="16.28515625" style="215" customWidth="1"/>
    <col min="9227" max="9227" width="19.5703125" style="215" customWidth="1"/>
    <col min="9228" max="9228" width="20.140625" style="215" customWidth="1"/>
    <col min="9229" max="9229" width="15.5703125" style="215" bestFit="1" customWidth="1"/>
    <col min="9230" max="9230" width="13" style="215" customWidth="1"/>
    <col min="9231" max="9473" width="9.140625" style="215"/>
    <col min="9474" max="9474" width="62" style="215" customWidth="1"/>
    <col min="9475" max="9475" width="18.42578125" style="215" customWidth="1"/>
    <col min="9476" max="9476" width="21" style="215" customWidth="1"/>
    <col min="9477" max="9477" width="20" style="215" customWidth="1"/>
    <col min="9478" max="9478" width="21.7109375" style="215" customWidth="1"/>
    <col min="9479" max="9479" width="22.5703125" style="215" customWidth="1"/>
    <col min="9480" max="9480" width="16.28515625" style="215" customWidth="1"/>
    <col min="9481" max="9481" width="16.85546875" style="215" customWidth="1"/>
    <col min="9482" max="9482" width="16.28515625" style="215" customWidth="1"/>
    <col min="9483" max="9483" width="19.5703125" style="215" customWidth="1"/>
    <col min="9484" max="9484" width="20.140625" style="215" customWidth="1"/>
    <col min="9485" max="9485" width="15.5703125" style="215" bestFit="1" customWidth="1"/>
    <col min="9486" max="9486" width="13" style="215" customWidth="1"/>
    <col min="9487" max="9729" width="9.140625" style="215"/>
    <col min="9730" max="9730" width="62" style="215" customWidth="1"/>
    <col min="9731" max="9731" width="18.42578125" style="215" customWidth="1"/>
    <col min="9732" max="9732" width="21" style="215" customWidth="1"/>
    <col min="9733" max="9733" width="20" style="215" customWidth="1"/>
    <col min="9734" max="9734" width="21.7109375" style="215" customWidth="1"/>
    <col min="9735" max="9735" width="22.5703125" style="215" customWidth="1"/>
    <col min="9736" max="9736" width="16.28515625" style="215" customWidth="1"/>
    <col min="9737" max="9737" width="16.85546875" style="215" customWidth="1"/>
    <col min="9738" max="9738" width="16.28515625" style="215" customWidth="1"/>
    <col min="9739" max="9739" width="19.5703125" style="215" customWidth="1"/>
    <col min="9740" max="9740" width="20.140625" style="215" customWidth="1"/>
    <col min="9741" max="9741" width="15.5703125" style="215" bestFit="1" customWidth="1"/>
    <col min="9742" max="9742" width="13" style="215" customWidth="1"/>
    <col min="9743" max="9985" width="9.140625" style="215"/>
    <col min="9986" max="9986" width="62" style="215" customWidth="1"/>
    <col min="9987" max="9987" width="18.42578125" style="215" customWidth="1"/>
    <col min="9988" max="9988" width="21" style="215" customWidth="1"/>
    <col min="9989" max="9989" width="20" style="215" customWidth="1"/>
    <col min="9990" max="9990" width="21.7109375" style="215" customWidth="1"/>
    <col min="9991" max="9991" width="22.5703125" style="215" customWidth="1"/>
    <col min="9992" max="9992" width="16.28515625" style="215" customWidth="1"/>
    <col min="9993" max="9993" width="16.85546875" style="215" customWidth="1"/>
    <col min="9994" max="9994" width="16.28515625" style="215" customWidth="1"/>
    <col min="9995" max="9995" width="19.5703125" style="215" customWidth="1"/>
    <col min="9996" max="9996" width="20.140625" style="215" customWidth="1"/>
    <col min="9997" max="9997" width="15.5703125" style="215" bestFit="1" customWidth="1"/>
    <col min="9998" max="9998" width="13" style="215" customWidth="1"/>
    <col min="9999" max="10241" width="9.140625" style="215"/>
    <col min="10242" max="10242" width="62" style="215" customWidth="1"/>
    <col min="10243" max="10243" width="18.42578125" style="215" customWidth="1"/>
    <col min="10244" max="10244" width="21" style="215" customWidth="1"/>
    <col min="10245" max="10245" width="20" style="215" customWidth="1"/>
    <col min="10246" max="10246" width="21.7109375" style="215" customWidth="1"/>
    <col min="10247" max="10247" width="22.5703125" style="215" customWidth="1"/>
    <col min="10248" max="10248" width="16.28515625" style="215" customWidth="1"/>
    <col min="10249" max="10249" width="16.85546875" style="215" customWidth="1"/>
    <col min="10250" max="10250" width="16.28515625" style="215" customWidth="1"/>
    <col min="10251" max="10251" width="19.5703125" style="215" customWidth="1"/>
    <col min="10252" max="10252" width="20.140625" style="215" customWidth="1"/>
    <col min="10253" max="10253" width="15.5703125" style="215" bestFit="1" customWidth="1"/>
    <col min="10254" max="10254" width="13" style="215" customWidth="1"/>
    <col min="10255" max="10497" width="9.140625" style="215"/>
    <col min="10498" max="10498" width="62" style="215" customWidth="1"/>
    <col min="10499" max="10499" width="18.42578125" style="215" customWidth="1"/>
    <col min="10500" max="10500" width="21" style="215" customWidth="1"/>
    <col min="10501" max="10501" width="20" style="215" customWidth="1"/>
    <col min="10502" max="10502" width="21.7109375" style="215" customWidth="1"/>
    <col min="10503" max="10503" width="22.5703125" style="215" customWidth="1"/>
    <col min="10504" max="10504" width="16.28515625" style="215" customWidth="1"/>
    <col min="10505" max="10505" width="16.85546875" style="215" customWidth="1"/>
    <col min="10506" max="10506" width="16.28515625" style="215" customWidth="1"/>
    <col min="10507" max="10507" width="19.5703125" style="215" customWidth="1"/>
    <col min="10508" max="10508" width="20.140625" style="215" customWidth="1"/>
    <col min="10509" max="10509" width="15.5703125" style="215" bestFit="1" customWidth="1"/>
    <col min="10510" max="10510" width="13" style="215" customWidth="1"/>
    <col min="10511" max="10753" width="9.140625" style="215"/>
    <col min="10754" max="10754" width="62" style="215" customWidth="1"/>
    <col min="10755" max="10755" width="18.42578125" style="215" customWidth="1"/>
    <col min="10756" max="10756" width="21" style="215" customWidth="1"/>
    <col min="10757" max="10757" width="20" style="215" customWidth="1"/>
    <col min="10758" max="10758" width="21.7109375" style="215" customWidth="1"/>
    <col min="10759" max="10759" width="22.5703125" style="215" customWidth="1"/>
    <col min="10760" max="10760" width="16.28515625" style="215" customWidth="1"/>
    <col min="10761" max="10761" width="16.85546875" style="215" customWidth="1"/>
    <col min="10762" max="10762" width="16.28515625" style="215" customWidth="1"/>
    <col min="10763" max="10763" width="19.5703125" style="215" customWidth="1"/>
    <col min="10764" max="10764" width="20.140625" style="215" customWidth="1"/>
    <col min="10765" max="10765" width="15.5703125" style="215" bestFit="1" customWidth="1"/>
    <col min="10766" max="10766" width="13" style="215" customWidth="1"/>
    <col min="10767" max="11009" width="9.140625" style="215"/>
    <col min="11010" max="11010" width="62" style="215" customWidth="1"/>
    <col min="11011" max="11011" width="18.42578125" style="215" customWidth="1"/>
    <col min="11012" max="11012" width="21" style="215" customWidth="1"/>
    <col min="11013" max="11013" width="20" style="215" customWidth="1"/>
    <col min="11014" max="11014" width="21.7109375" style="215" customWidth="1"/>
    <col min="11015" max="11015" width="22.5703125" style="215" customWidth="1"/>
    <col min="11016" max="11016" width="16.28515625" style="215" customWidth="1"/>
    <col min="11017" max="11017" width="16.85546875" style="215" customWidth="1"/>
    <col min="11018" max="11018" width="16.28515625" style="215" customWidth="1"/>
    <col min="11019" max="11019" width="19.5703125" style="215" customWidth="1"/>
    <col min="11020" max="11020" width="20.140625" style="215" customWidth="1"/>
    <col min="11021" max="11021" width="15.5703125" style="215" bestFit="1" customWidth="1"/>
    <col min="11022" max="11022" width="13" style="215" customWidth="1"/>
    <col min="11023" max="11265" width="9.140625" style="215"/>
    <col min="11266" max="11266" width="62" style="215" customWidth="1"/>
    <col min="11267" max="11267" width="18.42578125" style="215" customWidth="1"/>
    <col min="11268" max="11268" width="21" style="215" customWidth="1"/>
    <col min="11269" max="11269" width="20" style="215" customWidth="1"/>
    <col min="11270" max="11270" width="21.7109375" style="215" customWidth="1"/>
    <col min="11271" max="11271" width="22.5703125" style="215" customWidth="1"/>
    <col min="11272" max="11272" width="16.28515625" style="215" customWidth="1"/>
    <col min="11273" max="11273" width="16.85546875" style="215" customWidth="1"/>
    <col min="11274" max="11274" width="16.28515625" style="215" customWidth="1"/>
    <col min="11275" max="11275" width="19.5703125" style="215" customWidth="1"/>
    <col min="11276" max="11276" width="20.140625" style="215" customWidth="1"/>
    <col min="11277" max="11277" width="15.5703125" style="215" bestFit="1" customWidth="1"/>
    <col min="11278" max="11278" width="13" style="215" customWidth="1"/>
    <col min="11279" max="11521" width="9.140625" style="215"/>
    <col min="11522" max="11522" width="62" style="215" customWidth="1"/>
    <col min="11523" max="11523" width="18.42578125" style="215" customWidth="1"/>
    <col min="11524" max="11524" width="21" style="215" customWidth="1"/>
    <col min="11525" max="11525" width="20" style="215" customWidth="1"/>
    <col min="11526" max="11526" width="21.7109375" style="215" customWidth="1"/>
    <col min="11527" max="11527" width="22.5703125" style="215" customWidth="1"/>
    <col min="11528" max="11528" width="16.28515625" style="215" customWidth="1"/>
    <col min="11529" max="11529" width="16.85546875" style="215" customWidth="1"/>
    <col min="11530" max="11530" width="16.28515625" style="215" customWidth="1"/>
    <col min="11531" max="11531" width="19.5703125" style="215" customWidth="1"/>
    <col min="11532" max="11532" width="20.140625" style="215" customWidth="1"/>
    <col min="11533" max="11533" width="15.5703125" style="215" bestFit="1" customWidth="1"/>
    <col min="11534" max="11534" width="13" style="215" customWidth="1"/>
    <col min="11535" max="11777" width="9.140625" style="215"/>
    <col min="11778" max="11778" width="62" style="215" customWidth="1"/>
    <col min="11779" max="11779" width="18.42578125" style="215" customWidth="1"/>
    <col min="11780" max="11780" width="21" style="215" customWidth="1"/>
    <col min="11781" max="11781" width="20" style="215" customWidth="1"/>
    <col min="11782" max="11782" width="21.7109375" style="215" customWidth="1"/>
    <col min="11783" max="11783" width="22.5703125" style="215" customWidth="1"/>
    <col min="11784" max="11784" width="16.28515625" style="215" customWidth="1"/>
    <col min="11785" max="11785" width="16.85546875" style="215" customWidth="1"/>
    <col min="11786" max="11786" width="16.28515625" style="215" customWidth="1"/>
    <col min="11787" max="11787" width="19.5703125" style="215" customWidth="1"/>
    <col min="11788" max="11788" width="20.140625" style="215" customWidth="1"/>
    <col min="11789" max="11789" width="15.5703125" style="215" bestFit="1" customWidth="1"/>
    <col min="11790" max="11790" width="13" style="215" customWidth="1"/>
    <col min="11791" max="12033" width="9.140625" style="215"/>
    <col min="12034" max="12034" width="62" style="215" customWidth="1"/>
    <col min="12035" max="12035" width="18.42578125" style="215" customWidth="1"/>
    <col min="12036" max="12036" width="21" style="215" customWidth="1"/>
    <col min="12037" max="12037" width="20" style="215" customWidth="1"/>
    <col min="12038" max="12038" width="21.7109375" style="215" customWidth="1"/>
    <col min="12039" max="12039" width="22.5703125" style="215" customWidth="1"/>
    <col min="12040" max="12040" width="16.28515625" style="215" customWidth="1"/>
    <col min="12041" max="12041" width="16.85546875" style="215" customWidth="1"/>
    <col min="12042" max="12042" width="16.28515625" style="215" customWidth="1"/>
    <col min="12043" max="12043" width="19.5703125" style="215" customWidth="1"/>
    <col min="12044" max="12044" width="20.140625" style="215" customWidth="1"/>
    <col min="12045" max="12045" width="15.5703125" style="215" bestFit="1" customWidth="1"/>
    <col min="12046" max="12046" width="13" style="215" customWidth="1"/>
    <col min="12047" max="12289" width="9.140625" style="215"/>
    <col min="12290" max="12290" width="62" style="215" customWidth="1"/>
    <col min="12291" max="12291" width="18.42578125" style="215" customWidth="1"/>
    <col min="12292" max="12292" width="21" style="215" customWidth="1"/>
    <col min="12293" max="12293" width="20" style="215" customWidth="1"/>
    <col min="12294" max="12294" width="21.7109375" style="215" customWidth="1"/>
    <col min="12295" max="12295" width="22.5703125" style="215" customWidth="1"/>
    <col min="12296" max="12296" width="16.28515625" style="215" customWidth="1"/>
    <col min="12297" max="12297" width="16.85546875" style="215" customWidth="1"/>
    <col min="12298" max="12298" width="16.28515625" style="215" customWidth="1"/>
    <col min="12299" max="12299" width="19.5703125" style="215" customWidth="1"/>
    <col min="12300" max="12300" width="20.140625" style="215" customWidth="1"/>
    <col min="12301" max="12301" width="15.5703125" style="215" bestFit="1" customWidth="1"/>
    <col min="12302" max="12302" width="13" style="215" customWidth="1"/>
    <col min="12303" max="12545" width="9.140625" style="215"/>
    <col min="12546" max="12546" width="62" style="215" customWidth="1"/>
    <col min="12547" max="12547" width="18.42578125" style="215" customWidth="1"/>
    <col min="12548" max="12548" width="21" style="215" customWidth="1"/>
    <col min="12549" max="12549" width="20" style="215" customWidth="1"/>
    <col min="12550" max="12550" width="21.7109375" style="215" customWidth="1"/>
    <col min="12551" max="12551" width="22.5703125" style="215" customWidth="1"/>
    <col min="12552" max="12552" width="16.28515625" style="215" customWidth="1"/>
    <col min="12553" max="12553" width="16.85546875" style="215" customWidth="1"/>
    <col min="12554" max="12554" width="16.28515625" style="215" customWidth="1"/>
    <col min="12555" max="12555" width="19.5703125" style="215" customWidth="1"/>
    <col min="12556" max="12556" width="20.140625" style="215" customWidth="1"/>
    <col min="12557" max="12557" width="15.5703125" style="215" bestFit="1" customWidth="1"/>
    <col min="12558" max="12558" width="13" style="215" customWidth="1"/>
    <col min="12559" max="12801" width="9.140625" style="215"/>
    <col min="12802" max="12802" width="62" style="215" customWidth="1"/>
    <col min="12803" max="12803" width="18.42578125" style="215" customWidth="1"/>
    <col min="12804" max="12804" width="21" style="215" customWidth="1"/>
    <col min="12805" max="12805" width="20" style="215" customWidth="1"/>
    <col min="12806" max="12806" width="21.7109375" style="215" customWidth="1"/>
    <col min="12807" max="12807" width="22.5703125" style="215" customWidth="1"/>
    <col min="12808" max="12808" width="16.28515625" style="215" customWidth="1"/>
    <col min="12809" max="12809" width="16.85546875" style="215" customWidth="1"/>
    <col min="12810" max="12810" width="16.28515625" style="215" customWidth="1"/>
    <col min="12811" max="12811" width="19.5703125" style="215" customWidth="1"/>
    <col min="12812" max="12812" width="20.140625" style="215" customWidth="1"/>
    <col min="12813" max="12813" width="15.5703125" style="215" bestFit="1" customWidth="1"/>
    <col min="12814" max="12814" width="13" style="215" customWidth="1"/>
    <col min="12815" max="13057" width="9.140625" style="215"/>
    <col min="13058" max="13058" width="62" style="215" customWidth="1"/>
    <col min="13059" max="13059" width="18.42578125" style="215" customWidth="1"/>
    <col min="13060" max="13060" width="21" style="215" customWidth="1"/>
    <col min="13061" max="13061" width="20" style="215" customWidth="1"/>
    <col min="13062" max="13062" width="21.7109375" style="215" customWidth="1"/>
    <col min="13063" max="13063" width="22.5703125" style="215" customWidth="1"/>
    <col min="13064" max="13064" width="16.28515625" style="215" customWidth="1"/>
    <col min="13065" max="13065" width="16.85546875" style="215" customWidth="1"/>
    <col min="13066" max="13066" width="16.28515625" style="215" customWidth="1"/>
    <col min="13067" max="13067" width="19.5703125" style="215" customWidth="1"/>
    <col min="13068" max="13068" width="20.140625" style="215" customWidth="1"/>
    <col min="13069" max="13069" width="15.5703125" style="215" bestFit="1" customWidth="1"/>
    <col min="13070" max="13070" width="13" style="215" customWidth="1"/>
    <col min="13071" max="13313" width="9.140625" style="215"/>
    <col min="13314" max="13314" width="62" style="215" customWidth="1"/>
    <col min="13315" max="13315" width="18.42578125" style="215" customWidth="1"/>
    <col min="13316" max="13316" width="21" style="215" customWidth="1"/>
    <col min="13317" max="13317" width="20" style="215" customWidth="1"/>
    <col min="13318" max="13318" width="21.7109375" style="215" customWidth="1"/>
    <col min="13319" max="13319" width="22.5703125" style="215" customWidth="1"/>
    <col min="13320" max="13320" width="16.28515625" style="215" customWidth="1"/>
    <col min="13321" max="13321" width="16.85546875" style="215" customWidth="1"/>
    <col min="13322" max="13322" width="16.28515625" style="215" customWidth="1"/>
    <col min="13323" max="13323" width="19.5703125" style="215" customWidth="1"/>
    <col min="13324" max="13324" width="20.140625" style="215" customWidth="1"/>
    <col min="13325" max="13325" width="15.5703125" style="215" bestFit="1" customWidth="1"/>
    <col min="13326" max="13326" width="13" style="215" customWidth="1"/>
    <col min="13327" max="13569" width="9.140625" style="215"/>
    <col min="13570" max="13570" width="62" style="215" customWidth="1"/>
    <col min="13571" max="13571" width="18.42578125" style="215" customWidth="1"/>
    <col min="13572" max="13572" width="21" style="215" customWidth="1"/>
    <col min="13573" max="13573" width="20" style="215" customWidth="1"/>
    <col min="13574" max="13574" width="21.7109375" style="215" customWidth="1"/>
    <col min="13575" max="13575" width="22.5703125" style="215" customWidth="1"/>
    <col min="13576" max="13576" width="16.28515625" style="215" customWidth="1"/>
    <col min="13577" max="13577" width="16.85546875" style="215" customWidth="1"/>
    <col min="13578" max="13578" width="16.28515625" style="215" customWidth="1"/>
    <col min="13579" max="13579" width="19.5703125" style="215" customWidth="1"/>
    <col min="13580" max="13580" width="20.140625" style="215" customWidth="1"/>
    <col min="13581" max="13581" width="15.5703125" style="215" bestFit="1" customWidth="1"/>
    <col min="13582" max="13582" width="13" style="215" customWidth="1"/>
    <col min="13583" max="13825" width="9.140625" style="215"/>
    <col min="13826" max="13826" width="62" style="215" customWidth="1"/>
    <col min="13827" max="13827" width="18.42578125" style="215" customWidth="1"/>
    <col min="13828" max="13828" width="21" style="215" customWidth="1"/>
    <col min="13829" max="13829" width="20" style="215" customWidth="1"/>
    <col min="13830" max="13830" width="21.7109375" style="215" customWidth="1"/>
    <col min="13831" max="13831" width="22.5703125" style="215" customWidth="1"/>
    <col min="13832" max="13832" width="16.28515625" style="215" customWidth="1"/>
    <col min="13833" max="13833" width="16.85546875" style="215" customWidth="1"/>
    <col min="13834" max="13834" width="16.28515625" style="215" customWidth="1"/>
    <col min="13835" max="13835" width="19.5703125" style="215" customWidth="1"/>
    <col min="13836" max="13836" width="20.140625" style="215" customWidth="1"/>
    <col min="13837" max="13837" width="15.5703125" style="215" bestFit="1" customWidth="1"/>
    <col min="13838" max="13838" width="13" style="215" customWidth="1"/>
    <col min="13839" max="14081" width="9.140625" style="215"/>
    <col min="14082" max="14082" width="62" style="215" customWidth="1"/>
    <col min="14083" max="14083" width="18.42578125" style="215" customWidth="1"/>
    <col min="14084" max="14084" width="21" style="215" customWidth="1"/>
    <col min="14085" max="14085" width="20" style="215" customWidth="1"/>
    <col min="14086" max="14086" width="21.7109375" style="215" customWidth="1"/>
    <col min="14087" max="14087" width="22.5703125" style="215" customWidth="1"/>
    <col min="14088" max="14088" width="16.28515625" style="215" customWidth="1"/>
    <col min="14089" max="14089" width="16.85546875" style="215" customWidth="1"/>
    <col min="14090" max="14090" width="16.28515625" style="215" customWidth="1"/>
    <col min="14091" max="14091" width="19.5703125" style="215" customWidth="1"/>
    <col min="14092" max="14092" width="20.140625" style="215" customWidth="1"/>
    <col min="14093" max="14093" width="15.5703125" style="215" bestFit="1" customWidth="1"/>
    <col min="14094" max="14094" width="13" style="215" customWidth="1"/>
    <col min="14095" max="14337" width="9.140625" style="215"/>
    <col min="14338" max="14338" width="62" style="215" customWidth="1"/>
    <col min="14339" max="14339" width="18.42578125" style="215" customWidth="1"/>
    <col min="14340" max="14340" width="21" style="215" customWidth="1"/>
    <col min="14341" max="14341" width="20" style="215" customWidth="1"/>
    <col min="14342" max="14342" width="21.7109375" style="215" customWidth="1"/>
    <col min="14343" max="14343" width="22.5703125" style="215" customWidth="1"/>
    <col min="14344" max="14344" width="16.28515625" style="215" customWidth="1"/>
    <col min="14345" max="14345" width="16.85546875" style="215" customWidth="1"/>
    <col min="14346" max="14346" width="16.28515625" style="215" customWidth="1"/>
    <col min="14347" max="14347" width="19.5703125" style="215" customWidth="1"/>
    <col min="14348" max="14348" width="20.140625" style="215" customWidth="1"/>
    <col min="14349" max="14349" width="15.5703125" style="215" bestFit="1" customWidth="1"/>
    <col min="14350" max="14350" width="13" style="215" customWidth="1"/>
    <col min="14351" max="14593" width="9.140625" style="215"/>
    <col min="14594" max="14594" width="62" style="215" customWidth="1"/>
    <col min="14595" max="14595" width="18.42578125" style="215" customWidth="1"/>
    <col min="14596" max="14596" width="21" style="215" customWidth="1"/>
    <col min="14597" max="14597" width="20" style="215" customWidth="1"/>
    <col min="14598" max="14598" width="21.7109375" style="215" customWidth="1"/>
    <col min="14599" max="14599" width="22.5703125" style="215" customWidth="1"/>
    <col min="14600" max="14600" width="16.28515625" style="215" customWidth="1"/>
    <col min="14601" max="14601" width="16.85546875" style="215" customWidth="1"/>
    <col min="14602" max="14602" width="16.28515625" style="215" customWidth="1"/>
    <col min="14603" max="14603" width="19.5703125" style="215" customWidth="1"/>
    <col min="14604" max="14604" width="20.140625" style="215" customWidth="1"/>
    <col min="14605" max="14605" width="15.5703125" style="215" bestFit="1" customWidth="1"/>
    <col min="14606" max="14606" width="13" style="215" customWidth="1"/>
    <col min="14607" max="14849" width="9.140625" style="215"/>
    <col min="14850" max="14850" width="62" style="215" customWidth="1"/>
    <col min="14851" max="14851" width="18.42578125" style="215" customWidth="1"/>
    <col min="14852" max="14852" width="21" style="215" customWidth="1"/>
    <col min="14853" max="14853" width="20" style="215" customWidth="1"/>
    <col min="14854" max="14854" width="21.7109375" style="215" customWidth="1"/>
    <col min="14855" max="14855" width="22.5703125" style="215" customWidth="1"/>
    <col min="14856" max="14856" width="16.28515625" style="215" customWidth="1"/>
    <col min="14857" max="14857" width="16.85546875" style="215" customWidth="1"/>
    <col min="14858" max="14858" width="16.28515625" style="215" customWidth="1"/>
    <col min="14859" max="14859" width="19.5703125" style="215" customWidth="1"/>
    <col min="14860" max="14860" width="20.140625" style="215" customWidth="1"/>
    <col min="14861" max="14861" width="15.5703125" style="215" bestFit="1" customWidth="1"/>
    <col min="14862" max="14862" width="13" style="215" customWidth="1"/>
    <col min="14863" max="15105" width="9.140625" style="215"/>
    <col min="15106" max="15106" width="62" style="215" customWidth="1"/>
    <col min="15107" max="15107" width="18.42578125" style="215" customWidth="1"/>
    <col min="15108" max="15108" width="21" style="215" customWidth="1"/>
    <col min="15109" max="15109" width="20" style="215" customWidth="1"/>
    <col min="15110" max="15110" width="21.7109375" style="215" customWidth="1"/>
    <col min="15111" max="15111" width="22.5703125" style="215" customWidth="1"/>
    <col min="15112" max="15112" width="16.28515625" style="215" customWidth="1"/>
    <col min="15113" max="15113" width="16.85546875" style="215" customWidth="1"/>
    <col min="15114" max="15114" width="16.28515625" style="215" customWidth="1"/>
    <col min="15115" max="15115" width="19.5703125" style="215" customWidth="1"/>
    <col min="15116" max="15116" width="20.140625" style="215" customWidth="1"/>
    <col min="15117" max="15117" width="15.5703125" style="215" bestFit="1" customWidth="1"/>
    <col min="15118" max="15118" width="13" style="215" customWidth="1"/>
    <col min="15119" max="15361" width="9.140625" style="215"/>
    <col min="15362" max="15362" width="62" style="215" customWidth="1"/>
    <col min="15363" max="15363" width="18.42578125" style="215" customWidth="1"/>
    <col min="15364" max="15364" width="21" style="215" customWidth="1"/>
    <col min="15365" max="15365" width="20" style="215" customWidth="1"/>
    <col min="15366" max="15366" width="21.7109375" style="215" customWidth="1"/>
    <col min="15367" max="15367" width="22.5703125" style="215" customWidth="1"/>
    <col min="15368" max="15368" width="16.28515625" style="215" customWidth="1"/>
    <col min="15369" max="15369" width="16.85546875" style="215" customWidth="1"/>
    <col min="15370" max="15370" width="16.28515625" style="215" customWidth="1"/>
    <col min="15371" max="15371" width="19.5703125" style="215" customWidth="1"/>
    <col min="15372" max="15372" width="20.140625" style="215" customWidth="1"/>
    <col min="15373" max="15373" width="15.5703125" style="215" bestFit="1" customWidth="1"/>
    <col min="15374" max="15374" width="13" style="215" customWidth="1"/>
    <col min="15375" max="15617" width="9.140625" style="215"/>
    <col min="15618" max="15618" width="62" style="215" customWidth="1"/>
    <col min="15619" max="15619" width="18.42578125" style="215" customWidth="1"/>
    <col min="15620" max="15620" width="21" style="215" customWidth="1"/>
    <col min="15621" max="15621" width="20" style="215" customWidth="1"/>
    <col min="15622" max="15622" width="21.7109375" style="215" customWidth="1"/>
    <col min="15623" max="15623" width="22.5703125" style="215" customWidth="1"/>
    <col min="15624" max="15624" width="16.28515625" style="215" customWidth="1"/>
    <col min="15625" max="15625" width="16.85546875" style="215" customWidth="1"/>
    <col min="15626" max="15626" width="16.28515625" style="215" customWidth="1"/>
    <col min="15627" max="15627" width="19.5703125" style="215" customWidth="1"/>
    <col min="15628" max="15628" width="20.140625" style="215" customWidth="1"/>
    <col min="15629" max="15629" width="15.5703125" style="215" bestFit="1" customWidth="1"/>
    <col min="15630" max="15630" width="13" style="215" customWidth="1"/>
    <col min="15631" max="15873" width="9.140625" style="215"/>
    <col min="15874" max="15874" width="62" style="215" customWidth="1"/>
    <col min="15875" max="15875" width="18.42578125" style="215" customWidth="1"/>
    <col min="15876" max="15876" width="21" style="215" customWidth="1"/>
    <col min="15877" max="15877" width="20" style="215" customWidth="1"/>
    <col min="15878" max="15878" width="21.7109375" style="215" customWidth="1"/>
    <col min="15879" max="15879" width="22.5703125" style="215" customWidth="1"/>
    <col min="15880" max="15880" width="16.28515625" style="215" customWidth="1"/>
    <col min="15881" max="15881" width="16.85546875" style="215" customWidth="1"/>
    <col min="15882" max="15882" width="16.28515625" style="215" customWidth="1"/>
    <col min="15883" max="15883" width="19.5703125" style="215" customWidth="1"/>
    <col min="15884" max="15884" width="20.140625" style="215" customWidth="1"/>
    <col min="15885" max="15885" width="15.5703125" style="215" bestFit="1" customWidth="1"/>
    <col min="15886" max="15886" width="13" style="215" customWidth="1"/>
    <col min="15887" max="16129" width="9.140625" style="215"/>
    <col min="16130" max="16130" width="62" style="215" customWidth="1"/>
    <col min="16131" max="16131" width="18.42578125" style="215" customWidth="1"/>
    <col min="16132" max="16132" width="21" style="215" customWidth="1"/>
    <col min="16133" max="16133" width="20" style="215" customWidth="1"/>
    <col min="16134" max="16134" width="21.7109375" style="215" customWidth="1"/>
    <col min="16135" max="16135" width="22.5703125" style="215" customWidth="1"/>
    <col min="16136" max="16136" width="16.28515625" style="215" customWidth="1"/>
    <col min="16137" max="16137" width="16.85546875" style="215" customWidth="1"/>
    <col min="16138" max="16138" width="16.28515625" style="215" customWidth="1"/>
    <col min="16139" max="16139" width="19.5703125" style="215" customWidth="1"/>
    <col min="16140" max="16140" width="20.140625" style="215" customWidth="1"/>
    <col min="16141" max="16141" width="15.5703125" style="215" bestFit="1" customWidth="1"/>
    <col min="16142" max="16142" width="13" style="215" customWidth="1"/>
    <col min="16143" max="16384" width="9.140625" style="215"/>
  </cols>
  <sheetData>
    <row r="1" spans="1:16" ht="15.75">
      <c r="A1" s="1163"/>
      <c r="J1" s="215" t="s">
        <v>855</v>
      </c>
    </row>
    <row r="2" spans="1:16" ht="15.75">
      <c r="A2" s="1163"/>
    </row>
    <row r="3" spans="1:16" ht="18.75">
      <c r="A3" s="1165"/>
    </row>
    <row r="4" spans="1:16" ht="51.75" customHeight="1">
      <c r="A4" s="1166" t="s">
        <v>856</v>
      </c>
      <c r="B4" s="1167"/>
      <c r="C4" s="1167"/>
      <c r="D4" s="1167"/>
      <c r="E4" s="1167"/>
      <c r="F4" s="1167"/>
      <c r="G4" s="1167"/>
      <c r="H4" s="1167"/>
      <c r="I4" s="1167"/>
      <c r="J4" s="1167"/>
      <c r="K4" s="1167"/>
    </row>
    <row r="5" spans="1:16" ht="32.25" thickBot="1">
      <c r="A5" s="1168"/>
      <c r="B5" s="1168" t="s">
        <v>857</v>
      </c>
      <c r="M5" s="1169" t="s">
        <v>858</v>
      </c>
      <c r="N5" s="1169" t="s">
        <v>859</v>
      </c>
      <c r="O5" s="1169" t="s">
        <v>860</v>
      </c>
      <c r="P5" s="1169" t="s">
        <v>861</v>
      </c>
    </row>
    <row r="6" spans="1:16" ht="49.5" customHeight="1" thickBot="1">
      <c r="A6" s="1170" t="s">
        <v>862</v>
      </c>
      <c r="B6" s="1170" t="s">
        <v>9</v>
      </c>
      <c r="C6" s="1171" t="s">
        <v>863</v>
      </c>
      <c r="D6" s="1172"/>
      <c r="E6" s="1173"/>
      <c r="F6" s="1171" t="s">
        <v>864</v>
      </c>
      <c r="G6" s="1172"/>
      <c r="H6" s="1173"/>
      <c r="I6" s="1171" t="s">
        <v>865</v>
      </c>
      <c r="J6" s="1172"/>
      <c r="K6" s="1173"/>
      <c r="M6" s="1169">
        <v>1.04</v>
      </c>
      <c r="N6" s="1174">
        <v>5.51</v>
      </c>
      <c r="O6" s="1175">
        <v>4.6500000000000004</v>
      </c>
      <c r="P6" s="1175">
        <v>7.52</v>
      </c>
    </row>
    <row r="7" spans="1:16" ht="13.5" thickBot="1">
      <c r="A7" s="1176"/>
      <c r="B7" s="1176"/>
      <c r="C7" s="1177"/>
      <c r="D7" s="1178"/>
      <c r="E7" s="1179"/>
      <c r="F7" s="1177"/>
      <c r="G7" s="1178"/>
      <c r="H7" s="1179"/>
      <c r="I7" s="1177"/>
      <c r="J7" s="1178"/>
      <c r="K7" s="1179"/>
    </row>
    <row r="8" spans="1:16" ht="14.25" customHeight="1">
      <c r="A8" s="1176"/>
      <c r="B8" s="1176"/>
      <c r="C8" s="1180" t="s">
        <v>866</v>
      </c>
      <c r="D8" s="1181" t="s">
        <v>867</v>
      </c>
      <c r="E8" s="1180" t="s">
        <v>868</v>
      </c>
      <c r="F8" s="1182" t="s">
        <v>869</v>
      </c>
      <c r="G8" s="1182" t="s">
        <v>867</v>
      </c>
      <c r="H8" s="1182" t="s">
        <v>870</v>
      </c>
      <c r="I8" s="1181" t="s">
        <v>871</v>
      </c>
      <c r="J8" s="1181" t="s">
        <v>867</v>
      </c>
      <c r="K8" s="1181" t="s">
        <v>870</v>
      </c>
    </row>
    <row r="9" spans="1:16" ht="57.75" thickBot="1">
      <c r="A9" s="1183"/>
      <c r="B9" s="1183"/>
      <c r="C9" s="1184" t="s">
        <v>872</v>
      </c>
      <c r="D9" s="1185"/>
      <c r="E9" s="1184" t="s">
        <v>873</v>
      </c>
      <c r="F9" s="1186"/>
      <c r="G9" s="1186"/>
      <c r="H9" s="1186"/>
      <c r="I9" s="1185"/>
      <c r="J9" s="1185"/>
      <c r="K9" s="1185"/>
    </row>
    <row r="10" spans="1:16" ht="16.5" thickBot="1">
      <c r="A10" s="1187">
        <v>1</v>
      </c>
      <c r="B10" s="738">
        <v>2</v>
      </c>
      <c r="C10" s="1188">
        <v>3</v>
      </c>
      <c r="D10" s="1188">
        <v>4</v>
      </c>
      <c r="E10" s="1188">
        <v>5</v>
      </c>
      <c r="F10" s="1189">
        <v>6</v>
      </c>
      <c r="G10" s="1189">
        <v>7</v>
      </c>
      <c r="H10" s="1189">
        <v>8</v>
      </c>
      <c r="I10" s="1190">
        <v>9</v>
      </c>
      <c r="J10" s="1190">
        <v>10</v>
      </c>
      <c r="K10" s="1190">
        <v>11</v>
      </c>
    </row>
    <row r="11" spans="1:16" s="1196" customFormat="1" ht="61.5" customHeight="1" thickBot="1">
      <c r="A11" s="1191" t="s">
        <v>14</v>
      </c>
      <c r="B11" s="1192" t="s">
        <v>874</v>
      </c>
      <c r="C11" s="1193">
        <f>E11/D11*1000</f>
        <v>1257.3866449768498</v>
      </c>
      <c r="D11" s="1194">
        <v>24582.959999999999</v>
      </c>
      <c r="E11" s="1195">
        <f>30910285.5980001/1000</f>
        <v>30910.2855980001</v>
      </c>
      <c r="F11" s="1194">
        <f>F12+F13+F14+F15</f>
        <v>897.37999999999988</v>
      </c>
      <c r="G11" s="1194">
        <f>D11</f>
        <v>24582.959999999999</v>
      </c>
      <c r="H11" s="1194">
        <f>F11*G11/1000</f>
        <v>22060.256644799996</v>
      </c>
      <c r="I11" s="1195">
        <f>I12+I13+I14+I15</f>
        <v>1081.51</v>
      </c>
      <c r="J11" s="1195">
        <f>(31792+32372+24583)/3</f>
        <v>29582.333333333332</v>
      </c>
      <c r="K11" s="1195">
        <f>I11*J11/1000</f>
        <v>31993.58932333333</v>
      </c>
      <c r="M11" s="1197">
        <v>3464.3149948599976</v>
      </c>
    </row>
    <row r="12" spans="1:16" ht="53.25" customHeight="1" thickBot="1">
      <c r="A12" s="1187" t="s">
        <v>381</v>
      </c>
      <c r="B12" s="1198" t="s">
        <v>875</v>
      </c>
      <c r="C12" s="1199">
        <f>E12/D12*1000</f>
        <v>520.81239158328663</v>
      </c>
      <c r="D12" s="1199">
        <f>D11</f>
        <v>24582.959999999999</v>
      </c>
      <c r="E12" s="1200">
        <f>318.36/768.61*$E$11</f>
        <v>12803.110189796271</v>
      </c>
      <c r="F12" s="1201">
        <v>318.36</v>
      </c>
      <c r="G12" s="1201">
        <f>G11</f>
        <v>24582.959999999999</v>
      </c>
      <c r="H12" s="1201">
        <f>F12*G12/1000</f>
        <v>7826.2311456000007</v>
      </c>
      <c r="I12" s="1202">
        <v>501.53</v>
      </c>
      <c r="J12" s="1203">
        <f>J11</f>
        <v>29582.333333333332</v>
      </c>
      <c r="K12" s="1202">
        <f>I12*J12/1000</f>
        <v>14836.427636666665</v>
      </c>
    </row>
    <row r="13" spans="1:16" ht="39.75" customHeight="1" thickBot="1">
      <c r="A13" s="1187" t="s">
        <v>393</v>
      </c>
      <c r="B13" s="1198" t="s">
        <v>876</v>
      </c>
      <c r="C13" s="1199">
        <f>E13/D13*1000</f>
        <v>253.79706756574654</v>
      </c>
      <c r="D13" s="1199">
        <f>D11</f>
        <v>24582.959999999999</v>
      </c>
      <c r="E13" s="1200">
        <f>155.14/768.61*$E$11</f>
        <v>6239.0831600860447</v>
      </c>
      <c r="F13" s="1201">
        <v>155.13999999999999</v>
      </c>
      <c r="G13" s="1201">
        <f>G11</f>
        <v>24582.959999999999</v>
      </c>
      <c r="H13" s="1201">
        <f>F13*G13/1000</f>
        <v>3813.8004143999997</v>
      </c>
      <c r="I13" s="1202">
        <v>579.98</v>
      </c>
      <c r="J13" s="1203">
        <f>J11</f>
        <v>29582.333333333332</v>
      </c>
      <c r="K13" s="1202">
        <f>I13*J13/1000</f>
        <v>17157.161686666666</v>
      </c>
    </row>
    <row r="14" spans="1:16" ht="87" customHeight="1" thickBot="1">
      <c r="A14" s="1187" t="s">
        <v>21</v>
      </c>
      <c r="B14" s="1198" t="s">
        <v>877</v>
      </c>
      <c r="C14" s="1199"/>
      <c r="D14" s="1199"/>
      <c r="E14" s="1204"/>
      <c r="F14" s="1201">
        <v>110.57</v>
      </c>
      <c r="G14" s="1201">
        <f>G12</f>
        <v>24582.959999999999</v>
      </c>
      <c r="H14" s="1201">
        <f>F14*G14/1000</f>
        <v>2718.1378871999996</v>
      </c>
      <c r="I14" s="1202"/>
      <c r="J14" s="1203"/>
      <c r="K14" s="1202"/>
    </row>
    <row r="15" spans="1:16" ht="89.25" customHeight="1" thickBot="1">
      <c r="A15" s="1187" t="s">
        <v>23</v>
      </c>
      <c r="B15" s="1198" t="s">
        <v>878</v>
      </c>
      <c r="C15" s="1199">
        <f>E15/D15*1000</f>
        <v>512.55098130091574</v>
      </c>
      <c r="D15" s="1199">
        <f>D12</f>
        <v>24582.959999999999</v>
      </c>
      <c r="E15" s="1200">
        <f>313.31/768.61*$E$11</f>
        <v>12600.020271281159</v>
      </c>
      <c r="F15" s="1201">
        <v>313.31</v>
      </c>
      <c r="G15" s="1201">
        <f>G13</f>
        <v>24582.959999999999</v>
      </c>
      <c r="H15" s="1201">
        <f>F15*G15/1000</f>
        <v>7702.0871975999999</v>
      </c>
      <c r="I15" s="1202"/>
      <c r="J15" s="1203"/>
      <c r="K15" s="1202"/>
    </row>
    <row r="16" spans="1:16" ht="73.5" customHeight="1" thickBot="1">
      <c r="A16" s="1205" t="s">
        <v>135</v>
      </c>
      <c r="B16" s="1206" t="s">
        <v>879</v>
      </c>
      <c r="C16" s="1207"/>
      <c r="D16" s="1208"/>
      <c r="E16" s="1208">
        <f>E17+E35+E60+E66+E80+E86+E91+E96+E102+E114</f>
        <v>81313.011999999988</v>
      </c>
      <c r="F16" s="1207"/>
      <c r="G16" s="1208"/>
      <c r="H16" s="1208">
        <f>H17+H35+H60+H66+H80+H86+H91+H96+H102+H114</f>
        <v>45426.635928215008</v>
      </c>
      <c r="I16" s="1207"/>
      <c r="J16" s="1208"/>
      <c r="K16" s="1208">
        <f>K17+K35+K60+K66+K80+K86+K91+K96+K102+K114</f>
        <v>99260.590560519995</v>
      </c>
    </row>
    <row r="17" spans="1:11" ht="35.25" customHeight="1" thickBot="1">
      <c r="A17" s="1209" t="s">
        <v>880</v>
      </c>
      <c r="B17" s="1210" t="s">
        <v>881</v>
      </c>
      <c r="C17" s="1211">
        <f>E17/D17*1000</f>
        <v>2081988.0341880345</v>
      </c>
      <c r="D17" s="1211">
        <f>SUM(D18,D25,D31,D32,D33,D34)</f>
        <v>0.58499999999999996</v>
      </c>
      <c r="E17" s="1211">
        <f>SUM(E18,E25,E31,E32,E33,E34)</f>
        <v>1217.963</v>
      </c>
      <c r="F17" s="1211"/>
      <c r="G17" s="1211">
        <f>D17</f>
        <v>0.58499999999999996</v>
      </c>
      <c r="H17" s="1211">
        <f>SUM(H18,H25,H31,H32,H33,H34)</f>
        <v>829.82865690000006</v>
      </c>
      <c r="I17" s="1211"/>
      <c r="J17" s="1211">
        <f>SUM(J18,J25,J31,J32,J33,J34)</f>
        <v>0.78499999999999992</v>
      </c>
      <c r="K17" s="1211">
        <f>SUM(K18,K25,K31,K32,K33,K34)</f>
        <v>1143.4031624199999</v>
      </c>
    </row>
    <row r="18" spans="1:11" ht="28.5" customHeight="1" thickBot="1">
      <c r="A18" s="1212"/>
      <c r="B18" s="1213" t="s">
        <v>882</v>
      </c>
      <c r="C18" s="1214">
        <f>E18/D18*1000</f>
        <v>2081988.0341880345</v>
      </c>
      <c r="D18" s="1214">
        <f>SUM(D19:D24)</f>
        <v>0.58499999999999996</v>
      </c>
      <c r="E18" s="1214">
        <f>SUM(E19:E24)</f>
        <v>1217.963</v>
      </c>
      <c r="F18" s="1214"/>
      <c r="G18" s="1214">
        <f t="shared" ref="G18:G81" si="0">D18</f>
        <v>0.58499999999999996</v>
      </c>
      <c r="H18" s="1214">
        <f>SUM(H19:H24)</f>
        <v>829.82865690000006</v>
      </c>
      <c r="I18" s="1214"/>
      <c r="J18" s="1214">
        <f>SUM(J19:J24)</f>
        <v>0.58499999999999996</v>
      </c>
      <c r="K18" s="1214">
        <f>SUM(K19:K24)</f>
        <v>1143.4031624199999</v>
      </c>
    </row>
    <row r="19" spans="1:11" ht="16.5" thickTop="1">
      <c r="A19" s="1215"/>
      <c r="B19" s="1216" t="s">
        <v>883</v>
      </c>
      <c r="C19" s="1217">
        <f>E19/D19*1000</f>
        <v>2085554.7945205481</v>
      </c>
      <c r="D19" s="1217">
        <v>0.29199999999999998</v>
      </c>
      <c r="E19" s="1217">
        <v>608.98199999999997</v>
      </c>
      <c r="F19" s="1218">
        <f>204275.13*5.4</f>
        <v>1103085.702</v>
      </c>
      <c r="G19" s="1218">
        <f t="shared" si="0"/>
        <v>0.29199999999999998</v>
      </c>
      <c r="H19" s="1218">
        <f t="shared" ref="H19:H24" si="1">F19*G19/1000</f>
        <v>322.10102498399999</v>
      </c>
      <c r="I19" s="1219">
        <v>1921956.05</v>
      </c>
      <c r="J19" s="1219">
        <v>0.29199999999999998</v>
      </c>
      <c r="K19" s="1219">
        <f t="shared" ref="K19:K24" si="2">I19*J19/1000</f>
        <v>561.21116659999996</v>
      </c>
    </row>
    <row r="20" spans="1:11" ht="15.75">
      <c r="A20" s="1215"/>
      <c r="B20" s="1220" t="s">
        <v>884</v>
      </c>
      <c r="C20" s="1217">
        <f>E20/D20*1000</f>
        <v>2656711.5384615385</v>
      </c>
      <c r="D20" s="1217">
        <v>5.1999999999999998E-2</v>
      </c>
      <c r="E20" s="1217">
        <v>138.149</v>
      </c>
      <c r="F20" s="1218">
        <f>320899.78*5.4</f>
        <v>1732858.8120000002</v>
      </c>
      <c r="G20" s="1218">
        <f t="shared" si="0"/>
        <v>5.1999999999999998E-2</v>
      </c>
      <c r="H20" s="1218">
        <f>F20*G20/1000</f>
        <v>90.108658223999996</v>
      </c>
      <c r="I20" s="1219">
        <v>2095992</v>
      </c>
      <c r="J20" s="1219">
        <v>5.1999999999999998E-2</v>
      </c>
      <c r="K20" s="1219">
        <f t="shared" si="2"/>
        <v>108.99158399999999</v>
      </c>
    </row>
    <row r="21" spans="1:11" ht="15.75">
      <c r="A21" s="1215"/>
      <c r="B21" s="1221" t="s">
        <v>885</v>
      </c>
      <c r="C21" s="1217">
        <f>E21/D21*1000</f>
        <v>1897154.8387096776</v>
      </c>
      <c r="D21" s="1217">
        <v>0.155</v>
      </c>
      <c r="E21" s="1217">
        <v>294.05900000000003</v>
      </c>
      <c r="F21" s="1218">
        <f>320899.78*5.4</f>
        <v>1732858.8120000002</v>
      </c>
      <c r="G21" s="1218">
        <f t="shared" si="0"/>
        <v>0.155</v>
      </c>
      <c r="H21" s="1218">
        <f t="shared" si="1"/>
        <v>268.59311586000001</v>
      </c>
      <c r="I21" s="1219">
        <v>2095992</v>
      </c>
      <c r="J21" s="1219">
        <v>0.155</v>
      </c>
      <c r="K21" s="1219">
        <f>I21*J21/1000</f>
        <v>324.87876</v>
      </c>
    </row>
    <row r="22" spans="1:11" ht="15.75">
      <c r="A22" s="1215"/>
      <c r="B22" s="1221" t="s">
        <v>886</v>
      </c>
      <c r="C22" s="1222"/>
      <c r="D22" s="1217">
        <v>0</v>
      </c>
      <c r="E22" s="1217">
        <v>0</v>
      </c>
      <c r="F22" s="1218"/>
      <c r="G22" s="1218">
        <f t="shared" si="0"/>
        <v>0</v>
      </c>
      <c r="H22" s="1218">
        <f t="shared" si="1"/>
        <v>0</v>
      </c>
      <c r="I22" s="1219">
        <v>1724670.37</v>
      </c>
      <c r="J22" s="1219">
        <v>0</v>
      </c>
      <c r="K22" s="1219">
        <f t="shared" si="2"/>
        <v>0</v>
      </c>
    </row>
    <row r="23" spans="1:11" ht="15.75">
      <c r="A23" s="1215"/>
      <c r="B23" s="1216" t="s">
        <v>887</v>
      </c>
      <c r="C23" s="1217">
        <f>E23/D23*1000</f>
        <v>2055500</v>
      </c>
      <c r="D23" s="1217">
        <v>8.5999999999999993E-2</v>
      </c>
      <c r="E23" s="1217">
        <v>176.773</v>
      </c>
      <c r="F23" s="1218">
        <f>320899.78*5.4</f>
        <v>1732858.8120000002</v>
      </c>
      <c r="G23" s="1218">
        <f t="shared" si="0"/>
        <v>8.5999999999999993E-2</v>
      </c>
      <c r="H23" s="1218">
        <f t="shared" si="1"/>
        <v>149.02585783200001</v>
      </c>
      <c r="I23" s="1219">
        <v>1724670.37</v>
      </c>
      <c r="J23" s="1219">
        <v>8.5999999999999993E-2</v>
      </c>
      <c r="K23" s="1219">
        <f t="shared" si="2"/>
        <v>148.32165182</v>
      </c>
    </row>
    <row r="24" spans="1:11" ht="16.5" thickBot="1">
      <c r="A24" s="1215"/>
      <c r="B24" s="1216" t="s">
        <v>888</v>
      </c>
      <c r="C24" s="1217"/>
      <c r="D24" s="1217">
        <v>0</v>
      </c>
      <c r="E24" s="1217">
        <v>0</v>
      </c>
      <c r="F24" s="1218">
        <v>0</v>
      </c>
      <c r="G24" s="1218">
        <f t="shared" si="0"/>
        <v>0</v>
      </c>
      <c r="H24" s="1218">
        <f t="shared" si="1"/>
        <v>0</v>
      </c>
      <c r="I24" s="1219">
        <v>2298518.2000000002</v>
      </c>
      <c r="J24" s="1219">
        <v>0</v>
      </c>
      <c r="K24" s="1219">
        <f t="shared" si="2"/>
        <v>0</v>
      </c>
    </row>
    <row r="25" spans="1:11" ht="16.5" thickBot="1">
      <c r="A25" s="1215"/>
      <c r="B25" s="1213" t="s">
        <v>889</v>
      </c>
      <c r="C25" s="1214"/>
      <c r="D25" s="1214">
        <v>0</v>
      </c>
      <c r="E25" s="1214">
        <v>0</v>
      </c>
      <c r="F25" s="1214"/>
      <c r="G25" s="1214">
        <f t="shared" si="0"/>
        <v>0</v>
      </c>
      <c r="H25" s="1214">
        <f>SUM(H26:H30)</f>
        <v>0</v>
      </c>
      <c r="I25" s="1214"/>
      <c r="J25" s="1214">
        <f>SUM(J26:J30)</f>
        <v>0</v>
      </c>
      <c r="K25" s="1214">
        <f>SUM(K26:K30)</f>
        <v>0</v>
      </c>
    </row>
    <row r="26" spans="1:11" ht="16.5" thickTop="1">
      <c r="A26" s="1215"/>
      <c r="B26" s="1216" t="s">
        <v>890</v>
      </c>
      <c r="C26" s="1223"/>
      <c r="D26" s="1217">
        <v>0</v>
      </c>
      <c r="E26" s="1217">
        <v>0</v>
      </c>
      <c r="F26" s="1218">
        <v>0</v>
      </c>
      <c r="G26" s="1218">
        <f t="shared" si="0"/>
        <v>0</v>
      </c>
      <c r="H26" s="1218">
        <f t="shared" ref="H26:H34" si="3">F26*G26/1000</f>
        <v>0</v>
      </c>
      <c r="I26" s="1219">
        <v>476808.6</v>
      </c>
      <c r="J26" s="1219">
        <v>0</v>
      </c>
      <c r="K26" s="1219">
        <f t="shared" ref="K26:K34" si="4">I26*J26/1000</f>
        <v>0</v>
      </c>
    </row>
    <row r="27" spans="1:11" ht="15.75">
      <c r="A27" s="1215"/>
      <c r="B27" s="1220" t="s">
        <v>891</v>
      </c>
      <c r="C27" s="1223"/>
      <c r="D27" s="1217">
        <v>0</v>
      </c>
      <c r="E27" s="1217">
        <v>0</v>
      </c>
      <c r="F27" s="1218">
        <v>0</v>
      </c>
      <c r="G27" s="1218">
        <f t="shared" si="0"/>
        <v>0</v>
      </c>
      <c r="H27" s="1218">
        <f t="shared" si="3"/>
        <v>0</v>
      </c>
      <c r="I27" s="1219">
        <v>476808.6</v>
      </c>
      <c r="J27" s="1219">
        <v>0</v>
      </c>
      <c r="K27" s="1219">
        <f t="shared" si="4"/>
        <v>0</v>
      </c>
    </row>
    <row r="28" spans="1:11" ht="15.75">
      <c r="A28" s="1215"/>
      <c r="B28" s="1221" t="s">
        <v>892</v>
      </c>
      <c r="C28" s="1224"/>
      <c r="D28" s="1225">
        <v>0</v>
      </c>
      <c r="E28" s="1217">
        <v>0</v>
      </c>
      <c r="F28" s="1226">
        <v>0</v>
      </c>
      <c r="G28" s="1226">
        <f t="shared" si="0"/>
        <v>0</v>
      </c>
      <c r="H28" s="1218">
        <f t="shared" si="3"/>
        <v>0</v>
      </c>
      <c r="I28" s="1227">
        <v>476808.6</v>
      </c>
      <c r="J28" s="1227">
        <v>0</v>
      </c>
      <c r="K28" s="1219">
        <f t="shared" si="4"/>
        <v>0</v>
      </c>
    </row>
    <row r="29" spans="1:11" ht="15.75">
      <c r="A29" s="1215"/>
      <c r="B29" s="1221" t="s">
        <v>893</v>
      </c>
      <c r="C29" s="1223"/>
      <c r="D29" s="1217">
        <v>0</v>
      </c>
      <c r="E29" s="1217">
        <v>0</v>
      </c>
      <c r="F29" s="1218">
        <v>0</v>
      </c>
      <c r="G29" s="1218">
        <f t="shared" si="0"/>
        <v>0</v>
      </c>
      <c r="H29" s="1218">
        <f t="shared" si="3"/>
        <v>0</v>
      </c>
      <c r="I29" s="1219">
        <v>1005806.14</v>
      </c>
      <c r="J29" s="1219">
        <v>0</v>
      </c>
      <c r="K29" s="1219">
        <f t="shared" si="4"/>
        <v>0</v>
      </c>
    </row>
    <row r="30" spans="1:11" ht="16.5" thickBot="1">
      <c r="A30" s="1215"/>
      <c r="B30" s="1216" t="s">
        <v>894</v>
      </c>
      <c r="C30" s="1223"/>
      <c r="D30" s="1217">
        <v>0</v>
      </c>
      <c r="E30" s="1217">
        <v>0</v>
      </c>
      <c r="F30" s="1218">
        <v>0</v>
      </c>
      <c r="G30" s="1218">
        <f t="shared" si="0"/>
        <v>0</v>
      </c>
      <c r="H30" s="1218">
        <f t="shared" si="3"/>
        <v>0</v>
      </c>
      <c r="I30" s="1219">
        <v>2536800.61</v>
      </c>
      <c r="J30" s="1219">
        <v>0</v>
      </c>
      <c r="K30" s="1219">
        <f t="shared" si="4"/>
        <v>0</v>
      </c>
    </row>
    <row r="31" spans="1:11" ht="16.5" thickBot="1">
      <c r="A31" s="1215"/>
      <c r="B31" s="1228" t="s">
        <v>895</v>
      </c>
      <c r="C31" s="1229"/>
      <c r="D31" s="1229">
        <v>0</v>
      </c>
      <c r="E31" s="1229">
        <v>0</v>
      </c>
      <c r="F31" s="1214">
        <v>0</v>
      </c>
      <c r="G31" s="1229">
        <f t="shared" si="0"/>
        <v>0</v>
      </c>
      <c r="H31" s="1229">
        <f t="shared" si="3"/>
        <v>0</v>
      </c>
      <c r="I31" s="1229"/>
      <c r="J31" s="1229">
        <v>0</v>
      </c>
      <c r="K31" s="1229">
        <f t="shared" si="4"/>
        <v>0</v>
      </c>
    </row>
    <row r="32" spans="1:11" ht="17.25" thickTop="1" thickBot="1">
      <c r="A32" s="1215"/>
      <c r="B32" s="1230" t="s">
        <v>896</v>
      </c>
      <c r="C32" s="1231"/>
      <c r="D32" s="1231">
        <v>0</v>
      </c>
      <c r="E32" s="1231">
        <v>0</v>
      </c>
      <c r="F32" s="1214">
        <v>0</v>
      </c>
      <c r="G32" s="1231">
        <f t="shared" si="0"/>
        <v>0</v>
      </c>
      <c r="H32" s="1231">
        <f t="shared" si="3"/>
        <v>0</v>
      </c>
      <c r="I32" s="1231"/>
      <c r="J32" s="1231">
        <v>0</v>
      </c>
      <c r="K32" s="1231">
        <f t="shared" si="4"/>
        <v>0</v>
      </c>
    </row>
    <row r="33" spans="1:11" ht="40.5" customHeight="1" thickTop="1" thickBot="1">
      <c r="A33" s="1215"/>
      <c r="B33" s="1230" t="s">
        <v>897</v>
      </c>
      <c r="C33" s="1231"/>
      <c r="D33" s="1231">
        <v>0</v>
      </c>
      <c r="E33" s="1231">
        <v>0</v>
      </c>
      <c r="F33" s="1231">
        <v>0</v>
      </c>
      <c r="G33" s="1231">
        <f t="shared" si="0"/>
        <v>0</v>
      </c>
      <c r="H33" s="1231">
        <f t="shared" si="3"/>
        <v>0</v>
      </c>
      <c r="I33" s="1231"/>
      <c r="J33" s="1231">
        <v>0.2</v>
      </c>
      <c r="K33" s="1231">
        <f t="shared" si="4"/>
        <v>0</v>
      </c>
    </row>
    <row r="34" spans="1:11" ht="36.75" customHeight="1" thickTop="1" thickBot="1">
      <c r="A34" s="1232"/>
      <c r="B34" s="1233" t="s">
        <v>898</v>
      </c>
      <c r="C34" s="1234"/>
      <c r="D34" s="1234">
        <v>0</v>
      </c>
      <c r="E34" s="1234">
        <v>0</v>
      </c>
      <c r="F34" s="1234">
        <v>0</v>
      </c>
      <c r="G34" s="1234">
        <f t="shared" si="0"/>
        <v>0</v>
      </c>
      <c r="H34" s="1234">
        <f t="shared" si="3"/>
        <v>0</v>
      </c>
      <c r="I34" s="1234"/>
      <c r="J34" s="1234">
        <v>0</v>
      </c>
      <c r="K34" s="1234">
        <f t="shared" si="4"/>
        <v>0</v>
      </c>
    </row>
    <row r="35" spans="1:11" ht="16.5" thickBot="1">
      <c r="A35" s="1235" t="s">
        <v>880</v>
      </c>
      <c r="B35" s="1210" t="s">
        <v>899</v>
      </c>
      <c r="C35" s="1211">
        <f>E35/D35*1000</f>
        <v>1631659.0995260661</v>
      </c>
      <c r="D35" s="1211">
        <f>SUM(D36,D44,D52,D55,D58,D59)</f>
        <v>42.2</v>
      </c>
      <c r="E35" s="1211">
        <f>SUM(E36,E44,E52,E55,E58,E59)</f>
        <v>68856.013999999996</v>
      </c>
      <c r="F35" s="1211"/>
      <c r="G35" s="1211">
        <f t="shared" si="0"/>
        <v>42.2</v>
      </c>
      <c r="H35" s="1211">
        <f>SUM(H36,H44,H52,H55,H58,H59)</f>
        <v>33651.993099915002</v>
      </c>
      <c r="I35" s="1211"/>
      <c r="J35" s="1211">
        <f>SUM(J36,J44,J52,J55,J58,J59)</f>
        <v>37.320000000000007</v>
      </c>
      <c r="K35" s="1211">
        <f>SUM(K36,K44,K52,K55,K58,K59)</f>
        <v>54622.336398100008</v>
      </c>
    </row>
    <row r="36" spans="1:11" ht="16.5" thickBot="1">
      <c r="A36" s="1236"/>
      <c r="B36" s="1213" t="s">
        <v>900</v>
      </c>
      <c r="C36" s="1214">
        <f>E36/D36*1000</f>
        <v>1587578.5555202032</v>
      </c>
      <c r="D36" s="1214">
        <f>SUM(D37:D43)</f>
        <v>31.430000000000003</v>
      </c>
      <c r="E36" s="1214">
        <f>SUM(E37:E43)</f>
        <v>49897.593999999997</v>
      </c>
      <c r="F36" s="1214"/>
      <c r="G36" s="1214">
        <f t="shared" si="0"/>
        <v>31.430000000000003</v>
      </c>
      <c r="H36" s="1214">
        <f>SUM(H37:H43)</f>
        <v>24466.096911789002</v>
      </c>
      <c r="I36" s="1214"/>
      <c r="J36" s="1214">
        <f>SUM(J37:J43)</f>
        <v>37.320000000000007</v>
      </c>
      <c r="K36" s="1214">
        <f>SUM(K37:K43)</f>
        <v>30480.898500000003</v>
      </c>
    </row>
    <row r="37" spans="1:11" ht="16.5" thickTop="1">
      <c r="A37" s="1215"/>
      <c r="B37" s="1237" t="s">
        <v>901</v>
      </c>
      <c r="C37" s="1217"/>
      <c r="D37" s="1217">
        <v>0</v>
      </c>
      <c r="E37" s="1217">
        <v>0</v>
      </c>
      <c r="F37" s="1218">
        <v>0</v>
      </c>
      <c r="G37" s="1218">
        <f t="shared" si="0"/>
        <v>0</v>
      </c>
      <c r="H37" s="1218">
        <f t="shared" ref="H37:H43" si="5">F37*G37/1000</f>
        <v>0</v>
      </c>
      <c r="I37" s="1219">
        <v>1496667.7</v>
      </c>
      <c r="J37" s="1219">
        <v>1.42</v>
      </c>
      <c r="K37" s="1219">
        <f t="shared" ref="K37:K43" si="6">I37*J37/1000</f>
        <v>2125.2681339999995</v>
      </c>
    </row>
    <row r="38" spans="1:11" ht="15.75">
      <c r="A38" s="1215"/>
      <c r="B38" s="1216" t="s">
        <v>902</v>
      </c>
      <c r="C38" s="1217">
        <f>E38/D38*1000</f>
        <v>1476097.4729241878</v>
      </c>
      <c r="D38" s="1217">
        <v>2.77</v>
      </c>
      <c r="E38" s="1217">
        <v>4088.79</v>
      </c>
      <c r="F38" s="1218">
        <f>176008.39*4.71</f>
        <v>828999.51690000005</v>
      </c>
      <c r="G38" s="1218">
        <f t="shared" si="0"/>
        <v>2.77</v>
      </c>
      <c r="H38" s="1218">
        <f t="shared" si="5"/>
        <v>2296.3286618130001</v>
      </c>
      <c r="I38" s="1219">
        <v>1496667.7</v>
      </c>
      <c r="J38" s="1219">
        <v>3.08</v>
      </c>
      <c r="K38" s="1219">
        <f t="shared" si="6"/>
        <v>4609.7365159999999</v>
      </c>
    </row>
    <row r="39" spans="1:11" ht="15.75">
      <c r="A39" s="1215"/>
      <c r="B39" s="1216" t="s">
        <v>903</v>
      </c>
      <c r="C39" s="1217">
        <f>E39/D39*1000</f>
        <v>1218480.4029304029</v>
      </c>
      <c r="D39" s="1217">
        <v>5.46</v>
      </c>
      <c r="E39" s="1217">
        <v>6652.9030000000002</v>
      </c>
      <c r="F39" s="1218">
        <f>151486.36*4.71</f>
        <v>713500.75559999992</v>
      </c>
      <c r="G39" s="1218">
        <f t="shared" si="0"/>
        <v>5.46</v>
      </c>
      <c r="H39" s="1218">
        <f t="shared" si="5"/>
        <v>3895.7141255759998</v>
      </c>
      <c r="I39" s="1219">
        <v>607081.15</v>
      </c>
      <c r="J39" s="1219">
        <v>6.12</v>
      </c>
      <c r="K39" s="1219">
        <f t="shared" si="6"/>
        <v>3715.3366380000002</v>
      </c>
    </row>
    <row r="40" spans="1:11" ht="15.75">
      <c r="A40" s="1215"/>
      <c r="B40" s="1216" t="s">
        <v>904</v>
      </c>
      <c r="C40" s="1217">
        <f>E40/D40*1000</f>
        <v>1559839.4680851062</v>
      </c>
      <c r="D40" s="1217">
        <v>9.4</v>
      </c>
      <c r="E40" s="1217">
        <v>14662.491</v>
      </c>
      <c r="F40" s="1218">
        <f>117457.66*4.71</f>
        <v>553225.57860000001</v>
      </c>
      <c r="G40" s="1218">
        <f t="shared" si="0"/>
        <v>9.4</v>
      </c>
      <c r="H40" s="1218">
        <f t="shared" si="5"/>
        <v>5200.32043884</v>
      </c>
      <c r="I40" s="1219">
        <v>607081.15</v>
      </c>
      <c r="J40" s="1219">
        <v>10.8</v>
      </c>
      <c r="K40" s="1219">
        <f t="shared" si="6"/>
        <v>6556.4764200000009</v>
      </c>
    </row>
    <row r="41" spans="1:11" ht="15.75">
      <c r="A41" s="1215"/>
      <c r="B41" s="1216" t="s">
        <v>905</v>
      </c>
      <c r="C41" s="1217">
        <f>E41/D41*1000</f>
        <v>1723315.5172413792</v>
      </c>
      <c r="D41" s="1217">
        <v>11.6</v>
      </c>
      <c r="E41" s="1217">
        <v>19990.46</v>
      </c>
      <c r="F41" s="1218">
        <f>212433.41*4.71</f>
        <v>1000561.3611</v>
      </c>
      <c r="G41" s="1218">
        <f t="shared" si="0"/>
        <v>11.6</v>
      </c>
      <c r="H41" s="1218">
        <f t="shared" si="5"/>
        <v>11606.511788759999</v>
      </c>
      <c r="I41" s="1219">
        <v>746283</v>
      </c>
      <c r="J41" s="1219">
        <v>9.6</v>
      </c>
      <c r="K41" s="1219">
        <f t="shared" si="6"/>
        <v>7164.3167999999996</v>
      </c>
    </row>
    <row r="42" spans="1:11" ht="15.75">
      <c r="A42" s="1215"/>
      <c r="B42" s="1221" t="s">
        <v>906</v>
      </c>
      <c r="C42" s="1225"/>
      <c r="D42" s="1225">
        <v>0</v>
      </c>
      <c r="E42" s="1225">
        <v>0</v>
      </c>
      <c r="F42" s="1226">
        <f>267271.45*4.71</f>
        <v>1258848.5294999999</v>
      </c>
      <c r="G42" s="1226">
        <f t="shared" si="0"/>
        <v>0</v>
      </c>
      <c r="H42" s="1226">
        <f t="shared" si="5"/>
        <v>0</v>
      </c>
      <c r="I42" s="1227">
        <v>746283</v>
      </c>
      <c r="J42" s="1227">
        <v>2.1</v>
      </c>
      <c r="K42" s="1227">
        <f t="shared" si="6"/>
        <v>1567.1943000000001</v>
      </c>
    </row>
    <row r="43" spans="1:11" ht="16.5" thickBot="1">
      <c r="A43" s="1215"/>
      <c r="B43" s="1221" t="s">
        <v>907</v>
      </c>
      <c r="C43" s="1217">
        <f>E43/D43*1000</f>
        <v>2046795.4545454544</v>
      </c>
      <c r="D43" s="1217">
        <v>2.2000000000000002</v>
      </c>
      <c r="E43" s="1217">
        <v>4502.95</v>
      </c>
      <c r="F43" s="1218">
        <f>141596.4*4.71</f>
        <v>666919.04399999999</v>
      </c>
      <c r="G43" s="1218">
        <f t="shared" si="0"/>
        <v>2.2000000000000002</v>
      </c>
      <c r="H43" s="1218">
        <f t="shared" si="5"/>
        <v>1467.2218968000002</v>
      </c>
      <c r="I43" s="1219">
        <v>1129183.26</v>
      </c>
      <c r="J43" s="1219">
        <v>4.2</v>
      </c>
      <c r="K43" s="1219">
        <f t="shared" si="6"/>
        <v>4742.569692</v>
      </c>
    </row>
    <row r="44" spans="1:11" ht="16.5" thickBot="1">
      <c r="A44" s="1215"/>
      <c r="B44" s="1213" t="s">
        <v>908</v>
      </c>
      <c r="C44" s="1214">
        <f>E44/D44*1000</f>
        <v>1760298.9786443824</v>
      </c>
      <c r="D44" s="1214">
        <f>SUM(D45:D51)</f>
        <v>10.77</v>
      </c>
      <c r="E44" s="1214">
        <f>SUM(E45:E51)</f>
        <v>18958.419999999998</v>
      </c>
      <c r="F44" s="1214"/>
      <c r="G44" s="1214">
        <f t="shared" si="0"/>
        <v>10.77</v>
      </c>
      <c r="H44" s="1214">
        <f>SUM(H45:H51)</f>
        <v>9185.896188126002</v>
      </c>
      <c r="I44" s="1214"/>
      <c r="J44" s="1214"/>
      <c r="K44" s="1214">
        <f>SUM(K45:K51)</f>
        <v>20606.745898099998</v>
      </c>
    </row>
    <row r="45" spans="1:11" ht="16.5" thickTop="1">
      <c r="A45" s="1215"/>
      <c r="B45" s="1237" t="s">
        <v>909</v>
      </c>
      <c r="C45" s="1217">
        <f>E45/D45*1000</f>
        <v>1486466.666666667</v>
      </c>
      <c r="D45" s="1217">
        <v>0.09</v>
      </c>
      <c r="E45" s="1217">
        <v>133.78200000000001</v>
      </c>
      <c r="F45" s="1218">
        <f>199438.08*4.71</f>
        <v>939353.35679999995</v>
      </c>
      <c r="G45" s="1218">
        <f t="shared" si="0"/>
        <v>0.09</v>
      </c>
      <c r="H45" s="1218">
        <f t="shared" ref="H45:H51" si="7">F45*G45/1000</f>
        <v>84.541802111999985</v>
      </c>
      <c r="I45" s="1219">
        <v>1624055.45</v>
      </c>
      <c r="J45" s="1219">
        <v>0.09</v>
      </c>
      <c r="K45" s="1219">
        <f t="shared" ref="K45:K51" si="8">I45*J45/1000</f>
        <v>146.16499049999999</v>
      </c>
    </row>
    <row r="46" spans="1:11" ht="15.75">
      <c r="A46" s="1215"/>
      <c r="B46" s="1216" t="s">
        <v>910</v>
      </c>
      <c r="C46" s="1217">
        <f>E46/D46*1000</f>
        <v>1785268.6460807601</v>
      </c>
      <c r="D46" s="1217">
        <v>8.42</v>
      </c>
      <c r="E46" s="1217">
        <v>15031.962</v>
      </c>
      <c r="F46" s="1218">
        <f>174166.82*4.71</f>
        <v>820325.72220000008</v>
      </c>
      <c r="G46" s="1218">
        <f t="shared" si="0"/>
        <v>8.42</v>
      </c>
      <c r="H46" s="1218">
        <f t="shared" si="7"/>
        <v>6907.1425809240009</v>
      </c>
      <c r="I46" s="1219">
        <v>1549620.15</v>
      </c>
      <c r="J46" s="1219">
        <v>9.84</v>
      </c>
      <c r="K46" s="1219">
        <f t="shared" si="8"/>
        <v>15248.262275999999</v>
      </c>
    </row>
    <row r="47" spans="1:11" ht="15.75">
      <c r="A47" s="1215"/>
      <c r="B47" s="1216" t="s">
        <v>911</v>
      </c>
      <c r="C47" s="1217"/>
      <c r="D47" s="1217">
        <v>0</v>
      </c>
      <c r="E47" s="1217">
        <v>0</v>
      </c>
      <c r="F47" s="1218">
        <f>157393*4.71</f>
        <v>741321.03</v>
      </c>
      <c r="G47" s="1218">
        <f t="shared" si="0"/>
        <v>0</v>
      </c>
      <c r="H47" s="1218">
        <f t="shared" si="7"/>
        <v>0</v>
      </c>
      <c r="I47" s="1219">
        <v>1549620.15</v>
      </c>
      <c r="J47" s="1219">
        <v>0</v>
      </c>
      <c r="K47" s="1219">
        <f t="shared" si="8"/>
        <v>0</v>
      </c>
    </row>
    <row r="48" spans="1:11" ht="15.75">
      <c r="A48" s="1215"/>
      <c r="B48" s="1216" t="s">
        <v>912</v>
      </c>
      <c r="C48" s="1217"/>
      <c r="D48" s="1217">
        <v>0</v>
      </c>
      <c r="E48" s="1217">
        <v>0</v>
      </c>
      <c r="F48" s="1218">
        <f>196536.22*4.71</f>
        <v>925685.59620000003</v>
      </c>
      <c r="G48" s="1218">
        <f t="shared" si="0"/>
        <v>0</v>
      </c>
      <c r="H48" s="1218">
        <f t="shared" si="7"/>
        <v>0</v>
      </c>
      <c r="I48" s="1219">
        <v>1549620.15</v>
      </c>
      <c r="J48" s="1219">
        <v>0</v>
      </c>
      <c r="K48" s="1219">
        <f t="shared" si="8"/>
        <v>0</v>
      </c>
    </row>
    <row r="49" spans="1:11" ht="15.75">
      <c r="A49" s="1215"/>
      <c r="B49" s="1216" t="s">
        <v>913</v>
      </c>
      <c r="C49" s="1217">
        <f>E49/D49*1000</f>
        <v>1637590.9090909089</v>
      </c>
      <c r="D49" s="1217">
        <v>1.87</v>
      </c>
      <c r="E49" s="1217">
        <v>3062.2950000000001</v>
      </c>
      <c r="F49" s="1218">
        <f>205620.38*4.71</f>
        <v>968471.98979999998</v>
      </c>
      <c r="G49" s="1218">
        <f t="shared" si="0"/>
        <v>1.87</v>
      </c>
      <c r="H49" s="1218">
        <f t="shared" si="7"/>
        <v>1811.0426209260002</v>
      </c>
      <c r="I49" s="1219">
        <v>1603913.09</v>
      </c>
      <c r="J49" s="1219">
        <v>2.52</v>
      </c>
      <c r="K49" s="1219">
        <f t="shared" si="8"/>
        <v>4041.8609867999999</v>
      </c>
    </row>
    <row r="50" spans="1:11" ht="15.75">
      <c r="A50" s="1215"/>
      <c r="B50" s="1221" t="s">
        <v>914</v>
      </c>
      <c r="C50" s="1225">
        <f>E50/D50*1000</f>
        <v>1872771.7948717948</v>
      </c>
      <c r="D50" s="1225">
        <v>0.39</v>
      </c>
      <c r="E50" s="1225">
        <v>730.38099999999997</v>
      </c>
      <c r="F50" s="1226">
        <f>208595.56*4.71</f>
        <v>982485.08759999997</v>
      </c>
      <c r="G50" s="1226">
        <f t="shared" si="0"/>
        <v>0.39</v>
      </c>
      <c r="H50" s="1226">
        <f t="shared" si="7"/>
        <v>383.169184164</v>
      </c>
      <c r="I50" s="1227">
        <v>1828840.07</v>
      </c>
      <c r="J50" s="1227">
        <v>0.64</v>
      </c>
      <c r="K50" s="1227">
        <f t="shared" si="8"/>
        <v>1170.4576448</v>
      </c>
    </row>
    <row r="51" spans="1:11" ht="16.5" thickBot="1">
      <c r="A51" s="1215"/>
      <c r="B51" s="1221" t="s">
        <v>915</v>
      </c>
      <c r="C51" s="1217"/>
      <c r="D51" s="1217">
        <v>0</v>
      </c>
      <c r="E51" s="1217">
        <v>0</v>
      </c>
      <c r="F51" s="1218">
        <f>464390.24*4.71</f>
        <v>2187278.0304</v>
      </c>
      <c r="G51" s="1218">
        <f t="shared" si="0"/>
        <v>0</v>
      </c>
      <c r="H51" s="1218">
        <f t="shared" si="7"/>
        <v>0</v>
      </c>
      <c r="I51" s="1219">
        <v>1828840.07</v>
      </c>
      <c r="J51" s="1219">
        <v>0</v>
      </c>
      <c r="K51" s="1219">
        <f t="shared" si="8"/>
        <v>0</v>
      </c>
    </row>
    <row r="52" spans="1:11" ht="16.5" thickBot="1">
      <c r="A52" s="1215"/>
      <c r="B52" s="1213" t="s">
        <v>916</v>
      </c>
      <c r="C52" s="1214"/>
      <c r="D52" s="1214">
        <f>SUM(D53:D54)</f>
        <v>0</v>
      </c>
      <c r="E52" s="1214">
        <f>SUM(E53:E54)</f>
        <v>0</v>
      </c>
      <c r="F52" s="1214"/>
      <c r="G52" s="1214">
        <f t="shared" si="0"/>
        <v>0</v>
      </c>
      <c r="H52" s="1214">
        <f>SUM(H53:H54)</f>
        <v>0</v>
      </c>
      <c r="I52" s="1214"/>
      <c r="J52" s="1214">
        <v>0</v>
      </c>
      <c r="K52" s="1214">
        <f>SUM(K53:K54)</f>
        <v>3534.692</v>
      </c>
    </row>
    <row r="53" spans="1:11" ht="16.5" thickTop="1">
      <c r="A53" s="1215"/>
      <c r="B53" s="1237" t="s">
        <v>917</v>
      </c>
      <c r="C53" s="1217"/>
      <c r="D53" s="1217">
        <v>0</v>
      </c>
      <c r="E53" s="1217">
        <v>0</v>
      </c>
      <c r="F53" s="1218">
        <f>966459*4.71</f>
        <v>4552021.8899999997</v>
      </c>
      <c r="G53" s="1218">
        <f t="shared" si="0"/>
        <v>0</v>
      </c>
      <c r="H53" s="1218">
        <f>F53*G53/1000</f>
        <v>0</v>
      </c>
      <c r="I53" s="1219">
        <v>8836730</v>
      </c>
      <c r="J53" s="1219">
        <v>0.4</v>
      </c>
      <c r="K53" s="1219">
        <f>I53*J53/1000</f>
        <v>3534.692</v>
      </c>
    </row>
    <row r="54" spans="1:11" ht="16.5" thickBot="1">
      <c r="A54" s="1215"/>
      <c r="B54" s="1216" t="s">
        <v>918</v>
      </c>
      <c r="C54" s="1217"/>
      <c r="D54" s="1217">
        <v>0</v>
      </c>
      <c r="E54" s="1217">
        <v>0</v>
      </c>
      <c r="F54" s="1218">
        <v>0</v>
      </c>
      <c r="G54" s="1218">
        <f t="shared" si="0"/>
        <v>0</v>
      </c>
      <c r="H54" s="1218">
        <f>F54*G54/1000</f>
        <v>0</v>
      </c>
      <c r="I54" s="1219">
        <v>8836730</v>
      </c>
      <c r="J54" s="1219">
        <v>0</v>
      </c>
      <c r="K54" s="1219">
        <f>I54*J54/1000</f>
        <v>0</v>
      </c>
    </row>
    <row r="55" spans="1:11" ht="16.5" thickBot="1">
      <c r="A55" s="1215"/>
      <c r="B55" s="1213" t="s">
        <v>919</v>
      </c>
      <c r="C55" s="1214"/>
      <c r="D55" s="1214">
        <f>SUM(D56:D57)</f>
        <v>0</v>
      </c>
      <c r="E55" s="1214">
        <f>SUM(E56:E57)</f>
        <v>0</v>
      </c>
      <c r="F55" s="1214"/>
      <c r="G55" s="1214">
        <f t="shared" si="0"/>
        <v>0</v>
      </c>
      <c r="H55" s="1214">
        <f>SUM(H56:H57)</f>
        <v>0</v>
      </c>
      <c r="I55" s="1214"/>
      <c r="J55" s="1214">
        <v>0</v>
      </c>
      <c r="K55" s="1214">
        <f>SUM(K56:K57)</f>
        <v>0</v>
      </c>
    </row>
    <row r="56" spans="1:11" ht="16.5" thickTop="1">
      <c r="A56" s="1215"/>
      <c r="B56" s="1237" t="s">
        <v>920</v>
      </c>
      <c r="C56" s="1217"/>
      <c r="D56" s="1217">
        <v>0</v>
      </c>
      <c r="E56" s="1217">
        <v>0</v>
      </c>
      <c r="F56" s="1218">
        <v>0</v>
      </c>
      <c r="G56" s="1218">
        <f t="shared" si="0"/>
        <v>0</v>
      </c>
      <c r="H56" s="1218">
        <f>F56*G56/1000</f>
        <v>0</v>
      </c>
      <c r="I56" s="1219">
        <v>0</v>
      </c>
      <c r="J56" s="1219">
        <v>0</v>
      </c>
      <c r="K56" s="1219">
        <f>I56*J56/1000</f>
        <v>0</v>
      </c>
    </row>
    <row r="57" spans="1:11" ht="16.5" thickBot="1">
      <c r="A57" s="1215"/>
      <c r="B57" s="1216" t="s">
        <v>921</v>
      </c>
      <c r="C57" s="1217"/>
      <c r="D57" s="1217">
        <v>0</v>
      </c>
      <c r="E57" s="1217">
        <v>0</v>
      </c>
      <c r="F57" s="1218">
        <f>1722734*4.71</f>
        <v>8114077.1399999997</v>
      </c>
      <c r="G57" s="1218">
        <f t="shared" si="0"/>
        <v>0</v>
      </c>
      <c r="H57" s="1218">
        <f>F57*G57/1000</f>
        <v>0</v>
      </c>
      <c r="I57" s="1219">
        <v>0</v>
      </c>
      <c r="J57" s="1219">
        <v>0</v>
      </c>
      <c r="K57" s="1219">
        <f>I57*J57/1000</f>
        <v>0</v>
      </c>
    </row>
    <row r="58" spans="1:11" ht="16.5" thickBot="1">
      <c r="A58" s="1215"/>
      <c r="B58" s="1238" t="s">
        <v>922</v>
      </c>
      <c r="C58" s="1239"/>
      <c r="D58" s="1239">
        <v>0</v>
      </c>
      <c r="E58" s="1239">
        <v>0</v>
      </c>
      <c r="F58" s="1239">
        <f>3530.48*7.61</f>
        <v>26866.952800000003</v>
      </c>
      <c r="G58" s="1239">
        <f t="shared" si="0"/>
        <v>0</v>
      </c>
      <c r="H58" s="1239">
        <f>F58*G58/1000</f>
        <v>0</v>
      </c>
      <c r="I58" s="1239"/>
      <c r="J58" s="1239">
        <v>0</v>
      </c>
      <c r="K58" s="1239">
        <f>I58*J58/1000</f>
        <v>0</v>
      </c>
    </row>
    <row r="59" spans="1:11" ht="16.5" thickBot="1">
      <c r="A59" s="1232"/>
      <c r="B59" s="1238" t="s">
        <v>923</v>
      </c>
      <c r="C59" s="1239"/>
      <c r="D59" s="1239">
        <v>0</v>
      </c>
      <c r="E59" s="1239">
        <v>0</v>
      </c>
      <c r="F59" s="1239">
        <v>0</v>
      </c>
      <c r="G59" s="1239">
        <f t="shared" si="0"/>
        <v>0</v>
      </c>
      <c r="H59" s="1239">
        <f>F59*G59/1000</f>
        <v>0</v>
      </c>
      <c r="I59" s="1239"/>
      <c r="J59" s="1239">
        <v>0</v>
      </c>
      <c r="K59" s="1239">
        <f>I59*J59/1000</f>
        <v>0</v>
      </c>
    </row>
    <row r="60" spans="1:11" ht="57.75" customHeight="1" thickBot="1">
      <c r="A60" s="1235" t="s">
        <v>160</v>
      </c>
      <c r="B60" s="1210" t="s">
        <v>924</v>
      </c>
      <c r="C60" s="1211">
        <f t="shared" ref="C60:C70" si="9">E60/D60*1000</f>
        <v>9226.3882618510161</v>
      </c>
      <c r="D60" s="1211">
        <f>SUM(D61:D65)</f>
        <v>443</v>
      </c>
      <c r="E60" s="1211">
        <f>SUM(E61:E65)</f>
        <v>4087.29</v>
      </c>
      <c r="F60" s="1211"/>
      <c r="G60" s="1211">
        <f t="shared" si="0"/>
        <v>443</v>
      </c>
      <c r="H60" s="1211">
        <f>SUM(H61:H65)</f>
        <v>3472.6038754000006</v>
      </c>
      <c r="I60" s="1211"/>
      <c r="J60" s="1211">
        <f>SUM(J61:J65)</f>
        <v>454</v>
      </c>
      <c r="K60" s="1211">
        <f>SUM(K61:K65)</f>
        <v>6040.36618</v>
      </c>
    </row>
    <row r="61" spans="1:11" ht="15.75">
      <c r="A61" s="1236"/>
      <c r="B61" s="1240" t="s">
        <v>925</v>
      </c>
      <c r="C61" s="1217">
        <f t="shared" si="9"/>
        <v>17216.025974025975</v>
      </c>
      <c r="D61" s="1217">
        <v>77</v>
      </c>
      <c r="E61" s="1217">
        <v>1325.634</v>
      </c>
      <c r="F61" s="1218">
        <f>2391.87*7.61</f>
        <v>18202.130700000002</v>
      </c>
      <c r="G61" s="1218">
        <f t="shared" si="0"/>
        <v>77</v>
      </c>
      <c r="H61" s="1218">
        <f>F61*G61/1000</f>
        <v>1401.5640639000003</v>
      </c>
      <c r="I61" s="1219">
        <v>19618.509999999998</v>
      </c>
      <c r="J61" s="1219">
        <v>82</v>
      </c>
      <c r="K61" s="1219">
        <f>I61*J61/1000</f>
        <v>1608.7178199999998</v>
      </c>
    </row>
    <row r="62" spans="1:11" ht="15.75">
      <c r="A62" s="1215"/>
      <c r="B62" s="1221" t="s">
        <v>926</v>
      </c>
      <c r="C62" s="1217">
        <f t="shared" si="9"/>
        <v>14765.95</v>
      </c>
      <c r="D62" s="1217">
        <v>40</v>
      </c>
      <c r="E62" s="1217">
        <v>590.63800000000003</v>
      </c>
      <c r="F62" s="1218">
        <f>1392.11*7.61</f>
        <v>10593.9571</v>
      </c>
      <c r="G62" s="1218">
        <f t="shared" si="0"/>
        <v>40</v>
      </c>
      <c r="H62" s="1218">
        <f>F62*G62/1000</f>
        <v>423.758284</v>
      </c>
      <c r="I62" s="1219">
        <v>14769.33</v>
      </c>
      <c r="J62" s="1219">
        <v>84</v>
      </c>
      <c r="K62" s="1219">
        <f>I62*J62/1000</f>
        <v>1240.62372</v>
      </c>
    </row>
    <row r="63" spans="1:11" ht="15.75">
      <c r="A63" s="1215"/>
      <c r="B63" s="1221" t="s">
        <v>927</v>
      </c>
      <c r="C63" s="1217">
        <f t="shared" si="9"/>
        <v>9506.387096774195</v>
      </c>
      <c r="D63" s="1217">
        <v>93</v>
      </c>
      <c r="E63" s="1217">
        <v>884.09400000000005</v>
      </c>
      <c r="F63" s="1218">
        <f>1019.3*7.61</f>
        <v>7756.8729999999996</v>
      </c>
      <c r="G63" s="1218">
        <f t="shared" si="0"/>
        <v>93</v>
      </c>
      <c r="H63" s="1218">
        <f>F63*G63/1000</f>
        <v>721.38918899999999</v>
      </c>
      <c r="I63" s="1219">
        <v>14769.33</v>
      </c>
      <c r="J63" s="1219">
        <v>114</v>
      </c>
      <c r="K63" s="1219">
        <f>I63*J63/1000</f>
        <v>1683.7036199999998</v>
      </c>
    </row>
    <row r="64" spans="1:11" ht="15.75">
      <c r="A64" s="1215"/>
      <c r="B64" s="1216" t="s">
        <v>928</v>
      </c>
      <c r="C64" s="1217">
        <f t="shared" si="9"/>
        <v>9482.6346153846152</v>
      </c>
      <c r="D64" s="1217">
        <v>52</v>
      </c>
      <c r="E64" s="1217">
        <v>493.09699999999998</v>
      </c>
      <c r="F64" s="1218">
        <f>846.76*7.61</f>
        <v>6443.8436000000002</v>
      </c>
      <c r="G64" s="1218">
        <f t="shared" si="0"/>
        <v>52</v>
      </c>
      <c r="H64" s="1218">
        <f>F64*G64/1000</f>
        <v>335.07986719999997</v>
      </c>
      <c r="I64" s="1219">
        <v>14769.33</v>
      </c>
      <c r="J64" s="1219">
        <v>78</v>
      </c>
      <c r="K64" s="1219">
        <f>I64*J64/1000</f>
        <v>1152.00774</v>
      </c>
    </row>
    <row r="65" spans="1:13" ht="16.5" thickBot="1">
      <c r="A65" s="1232"/>
      <c r="B65" s="1240" t="s">
        <v>929</v>
      </c>
      <c r="C65" s="1241">
        <f t="shared" si="9"/>
        <v>4385.7845303867398</v>
      </c>
      <c r="D65" s="1241">
        <v>181</v>
      </c>
      <c r="E65" s="1241">
        <v>793.827</v>
      </c>
      <c r="F65" s="1242">
        <f>428.93*7.61</f>
        <v>3264.1573000000003</v>
      </c>
      <c r="G65" s="1242">
        <f t="shared" si="0"/>
        <v>181</v>
      </c>
      <c r="H65" s="1242">
        <f>F65*G65/1000</f>
        <v>590.81247130000008</v>
      </c>
      <c r="I65" s="1243">
        <v>3701.18</v>
      </c>
      <c r="J65" s="1243">
        <v>96</v>
      </c>
      <c r="K65" s="1243">
        <f>I65*J65/1000</f>
        <v>355.31327999999996</v>
      </c>
    </row>
    <row r="66" spans="1:13" ht="42" customHeight="1" thickBot="1">
      <c r="A66" s="1235" t="s">
        <v>160</v>
      </c>
      <c r="B66" s="1210" t="s">
        <v>930</v>
      </c>
      <c r="C66" s="1211">
        <f t="shared" si="9"/>
        <v>3923.0636313768509</v>
      </c>
      <c r="D66" s="1211">
        <f>SUM(D67:D79)</f>
        <v>1823</v>
      </c>
      <c r="E66" s="1211">
        <f>SUM(E67:E79)</f>
        <v>7151.744999999999</v>
      </c>
      <c r="F66" s="1211"/>
      <c r="G66" s="1211">
        <f t="shared" si="0"/>
        <v>1823</v>
      </c>
      <c r="H66" s="1211">
        <f>SUM(H67:H79)</f>
        <v>7472.2102960000011</v>
      </c>
      <c r="I66" s="1211"/>
      <c r="J66" s="1211">
        <f>SUM(J67:J79)</f>
        <v>3373</v>
      </c>
      <c r="K66" s="1211">
        <f>SUM(K67:K79)</f>
        <v>34632.680419999997</v>
      </c>
    </row>
    <row r="67" spans="1:13" ht="15.75">
      <c r="A67" s="1236"/>
      <c r="B67" s="1240" t="s">
        <v>928</v>
      </c>
      <c r="C67" s="1217">
        <f t="shared" si="9"/>
        <v>8135.7333333333327</v>
      </c>
      <c r="D67" s="1217">
        <v>105</v>
      </c>
      <c r="E67" s="1217">
        <v>854.25199999999995</v>
      </c>
      <c r="F67" s="1218">
        <f>989.62*7.61</f>
        <v>7531.0082000000002</v>
      </c>
      <c r="G67" s="1218">
        <f t="shared" si="0"/>
        <v>105</v>
      </c>
      <c r="H67" s="1218">
        <f t="shared" ref="H67:H79" si="10">F67*G67/1000</f>
        <v>790.75586099999998</v>
      </c>
      <c r="I67" s="1219">
        <v>14261.06</v>
      </c>
      <c r="J67" s="1219">
        <v>148</v>
      </c>
      <c r="K67" s="1219">
        <f t="shared" ref="K67:K79" si="11">I67*J67/1000</f>
        <v>2110.63688</v>
      </c>
    </row>
    <row r="68" spans="1:13" ht="15.75">
      <c r="A68" s="1215"/>
      <c r="B68" s="1221" t="s">
        <v>931</v>
      </c>
      <c r="C68" s="1217">
        <f t="shared" si="9"/>
        <v>4708.9579646017701</v>
      </c>
      <c r="D68" s="1217">
        <v>452</v>
      </c>
      <c r="E68" s="1217">
        <v>2128.4490000000001</v>
      </c>
      <c r="F68" s="1218">
        <f>676.84*7.61</f>
        <v>5150.7524000000003</v>
      </c>
      <c r="G68" s="1218">
        <f t="shared" si="0"/>
        <v>452</v>
      </c>
      <c r="H68" s="1218">
        <f t="shared" si="10"/>
        <v>2328.1400848000003</v>
      </c>
      <c r="I68" s="1219">
        <v>21624.57</v>
      </c>
      <c r="J68" s="1219">
        <v>528</v>
      </c>
      <c r="K68" s="1219">
        <f t="shared" si="11"/>
        <v>11417.772959999998</v>
      </c>
    </row>
    <row r="69" spans="1:13" ht="15.75">
      <c r="A69" s="1215"/>
      <c r="B69" s="1221" t="s">
        <v>932</v>
      </c>
      <c r="C69" s="1217">
        <f t="shared" si="9"/>
        <v>3733.4146341463415</v>
      </c>
      <c r="D69" s="1217">
        <v>410</v>
      </c>
      <c r="E69" s="1217">
        <v>1530.7</v>
      </c>
      <c r="F69" s="1218">
        <f>561.63*7.61</f>
        <v>4274.0043000000005</v>
      </c>
      <c r="G69" s="1218">
        <f t="shared" si="0"/>
        <v>410</v>
      </c>
      <c r="H69" s="1218">
        <f t="shared" si="10"/>
        <v>1752.3417630000004</v>
      </c>
      <c r="I69" s="1219">
        <v>21624.57</v>
      </c>
      <c r="J69" s="1219">
        <v>562</v>
      </c>
      <c r="K69" s="1219">
        <f t="shared" si="11"/>
        <v>12153.00834</v>
      </c>
    </row>
    <row r="70" spans="1:13" ht="15.75">
      <c r="A70" s="1215"/>
      <c r="B70" s="1216" t="s">
        <v>933</v>
      </c>
      <c r="C70" s="1217">
        <f t="shared" si="9"/>
        <v>2550.9818181818182</v>
      </c>
      <c r="D70" s="1217">
        <v>825</v>
      </c>
      <c r="E70" s="1217">
        <v>2104.56</v>
      </c>
      <c r="F70" s="1218">
        <f>361.06*7.61</f>
        <v>2747.6666</v>
      </c>
      <c r="G70" s="1218">
        <f t="shared" si="0"/>
        <v>825</v>
      </c>
      <c r="H70" s="1218">
        <f t="shared" si="10"/>
        <v>2266.8249449999998</v>
      </c>
      <c r="I70" s="1219">
        <v>4320.97</v>
      </c>
      <c r="J70" s="1219">
        <v>1054</v>
      </c>
      <c r="K70" s="1219">
        <f t="shared" si="11"/>
        <v>4554.3023800000001</v>
      </c>
    </row>
    <row r="71" spans="1:13" ht="15.75">
      <c r="A71" s="1215"/>
      <c r="B71" s="1221" t="s">
        <v>934</v>
      </c>
      <c r="C71" s="1217"/>
      <c r="D71" s="1217">
        <v>0</v>
      </c>
      <c r="E71" s="1217">
        <v>0</v>
      </c>
      <c r="F71" s="1218">
        <f>291.77*7.61</f>
        <v>2220.3696999999997</v>
      </c>
      <c r="G71" s="1218">
        <f t="shared" si="0"/>
        <v>0</v>
      </c>
      <c r="H71" s="1218">
        <f t="shared" si="10"/>
        <v>0</v>
      </c>
      <c r="I71" s="1219">
        <v>3766.54</v>
      </c>
      <c r="J71" s="1219">
        <v>1050</v>
      </c>
      <c r="K71" s="1219">
        <f t="shared" si="11"/>
        <v>3954.8670000000002</v>
      </c>
      <c r="M71" s="215">
        <v>511.95857977528084</v>
      </c>
    </row>
    <row r="72" spans="1:13" ht="15.75">
      <c r="A72" s="1215"/>
      <c r="B72" s="1240" t="s">
        <v>935</v>
      </c>
      <c r="C72" s="1217"/>
      <c r="D72" s="1217">
        <v>0</v>
      </c>
      <c r="E72" s="1217">
        <v>0</v>
      </c>
      <c r="F72" s="1218">
        <f>244.24*7.61</f>
        <v>1858.6664000000001</v>
      </c>
      <c r="G72" s="1218">
        <f t="shared" si="0"/>
        <v>0</v>
      </c>
      <c r="H72" s="1218">
        <f t="shared" si="10"/>
        <v>0</v>
      </c>
      <c r="I72" s="1219">
        <v>0</v>
      </c>
      <c r="J72" s="1219">
        <v>0</v>
      </c>
      <c r="K72" s="1219">
        <f t="shared" si="11"/>
        <v>0</v>
      </c>
    </row>
    <row r="73" spans="1:13" ht="15.75">
      <c r="A73" s="1215"/>
      <c r="B73" s="1221" t="s">
        <v>936</v>
      </c>
      <c r="C73" s="1217"/>
      <c r="D73" s="1217">
        <v>0</v>
      </c>
      <c r="E73" s="1217">
        <v>0</v>
      </c>
      <c r="F73" s="1218">
        <f>738.59*7.61</f>
        <v>5620.6699000000008</v>
      </c>
      <c r="G73" s="1218">
        <f t="shared" si="0"/>
        <v>0</v>
      </c>
      <c r="H73" s="1218">
        <f t="shared" si="10"/>
        <v>0</v>
      </c>
      <c r="I73" s="1219">
        <v>21168.86</v>
      </c>
      <c r="J73" s="1219">
        <v>0</v>
      </c>
      <c r="K73" s="1219">
        <f t="shared" si="11"/>
        <v>0</v>
      </c>
    </row>
    <row r="74" spans="1:13" ht="15.75">
      <c r="A74" s="1215"/>
      <c r="B74" s="1221" t="s">
        <v>937</v>
      </c>
      <c r="C74" s="1217"/>
      <c r="D74" s="1217">
        <v>0</v>
      </c>
      <c r="E74" s="1217">
        <v>0</v>
      </c>
      <c r="F74" s="1218">
        <f>561.26*7.61</f>
        <v>4271.1886000000004</v>
      </c>
      <c r="G74" s="1218">
        <f t="shared" si="0"/>
        <v>0</v>
      </c>
      <c r="H74" s="1218">
        <f t="shared" si="10"/>
        <v>0</v>
      </c>
      <c r="I74" s="1219">
        <v>21168.86</v>
      </c>
      <c r="J74" s="1219">
        <v>0</v>
      </c>
      <c r="K74" s="1219">
        <f t="shared" si="11"/>
        <v>0</v>
      </c>
    </row>
    <row r="75" spans="1:13" ht="15.75">
      <c r="A75" s="1215"/>
      <c r="B75" s="1216" t="s">
        <v>938</v>
      </c>
      <c r="C75" s="1217"/>
      <c r="D75" s="1217">
        <v>0</v>
      </c>
      <c r="E75" s="1217">
        <v>0</v>
      </c>
      <c r="F75" s="1218">
        <f>398.11*7.61</f>
        <v>3029.6171000000004</v>
      </c>
      <c r="G75" s="1218">
        <f t="shared" si="0"/>
        <v>0</v>
      </c>
      <c r="H75" s="1218">
        <f t="shared" si="10"/>
        <v>0</v>
      </c>
      <c r="I75" s="1219">
        <v>0</v>
      </c>
      <c r="J75" s="1219">
        <v>0</v>
      </c>
      <c r="K75" s="1219">
        <f t="shared" si="11"/>
        <v>0</v>
      </c>
    </row>
    <row r="76" spans="1:13" ht="15.75">
      <c r="A76" s="1215"/>
      <c r="B76" s="1221" t="s">
        <v>939</v>
      </c>
      <c r="C76" s="1217"/>
      <c r="D76" s="1217">
        <v>0</v>
      </c>
      <c r="E76" s="1217">
        <v>0</v>
      </c>
      <c r="F76" s="1218">
        <f>315.66*7.61</f>
        <v>2402.1726000000003</v>
      </c>
      <c r="G76" s="1218">
        <f t="shared" si="0"/>
        <v>0</v>
      </c>
      <c r="H76" s="1218">
        <f t="shared" si="10"/>
        <v>0</v>
      </c>
      <c r="I76" s="1219">
        <v>8704.08</v>
      </c>
      <c r="J76" s="1219">
        <v>0</v>
      </c>
      <c r="K76" s="1219">
        <f t="shared" si="11"/>
        <v>0</v>
      </c>
    </row>
    <row r="77" spans="1:13" ht="15.75">
      <c r="A77" s="1215"/>
      <c r="B77" s="1216" t="s">
        <v>940</v>
      </c>
      <c r="C77" s="1217"/>
      <c r="D77" s="1217">
        <v>0</v>
      </c>
      <c r="E77" s="1217">
        <v>0</v>
      </c>
      <c r="F77" s="1218">
        <f>306.86*7.61</f>
        <v>2335.2046</v>
      </c>
      <c r="G77" s="1218">
        <f t="shared" si="0"/>
        <v>0</v>
      </c>
      <c r="H77" s="1218">
        <f t="shared" si="10"/>
        <v>0</v>
      </c>
      <c r="I77" s="1219">
        <v>15058.5</v>
      </c>
      <c r="J77" s="1219">
        <v>0</v>
      </c>
      <c r="K77" s="1219">
        <f t="shared" si="11"/>
        <v>0</v>
      </c>
    </row>
    <row r="78" spans="1:13" ht="15.75">
      <c r="A78" s="1215"/>
      <c r="B78" s="1216" t="s">
        <v>927</v>
      </c>
      <c r="C78" s="1217">
        <f>E78/D78*1000</f>
        <v>17218.83870967742</v>
      </c>
      <c r="D78" s="1217">
        <v>31</v>
      </c>
      <c r="E78" s="1217">
        <v>533.78399999999999</v>
      </c>
      <c r="F78" s="1218">
        <f>1416.42*7.61</f>
        <v>10778.956200000001</v>
      </c>
      <c r="G78" s="1218">
        <f t="shared" si="0"/>
        <v>31</v>
      </c>
      <c r="H78" s="1218">
        <f t="shared" si="10"/>
        <v>334.14764220000001</v>
      </c>
      <c r="I78" s="1219">
        <v>14261.06</v>
      </c>
      <c r="J78" s="1219">
        <v>31</v>
      </c>
      <c r="K78" s="1219">
        <f t="shared" si="11"/>
        <v>442.09285999999997</v>
      </c>
    </row>
    <row r="79" spans="1:13" ht="16.5" thickBot="1">
      <c r="A79" s="1232"/>
      <c r="B79" s="1221" t="s">
        <v>941</v>
      </c>
      <c r="C79" s="1241"/>
      <c r="D79" s="1241">
        <v>0</v>
      </c>
      <c r="E79" s="1241">
        <v>0</v>
      </c>
      <c r="F79" s="1242">
        <f>264.68*7.61</f>
        <v>2014.2148000000002</v>
      </c>
      <c r="G79" s="1242">
        <f t="shared" si="0"/>
        <v>0</v>
      </c>
      <c r="H79" s="1242">
        <f t="shared" si="10"/>
        <v>0</v>
      </c>
      <c r="I79" s="1243">
        <v>15058.5</v>
      </c>
      <c r="J79" s="1243">
        <v>0</v>
      </c>
      <c r="K79" s="1243">
        <f t="shared" si="11"/>
        <v>0</v>
      </c>
    </row>
    <row r="80" spans="1:13" ht="57.75" customHeight="1" thickBot="1">
      <c r="A80" s="1235" t="s">
        <v>160</v>
      </c>
      <c r="B80" s="1210" t="s">
        <v>942</v>
      </c>
      <c r="C80" s="1211"/>
      <c r="D80" s="1211">
        <f>SUM(D81:D85)</f>
        <v>0</v>
      </c>
      <c r="E80" s="1211">
        <f>SUM(E81:E85)</f>
        <v>0</v>
      </c>
      <c r="F80" s="1211"/>
      <c r="G80" s="1211">
        <f t="shared" si="0"/>
        <v>0</v>
      </c>
      <c r="H80" s="1211">
        <f>SUM(H81:H85)</f>
        <v>0</v>
      </c>
      <c r="I80" s="1211"/>
      <c r="J80" s="1211">
        <f>SUM(J81:J85)</f>
        <v>0</v>
      </c>
      <c r="K80" s="1211">
        <f>SUM(K81:K85)</f>
        <v>0</v>
      </c>
    </row>
    <row r="81" spans="1:11" ht="15.75">
      <c r="A81" s="1236"/>
      <c r="B81" s="1244" t="s">
        <v>939</v>
      </c>
      <c r="C81" s="1217"/>
      <c r="D81" s="1217">
        <v>0</v>
      </c>
      <c r="E81" s="1217">
        <v>0</v>
      </c>
      <c r="F81" s="1218">
        <f>1054.84*7.61</f>
        <v>8027.3323999999993</v>
      </c>
      <c r="G81" s="1218">
        <f t="shared" si="0"/>
        <v>0</v>
      </c>
      <c r="H81" s="1218">
        <f>F81*G81/1000</f>
        <v>0</v>
      </c>
      <c r="I81" s="1219">
        <v>4851.8900000000003</v>
      </c>
      <c r="J81" s="1219">
        <v>0</v>
      </c>
      <c r="K81" s="1219">
        <f>I81*J81/1000</f>
        <v>0</v>
      </c>
    </row>
    <row r="82" spans="1:11" ht="15.75">
      <c r="A82" s="1215"/>
      <c r="B82" s="1221" t="s">
        <v>940</v>
      </c>
      <c r="C82" s="1217"/>
      <c r="D82" s="1217">
        <v>0</v>
      </c>
      <c r="E82" s="1217">
        <v>0</v>
      </c>
      <c r="F82" s="1218">
        <f>863.21*7.61</f>
        <v>6569.0281000000004</v>
      </c>
      <c r="G82" s="1218">
        <f t="shared" ref="G82:G117" si="12">D82</f>
        <v>0</v>
      </c>
      <c r="H82" s="1218">
        <f>F82*G82/1000</f>
        <v>0</v>
      </c>
      <c r="I82" s="1219">
        <v>9293.5300000000007</v>
      </c>
      <c r="J82" s="1219">
        <v>0</v>
      </c>
      <c r="K82" s="1219">
        <f>I82*J82/1000</f>
        <v>0</v>
      </c>
    </row>
    <row r="83" spans="1:11" ht="15.75">
      <c r="A83" s="1215"/>
      <c r="B83" s="1221" t="s">
        <v>941</v>
      </c>
      <c r="C83" s="1217"/>
      <c r="D83" s="1217">
        <v>0</v>
      </c>
      <c r="E83" s="1217">
        <v>0</v>
      </c>
      <c r="F83" s="1218">
        <f>890.5*7.61</f>
        <v>6776.7049999999999</v>
      </c>
      <c r="G83" s="1218">
        <f t="shared" si="12"/>
        <v>0</v>
      </c>
      <c r="H83" s="1218">
        <f>F83*G83/1000</f>
        <v>0</v>
      </c>
      <c r="I83" s="1219">
        <v>9293.5300000000007</v>
      </c>
      <c r="J83" s="1219">
        <v>0</v>
      </c>
      <c r="K83" s="1219">
        <f>I83*J83/1000</f>
        <v>0</v>
      </c>
    </row>
    <row r="84" spans="1:11" ht="15.75">
      <c r="A84" s="1215"/>
      <c r="B84" s="1221" t="s">
        <v>943</v>
      </c>
      <c r="C84" s="1217"/>
      <c r="D84" s="1217">
        <v>0</v>
      </c>
      <c r="E84" s="1217">
        <v>0</v>
      </c>
      <c r="F84" s="1218">
        <f>761.3*7.61</f>
        <v>5793.4929999999995</v>
      </c>
      <c r="G84" s="1218">
        <f t="shared" si="12"/>
        <v>0</v>
      </c>
      <c r="H84" s="1218">
        <f>F84*G84/1000</f>
        <v>0</v>
      </c>
      <c r="I84" s="1219">
        <v>9293.5300000000007</v>
      </c>
      <c r="J84" s="1219">
        <v>0</v>
      </c>
      <c r="K84" s="1219">
        <f>I84*J84/1000</f>
        <v>0</v>
      </c>
    </row>
    <row r="85" spans="1:11" ht="16.5" thickBot="1">
      <c r="A85" s="1232"/>
      <c r="B85" s="1221" t="s">
        <v>944</v>
      </c>
      <c r="C85" s="1217"/>
      <c r="D85" s="1217">
        <v>0</v>
      </c>
      <c r="E85" s="1217">
        <v>0</v>
      </c>
      <c r="F85" s="1218">
        <f>539.09*7.61</f>
        <v>4102.4749000000002</v>
      </c>
      <c r="G85" s="1218">
        <f t="shared" si="12"/>
        <v>0</v>
      </c>
      <c r="H85" s="1218">
        <f>F85*G85/1000</f>
        <v>0</v>
      </c>
      <c r="I85" s="1219">
        <v>9293.5300000000007</v>
      </c>
      <c r="J85" s="1219">
        <v>0</v>
      </c>
      <c r="K85" s="1219">
        <f>I85*J85/1000</f>
        <v>0</v>
      </c>
    </row>
    <row r="86" spans="1:11" ht="38.25" customHeight="1" thickBot="1">
      <c r="A86" s="1235" t="s">
        <v>160</v>
      </c>
      <c r="B86" s="1210" t="s">
        <v>945</v>
      </c>
      <c r="C86" s="1211"/>
      <c r="D86" s="1211">
        <f>SUM(D87:D90)</f>
        <v>0</v>
      </c>
      <c r="E86" s="1211">
        <f>SUM(E87:E90)</f>
        <v>0</v>
      </c>
      <c r="F86" s="1211"/>
      <c r="G86" s="1211">
        <f t="shared" si="12"/>
        <v>0</v>
      </c>
      <c r="H86" s="1211">
        <f>SUM(H87:H90)</f>
        <v>0</v>
      </c>
      <c r="I86" s="1211"/>
      <c r="J86" s="1211">
        <f>SUM(J87:J90)</f>
        <v>0</v>
      </c>
      <c r="K86" s="1211">
        <f>SUM(K87:K90)</f>
        <v>0</v>
      </c>
    </row>
    <row r="87" spans="1:11" ht="15.75">
      <c r="A87" s="1236"/>
      <c r="B87" s="1245" t="s">
        <v>939</v>
      </c>
      <c r="C87" s="1217"/>
      <c r="D87" s="1217">
        <v>0</v>
      </c>
      <c r="E87" s="1217">
        <v>0</v>
      </c>
      <c r="F87" s="1218">
        <f>1926.48*7.61</f>
        <v>14660.5128</v>
      </c>
      <c r="G87" s="1218">
        <f t="shared" si="12"/>
        <v>0</v>
      </c>
      <c r="H87" s="1218">
        <f>F87*G87/1000</f>
        <v>0</v>
      </c>
      <c r="I87" s="1219">
        <v>62049.69</v>
      </c>
      <c r="J87" s="1219">
        <v>0</v>
      </c>
      <c r="K87" s="1219">
        <f>I87*J87/1000</f>
        <v>0</v>
      </c>
    </row>
    <row r="88" spans="1:11" ht="15.75">
      <c r="A88" s="1215"/>
      <c r="B88" s="1221" t="s">
        <v>940</v>
      </c>
      <c r="C88" s="1217"/>
      <c r="D88" s="1217">
        <v>0</v>
      </c>
      <c r="E88" s="1217">
        <v>0</v>
      </c>
      <c r="F88" s="1218">
        <f>1739.92*7.61</f>
        <v>13240.791200000001</v>
      </c>
      <c r="G88" s="1218">
        <f t="shared" si="12"/>
        <v>0</v>
      </c>
      <c r="H88" s="1218">
        <f>F88*G88/1000</f>
        <v>0</v>
      </c>
      <c r="I88" s="1219">
        <v>62049.69</v>
      </c>
      <c r="J88" s="1219">
        <v>0</v>
      </c>
      <c r="K88" s="1219">
        <f>I88*J88/1000</f>
        <v>0</v>
      </c>
    </row>
    <row r="89" spans="1:11" ht="15.75">
      <c r="A89" s="1215"/>
      <c r="B89" s="1221" t="s">
        <v>938</v>
      </c>
      <c r="C89" s="1217"/>
      <c r="D89" s="1217">
        <v>0</v>
      </c>
      <c r="E89" s="1217">
        <v>0</v>
      </c>
      <c r="F89" s="1218">
        <v>0</v>
      </c>
      <c r="G89" s="1218">
        <f t="shared" si="12"/>
        <v>0</v>
      </c>
      <c r="H89" s="1218">
        <f>F89*G89/1000</f>
        <v>0</v>
      </c>
      <c r="I89" s="1219">
        <v>35797.1</v>
      </c>
      <c r="J89" s="1219">
        <v>0</v>
      </c>
      <c r="K89" s="1219">
        <f>I89*J89/1000</f>
        <v>0</v>
      </c>
    </row>
    <row r="90" spans="1:11" ht="16.5" thickBot="1">
      <c r="A90" s="1232"/>
      <c r="B90" s="1246" t="s">
        <v>946</v>
      </c>
      <c r="C90" s="1241"/>
      <c r="D90" s="1241">
        <v>0</v>
      </c>
      <c r="E90" s="1241">
        <v>0</v>
      </c>
      <c r="F90" s="1242">
        <v>0</v>
      </c>
      <c r="G90" s="1242">
        <f t="shared" si="12"/>
        <v>0</v>
      </c>
      <c r="H90" s="1242">
        <f>F90*G90/1000</f>
        <v>0</v>
      </c>
      <c r="I90" s="1243">
        <v>32230</v>
      </c>
      <c r="J90" s="1243">
        <v>0</v>
      </c>
      <c r="K90" s="1243">
        <f>I90*J90/1000</f>
        <v>0</v>
      </c>
    </row>
    <row r="91" spans="1:11" ht="51.75" customHeight="1" thickBot="1">
      <c r="A91" s="1235" t="s">
        <v>160</v>
      </c>
      <c r="B91" s="1210" t="s">
        <v>947</v>
      </c>
      <c r="C91" s="1211"/>
      <c r="D91" s="1211">
        <f>SUM(D92:D95)</f>
        <v>0</v>
      </c>
      <c r="E91" s="1211">
        <f>SUM(E92:E95)</f>
        <v>0</v>
      </c>
      <c r="F91" s="1211"/>
      <c r="G91" s="1211">
        <f t="shared" si="12"/>
        <v>0</v>
      </c>
      <c r="H91" s="1211">
        <f>SUM(H92:H95)</f>
        <v>0</v>
      </c>
      <c r="I91" s="1211"/>
      <c r="J91" s="1211">
        <v>0</v>
      </c>
      <c r="K91" s="1211">
        <f>SUM(K92:K95)</f>
        <v>2821.8044000000004</v>
      </c>
    </row>
    <row r="92" spans="1:11" ht="15.75">
      <c r="A92" s="1236"/>
      <c r="B92" s="1245" t="s">
        <v>928</v>
      </c>
      <c r="C92" s="1217"/>
      <c r="D92" s="1217">
        <v>0</v>
      </c>
      <c r="E92" s="1217">
        <v>0</v>
      </c>
      <c r="F92" s="1218"/>
      <c r="G92" s="1218">
        <f t="shared" si="12"/>
        <v>0</v>
      </c>
      <c r="H92" s="1218">
        <f>F92*G92/1000</f>
        <v>0</v>
      </c>
      <c r="I92" s="1219">
        <v>32230</v>
      </c>
      <c r="J92" s="1219">
        <v>0</v>
      </c>
      <c r="K92" s="1219">
        <f>I92*J92/1000</f>
        <v>0</v>
      </c>
    </row>
    <row r="93" spans="1:11" ht="15.75">
      <c r="A93" s="1215"/>
      <c r="B93" s="1221" t="s">
        <v>932</v>
      </c>
      <c r="C93" s="1217"/>
      <c r="D93" s="1217">
        <v>0</v>
      </c>
      <c r="E93" s="1217">
        <v>0</v>
      </c>
      <c r="F93" s="1218"/>
      <c r="G93" s="1218">
        <f t="shared" si="12"/>
        <v>0</v>
      </c>
      <c r="H93" s="1218">
        <f>F93*G93/1000</f>
        <v>0</v>
      </c>
      <c r="I93" s="1219">
        <v>32230</v>
      </c>
      <c r="J93" s="1219">
        <v>0</v>
      </c>
      <c r="K93" s="1219">
        <f>I93*J93/1000</f>
        <v>0</v>
      </c>
    </row>
    <row r="94" spans="1:11" ht="15.75">
      <c r="A94" s="1215"/>
      <c r="B94" s="1221" t="s">
        <v>933</v>
      </c>
      <c r="C94" s="1217"/>
      <c r="D94" s="1217">
        <v>0</v>
      </c>
      <c r="E94" s="1217">
        <v>0</v>
      </c>
      <c r="F94" s="1218"/>
      <c r="G94" s="1218">
        <f t="shared" si="12"/>
        <v>0</v>
      </c>
      <c r="H94" s="1218">
        <f>F94*G94/1000</f>
        <v>0</v>
      </c>
      <c r="I94" s="1219">
        <v>4865.18</v>
      </c>
      <c r="J94" s="1219">
        <v>0</v>
      </c>
      <c r="K94" s="1219">
        <f>I94*J94/1000</f>
        <v>0</v>
      </c>
    </row>
    <row r="95" spans="1:11" ht="16.5" thickBot="1">
      <c r="A95" s="1232"/>
      <c r="B95" s="1246" t="s">
        <v>934</v>
      </c>
      <c r="C95" s="1217"/>
      <c r="D95" s="1217">
        <v>0</v>
      </c>
      <c r="E95" s="1217">
        <v>0</v>
      </c>
      <c r="F95" s="1218"/>
      <c r="G95" s="1218">
        <f t="shared" si="12"/>
        <v>0</v>
      </c>
      <c r="H95" s="1218">
        <f>F95*G95/1000</f>
        <v>0</v>
      </c>
      <c r="I95" s="1219">
        <v>4865.18</v>
      </c>
      <c r="J95" s="1219">
        <v>580</v>
      </c>
      <c r="K95" s="1219">
        <f>I95*J95/1000</f>
        <v>2821.8044000000004</v>
      </c>
    </row>
    <row r="96" spans="1:11" ht="26.25" customHeight="1" thickBot="1">
      <c r="A96" s="1235"/>
      <c r="B96" s="1210" t="s">
        <v>948</v>
      </c>
      <c r="C96" s="1211"/>
      <c r="D96" s="1211">
        <f>D97</f>
        <v>0</v>
      </c>
      <c r="E96" s="1211">
        <f>E97</f>
        <v>0</v>
      </c>
      <c r="F96" s="1211"/>
      <c r="G96" s="1211">
        <f t="shared" si="12"/>
        <v>0</v>
      </c>
      <c r="H96" s="1211">
        <f>H97</f>
        <v>0</v>
      </c>
      <c r="I96" s="1211"/>
      <c r="J96" s="1211">
        <f>J97</f>
        <v>0</v>
      </c>
      <c r="K96" s="1211">
        <f>K97</f>
        <v>0</v>
      </c>
    </row>
    <row r="97" spans="1:11" ht="51.75" customHeight="1" thickBot="1">
      <c r="A97" s="1236"/>
      <c r="B97" s="1213" t="s">
        <v>949</v>
      </c>
      <c r="C97" s="1214"/>
      <c r="D97" s="1214">
        <f>SUM(D98:D101)</f>
        <v>0</v>
      </c>
      <c r="E97" s="1214">
        <f>SUM(E98:E101)</f>
        <v>0</v>
      </c>
      <c r="F97" s="1214"/>
      <c r="G97" s="1214">
        <f t="shared" si="12"/>
        <v>0</v>
      </c>
      <c r="H97" s="1214">
        <f>SUM(H98:H101)</f>
        <v>0</v>
      </c>
      <c r="I97" s="1214"/>
      <c r="J97" s="1214">
        <f>SUM(J98:J101)</f>
        <v>0</v>
      </c>
      <c r="K97" s="1214">
        <f>SUM(K98:K101)</f>
        <v>0</v>
      </c>
    </row>
    <row r="98" spans="1:11" ht="16.5" thickTop="1">
      <c r="A98" s="1215"/>
      <c r="B98" s="1245" t="s">
        <v>950</v>
      </c>
      <c r="C98" s="1217"/>
      <c r="D98" s="1217">
        <v>0</v>
      </c>
      <c r="E98" s="1217">
        <v>0</v>
      </c>
      <c r="F98" s="1218"/>
      <c r="G98" s="1218">
        <f t="shared" si="12"/>
        <v>0</v>
      </c>
      <c r="H98" s="1218">
        <f>F98*G98/1000</f>
        <v>0</v>
      </c>
      <c r="I98" s="1219">
        <v>62049.69</v>
      </c>
      <c r="J98" s="1219">
        <v>0</v>
      </c>
      <c r="K98" s="1219">
        <f>I98*J98/1000</f>
        <v>0</v>
      </c>
    </row>
    <row r="99" spans="1:11" ht="15.75">
      <c r="A99" s="1215"/>
      <c r="B99" s="1221" t="s">
        <v>951</v>
      </c>
      <c r="C99" s="1217"/>
      <c r="D99" s="1217">
        <v>0</v>
      </c>
      <c r="E99" s="1217">
        <v>0</v>
      </c>
      <c r="F99" s="1218"/>
      <c r="G99" s="1218">
        <f t="shared" si="12"/>
        <v>0</v>
      </c>
      <c r="H99" s="1218">
        <f>F99*G99/1000</f>
        <v>0</v>
      </c>
      <c r="I99" s="1219">
        <v>62049.69</v>
      </c>
      <c r="J99" s="1219">
        <v>0</v>
      </c>
      <c r="K99" s="1219">
        <f>I99*J99/1000</f>
        <v>0</v>
      </c>
    </row>
    <row r="100" spans="1:11" ht="15.75">
      <c r="A100" s="1215"/>
      <c r="B100" s="1221" t="s">
        <v>952</v>
      </c>
      <c r="C100" s="1217"/>
      <c r="D100" s="1217">
        <v>0</v>
      </c>
      <c r="E100" s="1217">
        <v>0</v>
      </c>
      <c r="F100" s="1218"/>
      <c r="G100" s="1218">
        <f t="shared" si="12"/>
        <v>0</v>
      </c>
      <c r="H100" s="1218">
        <f>F100*G100/1000</f>
        <v>0</v>
      </c>
      <c r="I100" s="1219">
        <v>62049.69</v>
      </c>
      <c r="J100" s="1219">
        <v>0</v>
      </c>
      <c r="K100" s="1219">
        <f>I100*J100/1000</f>
        <v>0</v>
      </c>
    </row>
    <row r="101" spans="1:11" ht="16.5" thickBot="1">
      <c r="A101" s="1232"/>
      <c r="B101" s="1246" t="s">
        <v>953</v>
      </c>
      <c r="C101" s="1241"/>
      <c r="D101" s="1241">
        <v>0</v>
      </c>
      <c r="E101" s="1241">
        <v>0</v>
      </c>
      <c r="F101" s="1242"/>
      <c r="G101" s="1242">
        <f t="shared" si="12"/>
        <v>0</v>
      </c>
      <c r="H101" s="1242">
        <f>F101*G101/1000</f>
        <v>0</v>
      </c>
      <c r="I101" s="1243">
        <v>62049.69</v>
      </c>
      <c r="J101" s="1243">
        <v>0</v>
      </c>
      <c r="K101" s="1243">
        <f>I101*J101/1000</f>
        <v>0</v>
      </c>
    </row>
    <row r="102" spans="1:11" ht="21.75" customHeight="1" thickBot="1">
      <c r="A102" s="1235"/>
      <c r="B102" s="1210" t="s">
        <v>954</v>
      </c>
      <c r="C102" s="1211"/>
      <c r="D102" s="1211">
        <f>SUM(D103,D109)</f>
        <v>0</v>
      </c>
      <c r="E102" s="1211">
        <f>SUM(E103,E109)</f>
        <v>0</v>
      </c>
      <c r="F102" s="1211"/>
      <c r="G102" s="1211">
        <f t="shared" si="12"/>
        <v>0</v>
      </c>
      <c r="H102" s="1211">
        <f>SUM(H103,H109)</f>
        <v>0</v>
      </c>
      <c r="I102" s="1211"/>
      <c r="J102" s="1211">
        <f>J103+J109</f>
        <v>0</v>
      </c>
      <c r="K102" s="1211">
        <f>K103+K109</f>
        <v>0</v>
      </c>
    </row>
    <row r="103" spans="1:11" ht="57" customHeight="1" thickBot="1">
      <c r="A103" s="1236"/>
      <c r="B103" s="1213" t="s">
        <v>955</v>
      </c>
      <c r="C103" s="1214"/>
      <c r="D103" s="1214">
        <f>SUM(D104:D108)</f>
        <v>0</v>
      </c>
      <c r="E103" s="1214">
        <f>SUM(E104:E108)</f>
        <v>0</v>
      </c>
      <c r="F103" s="1214"/>
      <c r="G103" s="1214">
        <f t="shared" si="12"/>
        <v>0</v>
      </c>
      <c r="H103" s="1214">
        <f>SUM(H104:H108)</f>
        <v>0</v>
      </c>
      <c r="I103" s="1214"/>
      <c r="J103" s="1214">
        <f>SUM(J104:J108)</f>
        <v>0</v>
      </c>
      <c r="K103" s="1214">
        <f>SUM(K104:K108)</f>
        <v>0</v>
      </c>
    </row>
    <row r="104" spans="1:11" ht="16.5" thickTop="1">
      <c r="A104" s="1215"/>
      <c r="B104" s="1245" t="s">
        <v>956</v>
      </c>
      <c r="C104" s="1217"/>
      <c r="D104" s="1217">
        <v>0</v>
      </c>
      <c r="E104" s="1217">
        <v>0</v>
      </c>
      <c r="F104" s="1218"/>
      <c r="G104" s="1218">
        <f t="shared" si="12"/>
        <v>0</v>
      </c>
      <c r="H104" s="1218">
        <f>F104*G104/1000</f>
        <v>0</v>
      </c>
      <c r="I104" s="1219">
        <v>6344.98</v>
      </c>
      <c r="J104" s="1219">
        <v>0</v>
      </c>
      <c r="K104" s="1219">
        <f>I104*J104/1000</f>
        <v>0</v>
      </c>
    </row>
    <row r="105" spans="1:11" ht="15.75">
      <c r="A105" s="1215"/>
      <c r="B105" s="1221" t="s">
        <v>957</v>
      </c>
      <c r="C105" s="1217"/>
      <c r="D105" s="1217">
        <v>0</v>
      </c>
      <c r="E105" s="1217">
        <v>0</v>
      </c>
      <c r="F105" s="1218"/>
      <c r="G105" s="1218">
        <f t="shared" si="12"/>
        <v>0</v>
      </c>
      <c r="H105" s="1218">
        <f>F105*G105/1000</f>
        <v>0</v>
      </c>
      <c r="I105" s="1219">
        <v>6344.98</v>
      </c>
      <c r="J105" s="1219">
        <v>0</v>
      </c>
      <c r="K105" s="1219">
        <f>I105*J105/1000</f>
        <v>0</v>
      </c>
    </row>
    <row r="106" spans="1:11" ht="15.75">
      <c r="A106" s="1215"/>
      <c r="B106" s="1221" t="s">
        <v>958</v>
      </c>
      <c r="C106" s="1217"/>
      <c r="D106" s="1217">
        <v>0</v>
      </c>
      <c r="E106" s="1217">
        <v>0</v>
      </c>
      <c r="F106" s="1218"/>
      <c r="G106" s="1218">
        <f t="shared" si="12"/>
        <v>0</v>
      </c>
      <c r="H106" s="1218">
        <f>F106*G106/1000</f>
        <v>0</v>
      </c>
      <c r="I106" s="1219">
        <v>6344.98</v>
      </c>
      <c r="J106" s="1219">
        <v>0</v>
      </c>
      <c r="K106" s="1219">
        <f>I106*J106/1000</f>
        <v>0</v>
      </c>
    </row>
    <row r="107" spans="1:11" ht="15.75">
      <c r="A107" s="1215"/>
      <c r="B107" s="1221" t="s">
        <v>959</v>
      </c>
      <c r="C107" s="1217"/>
      <c r="D107" s="1217">
        <v>0</v>
      </c>
      <c r="E107" s="1217">
        <v>0</v>
      </c>
      <c r="F107" s="1218"/>
      <c r="G107" s="1218">
        <f t="shared" si="12"/>
        <v>0</v>
      </c>
      <c r="H107" s="1218">
        <f>F107*G107/1000</f>
        <v>0</v>
      </c>
      <c r="I107" s="1219">
        <v>6344.98</v>
      </c>
      <c r="J107" s="1219">
        <v>0</v>
      </c>
      <c r="K107" s="1219">
        <f>I107*J107/1000</f>
        <v>0</v>
      </c>
    </row>
    <row r="108" spans="1:11" ht="16.5" thickBot="1">
      <c r="A108" s="1215"/>
      <c r="B108" s="1221" t="s">
        <v>960</v>
      </c>
      <c r="C108" s="1217"/>
      <c r="D108" s="1217">
        <v>0</v>
      </c>
      <c r="E108" s="1217">
        <v>0</v>
      </c>
      <c r="F108" s="1218"/>
      <c r="G108" s="1218">
        <f t="shared" si="12"/>
        <v>0</v>
      </c>
      <c r="H108" s="1218">
        <f>F108*G108/1000</f>
        <v>0</v>
      </c>
      <c r="I108" s="1219">
        <v>6344.98</v>
      </c>
      <c r="J108" s="1219">
        <v>0</v>
      </c>
      <c r="K108" s="1219">
        <f>I108*J108/1000</f>
        <v>0</v>
      </c>
    </row>
    <row r="109" spans="1:11" ht="83.25" customHeight="1" thickBot="1">
      <c r="A109" s="1215"/>
      <c r="B109" s="1213" t="s">
        <v>961</v>
      </c>
      <c r="C109" s="1214"/>
      <c r="D109" s="1214">
        <f>SUM(D110:D113)</f>
        <v>0</v>
      </c>
      <c r="E109" s="1214">
        <f>SUM(E110:E113)</f>
        <v>0</v>
      </c>
      <c r="F109" s="1214"/>
      <c r="G109" s="1214">
        <f t="shared" si="12"/>
        <v>0</v>
      </c>
      <c r="H109" s="1214">
        <f>SUM(H110:H113)</f>
        <v>0</v>
      </c>
      <c r="I109" s="1214"/>
      <c r="J109" s="1214">
        <f>SUM(J110:J113)</f>
        <v>0</v>
      </c>
      <c r="K109" s="1214">
        <f>SUM(K110:K113)</f>
        <v>0</v>
      </c>
    </row>
    <row r="110" spans="1:11" ht="16.5" thickTop="1">
      <c r="A110" s="1215"/>
      <c r="B110" s="1245" t="s">
        <v>952</v>
      </c>
      <c r="C110" s="1217"/>
      <c r="D110" s="1217">
        <v>0</v>
      </c>
      <c r="E110" s="1217">
        <v>0</v>
      </c>
      <c r="F110" s="1218"/>
      <c r="G110" s="1218">
        <f t="shared" si="12"/>
        <v>0</v>
      </c>
      <c r="H110" s="1218">
        <f>F110*G110/1000</f>
        <v>0</v>
      </c>
      <c r="I110" s="1219">
        <v>6344.98</v>
      </c>
      <c r="J110" s="1219">
        <v>0</v>
      </c>
      <c r="K110" s="1219">
        <f>I110*J110/1000</f>
        <v>0</v>
      </c>
    </row>
    <row r="111" spans="1:11" ht="15.75">
      <c r="A111" s="1215"/>
      <c r="B111" s="1221" t="s">
        <v>962</v>
      </c>
      <c r="C111" s="1217"/>
      <c r="D111" s="1217">
        <v>0</v>
      </c>
      <c r="E111" s="1217">
        <v>0</v>
      </c>
      <c r="F111" s="1218"/>
      <c r="G111" s="1218">
        <f t="shared" si="12"/>
        <v>0</v>
      </c>
      <c r="H111" s="1218">
        <f>F111*G111/1000</f>
        <v>0</v>
      </c>
      <c r="I111" s="1219">
        <v>6344.98</v>
      </c>
      <c r="J111" s="1219">
        <v>0</v>
      </c>
      <c r="K111" s="1219">
        <f>I111*J111/1000</f>
        <v>0</v>
      </c>
    </row>
    <row r="112" spans="1:11" ht="15.75">
      <c r="A112" s="1215"/>
      <c r="B112" s="1221" t="s">
        <v>963</v>
      </c>
      <c r="C112" s="1217"/>
      <c r="D112" s="1217">
        <v>0</v>
      </c>
      <c r="E112" s="1217">
        <v>0</v>
      </c>
      <c r="F112" s="1218"/>
      <c r="G112" s="1218">
        <f t="shared" si="12"/>
        <v>0</v>
      </c>
      <c r="H112" s="1218">
        <f>F112*G112/1000</f>
        <v>0</v>
      </c>
      <c r="I112" s="1219">
        <v>6344.98</v>
      </c>
      <c r="J112" s="1219">
        <v>0</v>
      </c>
      <c r="K112" s="1219">
        <f>I112*J112/1000</f>
        <v>0</v>
      </c>
    </row>
    <row r="113" spans="1:14" ht="16.5" thickBot="1">
      <c r="A113" s="1232"/>
      <c r="B113" s="1240" t="s">
        <v>964</v>
      </c>
      <c r="C113" s="1241"/>
      <c r="D113" s="1241">
        <v>0</v>
      </c>
      <c r="E113" s="1241">
        <v>0</v>
      </c>
      <c r="F113" s="1242"/>
      <c r="G113" s="1242">
        <f t="shared" si="12"/>
        <v>0</v>
      </c>
      <c r="H113" s="1242">
        <f>F113*G113/1000</f>
        <v>0</v>
      </c>
      <c r="I113" s="1243">
        <v>6344.98</v>
      </c>
      <c r="J113" s="1243">
        <v>0</v>
      </c>
      <c r="K113" s="1243">
        <f>I113*J113/1000</f>
        <v>0</v>
      </c>
    </row>
    <row r="114" spans="1:14" ht="24.75" customHeight="1" thickBot="1">
      <c r="A114" s="1235"/>
      <c r="B114" s="1210" t="s">
        <v>965</v>
      </c>
      <c r="C114" s="1211"/>
      <c r="D114" s="1211">
        <v>0</v>
      </c>
      <c r="E114" s="1211">
        <f>SUM(E115:E117)</f>
        <v>0</v>
      </c>
      <c r="F114" s="1211"/>
      <c r="G114" s="1211">
        <f t="shared" si="12"/>
        <v>0</v>
      </c>
      <c r="H114" s="1211">
        <f>SUM(H115:H117)</f>
        <v>0</v>
      </c>
      <c r="I114" s="1211"/>
      <c r="J114" s="1211">
        <f>SUM(J115:J117)</f>
        <v>0</v>
      </c>
      <c r="K114" s="1211">
        <f>SUM(K115:K117)</f>
        <v>0</v>
      </c>
    </row>
    <row r="115" spans="1:14" ht="15.75">
      <c r="A115" s="1236"/>
      <c r="B115" s="1247" t="s">
        <v>966</v>
      </c>
      <c r="C115" s="1217"/>
      <c r="D115" s="1217">
        <v>0</v>
      </c>
      <c r="E115" s="1217">
        <v>0</v>
      </c>
      <c r="F115" s="1218">
        <f>1083.44*7.61</f>
        <v>8244.9784</v>
      </c>
      <c r="G115" s="1218">
        <f t="shared" si="12"/>
        <v>0</v>
      </c>
      <c r="H115" s="1218">
        <f>F115*G115/1000</f>
        <v>0</v>
      </c>
      <c r="I115" s="1219">
        <v>45814169.090000004</v>
      </c>
      <c r="J115" s="1219">
        <v>0</v>
      </c>
      <c r="K115" s="1219">
        <f>I115*J115/1000</f>
        <v>0</v>
      </c>
    </row>
    <row r="116" spans="1:14" ht="15.75">
      <c r="A116" s="1215"/>
      <c r="B116" s="1247" t="s">
        <v>967</v>
      </c>
      <c r="C116" s="1217"/>
      <c r="D116" s="1217">
        <v>0</v>
      </c>
      <c r="E116" s="1217">
        <v>0</v>
      </c>
      <c r="F116" s="1218">
        <f>1300.13*7.61</f>
        <v>9893.9893000000011</v>
      </c>
      <c r="G116" s="1218">
        <f t="shared" si="12"/>
        <v>0</v>
      </c>
      <c r="H116" s="1218">
        <f>F116*G116/1000</f>
        <v>0</v>
      </c>
      <c r="I116" s="1219">
        <v>45814169.090000004</v>
      </c>
      <c r="J116" s="1219">
        <v>0</v>
      </c>
      <c r="K116" s="1219">
        <f>I116*J116/1000</f>
        <v>0</v>
      </c>
    </row>
    <row r="117" spans="1:14" ht="15.75">
      <c r="A117" s="1215"/>
      <c r="B117" s="1247" t="s">
        <v>968</v>
      </c>
      <c r="C117" s="1217"/>
      <c r="D117" s="1217">
        <v>0</v>
      </c>
      <c r="E117" s="1217">
        <v>0</v>
      </c>
      <c r="F117" s="1218">
        <f>1857.33*7.61</f>
        <v>14134.281300000001</v>
      </c>
      <c r="G117" s="1218">
        <f t="shared" si="12"/>
        <v>0</v>
      </c>
      <c r="H117" s="1218">
        <f>F117*G117/1000</f>
        <v>0</v>
      </c>
      <c r="I117" s="1219">
        <v>45814169.090000004</v>
      </c>
      <c r="J117" s="1219">
        <v>0</v>
      </c>
      <c r="K117" s="1219">
        <f>I117*J117/1000</f>
        <v>0</v>
      </c>
      <c r="M117" s="215">
        <f>I117/P6/M6</f>
        <v>5857990.1148220133</v>
      </c>
    </row>
    <row r="118" spans="1:14" ht="10.5" customHeight="1" thickBot="1">
      <c r="A118" s="1248"/>
      <c r="B118" s="1249"/>
      <c r="C118" s="1250"/>
      <c r="D118" s="1251"/>
      <c r="E118" s="1251"/>
      <c r="F118" s="1250"/>
      <c r="G118" s="1251"/>
      <c r="H118" s="1251"/>
      <c r="I118" s="1250"/>
      <c r="J118" s="1251"/>
      <c r="K118" s="1251"/>
    </row>
    <row r="119" spans="1:14" s="1196" customFormat="1" ht="46.5" customHeight="1">
      <c r="A119" s="1170" t="s">
        <v>191</v>
      </c>
      <c r="B119" s="1252" t="s">
        <v>969</v>
      </c>
      <c r="C119" s="1253"/>
      <c r="D119" s="1253"/>
      <c r="E119" s="1254">
        <f>E121*E122/1000</f>
        <v>929.714376271182</v>
      </c>
      <c r="F119" s="1255"/>
      <c r="G119" s="1255"/>
      <c r="H119" s="1254">
        <f>H121*H122/1000</f>
        <v>916.82203389830511</v>
      </c>
      <c r="I119" s="1253"/>
      <c r="J119" s="1253"/>
      <c r="K119" s="1254">
        <f>K121*K122/1000</f>
        <v>1040.7222222222222</v>
      </c>
    </row>
    <row r="120" spans="1:14" ht="48" customHeight="1" thickBot="1">
      <c r="A120" s="1183"/>
      <c r="B120" s="1256" t="s">
        <v>970</v>
      </c>
      <c r="C120" s="1257"/>
      <c r="D120" s="1257"/>
      <c r="E120" s="1258"/>
      <c r="F120" s="1259"/>
      <c r="G120" s="1259"/>
      <c r="H120" s="1258"/>
      <c r="I120" s="1257"/>
      <c r="J120" s="1257"/>
      <c r="K120" s="1258"/>
    </row>
    <row r="121" spans="1:14" ht="79.5" customHeight="1" thickBot="1">
      <c r="A121" s="1260" t="s">
        <v>192</v>
      </c>
      <c r="B121" s="1261" t="s">
        <v>971</v>
      </c>
      <c r="C121" s="1262"/>
      <c r="D121" s="1263"/>
      <c r="E121" s="1264">
        <f>929714.376271182/E122</f>
        <v>472.65601233918755</v>
      </c>
      <c r="F121" s="1265"/>
      <c r="G121" s="1265"/>
      <c r="H121" s="1264">
        <f>550/1.18</f>
        <v>466.10169491525426</v>
      </c>
      <c r="I121" s="1266"/>
      <c r="J121" s="1266"/>
      <c r="K121" s="1267">
        <f>550/1.2</f>
        <v>458.33333333333337</v>
      </c>
    </row>
    <row r="122" spans="1:14" ht="135" customHeight="1" thickBot="1">
      <c r="A122" s="1187" t="s">
        <v>195</v>
      </c>
      <c r="B122" s="1268" t="s">
        <v>972</v>
      </c>
      <c r="C122" s="1199"/>
      <c r="D122" s="1199"/>
      <c r="E122" s="1251">
        <v>1967</v>
      </c>
      <c r="F122" s="1201"/>
      <c r="G122" s="1201"/>
      <c r="H122" s="1269">
        <f>E122</f>
        <v>1967</v>
      </c>
      <c r="I122" s="1202"/>
      <c r="J122" s="1202"/>
      <c r="K122" s="1269">
        <f>(2662+2183+1967)/3</f>
        <v>2270.6666666666665</v>
      </c>
    </row>
    <row r="123" spans="1:14" s="1196" customFormat="1" ht="107.25" customHeight="1" thickBot="1">
      <c r="A123" s="1191" t="s">
        <v>198</v>
      </c>
      <c r="B123" s="1270" t="s">
        <v>973</v>
      </c>
      <c r="C123" s="1271"/>
      <c r="D123" s="1271"/>
      <c r="E123" s="1272">
        <f>E11+E16-E119</f>
        <v>111293.58322172891</v>
      </c>
      <c r="F123" s="1194"/>
      <c r="G123" s="1194"/>
      <c r="H123" s="1272">
        <f>H11+H16-H119</f>
        <v>66570.070539116699</v>
      </c>
      <c r="I123" s="1194"/>
      <c r="J123" s="1194"/>
      <c r="K123" s="1272">
        <f>K11+K16-K119</f>
        <v>130213.45766163111</v>
      </c>
      <c r="L123" s="1273"/>
      <c r="N123" s="1197"/>
    </row>
    <row r="124" spans="1:14" ht="12.75" customHeight="1"/>
    <row r="125" spans="1:14" ht="65.25" customHeight="1">
      <c r="B125" s="1274" t="s">
        <v>974</v>
      </c>
      <c r="C125" s="1274"/>
      <c r="D125" s="1274"/>
      <c r="E125" s="1274"/>
      <c r="F125" s="1274"/>
      <c r="G125" s="1274"/>
      <c r="H125" s="1275"/>
      <c r="I125" s="1275"/>
      <c r="J125" s="1275"/>
    </row>
    <row r="126" spans="1:14" ht="42.75" customHeight="1">
      <c r="B126" s="1274"/>
      <c r="C126" s="1274"/>
      <c r="D126" s="1274"/>
      <c r="E126" s="1274"/>
      <c r="F126" s="1274"/>
      <c r="G126" s="1274"/>
      <c r="H126" s="1276"/>
      <c r="I126" s="1276"/>
      <c r="J126" s="1276"/>
      <c r="K126" s="1277"/>
      <c r="L126" s="215">
        <v>181352.86539989023</v>
      </c>
      <c r="M126" s="215" t="s">
        <v>975</v>
      </c>
    </row>
    <row r="127" spans="1:14" ht="15">
      <c r="E127" s="1278"/>
      <c r="L127" s="1279">
        <v>181335.23</v>
      </c>
      <c r="M127" s="215" t="s">
        <v>976</v>
      </c>
    </row>
    <row r="128" spans="1:14" ht="19.5" hidden="1">
      <c r="B128" s="1280" t="s">
        <v>977</v>
      </c>
      <c r="C128" s="1280"/>
      <c r="D128" s="1280"/>
      <c r="E128" s="1281"/>
      <c r="F128" s="1282"/>
      <c r="J128" s="1283" t="s">
        <v>978</v>
      </c>
    </row>
    <row r="129" spans="1:14" ht="19.5">
      <c r="B129" s="1284"/>
      <c r="C129" s="1284"/>
      <c r="D129" s="1284"/>
      <c r="E129" s="1281"/>
      <c r="F129" s="1285"/>
      <c r="J129" s="1283"/>
    </row>
    <row r="130" spans="1:14" s="1196" customFormat="1" ht="18.75">
      <c r="B130" s="1286" t="s">
        <v>845</v>
      </c>
      <c r="C130" s="1287"/>
      <c r="D130" s="1286"/>
      <c r="E130" s="1286"/>
      <c r="F130" s="1286"/>
      <c r="G130" s="1286"/>
      <c r="H130" s="1286"/>
      <c r="I130" s="1286"/>
      <c r="J130" s="1286" t="s">
        <v>979</v>
      </c>
      <c r="K130" s="1286"/>
    </row>
    <row r="131" spans="1:14" ht="19.5">
      <c r="B131" s="1284"/>
      <c r="C131" s="1284"/>
      <c r="D131" s="1284"/>
      <c r="E131" s="1281"/>
      <c r="F131" s="1285"/>
      <c r="J131" s="1283"/>
    </row>
    <row r="132" spans="1:14" ht="19.5">
      <c r="B132" s="1284"/>
      <c r="C132" s="1284"/>
      <c r="D132" s="1284"/>
      <c r="E132" s="1281"/>
      <c r="F132" s="1285"/>
      <c r="J132" s="1283"/>
      <c r="K132" s="1288"/>
    </row>
    <row r="133" spans="1:14" ht="19.5">
      <c r="A133" s="1289" t="s">
        <v>89</v>
      </c>
      <c r="B133" s="1290"/>
      <c r="C133" s="1284"/>
      <c r="D133" s="1284"/>
      <c r="E133" s="1281"/>
      <c r="F133" s="1285"/>
      <c r="J133" s="1283"/>
    </row>
    <row r="134" spans="1:14" ht="19.5">
      <c r="A134" s="1291" t="s">
        <v>90</v>
      </c>
      <c r="B134" s="1291"/>
      <c r="C134" s="1284"/>
      <c r="D134" s="1284"/>
      <c r="E134" s="1281"/>
      <c r="F134" s="1285"/>
      <c r="I134" s="1279"/>
      <c r="J134" s="1283"/>
    </row>
    <row r="135" spans="1:14" ht="19.5">
      <c r="A135" s="1292" t="s">
        <v>91</v>
      </c>
      <c r="B135" s="1293"/>
      <c r="C135" s="1284"/>
      <c r="D135" s="1284"/>
      <c r="E135" s="1281"/>
      <c r="F135" s="1285"/>
      <c r="J135" s="1283"/>
    </row>
    <row r="136" spans="1:14" ht="19.5">
      <c r="B136" s="1284"/>
      <c r="C136" s="1284"/>
      <c r="D136" s="1284"/>
      <c r="E136" s="1281"/>
      <c r="F136" s="1285"/>
      <c r="J136" s="1283"/>
      <c r="K136" s="1294">
        <v>181352.86539989023</v>
      </c>
    </row>
    <row r="137" spans="1:14" ht="19.5">
      <c r="B137" s="1284"/>
      <c r="C137" s="1284"/>
      <c r="D137" s="1284"/>
      <c r="E137" s="1281"/>
      <c r="F137" s="1285"/>
      <c r="G137" s="1295">
        <f>E137-F137</f>
        <v>0</v>
      </c>
    </row>
    <row r="138" spans="1:14" ht="19.5">
      <c r="B138" s="1284"/>
      <c r="C138" s="1284"/>
      <c r="D138" s="1284"/>
      <c r="E138" s="1281"/>
      <c r="F138" s="1285"/>
      <c r="G138" s="1283"/>
    </row>
    <row r="139" spans="1:14" ht="19.5">
      <c r="B139" s="1284"/>
      <c r="C139" s="1284"/>
      <c r="D139" s="1284"/>
      <c r="E139" s="1281"/>
      <c r="F139" s="1285"/>
      <c r="G139" s="1283"/>
    </row>
    <row r="140" spans="1:14" ht="19.5">
      <c r="B140" s="1284"/>
      <c r="C140" s="1284"/>
      <c r="D140" s="1284"/>
      <c r="E140" s="1281"/>
      <c r="F140" s="1285"/>
      <c r="G140" s="1283"/>
      <c r="J140" s="215">
        <v>57781705.366000004</v>
      </c>
      <c r="L140" s="215">
        <v>7636949.2299999995</v>
      </c>
      <c r="M140" s="215">
        <f>J140+L140</f>
        <v>65418654.596000001</v>
      </c>
      <c r="N140" s="215">
        <f>SUM(L140:M140)</f>
        <v>73055603.826000005</v>
      </c>
    </row>
    <row r="141" spans="1:14" ht="15.75" hidden="1" outlineLevel="1">
      <c r="A141" s="1296" t="s">
        <v>980</v>
      </c>
      <c r="B141" s="1296"/>
      <c r="M141" s="1297">
        <f>M140+E11*1000</f>
        <v>96328940.194000095</v>
      </c>
    </row>
    <row r="142" spans="1:14" ht="34.5" hidden="1" customHeight="1" outlineLevel="1">
      <c r="A142" s="1298" t="s">
        <v>981</v>
      </c>
      <c r="B142" s="1298"/>
      <c r="C142" s="1298"/>
      <c r="D142" s="1298"/>
      <c r="E142" s="1298"/>
      <c r="F142" s="1298"/>
      <c r="G142" s="1298"/>
      <c r="H142" s="1298"/>
      <c r="I142" s="1298"/>
      <c r="J142" s="1298"/>
      <c r="K142" s="1298"/>
    </row>
    <row r="143" spans="1:14" ht="38.25" hidden="1" customHeight="1" outlineLevel="1">
      <c r="A143" s="1298" t="s">
        <v>982</v>
      </c>
      <c r="B143" s="1298"/>
      <c r="C143" s="1298"/>
      <c r="D143" s="1298"/>
      <c r="E143" s="1298"/>
      <c r="F143" s="1298"/>
      <c r="G143" s="1298"/>
      <c r="H143" s="1298"/>
      <c r="I143" s="1298"/>
      <c r="J143" s="1298"/>
      <c r="K143" s="1298"/>
    </row>
    <row r="144" spans="1:14" ht="66.75" hidden="1" customHeight="1" outlineLevel="1">
      <c r="A144" s="1298" t="s">
        <v>983</v>
      </c>
      <c r="B144" s="1298"/>
      <c r="C144" s="1298"/>
      <c r="D144" s="1298"/>
      <c r="E144" s="1298"/>
      <c r="F144" s="1298"/>
      <c r="G144" s="1298"/>
      <c r="H144" s="1298"/>
      <c r="I144" s="1298"/>
      <c r="J144" s="1298"/>
      <c r="K144" s="1298"/>
    </row>
    <row r="145" spans="1:11" ht="116.25" hidden="1" customHeight="1" outlineLevel="1">
      <c r="A145" s="1298" t="s">
        <v>984</v>
      </c>
      <c r="B145" s="1298"/>
      <c r="C145" s="1298"/>
      <c r="D145" s="1298"/>
      <c r="E145" s="1298"/>
      <c r="F145" s="1298"/>
      <c r="G145" s="1298"/>
      <c r="H145" s="1298"/>
      <c r="I145" s="1298"/>
      <c r="J145" s="1298"/>
      <c r="K145" s="1298"/>
    </row>
    <row r="146" spans="1:11" ht="132" hidden="1" customHeight="1" outlineLevel="1">
      <c r="A146" s="1298" t="s">
        <v>985</v>
      </c>
      <c r="B146" s="1298"/>
      <c r="C146" s="1298"/>
      <c r="D146" s="1298"/>
      <c r="E146" s="1298"/>
      <c r="F146" s="1298"/>
      <c r="G146" s="1298"/>
      <c r="H146" s="1298"/>
      <c r="I146" s="1298"/>
      <c r="J146" s="1298"/>
      <c r="K146" s="1298"/>
    </row>
    <row r="147" spans="1:11" ht="80.25" hidden="1" customHeight="1" outlineLevel="1">
      <c r="A147" s="1298" t="s">
        <v>986</v>
      </c>
      <c r="B147" s="1298"/>
      <c r="C147" s="1298"/>
      <c r="D147" s="1298"/>
      <c r="E147" s="1298"/>
      <c r="F147" s="1298"/>
      <c r="G147" s="1298"/>
      <c r="H147" s="1298"/>
      <c r="I147" s="1298"/>
      <c r="J147" s="1298"/>
      <c r="K147" s="1298"/>
    </row>
    <row r="148" spans="1:11" ht="51.75" hidden="1" customHeight="1" outlineLevel="1">
      <c r="A148" s="1298" t="s">
        <v>987</v>
      </c>
      <c r="B148" s="1298"/>
      <c r="C148" s="1298"/>
      <c r="D148" s="1298"/>
      <c r="E148" s="1298"/>
      <c r="F148" s="1298"/>
      <c r="G148" s="1298"/>
      <c r="H148" s="1298"/>
      <c r="I148" s="1298"/>
      <c r="J148" s="1298"/>
      <c r="K148" s="1298"/>
    </row>
    <row r="149" spans="1:11" ht="20.25" hidden="1" customHeight="1" outlineLevel="1">
      <c r="A149" s="1299" t="s">
        <v>988</v>
      </c>
      <c r="B149" s="1299"/>
      <c r="C149" s="1299"/>
      <c r="D149" s="1299"/>
      <c r="E149" s="1299"/>
      <c r="F149" s="1299"/>
      <c r="G149" s="1299"/>
      <c r="H149" s="1299"/>
      <c r="I149" s="1299"/>
      <c r="J149" s="1299"/>
      <c r="K149" s="1299"/>
    </row>
    <row r="150" spans="1:11" ht="47.25" hidden="1" customHeight="1" outlineLevel="1">
      <c r="A150" s="1298" t="s">
        <v>989</v>
      </c>
      <c r="B150" s="1298"/>
      <c r="C150" s="1298"/>
      <c r="D150" s="1298"/>
      <c r="E150" s="1298"/>
      <c r="F150" s="1298"/>
      <c r="G150" s="1298"/>
      <c r="H150" s="1298"/>
      <c r="I150" s="1298"/>
      <c r="J150" s="1298"/>
      <c r="K150" s="1298"/>
    </row>
    <row r="151" spans="1:11" ht="32.25" hidden="1" customHeight="1" outlineLevel="1">
      <c r="A151" s="1298" t="s">
        <v>990</v>
      </c>
      <c r="B151" s="1298"/>
      <c r="C151" s="1298"/>
      <c r="D151" s="1298"/>
      <c r="E151" s="1298"/>
      <c r="F151" s="1298"/>
      <c r="G151" s="1298"/>
      <c r="H151" s="1298"/>
      <c r="I151" s="1298"/>
      <c r="J151" s="1298"/>
      <c r="K151" s="1298"/>
    </row>
    <row r="152" spans="1:11" ht="27.75" hidden="1" customHeight="1" outlineLevel="1">
      <c r="A152" s="1298" t="s">
        <v>991</v>
      </c>
      <c r="B152" s="1298"/>
      <c r="C152" s="1298"/>
      <c r="D152" s="1298"/>
      <c r="E152" s="1298"/>
      <c r="F152" s="1298"/>
      <c r="G152" s="1298"/>
      <c r="H152" s="1298"/>
      <c r="I152" s="1298"/>
      <c r="J152" s="1298"/>
      <c r="K152" s="1298"/>
    </row>
    <row r="153" spans="1:11" ht="110.25" hidden="1" customHeight="1" outlineLevel="1">
      <c r="A153" s="1298" t="s">
        <v>992</v>
      </c>
      <c r="B153" s="1298"/>
      <c r="C153" s="1298"/>
      <c r="D153" s="1298"/>
      <c r="E153" s="1298"/>
      <c r="F153" s="1298"/>
      <c r="G153" s="1298"/>
      <c r="H153" s="1298"/>
      <c r="I153" s="1298"/>
      <c r="J153" s="1298"/>
      <c r="K153" s="1298"/>
    </row>
    <row r="154" spans="1:11" ht="51.75" hidden="1" customHeight="1" outlineLevel="1">
      <c r="A154" s="1298" t="s">
        <v>993</v>
      </c>
      <c r="B154" s="1298"/>
      <c r="C154" s="1298"/>
      <c r="D154" s="1298"/>
      <c r="E154" s="1298"/>
      <c r="F154" s="1298"/>
      <c r="G154" s="1298"/>
      <c r="H154" s="1298"/>
      <c r="I154" s="1298"/>
      <c r="J154" s="1298"/>
      <c r="K154" s="1298"/>
    </row>
    <row r="155" spans="1:11" ht="71.25" hidden="1" customHeight="1" outlineLevel="1">
      <c r="A155" s="1298" t="s">
        <v>994</v>
      </c>
      <c r="B155" s="1298"/>
      <c r="C155" s="1298"/>
      <c r="D155" s="1298"/>
      <c r="E155" s="1298"/>
      <c r="F155" s="1298"/>
      <c r="G155" s="1298"/>
      <c r="H155" s="1298"/>
      <c r="I155" s="1298"/>
      <c r="J155" s="1298"/>
      <c r="K155" s="1298"/>
    </row>
    <row r="156" spans="1:11" ht="107.25" hidden="1" customHeight="1" outlineLevel="1">
      <c r="A156" s="1298" t="s">
        <v>995</v>
      </c>
      <c r="B156" s="1298"/>
      <c r="C156" s="1298"/>
      <c r="D156" s="1298"/>
      <c r="E156" s="1298"/>
      <c r="F156" s="1298"/>
      <c r="G156" s="1298"/>
      <c r="H156" s="1298"/>
      <c r="I156" s="1298"/>
      <c r="J156" s="1298"/>
      <c r="K156" s="1298"/>
    </row>
    <row r="157" spans="1:11" ht="15.75" hidden="1" outlineLevel="1">
      <c r="A157" s="1300"/>
    </row>
    <row r="158" spans="1:11" ht="15.75" hidden="1" outlineLevel="1">
      <c r="A158" s="1300"/>
    </row>
    <row r="159" spans="1:11" hidden="1" outlineLevel="1"/>
    <row r="160" spans="1:11" hidden="1" outlineLevel="1"/>
    <row r="161" spans="2:11" hidden="1" outlineLevel="1"/>
    <row r="162" spans="2:11" hidden="1" outlineLevel="1">
      <c r="D162" s="215">
        <v>6.87</v>
      </c>
    </row>
    <row r="163" spans="2:11" hidden="1" outlineLevel="1">
      <c r="B163" s="215" t="s">
        <v>996</v>
      </c>
    </row>
    <row r="164" spans="2:11" hidden="1" outlineLevel="1">
      <c r="B164" s="215" t="s">
        <v>997</v>
      </c>
    </row>
    <row r="165" spans="2:11" hidden="1" outlineLevel="1">
      <c r="B165" s="215" t="s">
        <v>998</v>
      </c>
    </row>
    <row r="166" spans="2:11" hidden="1" outlineLevel="1"/>
    <row r="167" spans="2:11" hidden="1" outlineLevel="1"/>
    <row r="168" spans="2:11" collapsed="1"/>
    <row r="169" spans="2:11">
      <c r="K169" s="1279">
        <v>82127.478634233325</v>
      </c>
    </row>
    <row r="187" spans="7:7">
      <c r="G187" s="215">
        <v>8188.1</v>
      </c>
    </row>
  </sheetData>
  <mergeCells count="43">
    <mergeCell ref="A152:K152"/>
    <mergeCell ref="A153:K153"/>
    <mergeCell ref="A154:K154"/>
    <mergeCell ref="A155:K155"/>
    <mergeCell ref="A156:K156"/>
    <mergeCell ref="A146:K146"/>
    <mergeCell ref="A147:K147"/>
    <mergeCell ref="A148:K148"/>
    <mergeCell ref="A149:K149"/>
    <mergeCell ref="A150:K150"/>
    <mergeCell ref="A151:K151"/>
    <mergeCell ref="B128:D128"/>
    <mergeCell ref="A141:B141"/>
    <mergeCell ref="A142:K142"/>
    <mergeCell ref="A143:K143"/>
    <mergeCell ref="A144:K144"/>
    <mergeCell ref="A145:K145"/>
    <mergeCell ref="I119:I120"/>
    <mergeCell ref="J119:J120"/>
    <mergeCell ref="K119:K120"/>
    <mergeCell ref="B125:G125"/>
    <mergeCell ref="H125:J125"/>
    <mergeCell ref="B126:G126"/>
    <mergeCell ref="I8:I9"/>
    <mergeCell ref="J8:J9"/>
    <mergeCell ref="K8:K9"/>
    <mergeCell ref="A119:A120"/>
    <mergeCell ref="C119:C120"/>
    <mergeCell ref="D119:D120"/>
    <mergeCell ref="E119:E120"/>
    <mergeCell ref="F119:F120"/>
    <mergeCell ref="G119:G120"/>
    <mergeCell ref="H119:H120"/>
    <mergeCell ref="A4:K4"/>
    <mergeCell ref="A6:A9"/>
    <mergeCell ref="B6:B9"/>
    <mergeCell ref="C6:E7"/>
    <mergeCell ref="F6:H7"/>
    <mergeCell ref="I6:K7"/>
    <mergeCell ref="D8:D9"/>
    <mergeCell ref="F8:F9"/>
    <mergeCell ref="G8:G9"/>
    <mergeCell ref="H8:H9"/>
  </mergeCells>
  <printOptions horizontalCentered="1"/>
  <pageMargins left="0.70866141732283472" right="0.70866141732283472" top="0" bottom="0" header="0.31496062992125984" footer="0.31496062992125984"/>
  <pageSetup paperSize="9" scale="53" fitToHeight="0" orientation="landscape"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6"/>
  <sheetViews>
    <sheetView view="pageBreakPreview" zoomScale="90" zoomScaleNormal="100" zoomScaleSheetLayoutView="90" workbookViewId="0">
      <selection activeCell="A3" sqref="A3:Q3"/>
    </sheetView>
  </sheetViews>
  <sheetFormatPr defaultRowHeight="12.75"/>
  <cols>
    <col min="1" max="1" width="6" style="215" customWidth="1"/>
    <col min="2" max="2" width="20.7109375" style="215" customWidth="1"/>
    <col min="3" max="3" width="13.5703125" style="215" customWidth="1"/>
    <col min="4" max="4" width="16.7109375" style="215" customWidth="1"/>
    <col min="5" max="5" width="14.140625" style="215" customWidth="1"/>
    <col min="6" max="6" width="13" style="215" customWidth="1"/>
    <col min="7" max="7" width="13.5703125" style="215" customWidth="1"/>
    <col min="8" max="8" width="12" style="1164" customWidth="1"/>
    <col min="9" max="9" width="12.42578125" style="1164" customWidth="1"/>
    <col min="10" max="10" width="13.28515625" style="215" bestFit="1" customWidth="1"/>
    <col min="11" max="11" width="11.5703125" style="215" customWidth="1"/>
    <col min="12" max="12" width="13.28515625" style="215" bestFit="1" customWidth="1"/>
    <col min="13" max="16" width="9.140625" style="215"/>
    <col min="17" max="17" width="9.28515625" style="215" customWidth="1"/>
    <col min="18" max="256" width="9.140625" style="215"/>
    <col min="257" max="257" width="6" style="215" customWidth="1"/>
    <col min="258" max="258" width="20.7109375" style="215" customWidth="1"/>
    <col min="259" max="259" width="13.5703125" style="215" customWidth="1"/>
    <col min="260" max="260" width="16.7109375" style="215" customWidth="1"/>
    <col min="261" max="261" width="14.140625" style="215" customWidth="1"/>
    <col min="262" max="262" width="13" style="215" customWidth="1"/>
    <col min="263" max="263" width="13.5703125" style="215" customWidth="1"/>
    <col min="264" max="264" width="12" style="215" customWidth="1"/>
    <col min="265" max="265" width="12.42578125" style="215" customWidth="1"/>
    <col min="266" max="266" width="13.28515625" style="215" bestFit="1" customWidth="1"/>
    <col min="267" max="267" width="11.5703125" style="215" customWidth="1"/>
    <col min="268" max="268" width="13.28515625" style="215" bestFit="1" customWidth="1"/>
    <col min="269" max="272" width="9.140625" style="215"/>
    <col min="273" max="273" width="9.28515625" style="215" customWidth="1"/>
    <col min="274" max="512" width="9.140625" style="215"/>
    <col min="513" max="513" width="6" style="215" customWidth="1"/>
    <col min="514" max="514" width="20.7109375" style="215" customWidth="1"/>
    <col min="515" max="515" width="13.5703125" style="215" customWidth="1"/>
    <col min="516" max="516" width="16.7109375" style="215" customWidth="1"/>
    <col min="517" max="517" width="14.140625" style="215" customWidth="1"/>
    <col min="518" max="518" width="13" style="215" customWidth="1"/>
    <col min="519" max="519" width="13.5703125" style="215" customWidth="1"/>
    <col min="520" max="520" width="12" style="215" customWidth="1"/>
    <col min="521" max="521" width="12.42578125" style="215" customWidth="1"/>
    <col min="522" max="522" width="13.28515625" style="215" bestFit="1" customWidth="1"/>
    <col min="523" max="523" width="11.5703125" style="215" customWidth="1"/>
    <col min="524" max="524" width="13.28515625" style="215" bestFit="1" customWidth="1"/>
    <col min="525" max="528" width="9.140625" style="215"/>
    <col min="529" max="529" width="9.28515625" style="215" customWidth="1"/>
    <col min="530" max="768" width="9.140625" style="215"/>
    <col min="769" max="769" width="6" style="215" customWidth="1"/>
    <col min="770" max="770" width="20.7109375" style="215" customWidth="1"/>
    <col min="771" max="771" width="13.5703125" style="215" customWidth="1"/>
    <col min="772" max="772" width="16.7109375" style="215" customWidth="1"/>
    <col min="773" max="773" width="14.140625" style="215" customWidth="1"/>
    <col min="774" max="774" width="13" style="215" customWidth="1"/>
    <col min="775" max="775" width="13.5703125" style="215" customWidth="1"/>
    <col min="776" max="776" width="12" style="215" customWidth="1"/>
    <col min="777" max="777" width="12.42578125" style="215" customWidth="1"/>
    <col min="778" max="778" width="13.28515625" style="215" bestFit="1" customWidth="1"/>
    <col min="779" max="779" width="11.5703125" style="215" customWidth="1"/>
    <col min="780" max="780" width="13.28515625" style="215" bestFit="1" customWidth="1"/>
    <col min="781" max="784" width="9.140625" style="215"/>
    <col min="785" max="785" width="9.28515625" style="215" customWidth="1"/>
    <col min="786" max="1024" width="9.140625" style="215"/>
    <col min="1025" max="1025" width="6" style="215" customWidth="1"/>
    <col min="1026" max="1026" width="20.7109375" style="215" customWidth="1"/>
    <col min="1027" max="1027" width="13.5703125" style="215" customWidth="1"/>
    <col min="1028" max="1028" width="16.7109375" style="215" customWidth="1"/>
    <col min="1029" max="1029" width="14.140625" style="215" customWidth="1"/>
    <col min="1030" max="1030" width="13" style="215" customWidth="1"/>
    <col min="1031" max="1031" width="13.5703125" style="215" customWidth="1"/>
    <col min="1032" max="1032" width="12" style="215" customWidth="1"/>
    <col min="1033" max="1033" width="12.42578125" style="215" customWidth="1"/>
    <col min="1034" max="1034" width="13.28515625" style="215" bestFit="1" customWidth="1"/>
    <col min="1035" max="1035" width="11.5703125" style="215" customWidth="1"/>
    <col min="1036" max="1036" width="13.28515625" style="215" bestFit="1" customWidth="1"/>
    <col min="1037" max="1040" width="9.140625" style="215"/>
    <col min="1041" max="1041" width="9.28515625" style="215" customWidth="1"/>
    <col min="1042" max="1280" width="9.140625" style="215"/>
    <col min="1281" max="1281" width="6" style="215" customWidth="1"/>
    <col min="1282" max="1282" width="20.7109375" style="215" customWidth="1"/>
    <col min="1283" max="1283" width="13.5703125" style="215" customWidth="1"/>
    <col min="1284" max="1284" width="16.7109375" style="215" customWidth="1"/>
    <col min="1285" max="1285" width="14.140625" style="215" customWidth="1"/>
    <col min="1286" max="1286" width="13" style="215" customWidth="1"/>
    <col min="1287" max="1287" width="13.5703125" style="215" customWidth="1"/>
    <col min="1288" max="1288" width="12" style="215" customWidth="1"/>
    <col min="1289" max="1289" width="12.42578125" style="215" customWidth="1"/>
    <col min="1290" max="1290" width="13.28515625" style="215" bestFit="1" customWidth="1"/>
    <col min="1291" max="1291" width="11.5703125" style="215" customWidth="1"/>
    <col min="1292" max="1292" width="13.28515625" style="215" bestFit="1" customWidth="1"/>
    <col min="1293" max="1296" width="9.140625" style="215"/>
    <col min="1297" max="1297" width="9.28515625" style="215" customWidth="1"/>
    <col min="1298" max="1536" width="9.140625" style="215"/>
    <col min="1537" max="1537" width="6" style="215" customWidth="1"/>
    <col min="1538" max="1538" width="20.7109375" style="215" customWidth="1"/>
    <col min="1539" max="1539" width="13.5703125" style="215" customWidth="1"/>
    <col min="1540" max="1540" width="16.7109375" style="215" customWidth="1"/>
    <col min="1541" max="1541" width="14.140625" style="215" customWidth="1"/>
    <col min="1542" max="1542" width="13" style="215" customWidth="1"/>
    <col min="1543" max="1543" width="13.5703125" style="215" customWidth="1"/>
    <col min="1544" max="1544" width="12" style="215" customWidth="1"/>
    <col min="1545" max="1545" width="12.42578125" style="215" customWidth="1"/>
    <col min="1546" max="1546" width="13.28515625" style="215" bestFit="1" customWidth="1"/>
    <col min="1547" max="1547" width="11.5703125" style="215" customWidth="1"/>
    <col min="1548" max="1548" width="13.28515625" style="215" bestFit="1" customWidth="1"/>
    <col min="1549" max="1552" width="9.140625" style="215"/>
    <col min="1553" max="1553" width="9.28515625" style="215" customWidth="1"/>
    <col min="1554" max="1792" width="9.140625" style="215"/>
    <col min="1793" max="1793" width="6" style="215" customWidth="1"/>
    <col min="1794" max="1794" width="20.7109375" style="215" customWidth="1"/>
    <col min="1795" max="1795" width="13.5703125" style="215" customWidth="1"/>
    <col min="1796" max="1796" width="16.7109375" style="215" customWidth="1"/>
    <col min="1797" max="1797" width="14.140625" style="215" customWidth="1"/>
    <col min="1798" max="1798" width="13" style="215" customWidth="1"/>
    <col min="1799" max="1799" width="13.5703125" style="215" customWidth="1"/>
    <col min="1800" max="1800" width="12" style="215" customWidth="1"/>
    <col min="1801" max="1801" width="12.42578125" style="215" customWidth="1"/>
    <col min="1802" max="1802" width="13.28515625" style="215" bestFit="1" customWidth="1"/>
    <col min="1803" max="1803" width="11.5703125" style="215" customWidth="1"/>
    <col min="1804" max="1804" width="13.28515625" style="215" bestFit="1" customWidth="1"/>
    <col min="1805" max="1808" width="9.140625" style="215"/>
    <col min="1809" max="1809" width="9.28515625" style="215" customWidth="1"/>
    <col min="1810" max="2048" width="9.140625" style="215"/>
    <col min="2049" max="2049" width="6" style="215" customWidth="1"/>
    <col min="2050" max="2050" width="20.7109375" style="215" customWidth="1"/>
    <col min="2051" max="2051" width="13.5703125" style="215" customWidth="1"/>
    <col min="2052" max="2052" width="16.7109375" style="215" customWidth="1"/>
    <col min="2053" max="2053" width="14.140625" style="215" customWidth="1"/>
    <col min="2054" max="2054" width="13" style="215" customWidth="1"/>
    <col min="2055" max="2055" width="13.5703125" style="215" customWidth="1"/>
    <col min="2056" max="2056" width="12" style="215" customWidth="1"/>
    <col min="2057" max="2057" width="12.42578125" style="215" customWidth="1"/>
    <col min="2058" max="2058" width="13.28515625" style="215" bestFit="1" customWidth="1"/>
    <col min="2059" max="2059" width="11.5703125" style="215" customWidth="1"/>
    <col min="2060" max="2060" width="13.28515625" style="215" bestFit="1" customWidth="1"/>
    <col min="2061" max="2064" width="9.140625" style="215"/>
    <col min="2065" max="2065" width="9.28515625" style="215" customWidth="1"/>
    <col min="2066" max="2304" width="9.140625" style="215"/>
    <col min="2305" max="2305" width="6" style="215" customWidth="1"/>
    <col min="2306" max="2306" width="20.7109375" style="215" customWidth="1"/>
    <col min="2307" max="2307" width="13.5703125" style="215" customWidth="1"/>
    <col min="2308" max="2308" width="16.7109375" style="215" customWidth="1"/>
    <col min="2309" max="2309" width="14.140625" style="215" customWidth="1"/>
    <col min="2310" max="2310" width="13" style="215" customWidth="1"/>
    <col min="2311" max="2311" width="13.5703125" style="215" customWidth="1"/>
    <col min="2312" max="2312" width="12" style="215" customWidth="1"/>
    <col min="2313" max="2313" width="12.42578125" style="215" customWidth="1"/>
    <col min="2314" max="2314" width="13.28515625" style="215" bestFit="1" customWidth="1"/>
    <col min="2315" max="2315" width="11.5703125" style="215" customWidth="1"/>
    <col min="2316" max="2316" width="13.28515625" style="215" bestFit="1" customWidth="1"/>
    <col min="2317" max="2320" width="9.140625" style="215"/>
    <col min="2321" max="2321" width="9.28515625" style="215" customWidth="1"/>
    <col min="2322" max="2560" width="9.140625" style="215"/>
    <col min="2561" max="2561" width="6" style="215" customWidth="1"/>
    <col min="2562" max="2562" width="20.7109375" style="215" customWidth="1"/>
    <col min="2563" max="2563" width="13.5703125" style="215" customWidth="1"/>
    <col min="2564" max="2564" width="16.7109375" style="215" customWidth="1"/>
    <col min="2565" max="2565" width="14.140625" style="215" customWidth="1"/>
    <col min="2566" max="2566" width="13" style="215" customWidth="1"/>
    <col min="2567" max="2567" width="13.5703125" style="215" customWidth="1"/>
    <col min="2568" max="2568" width="12" style="215" customWidth="1"/>
    <col min="2569" max="2569" width="12.42578125" style="215" customWidth="1"/>
    <col min="2570" max="2570" width="13.28515625" style="215" bestFit="1" customWidth="1"/>
    <col min="2571" max="2571" width="11.5703125" style="215" customWidth="1"/>
    <col min="2572" max="2572" width="13.28515625" style="215" bestFit="1" customWidth="1"/>
    <col min="2573" max="2576" width="9.140625" style="215"/>
    <col min="2577" max="2577" width="9.28515625" style="215" customWidth="1"/>
    <col min="2578" max="2816" width="9.140625" style="215"/>
    <col min="2817" max="2817" width="6" style="215" customWidth="1"/>
    <col min="2818" max="2818" width="20.7109375" style="215" customWidth="1"/>
    <col min="2819" max="2819" width="13.5703125" style="215" customWidth="1"/>
    <col min="2820" max="2820" width="16.7109375" style="215" customWidth="1"/>
    <col min="2821" max="2821" width="14.140625" style="215" customWidth="1"/>
    <col min="2822" max="2822" width="13" style="215" customWidth="1"/>
    <col min="2823" max="2823" width="13.5703125" style="215" customWidth="1"/>
    <col min="2824" max="2824" width="12" style="215" customWidth="1"/>
    <col min="2825" max="2825" width="12.42578125" style="215" customWidth="1"/>
    <col min="2826" max="2826" width="13.28515625" style="215" bestFit="1" customWidth="1"/>
    <col min="2827" max="2827" width="11.5703125" style="215" customWidth="1"/>
    <col min="2828" max="2828" width="13.28515625" style="215" bestFit="1" customWidth="1"/>
    <col min="2829" max="2832" width="9.140625" style="215"/>
    <col min="2833" max="2833" width="9.28515625" style="215" customWidth="1"/>
    <col min="2834" max="3072" width="9.140625" style="215"/>
    <col min="3073" max="3073" width="6" style="215" customWidth="1"/>
    <col min="3074" max="3074" width="20.7109375" style="215" customWidth="1"/>
    <col min="3075" max="3075" width="13.5703125" style="215" customWidth="1"/>
    <col min="3076" max="3076" width="16.7109375" style="215" customWidth="1"/>
    <col min="3077" max="3077" width="14.140625" style="215" customWidth="1"/>
    <col min="3078" max="3078" width="13" style="215" customWidth="1"/>
    <col min="3079" max="3079" width="13.5703125" style="215" customWidth="1"/>
    <col min="3080" max="3080" width="12" style="215" customWidth="1"/>
    <col min="3081" max="3081" width="12.42578125" style="215" customWidth="1"/>
    <col min="3082" max="3082" width="13.28515625" style="215" bestFit="1" customWidth="1"/>
    <col min="3083" max="3083" width="11.5703125" style="215" customWidth="1"/>
    <col min="3084" max="3084" width="13.28515625" style="215" bestFit="1" customWidth="1"/>
    <col min="3085" max="3088" width="9.140625" style="215"/>
    <col min="3089" max="3089" width="9.28515625" style="215" customWidth="1"/>
    <col min="3090" max="3328" width="9.140625" style="215"/>
    <col min="3329" max="3329" width="6" style="215" customWidth="1"/>
    <col min="3330" max="3330" width="20.7109375" style="215" customWidth="1"/>
    <col min="3331" max="3331" width="13.5703125" style="215" customWidth="1"/>
    <col min="3332" max="3332" width="16.7109375" style="215" customWidth="1"/>
    <col min="3333" max="3333" width="14.140625" style="215" customWidth="1"/>
    <col min="3334" max="3334" width="13" style="215" customWidth="1"/>
    <col min="3335" max="3335" width="13.5703125" style="215" customWidth="1"/>
    <col min="3336" max="3336" width="12" style="215" customWidth="1"/>
    <col min="3337" max="3337" width="12.42578125" style="215" customWidth="1"/>
    <col min="3338" max="3338" width="13.28515625" style="215" bestFit="1" customWidth="1"/>
    <col min="3339" max="3339" width="11.5703125" style="215" customWidth="1"/>
    <col min="3340" max="3340" width="13.28515625" style="215" bestFit="1" customWidth="1"/>
    <col min="3341" max="3344" width="9.140625" style="215"/>
    <col min="3345" max="3345" width="9.28515625" style="215" customWidth="1"/>
    <col min="3346" max="3584" width="9.140625" style="215"/>
    <col min="3585" max="3585" width="6" style="215" customWidth="1"/>
    <col min="3586" max="3586" width="20.7109375" style="215" customWidth="1"/>
    <col min="3587" max="3587" width="13.5703125" style="215" customWidth="1"/>
    <col min="3588" max="3588" width="16.7109375" style="215" customWidth="1"/>
    <col min="3589" max="3589" width="14.140625" style="215" customWidth="1"/>
    <col min="3590" max="3590" width="13" style="215" customWidth="1"/>
    <col min="3591" max="3591" width="13.5703125" style="215" customWidth="1"/>
    <col min="3592" max="3592" width="12" style="215" customWidth="1"/>
    <col min="3593" max="3593" width="12.42578125" style="215" customWidth="1"/>
    <col min="3594" max="3594" width="13.28515625" style="215" bestFit="1" customWidth="1"/>
    <col min="3595" max="3595" width="11.5703125" style="215" customWidth="1"/>
    <col min="3596" max="3596" width="13.28515625" style="215" bestFit="1" customWidth="1"/>
    <col min="3597" max="3600" width="9.140625" style="215"/>
    <col min="3601" max="3601" width="9.28515625" style="215" customWidth="1"/>
    <col min="3602" max="3840" width="9.140625" style="215"/>
    <col min="3841" max="3841" width="6" style="215" customWidth="1"/>
    <col min="3842" max="3842" width="20.7109375" style="215" customWidth="1"/>
    <col min="3843" max="3843" width="13.5703125" style="215" customWidth="1"/>
    <col min="3844" max="3844" width="16.7109375" style="215" customWidth="1"/>
    <col min="3845" max="3845" width="14.140625" style="215" customWidth="1"/>
    <col min="3846" max="3846" width="13" style="215" customWidth="1"/>
    <col min="3847" max="3847" width="13.5703125" style="215" customWidth="1"/>
    <col min="3848" max="3848" width="12" style="215" customWidth="1"/>
    <col min="3849" max="3849" width="12.42578125" style="215" customWidth="1"/>
    <col min="3850" max="3850" width="13.28515625" style="215" bestFit="1" customWidth="1"/>
    <col min="3851" max="3851" width="11.5703125" style="215" customWidth="1"/>
    <col min="3852" max="3852" width="13.28515625" style="215" bestFit="1" customWidth="1"/>
    <col min="3853" max="3856" width="9.140625" style="215"/>
    <col min="3857" max="3857" width="9.28515625" style="215" customWidth="1"/>
    <col min="3858" max="4096" width="9.140625" style="215"/>
    <col min="4097" max="4097" width="6" style="215" customWidth="1"/>
    <col min="4098" max="4098" width="20.7109375" style="215" customWidth="1"/>
    <col min="4099" max="4099" width="13.5703125" style="215" customWidth="1"/>
    <col min="4100" max="4100" width="16.7109375" style="215" customWidth="1"/>
    <col min="4101" max="4101" width="14.140625" style="215" customWidth="1"/>
    <col min="4102" max="4102" width="13" style="215" customWidth="1"/>
    <col min="4103" max="4103" width="13.5703125" style="215" customWidth="1"/>
    <col min="4104" max="4104" width="12" style="215" customWidth="1"/>
    <col min="4105" max="4105" width="12.42578125" style="215" customWidth="1"/>
    <col min="4106" max="4106" width="13.28515625" style="215" bestFit="1" customWidth="1"/>
    <col min="4107" max="4107" width="11.5703125" style="215" customWidth="1"/>
    <col min="4108" max="4108" width="13.28515625" style="215" bestFit="1" customWidth="1"/>
    <col min="4109" max="4112" width="9.140625" style="215"/>
    <col min="4113" max="4113" width="9.28515625" style="215" customWidth="1"/>
    <col min="4114" max="4352" width="9.140625" style="215"/>
    <col min="4353" max="4353" width="6" style="215" customWidth="1"/>
    <col min="4354" max="4354" width="20.7109375" style="215" customWidth="1"/>
    <col min="4355" max="4355" width="13.5703125" style="215" customWidth="1"/>
    <col min="4356" max="4356" width="16.7109375" style="215" customWidth="1"/>
    <col min="4357" max="4357" width="14.140625" style="215" customWidth="1"/>
    <col min="4358" max="4358" width="13" style="215" customWidth="1"/>
    <col min="4359" max="4359" width="13.5703125" style="215" customWidth="1"/>
    <col min="4360" max="4360" width="12" style="215" customWidth="1"/>
    <col min="4361" max="4361" width="12.42578125" style="215" customWidth="1"/>
    <col min="4362" max="4362" width="13.28515625" style="215" bestFit="1" customWidth="1"/>
    <col min="4363" max="4363" width="11.5703125" style="215" customWidth="1"/>
    <col min="4364" max="4364" width="13.28515625" style="215" bestFit="1" customWidth="1"/>
    <col min="4365" max="4368" width="9.140625" style="215"/>
    <col min="4369" max="4369" width="9.28515625" style="215" customWidth="1"/>
    <col min="4370" max="4608" width="9.140625" style="215"/>
    <col min="4609" max="4609" width="6" style="215" customWidth="1"/>
    <col min="4610" max="4610" width="20.7109375" style="215" customWidth="1"/>
    <col min="4611" max="4611" width="13.5703125" style="215" customWidth="1"/>
    <col min="4612" max="4612" width="16.7109375" style="215" customWidth="1"/>
    <col min="4613" max="4613" width="14.140625" style="215" customWidth="1"/>
    <col min="4614" max="4614" width="13" style="215" customWidth="1"/>
    <col min="4615" max="4615" width="13.5703125" style="215" customWidth="1"/>
    <col min="4616" max="4616" width="12" style="215" customWidth="1"/>
    <col min="4617" max="4617" width="12.42578125" style="215" customWidth="1"/>
    <col min="4618" max="4618" width="13.28515625" style="215" bestFit="1" customWidth="1"/>
    <col min="4619" max="4619" width="11.5703125" style="215" customWidth="1"/>
    <col min="4620" max="4620" width="13.28515625" style="215" bestFit="1" customWidth="1"/>
    <col min="4621" max="4624" width="9.140625" style="215"/>
    <col min="4625" max="4625" width="9.28515625" style="215" customWidth="1"/>
    <col min="4626" max="4864" width="9.140625" style="215"/>
    <col min="4865" max="4865" width="6" style="215" customWidth="1"/>
    <col min="4866" max="4866" width="20.7109375" style="215" customWidth="1"/>
    <col min="4867" max="4867" width="13.5703125" style="215" customWidth="1"/>
    <col min="4868" max="4868" width="16.7109375" style="215" customWidth="1"/>
    <col min="4869" max="4869" width="14.140625" style="215" customWidth="1"/>
    <col min="4870" max="4870" width="13" style="215" customWidth="1"/>
    <col min="4871" max="4871" width="13.5703125" style="215" customWidth="1"/>
    <col min="4872" max="4872" width="12" style="215" customWidth="1"/>
    <col min="4873" max="4873" width="12.42578125" style="215" customWidth="1"/>
    <col min="4874" max="4874" width="13.28515625" style="215" bestFit="1" customWidth="1"/>
    <col min="4875" max="4875" width="11.5703125" style="215" customWidth="1"/>
    <col min="4876" max="4876" width="13.28515625" style="215" bestFit="1" customWidth="1"/>
    <col min="4877" max="4880" width="9.140625" style="215"/>
    <col min="4881" max="4881" width="9.28515625" style="215" customWidth="1"/>
    <col min="4882" max="5120" width="9.140625" style="215"/>
    <col min="5121" max="5121" width="6" style="215" customWidth="1"/>
    <col min="5122" max="5122" width="20.7109375" style="215" customWidth="1"/>
    <col min="5123" max="5123" width="13.5703125" style="215" customWidth="1"/>
    <col min="5124" max="5124" width="16.7109375" style="215" customWidth="1"/>
    <col min="5125" max="5125" width="14.140625" style="215" customWidth="1"/>
    <col min="5126" max="5126" width="13" style="215" customWidth="1"/>
    <col min="5127" max="5127" width="13.5703125" style="215" customWidth="1"/>
    <col min="5128" max="5128" width="12" style="215" customWidth="1"/>
    <col min="5129" max="5129" width="12.42578125" style="215" customWidth="1"/>
    <col min="5130" max="5130" width="13.28515625" style="215" bestFit="1" customWidth="1"/>
    <col min="5131" max="5131" width="11.5703125" style="215" customWidth="1"/>
    <col min="5132" max="5132" width="13.28515625" style="215" bestFit="1" customWidth="1"/>
    <col min="5133" max="5136" width="9.140625" style="215"/>
    <col min="5137" max="5137" width="9.28515625" style="215" customWidth="1"/>
    <col min="5138" max="5376" width="9.140625" style="215"/>
    <col min="5377" max="5377" width="6" style="215" customWidth="1"/>
    <col min="5378" max="5378" width="20.7109375" style="215" customWidth="1"/>
    <col min="5379" max="5379" width="13.5703125" style="215" customWidth="1"/>
    <col min="5380" max="5380" width="16.7109375" style="215" customWidth="1"/>
    <col min="5381" max="5381" width="14.140625" style="215" customWidth="1"/>
    <col min="5382" max="5382" width="13" style="215" customWidth="1"/>
    <col min="5383" max="5383" width="13.5703125" style="215" customWidth="1"/>
    <col min="5384" max="5384" width="12" style="215" customWidth="1"/>
    <col min="5385" max="5385" width="12.42578125" style="215" customWidth="1"/>
    <col min="5386" max="5386" width="13.28515625" style="215" bestFit="1" customWidth="1"/>
    <col min="5387" max="5387" width="11.5703125" style="215" customWidth="1"/>
    <col min="5388" max="5388" width="13.28515625" style="215" bestFit="1" customWidth="1"/>
    <col min="5389" max="5392" width="9.140625" style="215"/>
    <col min="5393" max="5393" width="9.28515625" style="215" customWidth="1"/>
    <col min="5394" max="5632" width="9.140625" style="215"/>
    <col min="5633" max="5633" width="6" style="215" customWidth="1"/>
    <col min="5634" max="5634" width="20.7109375" style="215" customWidth="1"/>
    <col min="5635" max="5635" width="13.5703125" style="215" customWidth="1"/>
    <col min="5636" max="5636" width="16.7109375" style="215" customWidth="1"/>
    <col min="5637" max="5637" width="14.140625" style="215" customWidth="1"/>
    <col min="5638" max="5638" width="13" style="215" customWidth="1"/>
    <col min="5639" max="5639" width="13.5703125" style="215" customWidth="1"/>
    <col min="5640" max="5640" width="12" style="215" customWidth="1"/>
    <col min="5641" max="5641" width="12.42578125" style="215" customWidth="1"/>
    <col min="5642" max="5642" width="13.28515625" style="215" bestFit="1" customWidth="1"/>
    <col min="5643" max="5643" width="11.5703125" style="215" customWidth="1"/>
    <col min="5644" max="5644" width="13.28515625" style="215" bestFit="1" customWidth="1"/>
    <col min="5645" max="5648" width="9.140625" style="215"/>
    <col min="5649" max="5649" width="9.28515625" style="215" customWidth="1"/>
    <col min="5650" max="5888" width="9.140625" style="215"/>
    <col min="5889" max="5889" width="6" style="215" customWidth="1"/>
    <col min="5890" max="5890" width="20.7109375" style="215" customWidth="1"/>
    <col min="5891" max="5891" width="13.5703125" style="215" customWidth="1"/>
    <col min="5892" max="5892" width="16.7109375" style="215" customWidth="1"/>
    <col min="5893" max="5893" width="14.140625" style="215" customWidth="1"/>
    <col min="5894" max="5894" width="13" style="215" customWidth="1"/>
    <col min="5895" max="5895" width="13.5703125" style="215" customWidth="1"/>
    <col min="5896" max="5896" width="12" style="215" customWidth="1"/>
    <col min="5897" max="5897" width="12.42578125" style="215" customWidth="1"/>
    <col min="5898" max="5898" width="13.28515625" style="215" bestFit="1" customWidth="1"/>
    <col min="5899" max="5899" width="11.5703125" style="215" customWidth="1"/>
    <col min="5900" max="5900" width="13.28515625" style="215" bestFit="1" customWidth="1"/>
    <col min="5901" max="5904" width="9.140625" style="215"/>
    <col min="5905" max="5905" width="9.28515625" style="215" customWidth="1"/>
    <col min="5906" max="6144" width="9.140625" style="215"/>
    <col min="6145" max="6145" width="6" style="215" customWidth="1"/>
    <col min="6146" max="6146" width="20.7109375" style="215" customWidth="1"/>
    <col min="6147" max="6147" width="13.5703125" style="215" customWidth="1"/>
    <col min="6148" max="6148" width="16.7109375" style="215" customWidth="1"/>
    <col min="6149" max="6149" width="14.140625" style="215" customWidth="1"/>
    <col min="6150" max="6150" width="13" style="215" customWidth="1"/>
    <col min="6151" max="6151" width="13.5703125" style="215" customWidth="1"/>
    <col min="6152" max="6152" width="12" style="215" customWidth="1"/>
    <col min="6153" max="6153" width="12.42578125" style="215" customWidth="1"/>
    <col min="6154" max="6154" width="13.28515625" style="215" bestFit="1" customWidth="1"/>
    <col min="6155" max="6155" width="11.5703125" style="215" customWidth="1"/>
    <col min="6156" max="6156" width="13.28515625" style="215" bestFit="1" customWidth="1"/>
    <col min="6157" max="6160" width="9.140625" style="215"/>
    <col min="6161" max="6161" width="9.28515625" style="215" customWidth="1"/>
    <col min="6162" max="6400" width="9.140625" style="215"/>
    <col min="6401" max="6401" width="6" style="215" customWidth="1"/>
    <col min="6402" max="6402" width="20.7109375" style="215" customWidth="1"/>
    <col min="6403" max="6403" width="13.5703125" style="215" customWidth="1"/>
    <col min="6404" max="6404" width="16.7109375" style="215" customWidth="1"/>
    <col min="6405" max="6405" width="14.140625" style="215" customWidth="1"/>
    <col min="6406" max="6406" width="13" style="215" customWidth="1"/>
    <col min="6407" max="6407" width="13.5703125" style="215" customWidth="1"/>
    <col min="6408" max="6408" width="12" style="215" customWidth="1"/>
    <col min="6409" max="6409" width="12.42578125" style="215" customWidth="1"/>
    <col min="6410" max="6410" width="13.28515625" style="215" bestFit="1" customWidth="1"/>
    <col min="6411" max="6411" width="11.5703125" style="215" customWidth="1"/>
    <col min="6412" max="6412" width="13.28515625" style="215" bestFit="1" customWidth="1"/>
    <col min="6413" max="6416" width="9.140625" style="215"/>
    <col min="6417" max="6417" width="9.28515625" style="215" customWidth="1"/>
    <col min="6418" max="6656" width="9.140625" style="215"/>
    <col min="6657" max="6657" width="6" style="215" customWidth="1"/>
    <col min="6658" max="6658" width="20.7109375" style="215" customWidth="1"/>
    <col min="6659" max="6659" width="13.5703125" style="215" customWidth="1"/>
    <col min="6660" max="6660" width="16.7109375" style="215" customWidth="1"/>
    <col min="6661" max="6661" width="14.140625" style="215" customWidth="1"/>
    <col min="6662" max="6662" width="13" style="215" customWidth="1"/>
    <col min="6663" max="6663" width="13.5703125" style="215" customWidth="1"/>
    <col min="6664" max="6664" width="12" style="215" customWidth="1"/>
    <col min="6665" max="6665" width="12.42578125" style="215" customWidth="1"/>
    <col min="6666" max="6666" width="13.28515625" style="215" bestFit="1" customWidth="1"/>
    <col min="6667" max="6667" width="11.5703125" style="215" customWidth="1"/>
    <col min="6668" max="6668" width="13.28515625" style="215" bestFit="1" customWidth="1"/>
    <col min="6669" max="6672" width="9.140625" style="215"/>
    <col min="6673" max="6673" width="9.28515625" style="215" customWidth="1"/>
    <col min="6674" max="6912" width="9.140625" style="215"/>
    <col min="6913" max="6913" width="6" style="215" customWidth="1"/>
    <col min="6914" max="6914" width="20.7109375" style="215" customWidth="1"/>
    <col min="6915" max="6915" width="13.5703125" style="215" customWidth="1"/>
    <col min="6916" max="6916" width="16.7109375" style="215" customWidth="1"/>
    <col min="6917" max="6917" width="14.140625" style="215" customWidth="1"/>
    <col min="6918" max="6918" width="13" style="215" customWidth="1"/>
    <col min="6919" max="6919" width="13.5703125" style="215" customWidth="1"/>
    <col min="6920" max="6920" width="12" style="215" customWidth="1"/>
    <col min="6921" max="6921" width="12.42578125" style="215" customWidth="1"/>
    <col min="6922" max="6922" width="13.28515625" style="215" bestFit="1" customWidth="1"/>
    <col min="6923" max="6923" width="11.5703125" style="215" customWidth="1"/>
    <col min="6924" max="6924" width="13.28515625" style="215" bestFit="1" customWidth="1"/>
    <col min="6925" max="6928" width="9.140625" style="215"/>
    <col min="6929" max="6929" width="9.28515625" style="215" customWidth="1"/>
    <col min="6930" max="7168" width="9.140625" style="215"/>
    <col min="7169" max="7169" width="6" style="215" customWidth="1"/>
    <col min="7170" max="7170" width="20.7109375" style="215" customWidth="1"/>
    <col min="7171" max="7171" width="13.5703125" style="215" customWidth="1"/>
    <col min="7172" max="7172" width="16.7109375" style="215" customWidth="1"/>
    <col min="7173" max="7173" width="14.140625" style="215" customWidth="1"/>
    <col min="7174" max="7174" width="13" style="215" customWidth="1"/>
    <col min="7175" max="7175" width="13.5703125" style="215" customWidth="1"/>
    <col min="7176" max="7176" width="12" style="215" customWidth="1"/>
    <col min="7177" max="7177" width="12.42578125" style="215" customWidth="1"/>
    <col min="7178" max="7178" width="13.28515625" style="215" bestFit="1" customWidth="1"/>
    <col min="7179" max="7179" width="11.5703125" style="215" customWidth="1"/>
    <col min="7180" max="7180" width="13.28515625" style="215" bestFit="1" customWidth="1"/>
    <col min="7181" max="7184" width="9.140625" style="215"/>
    <col min="7185" max="7185" width="9.28515625" style="215" customWidth="1"/>
    <col min="7186" max="7424" width="9.140625" style="215"/>
    <col min="7425" max="7425" width="6" style="215" customWidth="1"/>
    <col min="7426" max="7426" width="20.7109375" style="215" customWidth="1"/>
    <col min="7427" max="7427" width="13.5703125" style="215" customWidth="1"/>
    <col min="7428" max="7428" width="16.7109375" style="215" customWidth="1"/>
    <col min="7429" max="7429" width="14.140625" style="215" customWidth="1"/>
    <col min="7430" max="7430" width="13" style="215" customWidth="1"/>
    <col min="7431" max="7431" width="13.5703125" style="215" customWidth="1"/>
    <col min="7432" max="7432" width="12" style="215" customWidth="1"/>
    <col min="7433" max="7433" width="12.42578125" style="215" customWidth="1"/>
    <col min="7434" max="7434" width="13.28515625" style="215" bestFit="1" customWidth="1"/>
    <col min="7435" max="7435" width="11.5703125" style="215" customWidth="1"/>
    <col min="7436" max="7436" width="13.28515625" style="215" bestFit="1" customWidth="1"/>
    <col min="7437" max="7440" width="9.140625" style="215"/>
    <col min="7441" max="7441" width="9.28515625" style="215" customWidth="1"/>
    <col min="7442" max="7680" width="9.140625" style="215"/>
    <col min="7681" max="7681" width="6" style="215" customWidth="1"/>
    <col min="7682" max="7682" width="20.7109375" style="215" customWidth="1"/>
    <col min="7683" max="7683" width="13.5703125" style="215" customWidth="1"/>
    <col min="7684" max="7684" width="16.7109375" style="215" customWidth="1"/>
    <col min="7685" max="7685" width="14.140625" style="215" customWidth="1"/>
    <col min="7686" max="7686" width="13" style="215" customWidth="1"/>
    <col min="7687" max="7687" width="13.5703125" style="215" customWidth="1"/>
    <col min="7688" max="7688" width="12" style="215" customWidth="1"/>
    <col min="7689" max="7689" width="12.42578125" style="215" customWidth="1"/>
    <col min="7690" max="7690" width="13.28515625" style="215" bestFit="1" customWidth="1"/>
    <col min="7691" max="7691" width="11.5703125" style="215" customWidth="1"/>
    <col min="7692" max="7692" width="13.28515625" style="215" bestFit="1" customWidth="1"/>
    <col min="7693" max="7696" width="9.140625" style="215"/>
    <col min="7697" max="7697" width="9.28515625" style="215" customWidth="1"/>
    <col min="7698" max="7936" width="9.140625" style="215"/>
    <col min="7937" max="7937" width="6" style="215" customWidth="1"/>
    <col min="7938" max="7938" width="20.7109375" style="215" customWidth="1"/>
    <col min="7939" max="7939" width="13.5703125" style="215" customWidth="1"/>
    <col min="7940" max="7940" width="16.7109375" style="215" customWidth="1"/>
    <col min="7941" max="7941" width="14.140625" style="215" customWidth="1"/>
    <col min="7942" max="7942" width="13" style="215" customWidth="1"/>
    <col min="7943" max="7943" width="13.5703125" style="215" customWidth="1"/>
    <col min="7944" max="7944" width="12" style="215" customWidth="1"/>
    <col min="7945" max="7945" width="12.42578125" style="215" customWidth="1"/>
    <col min="7946" max="7946" width="13.28515625" style="215" bestFit="1" customWidth="1"/>
    <col min="7947" max="7947" width="11.5703125" style="215" customWidth="1"/>
    <col min="7948" max="7948" width="13.28515625" style="215" bestFit="1" customWidth="1"/>
    <col min="7949" max="7952" width="9.140625" style="215"/>
    <col min="7953" max="7953" width="9.28515625" style="215" customWidth="1"/>
    <col min="7954" max="8192" width="9.140625" style="215"/>
    <col min="8193" max="8193" width="6" style="215" customWidth="1"/>
    <col min="8194" max="8194" width="20.7109375" style="215" customWidth="1"/>
    <col min="8195" max="8195" width="13.5703125" style="215" customWidth="1"/>
    <col min="8196" max="8196" width="16.7109375" style="215" customWidth="1"/>
    <col min="8197" max="8197" width="14.140625" style="215" customWidth="1"/>
    <col min="8198" max="8198" width="13" style="215" customWidth="1"/>
    <col min="8199" max="8199" width="13.5703125" style="215" customWidth="1"/>
    <col min="8200" max="8200" width="12" style="215" customWidth="1"/>
    <col min="8201" max="8201" width="12.42578125" style="215" customWidth="1"/>
    <col min="8202" max="8202" width="13.28515625" style="215" bestFit="1" customWidth="1"/>
    <col min="8203" max="8203" width="11.5703125" style="215" customWidth="1"/>
    <col min="8204" max="8204" width="13.28515625" style="215" bestFit="1" customWidth="1"/>
    <col min="8205" max="8208" width="9.140625" style="215"/>
    <col min="8209" max="8209" width="9.28515625" style="215" customWidth="1"/>
    <col min="8210" max="8448" width="9.140625" style="215"/>
    <col min="8449" max="8449" width="6" style="215" customWidth="1"/>
    <col min="8450" max="8450" width="20.7109375" style="215" customWidth="1"/>
    <col min="8451" max="8451" width="13.5703125" style="215" customWidth="1"/>
    <col min="8452" max="8452" width="16.7109375" style="215" customWidth="1"/>
    <col min="8453" max="8453" width="14.140625" style="215" customWidth="1"/>
    <col min="8454" max="8454" width="13" style="215" customWidth="1"/>
    <col min="8455" max="8455" width="13.5703125" style="215" customWidth="1"/>
    <col min="8456" max="8456" width="12" style="215" customWidth="1"/>
    <col min="8457" max="8457" width="12.42578125" style="215" customWidth="1"/>
    <col min="8458" max="8458" width="13.28515625" style="215" bestFit="1" customWidth="1"/>
    <col min="8459" max="8459" width="11.5703125" style="215" customWidth="1"/>
    <col min="8460" max="8460" width="13.28515625" style="215" bestFit="1" customWidth="1"/>
    <col min="8461" max="8464" width="9.140625" style="215"/>
    <col min="8465" max="8465" width="9.28515625" style="215" customWidth="1"/>
    <col min="8466" max="8704" width="9.140625" style="215"/>
    <col min="8705" max="8705" width="6" style="215" customWidth="1"/>
    <col min="8706" max="8706" width="20.7109375" style="215" customWidth="1"/>
    <col min="8707" max="8707" width="13.5703125" style="215" customWidth="1"/>
    <col min="8708" max="8708" width="16.7109375" style="215" customWidth="1"/>
    <col min="8709" max="8709" width="14.140625" style="215" customWidth="1"/>
    <col min="8710" max="8710" width="13" style="215" customWidth="1"/>
    <col min="8711" max="8711" width="13.5703125" style="215" customWidth="1"/>
    <col min="8712" max="8712" width="12" style="215" customWidth="1"/>
    <col min="8713" max="8713" width="12.42578125" style="215" customWidth="1"/>
    <col min="8714" max="8714" width="13.28515625" style="215" bestFit="1" customWidth="1"/>
    <col min="8715" max="8715" width="11.5703125" style="215" customWidth="1"/>
    <col min="8716" max="8716" width="13.28515625" style="215" bestFit="1" customWidth="1"/>
    <col min="8717" max="8720" width="9.140625" style="215"/>
    <col min="8721" max="8721" width="9.28515625" style="215" customWidth="1"/>
    <col min="8722" max="8960" width="9.140625" style="215"/>
    <col min="8961" max="8961" width="6" style="215" customWidth="1"/>
    <col min="8962" max="8962" width="20.7109375" style="215" customWidth="1"/>
    <col min="8963" max="8963" width="13.5703125" style="215" customWidth="1"/>
    <col min="8964" max="8964" width="16.7109375" style="215" customWidth="1"/>
    <col min="8965" max="8965" width="14.140625" style="215" customWidth="1"/>
    <col min="8966" max="8966" width="13" style="215" customWidth="1"/>
    <col min="8967" max="8967" width="13.5703125" style="215" customWidth="1"/>
    <col min="8968" max="8968" width="12" style="215" customWidth="1"/>
    <col min="8969" max="8969" width="12.42578125" style="215" customWidth="1"/>
    <col min="8970" max="8970" width="13.28515625" style="215" bestFit="1" customWidth="1"/>
    <col min="8971" max="8971" width="11.5703125" style="215" customWidth="1"/>
    <col min="8972" max="8972" width="13.28515625" style="215" bestFit="1" customWidth="1"/>
    <col min="8973" max="8976" width="9.140625" style="215"/>
    <col min="8977" max="8977" width="9.28515625" style="215" customWidth="1"/>
    <col min="8978" max="9216" width="9.140625" style="215"/>
    <col min="9217" max="9217" width="6" style="215" customWidth="1"/>
    <col min="9218" max="9218" width="20.7109375" style="215" customWidth="1"/>
    <col min="9219" max="9219" width="13.5703125" style="215" customWidth="1"/>
    <col min="9220" max="9220" width="16.7109375" style="215" customWidth="1"/>
    <col min="9221" max="9221" width="14.140625" style="215" customWidth="1"/>
    <col min="9222" max="9222" width="13" style="215" customWidth="1"/>
    <col min="9223" max="9223" width="13.5703125" style="215" customWidth="1"/>
    <col min="9224" max="9224" width="12" style="215" customWidth="1"/>
    <col min="9225" max="9225" width="12.42578125" style="215" customWidth="1"/>
    <col min="9226" max="9226" width="13.28515625" style="215" bestFit="1" customWidth="1"/>
    <col min="9227" max="9227" width="11.5703125" style="215" customWidth="1"/>
    <col min="9228" max="9228" width="13.28515625" style="215" bestFit="1" customWidth="1"/>
    <col min="9229" max="9232" width="9.140625" style="215"/>
    <col min="9233" max="9233" width="9.28515625" style="215" customWidth="1"/>
    <col min="9234" max="9472" width="9.140625" style="215"/>
    <col min="9473" max="9473" width="6" style="215" customWidth="1"/>
    <col min="9474" max="9474" width="20.7109375" style="215" customWidth="1"/>
    <col min="9475" max="9475" width="13.5703125" style="215" customWidth="1"/>
    <col min="9476" max="9476" width="16.7109375" style="215" customWidth="1"/>
    <col min="9477" max="9477" width="14.140625" style="215" customWidth="1"/>
    <col min="9478" max="9478" width="13" style="215" customWidth="1"/>
    <col min="9479" max="9479" width="13.5703125" style="215" customWidth="1"/>
    <col min="9480" max="9480" width="12" style="215" customWidth="1"/>
    <col min="9481" max="9481" width="12.42578125" style="215" customWidth="1"/>
    <col min="9482" max="9482" width="13.28515625" style="215" bestFit="1" customWidth="1"/>
    <col min="9483" max="9483" width="11.5703125" style="215" customWidth="1"/>
    <col min="9484" max="9484" width="13.28515625" style="215" bestFit="1" customWidth="1"/>
    <col min="9485" max="9488" width="9.140625" style="215"/>
    <col min="9489" max="9489" width="9.28515625" style="215" customWidth="1"/>
    <col min="9490" max="9728" width="9.140625" style="215"/>
    <col min="9729" max="9729" width="6" style="215" customWidth="1"/>
    <col min="9730" max="9730" width="20.7109375" style="215" customWidth="1"/>
    <col min="9731" max="9731" width="13.5703125" style="215" customWidth="1"/>
    <col min="9732" max="9732" width="16.7109375" style="215" customWidth="1"/>
    <col min="9733" max="9733" width="14.140625" style="215" customWidth="1"/>
    <col min="9734" max="9734" width="13" style="215" customWidth="1"/>
    <col min="9735" max="9735" width="13.5703125" style="215" customWidth="1"/>
    <col min="9736" max="9736" width="12" style="215" customWidth="1"/>
    <col min="9737" max="9737" width="12.42578125" style="215" customWidth="1"/>
    <col min="9738" max="9738" width="13.28515625" style="215" bestFit="1" customWidth="1"/>
    <col min="9739" max="9739" width="11.5703125" style="215" customWidth="1"/>
    <col min="9740" max="9740" width="13.28515625" style="215" bestFit="1" customWidth="1"/>
    <col min="9741" max="9744" width="9.140625" style="215"/>
    <col min="9745" max="9745" width="9.28515625" style="215" customWidth="1"/>
    <col min="9746" max="9984" width="9.140625" style="215"/>
    <col min="9985" max="9985" width="6" style="215" customWidth="1"/>
    <col min="9986" max="9986" width="20.7109375" style="215" customWidth="1"/>
    <col min="9987" max="9987" width="13.5703125" style="215" customWidth="1"/>
    <col min="9988" max="9988" width="16.7109375" style="215" customWidth="1"/>
    <col min="9989" max="9989" width="14.140625" style="215" customWidth="1"/>
    <col min="9990" max="9990" width="13" style="215" customWidth="1"/>
    <col min="9991" max="9991" width="13.5703125" style="215" customWidth="1"/>
    <col min="9992" max="9992" width="12" style="215" customWidth="1"/>
    <col min="9993" max="9993" width="12.42578125" style="215" customWidth="1"/>
    <col min="9994" max="9994" width="13.28515625" style="215" bestFit="1" customWidth="1"/>
    <col min="9995" max="9995" width="11.5703125" style="215" customWidth="1"/>
    <col min="9996" max="9996" width="13.28515625" style="215" bestFit="1" customWidth="1"/>
    <col min="9997" max="10000" width="9.140625" style="215"/>
    <col min="10001" max="10001" width="9.28515625" style="215" customWidth="1"/>
    <col min="10002" max="10240" width="9.140625" style="215"/>
    <col min="10241" max="10241" width="6" style="215" customWidth="1"/>
    <col min="10242" max="10242" width="20.7109375" style="215" customWidth="1"/>
    <col min="10243" max="10243" width="13.5703125" style="215" customWidth="1"/>
    <col min="10244" max="10244" width="16.7109375" style="215" customWidth="1"/>
    <col min="10245" max="10245" width="14.140625" style="215" customWidth="1"/>
    <col min="10246" max="10246" width="13" style="215" customWidth="1"/>
    <col min="10247" max="10247" width="13.5703125" style="215" customWidth="1"/>
    <col min="10248" max="10248" width="12" style="215" customWidth="1"/>
    <col min="10249" max="10249" width="12.42578125" style="215" customWidth="1"/>
    <col min="10250" max="10250" width="13.28515625" style="215" bestFit="1" customWidth="1"/>
    <col min="10251" max="10251" width="11.5703125" style="215" customWidth="1"/>
    <col min="10252" max="10252" width="13.28515625" style="215" bestFit="1" customWidth="1"/>
    <col min="10253" max="10256" width="9.140625" style="215"/>
    <col min="10257" max="10257" width="9.28515625" style="215" customWidth="1"/>
    <col min="10258" max="10496" width="9.140625" style="215"/>
    <col min="10497" max="10497" width="6" style="215" customWidth="1"/>
    <col min="10498" max="10498" width="20.7109375" style="215" customWidth="1"/>
    <col min="10499" max="10499" width="13.5703125" style="215" customWidth="1"/>
    <col min="10500" max="10500" width="16.7109375" style="215" customWidth="1"/>
    <col min="10501" max="10501" width="14.140625" style="215" customWidth="1"/>
    <col min="10502" max="10502" width="13" style="215" customWidth="1"/>
    <col min="10503" max="10503" width="13.5703125" style="215" customWidth="1"/>
    <col min="10504" max="10504" width="12" style="215" customWidth="1"/>
    <col min="10505" max="10505" width="12.42578125" style="215" customWidth="1"/>
    <col min="10506" max="10506" width="13.28515625" style="215" bestFit="1" customWidth="1"/>
    <col min="10507" max="10507" width="11.5703125" style="215" customWidth="1"/>
    <col min="10508" max="10508" width="13.28515625" style="215" bestFit="1" customWidth="1"/>
    <col min="10509" max="10512" width="9.140625" style="215"/>
    <col min="10513" max="10513" width="9.28515625" style="215" customWidth="1"/>
    <col min="10514" max="10752" width="9.140625" style="215"/>
    <col min="10753" max="10753" width="6" style="215" customWidth="1"/>
    <col min="10754" max="10754" width="20.7109375" style="215" customWidth="1"/>
    <col min="10755" max="10755" width="13.5703125" style="215" customWidth="1"/>
    <col min="10756" max="10756" width="16.7109375" style="215" customWidth="1"/>
    <col min="10757" max="10757" width="14.140625" style="215" customWidth="1"/>
    <col min="10758" max="10758" width="13" style="215" customWidth="1"/>
    <col min="10759" max="10759" width="13.5703125" style="215" customWidth="1"/>
    <col min="10760" max="10760" width="12" style="215" customWidth="1"/>
    <col min="10761" max="10761" width="12.42578125" style="215" customWidth="1"/>
    <col min="10762" max="10762" width="13.28515625" style="215" bestFit="1" customWidth="1"/>
    <col min="10763" max="10763" width="11.5703125" style="215" customWidth="1"/>
    <col min="10764" max="10764" width="13.28515625" style="215" bestFit="1" customWidth="1"/>
    <col min="10765" max="10768" width="9.140625" style="215"/>
    <col min="10769" max="10769" width="9.28515625" style="215" customWidth="1"/>
    <col min="10770" max="11008" width="9.140625" style="215"/>
    <col min="11009" max="11009" width="6" style="215" customWidth="1"/>
    <col min="11010" max="11010" width="20.7109375" style="215" customWidth="1"/>
    <col min="11011" max="11011" width="13.5703125" style="215" customWidth="1"/>
    <col min="11012" max="11012" width="16.7109375" style="215" customWidth="1"/>
    <col min="11013" max="11013" width="14.140625" style="215" customWidth="1"/>
    <col min="11014" max="11014" width="13" style="215" customWidth="1"/>
    <col min="11015" max="11015" width="13.5703125" style="215" customWidth="1"/>
    <col min="11016" max="11016" width="12" style="215" customWidth="1"/>
    <col min="11017" max="11017" width="12.42578125" style="215" customWidth="1"/>
    <col min="11018" max="11018" width="13.28515625" style="215" bestFit="1" customWidth="1"/>
    <col min="11019" max="11019" width="11.5703125" style="215" customWidth="1"/>
    <col min="11020" max="11020" width="13.28515625" style="215" bestFit="1" customWidth="1"/>
    <col min="11021" max="11024" width="9.140625" style="215"/>
    <col min="11025" max="11025" width="9.28515625" style="215" customWidth="1"/>
    <col min="11026" max="11264" width="9.140625" style="215"/>
    <col min="11265" max="11265" width="6" style="215" customWidth="1"/>
    <col min="11266" max="11266" width="20.7109375" style="215" customWidth="1"/>
    <col min="11267" max="11267" width="13.5703125" style="215" customWidth="1"/>
    <col min="11268" max="11268" width="16.7109375" style="215" customWidth="1"/>
    <col min="11269" max="11269" width="14.140625" style="215" customWidth="1"/>
    <col min="11270" max="11270" width="13" style="215" customWidth="1"/>
    <col min="11271" max="11271" width="13.5703125" style="215" customWidth="1"/>
    <col min="11272" max="11272" width="12" style="215" customWidth="1"/>
    <col min="11273" max="11273" width="12.42578125" style="215" customWidth="1"/>
    <col min="11274" max="11274" width="13.28515625" style="215" bestFit="1" customWidth="1"/>
    <col min="11275" max="11275" width="11.5703125" style="215" customWidth="1"/>
    <col min="11276" max="11276" width="13.28515625" style="215" bestFit="1" customWidth="1"/>
    <col min="11277" max="11280" width="9.140625" style="215"/>
    <col min="11281" max="11281" width="9.28515625" style="215" customWidth="1"/>
    <col min="11282" max="11520" width="9.140625" style="215"/>
    <col min="11521" max="11521" width="6" style="215" customWidth="1"/>
    <col min="11522" max="11522" width="20.7109375" style="215" customWidth="1"/>
    <col min="11523" max="11523" width="13.5703125" style="215" customWidth="1"/>
    <col min="11524" max="11524" width="16.7109375" style="215" customWidth="1"/>
    <col min="11525" max="11525" width="14.140625" style="215" customWidth="1"/>
    <col min="11526" max="11526" width="13" style="215" customWidth="1"/>
    <col min="11527" max="11527" width="13.5703125" style="215" customWidth="1"/>
    <col min="11528" max="11528" width="12" style="215" customWidth="1"/>
    <col min="11529" max="11529" width="12.42578125" style="215" customWidth="1"/>
    <col min="11530" max="11530" width="13.28515625" style="215" bestFit="1" customWidth="1"/>
    <col min="11531" max="11531" width="11.5703125" style="215" customWidth="1"/>
    <col min="11532" max="11532" width="13.28515625" style="215" bestFit="1" customWidth="1"/>
    <col min="11533" max="11536" width="9.140625" style="215"/>
    <col min="11537" max="11537" width="9.28515625" style="215" customWidth="1"/>
    <col min="11538" max="11776" width="9.140625" style="215"/>
    <col min="11777" max="11777" width="6" style="215" customWidth="1"/>
    <col min="11778" max="11778" width="20.7109375" style="215" customWidth="1"/>
    <col min="11779" max="11779" width="13.5703125" style="215" customWidth="1"/>
    <col min="11780" max="11780" width="16.7109375" style="215" customWidth="1"/>
    <col min="11781" max="11781" width="14.140625" style="215" customWidth="1"/>
    <col min="11782" max="11782" width="13" style="215" customWidth="1"/>
    <col min="11783" max="11783" width="13.5703125" style="215" customWidth="1"/>
    <col min="11784" max="11784" width="12" style="215" customWidth="1"/>
    <col min="11785" max="11785" width="12.42578125" style="215" customWidth="1"/>
    <col min="11786" max="11786" width="13.28515625" style="215" bestFit="1" customWidth="1"/>
    <col min="11787" max="11787" width="11.5703125" style="215" customWidth="1"/>
    <col min="11788" max="11788" width="13.28515625" style="215" bestFit="1" customWidth="1"/>
    <col min="11789" max="11792" width="9.140625" style="215"/>
    <col min="11793" max="11793" width="9.28515625" style="215" customWidth="1"/>
    <col min="11794" max="12032" width="9.140625" style="215"/>
    <col min="12033" max="12033" width="6" style="215" customWidth="1"/>
    <col min="12034" max="12034" width="20.7109375" style="215" customWidth="1"/>
    <col min="12035" max="12035" width="13.5703125" style="215" customWidth="1"/>
    <col min="12036" max="12036" width="16.7109375" style="215" customWidth="1"/>
    <col min="12037" max="12037" width="14.140625" style="215" customWidth="1"/>
    <col min="12038" max="12038" width="13" style="215" customWidth="1"/>
    <col min="12039" max="12039" width="13.5703125" style="215" customWidth="1"/>
    <col min="12040" max="12040" width="12" style="215" customWidth="1"/>
    <col min="12041" max="12041" width="12.42578125" style="215" customWidth="1"/>
    <col min="12042" max="12042" width="13.28515625" style="215" bestFit="1" customWidth="1"/>
    <col min="12043" max="12043" width="11.5703125" style="215" customWidth="1"/>
    <col min="12044" max="12044" width="13.28515625" style="215" bestFit="1" customWidth="1"/>
    <col min="12045" max="12048" width="9.140625" style="215"/>
    <col min="12049" max="12049" width="9.28515625" style="215" customWidth="1"/>
    <col min="12050" max="12288" width="9.140625" style="215"/>
    <col min="12289" max="12289" width="6" style="215" customWidth="1"/>
    <col min="12290" max="12290" width="20.7109375" style="215" customWidth="1"/>
    <col min="12291" max="12291" width="13.5703125" style="215" customWidth="1"/>
    <col min="12292" max="12292" width="16.7109375" style="215" customWidth="1"/>
    <col min="12293" max="12293" width="14.140625" style="215" customWidth="1"/>
    <col min="12294" max="12294" width="13" style="215" customWidth="1"/>
    <col min="12295" max="12295" width="13.5703125" style="215" customWidth="1"/>
    <col min="12296" max="12296" width="12" style="215" customWidth="1"/>
    <col min="12297" max="12297" width="12.42578125" style="215" customWidth="1"/>
    <col min="12298" max="12298" width="13.28515625" style="215" bestFit="1" customWidth="1"/>
    <col min="12299" max="12299" width="11.5703125" style="215" customWidth="1"/>
    <col min="12300" max="12300" width="13.28515625" style="215" bestFit="1" customWidth="1"/>
    <col min="12301" max="12304" width="9.140625" style="215"/>
    <col min="12305" max="12305" width="9.28515625" style="215" customWidth="1"/>
    <col min="12306" max="12544" width="9.140625" style="215"/>
    <col min="12545" max="12545" width="6" style="215" customWidth="1"/>
    <col min="12546" max="12546" width="20.7109375" style="215" customWidth="1"/>
    <col min="12547" max="12547" width="13.5703125" style="215" customWidth="1"/>
    <col min="12548" max="12548" width="16.7109375" style="215" customWidth="1"/>
    <col min="12549" max="12549" width="14.140625" style="215" customWidth="1"/>
    <col min="12550" max="12550" width="13" style="215" customWidth="1"/>
    <col min="12551" max="12551" width="13.5703125" style="215" customWidth="1"/>
    <col min="12552" max="12552" width="12" style="215" customWidth="1"/>
    <col min="12553" max="12553" width="12.42578125" style="215" customWidth="1"/>
    <col min="12554" max="12554" width="13.28515625" style="215" bestFit="1" customWidth="1"/>
    <col min="12555" max="12555" width="11.5703125" style="215" customWidth="1"/>
    <col min="12556" max="12556" width="13.28515625" style="215" bestFit="1" customWidth="1"/>
    <col min="12557" max="12560" width="9.140625" style="215"/>
    <col min="12561" max="12561" width="9.28515625" style="215" customWidth="1"/>
    <col min="12562" max="12800" width="9.140625" style="215"/>
    <col min="12801" max="12801" width="6" style="215" customWidth="1"/>
    <col min="12802" max="12802" width="20.7109375" style="215" customWidth="1"/>
    <col min="12803" max="12803" width="13.5703125" style="215" customWidth="1"/>
    <col min="12804" max="12804" width="16.7109375" style="215" customWidth="1"/>
    <col min="12805" max="12805" width="14.140625" style="215" customWidth="1"/>
    <col min="12806" max="12806" width="13" style="215" customWidth="1"/>
    <col min="12807" max="12807" width="13.5703125" style="215" customWidth="1"/>
    <col min="12808" max="12808" width="12" style="215" customWidth="1"/>
    <col min="12809" max="12809" width="12.42578125" style="215" customWidth="1"/>
    <col min="12810" max="12810" width="13.28515625" style="215" bestFit="1" customWidth="1"/>
    <col min="12811" max="12811" width="11.5703125" style="215" customWidth="1"/>
    <col min="12812" max="12812" width="13.28515625" style="215" bestFit="1" customWidth="1"/>
    <col min="12813" max="12816" width="9.140625" style="215"/>
    <col min="12817" max="12817" width="9.28515625" style="215" customWidth="1"/>
    <col min="12818" max="13056" width="9.140625" style="215"/>
    <col min="13057" max="13057" width="6" style="215" customWidth="1"/>
    <col min="13058" max="13058" width="20.7109375" style="215" customWidth="1"/>
    <col min="13059" max="13059" width="13.5703125" style="215" customWidth="1"/>
    <col min="13060" max="13060" width="16.7109375" style="215" customWidth="1"/>
    <col min="13061" max="13061" width="14.140625" style="215" customWidth="1"/>
    <col min="13062" max="13062" width="13" style="215" customWidth="1"/>
    <col min="13063" max="13063" width="13.5703125" style="215" customWidth="1"/>
    <col min="13064" max="13064" width="12" style="215" customWidth="1"/>
    <col min="13065" max="13065" width="12.42578125" style="215" customWidth="1"/>
    <col min="13066" max="13066" width="13.28515625" style="215" bestFit="1" customWidth="1"/>
    <col min="13067" max="13067" width="11.5703125" style="215" customWidth="1"/>
    <col min="13068" max="13068" width="13.28515625" style="215" bestFit="1" customWidth="1"/>
    <col min="13069" max="13072" width="9.140625" style="215"/>
    <col min="13073" max="13073" width="9.28515625" style="215" customWidth="1"/>
    <col min="13074" max="13312" width="9.140625" style="215"/>
    <col min="13313" max="13313" width="6" style="215" customWidth="1"/>
    <col min="13314" max="13314" width="20.7109375" style="215" customWidth="1"/>
    <col min="13315" max="13315" width="13.5703125" style="215" customWidth="1"/>
    <col min="13316" max="13316" width="16.7109375" style="215" customWidth="1"/>
    <col min="13317" max="13317" width="14.140625" style="215" customWidth="1"/>
    <col min="13318" max="13318" width="13" style="215" customWidth="1"/>
    <col min="13319" max="13319" width="13.5703125" style="215" customWidth="1"/>
    <col min="13320" max="13320" width="12" style="215" customWidth="1"/>
    <col min="13321" max="13321" width="12.42578125" style="215" customWidth="1"/>
    <col min="13322" max="13322" width="13.28515625" style="215" bestFit="1" customWidth="1"/>
    <col min="13323" max="13323" width="11.5703125" style="215" customWidth="1"/>
    <col min="13324" max="13324" width="13.28515625" style="215" bestFit="1" customWidth="1"/>
    <col min="13325" max="13328" width="9.140625" style="215"/>
    <col min="13329" max="13329" width="9.28515625" style="215" customWidth="1"/>
    <col min="13330" max="13568" width="9.140625" style="215"/>
    <col min="13569" max="13569" width="6" style="215" customWidth="1"/>
    <col min="13570" max="13570" width="20.7109375" style="215" customWidth="1"/>
    <col min="13571" max="13571" width="13.5703125" style="215" customWidth="1"/>
    <col min="13572" max="13572" width="16.7109375" style="215" customWidth="1"/>
    <col min="13573" max="13573" width="14.140625" style="215" customWidth="1"/>
    <col min="13574" max="13574" width="13" style="215" customWidth="1"/>
    <col min="13575" max="13575" width="13.5703125" style="215" customWidth="1"/>
    <col min="13576" max="13576" width="12" style="215" customWidth="1"/>
    <col min="13577" max="13577" width="12.42578125" style="215" customWidth="1"/>
    <col min="13578" max="13578" width="13.28515625" style="215" bestFit="1" customWidth="1"/>
    <col min="13579" max="13579" width="11.5703125" style="215" customWidth="1"/>
    <col min="13580" max="13580" width="13.28515625" style="215" bestFit="1" customWidth="1"/>
    <col min="13581" max="13584" width="9.140625" style="215"/>
    <col min="13585" max="13585" width="9.28515625" style="215" customWidth="1"/>
    <col min="13586" max="13824" width="9.140625" style="215"/>
    <col min="13825" max="13825" width="6" style="215" customWidth="1"/>
    <col min="13826" max="13826" width="20.7109375" style="215" customWidth="1"/>
    <col min="13827" max="13827" width="13.5703125" style="215" customWidth="1"/>
    <col min="13828" max="13828" width="16.7109375" style="215" customWidth="1"/>
    <col min="13829" max="13829" width="14.140625" style="215" customWidth="1"/>
    <col min="13830" max="13830" width="13" style="215" customWidth="1"/>
    <col min="13831" max="13831" width="13.5703125" style="215" customWidth="1"/>
    <col min="13832" max="13832" width="12" style="215" customWidth="1"/>
    <col min="13833" max="13833" width="12.42578125" style="215" customWidth="1"/>
    <col min="13834" max="13834" width="13.28515625" style="215" bestFit="1" customWidth="1"/>
    <col min="13835" max="13835" width="11.5703125" style="215" customWidth="1"/>
    <col min="13836" max="13836" width="13.28515625" style="215" bestFit="1" customWidth="1"/>
    <col min="13837" max="13840" width="9.140625" style="215"/>
    <col min="13841" max="13841" width="9.28515625" style="215" customWidth="1"/>
    <col min="13842" max="14080" width="9.140625" style="215"/>
    <col min="14081" max="14081" width="6" style="215" customWidth="1"/>
    <col min="14082" max="14082" width="20.7109375" style="215" customWidth="1"/>
    <col min="14083" max="14083" width="13.5703125" style="215" customWidth="1"/>
    <col min="14084" max="14084" width="16.7109375" style="215" customWidth="1"/>
    <col min="14085" max="14085" width="14.140625" style="215" customWidth="1"/>
    <col min="14086" max="14086" width="13" style="215" customWidth="1"/>
    <col min="14087" max="14087" width="13.5703125" style="215" customWidth="1"/>
    <col min="14088" max="14088" width="12" style="215" customWidth="1"/>
    <col min="14089" max="14089" width="12.42578125" style="215" customWidth="1"/>
    <col min="14090" max="14090" width="13.28515625" style="215" bestFit="1" customWidth="1"/>
    <col min="14091" max="14091" width="11.5703125" style="215" customWidth="1"/>
    <col min="14092" max="14092" width="13.28515625" style="215" bestFit="1" customWidth="1"/>
    <col min="14093" max="14096" width="9.140625" style="215"/>
    <col min="14097" max="14097" width="9.28515625" style="215" customWidth="1"/>
    <col min="14098" max="14336" width="9.140625" style="215"/>
    <col min="14337" max="14337" width="6" style="215" customWidth="1"/>
    <col min="14338" max="14338" width="20.7109375" style="215" customWidth="1"/>
    <col min="14339" max="14339" width="13.5703125" style="215" customWidth="1"/>
    <col min="14340" max="14340" width="16.7109375" style="215" customWidth="1"/>
    <col min="14341" max="14341" width="14.140625" style="215" customWidth="1"/>
    <col min="14342" max="14342" width="13" style="215" customWidth="1"/>
    <col min="14343" max="14343" width="13.5703125" style="215" customWidth="1"/>
    <col min="14344" max="14344" width="12" style="215" customWidth="1"/>
    <col min="14345" max="14345" width="12.42578125" style="215" customWidth="1"/>
    <col min="14346" max="14346" width="13.28515625" style="215" bestFit="1" customWidth="1"/>
    <col min="14347" max="14347" width="11.5703125" style="215" customWidth="1"/>
    <col min="14348" max="14348" width="13.28515625" style="215" bestFit="1" customWidth="1"/>
    <col min="14349" max="14352" width="9.140625" style="215"/>
    <col min="14353" max="14353" width="9.28515625" style="215" customWidth="1"/>
    <col min="14354" max="14592" width="9.140625" style="215"/>
    <col min="14593" max="14593" width="6" style="215" customWidth="1"/>
    <col min="14594" max="14594" width="20.7109375" style="215" customWidth="1"/>
    <col min="14595" max="14595" width="13.5703125" style="215" customWidth="1"/>
    <col min="14596" max="14596" width="16.7109375" style="215" customWidth="1"/>
    <col min="14597" max="14597" width="14.140625" style="215" customWidth="1"/>
    <col min="14598" max="14598" width="13" style="215" customWidth="1"/>
    <col min="14599" max="14599" width="13.5703125" style="215" customWidth="1"/>
    <col min="14600" max="14600" width="12" style="215" customWidth="1"/>
    <col min="14601" max="14601" width="12.42578125" style="215" customWidth="1"/>
    <col min="14602" max="14602" width="13.28515625" style="215" bestFit="1" customWidth="1"/>
    <col min="14603" max="14603" width="11.5703125" style="215" customWidth="1"/>
    <col min="14604" max="14604" width="13.28515625" style="215" bestFit="1" customWidth="1"/>
    <col min="14605" max="14608" width="9.140625" style="215"/>
    <col min="14609" max="14609" width="9.28515625" style="215" customWidth="1"/>
    <col min="14610" max="14848" width="9.140625" style="215"/>
    <col min="14849" max="14849" width="6" style="215" customWidth="1"/>
    <col min="14850" max="14850" width="20.7109375" style="215" customWidth="1"/>
    <col min="14851" max="14851" width="13.5703125" style="215" customWidth="1"/>
    <col min="14852" max="14852" width="16.7109375" style="215" customWidth="1"/>
    <col min="14853" max="14853" width="14.140625" style="215" customWidth="1"/>
    <col min="14854" max="14854" width="13" style="215" customWidth="1"/>
    <col min="14855" max="14855" width="13.5703125" style="215" customWidth="1"/>
    <col min="14856" max="14856" width="12" style="215" customWidth="1"/>
    <col min="14857" max="14857" width="12.42578125" style="215" customWidth="1"/>
    <col min="14858" max="14858" width="13.28515625" style="215" bestFit="1" customWidth="1"/>
    <col min="14859" max="14859" width="11.5703125" style="215" customWidth="1"/>
    <col min="14860" max="14860" width="13.28515625" style="215" bestFit="1" customWidth="1"/>
    <col min="14861" max="14864" width="9.140625" style="215"/>
    <col min="14865" max="14865" width="9.28515625" style="215" customWidth="1"/>
    <col min="14866" max="15104" width="9.140625" style="215"/>
    <col min="15105" max="15105" width="6" style="215" customWidth="1"/>
    <col min="15106" max="15106" width="20.7109375" style="215" customWidth="1"/>
    <col min="15107" max="15107" width="13.5703125" style="215" customWidth="1"/>
    <col min="15108" max="15108" width="16.7109375" style="215" customWidth="1"/>
    <col min="15109" max="15109" width="14.140625" style="215" customWidth="1"/>
    <col min="15110" max="15110" width="13" style="215" customWidth="1"/>
    <col min="15111" max="15111" width="13.5703125" style="215" customWidth="1"/>
    <col min="15112" max="15112" width="12" style="215" customWidth="1"/>
    <col min="15113" max="15113" width="12.42578125" style="215" customWidth="1"/>
    <col min="15114" max="15114" width="13.28515625" style="215" bestFit="1" customWidth="1"/>
    <col min="15115" max="15115" width="11.5703125" style="215" customWidth="1"/>
    <col min="15116" max="15116" width="13.28515625" style="215" bestFit="1" customWidth="1"/>
    <col min="15117" max="15120" width="9.140625" style="215"/>
    <col min="15121" max="15121" width="9.28515625" style="215" customWidth="1"/>
    <col min="15122" max="15360" width="9.140625" style="215"/>
    <col min="15361" max="15361" width="6" style="215" customWidth="1"/>
    <col min="15362" max="15362" width="20.7109375" style="215" customWidth="1"/>
    <col min="15363" max="15363" width="13.5703125" style="215" customWidth="1"/>
    <col min="15364" max="15364" width="16.7109375" style="215" customWidth="1"/>
    <col min="15365" max="15365" width="14.140625" style="215" customWidth="1"/>
    <col min="15366" max="15366" width="13" style="215" customWidth="1"/>
    <col min="15367" max="15367" width="13.5703125" style="215" customWidth="1"/>
    <col min="15368" max="15368" width="12" style="215" customWidth="1"/>
    <col min="15369" max="15369" width="12.42578125" style="215" customWidth="1"/>
    <col min="15370" max="15370" width="13.28515625" style="215" bestFit="1" customWidth="1"/>
    <col min="15371" max="15371" width="11.5703125" style="215" customWidth="1"/>
    <col min="15372" max="15372" width="13.28515625" style="215" bestFit="1" customWidth="1"/>
    <col min="15373" max="15376" width="9.140625" style="215"/>
    <col min="15377" max="15377" width="9.28515625" style="215" customWidth="1"/>
    <col min="15378" max="15616" width="9.140625" style="215"/>
    <col min="15617" max="15617" width="6" style="215" customWidth="1"/>
    <col min="15618" max="15618" width="20.7109375" style="215" customWidth="1"/>
    <col min="15619" max="15619" width="13.5703125" style="215" customWidth="1"/>
    <col min="15620" max="15620" width="16.7109375" style="215" customWidth="1"/>
    <col min="15621" max="15621" width="14.140625" style="215" customWidth="1"/>
    <col min="15622" max="15622" width="13" style="215" customWidth="1"/>
    <col min="15623" max="15623" width="13.5703125" style="215" customWidth="1"/>
    <col min="15624" max="15624" width="12" style="215" customWidth="1"/>
    <col min="15625" max="15625" width="12.42578125" style="215" customWidth="1"/>
    <col min="15626" max="15626" width="13.28515625" style="215" bestFit="1" customWidth="1"/>
    <col min="15627" max="15627" width="11.5703125" style="215" customWidth="1"/>
    <col min="15628" max="15628" width="13.28515625" style="215" bestFit="1" customWidth="1"/>
    <col min="15629" max="15632" width="9.140625" style="215"/>
    <col min="15633" max="15633" width="9.28515625" style="215" customWidth="1"/>
    <col min="15634" max="15872" width="9.140625" style="215"/>
    <col min="15873" max="15873" width="6" style="215" customWidth="1"/>
    <col min="15874" max="15874" width="20.7109375" style="215" customWidth="1"/>
    <col min="15875" max="15875" width="13.5703125" style="215" customWidth="1"/>
    <col min="15876" max="15876" width="16.7109375" style="215" customWidth="1"/>
    <col min="15877" max="15877" width="14.140625" style="215" customWidth="1"/>
    <col min="15878" max="15878" width="13" style="215" customWidth="1"/>
    <col min="15879" max="15879" width="13.5703125" style="215" customWidth="1"/>
    <col min="15880" max="15880" width="12" style="215" customWidth="1"/>
    <col min="15881" max="15881" width="12.42578125" style="215" customWidth="1"/>
    <col min="15882" max="15882" width="13.28515625" style="215" bestFit="1" customWidth="1"/>
    <col min="15883" max="15883" width="11.5703125" style="215" customWidth="1"/>
    <col min="15884" max="15884" width="13.28515625" style="215" bestFit="1" customWidth="1"/>
    <col min="15885" max="15888" width="9.140625" style="215"/>
    <col min="15889" max="15889" width="9.28515625" style="215" customWidth="1"/>
    <col min="15890" max="16128" width="9.140625" style="215"/>
    <col min="16129" max="16129" width="6" style="215" customWidth="1"/>
    <col min="16130" max="16130" width="20.7109375" style="215" customWidth="1"/>
    <col min="16131" max="16131" width="13.5703125" style="215" customWidth="1"/>
    <col min="16132" max="16132" width="16.7109375" style="215" customWidth="1"/>
    <col min="16133" max="16133" width="14.140625" style="215" customWidth="1"/>
    <col min="16134" max="16134" width="13" style="215" customWidth="1"/>
    <col min="16135" max="16135" width="13.5703125" style="215" customWidth="1"/>
    <col min="16136" max="16136" width="12" style="215" customWidth="1"/>
    <col min="16137" max="16137" width="12.42578125" style="215" customWidth="1"/>
    <col min="16138" max="16138" width="13.28515625" style="215" bestFit="1" customWidth="1"/>
    <col min="16139" max="16139" width="11.5703125" style="215" customWidth="1"/>
    <col min="16140" max="16140" width="13.28515625" style="215" bestFit="1" customWidth="1"/>
    <col min="16141" max="16144" width="9.140625" style="215"/>
    <col min="16145" max="16145" width="9.28515625" style="215" customWidth="1"/>
    <col min="16146" max="16384" width="9.140625" style="215"/>
  </cols>
  <sheetData>
    <row r="1" spans="1:18">
      <c r="M1" s="215" t="s">
        <v>999</v>
      </c>
    </row>
    <row r="3" spans="1:18" ht="18.75">
      <c r="A3" s="1301" t="s">
        <v>1000</v>
      </c>
      <c r="B3" s="1301"/>
      <c r="C3" s="1301"/>
      <c r="D3" s="1301"/>
      <c r="E3" s="1301"/>
      <c r="F3" s="1301"/>
      <c r="G3" s="1301"/>
      <c r="H3" s="1301"/>
      <c r="I3" s="1301"/>
      <c r="J3" s="1301"/>
      <c r="K3" s="1301"/>
      <c r="L3" s="1301"/>
      <c r="M3" s="1301"/>
      <c r="N3" s="1301"/>
      <c r="O3" s="1301"/>
      <c r="P3" s="1301"/>
      <c r="Q3" s="1301"/>
      <c r="R3" s="1302"/>
    </row>
    <row r="5" spans="1:18" ht="15.75">
      <c r="A5" s="1296" t="s">
        <v>1001</v>
      </c>
      <c r="B5" s="1296"/>
      <c r="C5" s="1296"/>
      <c r="D5" s="1296"/>
      <c r="E5" s="1296"/>
      <c r="F5" s="1296"/>
      <c r="G5" s="1296"/>
      <c r="H5" s="1296"/>
      <c r="I5" s="1296"/>
      <c r="J5" s="1296"/>
      <c r="K5" s="1296"/>
      <c r="L5" s="1296"/>
      <c r="M5" s="1296"/>
      <c r="N5" s="1296"/>
      <c r="O5" s="1296"/>
      <c r="P5" s="1296"/>
      <c r="Q5" s="1296"/>
      <c r="R5" s="1303"/>
    </row>
    <row r="7" spans="1:18" ht="13.5" thickBot="1"/>
    <row r="8" spans="1:18" ht="34.5" customHeight="1" thickBot="1">
      <c r="A8" s="1304" t="s">
        <v>8</v>
      </c>
      <c r="B8" s="1305" t="s">
        <v>1002</v>
      </c>
      <c r="C8" s="1306" t="s">
        <v>1003</v>
      </c>
      <c r="D8" s="1307"/>
      <c r="E8" s="1307"/>
      <c r="F8" s="1307"/>
      <c r="G8" s="1308"/>
      <c r="H8" s="1307" t="s">
        <v>1004</v>
      </c>
      <c r="I8" s="1307"/>
      <c r="J8" s="1307"/>
      <c r="K8" s="1307"/>
      <c r="L8" s="1307"/>
      <c r="M8" s="1306" t="s">
        <v>1005</v>
      </c>
      <c r="N8" s="1307"/>
      <c r="O8" s="1307"/>
      <c r="P8" s="1307"/>
      <c r="Q8" s="1308"/>
    </row>
    <row r="9" spans="1:18" ht="32.25" customHeight="1" thickBot="1">
      <c r="A9" s="1309"/>
      <c r="B9" s="1310"/>
      <c r="C9" s="1311" t="s">
        <v>1006</v>
      </c>
      <c r="D9" s="1312" t="s">
        <v>1007</v>
      </c>
      <c r="E9" s="1312" t="s">
        <v>1008</v>
      </c>
      <c r="F9" s="1312" t="s">
        <v>1009</v>
      </c>
      <c r="G9" s="1313" t="s">
        <v>1010</v>
      </c>
      <c r="H9" s="1314" t="s">
        <v>1006</v>
      </c>
      <c r="I9" s="1315" t="s">
        <v>1007</v>
      </c>
      <c r="J9" s="1312" t="s">
        <v>1008</v>
      </c>
      <c r="K9" s="1312" t="s">
        <v>1009</v>
      </c>
      <c r="L9" s="1316" t="s">
        <v>1010</v>
      </c>
      <c r="M9" s="1311" t="s">
        <v>1006</v>
      </c>
      <c r="N9" s="1312" t="s">
        <v>1007</v>
      </c>
      <c r="O9" s="1312" t="s">
        <v>1008</v>
      </c>
      <c r="P9" s="1312" t="s">
        <v>1009</v>
      </c>
      <c r="Q9" s="1313" t="s">
        <v>1010</v>
      </c>
    </row>
    <row r="10" spans="1:18" ht="73.5" customHeight="1">
      <c r="A10" s="1317" t="s">
        <v>14</v>
      </c>
      <c r="B10" s="1318" t="s">
        <v>1011</v>
      </c>
      <c r="C10" s="1319">
        <f>663.71118</f>
        <v>663.71118000000001</v>
      </c>
      <c r="D10" s="1320"/>
      <c r="E10" s="1320">
        <f>473.73999+211.2978+303.80477</f>
        <v>988.84256000000005</v>
      </c>
      <c r="F10" s="1320">
        <f>27.85307</f>
        <v>27.853069999999999</v>
      </c>
      <c r="G10" s="1321">
        <f>C10+D10+E10+F10</f>
        <v>1680.40681</v>
      </c>
      <c r="H10" s="1322">
        <f>393.94052+853.05354</f>
        <v>1246.99406</v>
      </c>
      <c r="I10" s="1323">
        <f>482.45002</f>
        <v>482.45001999999999</v>
      </c>
      <c r="J10" s="1320">
        <f>663.16046+1224.55345</f>
        <v>1887.7139099999999</v>
      </c>
      <c r="K10" s="1320">
        <f>354.96588</f>
        <v>354.96588000000003</v>
      </c>
      <c r="L10" s="1324">
        <f>H10+I10+J10+K10</f>
        <v>3972.1238699999999</v>
      </c>
      <c r="M10" s="1325"/>
      <c r="N10" s="1326"/>
      <c r="O10" s="1326"/>
      <c r="P10" s="1326"/>
      <c r="Q10" s="1327"/>
    </row>
    <row r="11" spans="1:18" ht="96.75" customHeight="1" thickBot="1">
      <c r="A11" s="1328" t="s">
        <v>135</v>
      </c>
      <c r="B11" s="1329" t="s">
        <v>1012</v>
      </c>
      <c r="C11" s="1330">
        <f>C10*0.95</f>
        <v>630.525621</v>
      </c>
      <c r="D11" s="1331"/>
      <c r="E11" s="1331">
        <f>E10*0.95</f>
        <v>939.40043200000002</v>
      </c>
      <c r="F11" s="1331">
        <f>F10*0.95</f>
        <v>26.460416499999997</v>
      </c>
      <c r="G11" s="1332">
        <f>C11+D11+E11+F11</f>
        <v>1596.3864695000002</v>
      </c>
      <c r="H11" s="1333">
        <f>H10*0.95</f>
        <v>1184.6443569999999</v>
      </c>
      <c r="I11" s="1334">
        <f>I10*0.95</f>
        <v>458.327519</v>
      </c>
      <c r="J11" s="1331">
        <f>J10*0.95</f>
        <v>1793.3282144999998</v>
      </c>
      <c r="K11" s="1331">
        <f>K10*0.95</f>
        <v>337.21758599999998</v>
      </c>
      <c r="L11" s="1335">
        <f>H11+I11+J11+K11</f>
        <v>3773.5176764999997</v>
      </c>
      <c r="M11" s="1336"/>
      <c r="N11" s="1337"/>
      <c r="O11" s="1337"/>
      <c r="P11" s="1337"/>
      <c r="Q11" s="1338"/>
    </row>
    <row r="13" spans="1:18" ht="44.25" customHeight="1">
      <c r="A13" s="1339" t="s">
        <v>1013</v>
      </c>
      <c r="B13" s="1339"/>
      <c r="C13" s="1339"/>
      <c r="D13" s="1339"/>
      <c r="E13" s="1339"/>
      <c r="F13" s="1339"/>
      <c r="G13" s="1339"/>
    </row>
    <row r="14" spans="1:18" ht="31.5">
      <c r="B14" s="1340" t="s">
        <v>1014</v>
      </c>
      <c r="C14" s="1340">
        <v>7.25</v>
      </c>
      <c r="D14" s="1340"/>
      <c r="E14" s="1340"/>
      <c r="F14" s="1340"/>
      <c r="G14" s="1340"/>
      <c r="H14" s="1340"/>
    </row>
    <row r="15" spans="1:18" ht="15.75">
      <c r="B15" s="1340"/>
      <c r="C15" s="1340"/>
      <c r="D15" s="1340"/>
      <c r="E15" s="1340"/>
      <c r="F15" s="1340"/>
      <c r="G15" s="1340"/>
      <c r="H15" s="1340"/>
    </row>
    <row r="16" spans="1:18" ht="51.75" thickBot="1">
      <c r="B16" s="1341" t="s">
        <v>1015</v>
      </c>
      <c r="C16" s="1342" t="s">
        <v>1016</v>
      </c>
      <c r="D16" s="1342"/>
      <c r="E16" s="1342"/>
      <c r="F16" s="215" t="s">
        <v>1017</v>
      </c>
    </row>
    <row r="17" spans="1:15" ht="29.25" customHeight="1" thickBot="1">
      <c r="A17" s="1343" t="s">
        <v>1018</v>
      </c>
      <c r="B17" s="1344" t="s">
        <v>1019</v>
      </c>
      <c r="C17" s="1345" t="s">
        <v>1020</v>
      </c>
      <c r="D17" s="1346"/>
      <c r="E17" s="1346"/>
      <c r="F17" s="1346"/>
      <c r="G17" s="1347"/>
    </row>
    <row r="18" spans="1:15" ht="78" customHeight="1" thickBot="1">
      <c r="A18" s="1348"/>
      <c r="B18" s="1349"/>
      <c r="C18" s="1350" t="s">
        <v>1021</v>
      </c>
      <c r="D18" s="1351" t="s">
        <v>1022</v>
      </c>
      <c r="E18" s="1351" t="s">
        <v>1023</v>
      </c>
      <c r="F18" s="1351" t="s">
        <v>1024</v>
      </c>
      <c r="G18" s="1313" t="s">
        <v>1025</v>
      </c>
      <c r="J18" s="1352"/>
    </row>
    <row r="19" spans="1:15" ht="15.75">
      <c r="A19" s="1353" t="s">
        <v>14</v>
      </c>
      <c r="B19" s="1354" t="s">
        <v>1026</v>
      </c>
      <c r="C19" s="1355">
        <f>C20+C21+C22+C23</f>
        <v>9.4258222406249992</v>
      </c>
      <c r="D19" s="1356">
        <f>D20+D21+D22+D23</f>
        <v>10.323519596875</v>
      </c>
      <c r="E19" s="1356">
        <f>E20+E21+E22+E23</f>
        <v>11.221216953124999</v>
      </c>
      <c r="F19" s="1356">
        <f>F20+F21+F22+F23</f>
        <v>12.118914309374999</v>
      </c>
      <c r="G19" s="1357">
        <f>G20+G21+G22+G23</f>
        <v>43.089473099999992</v>
      </c>
      <c r="J19" s="1358"/>
      <c r="K19" s="1358"/>
      <c r="L19" s="1358"/>
      <c r="M19" s="1358"/>
      <c r="N19" s="1358"/>
      <c r="O19" s="1358"/>
    </row>
    <row r="20" spans="1:15" ht="15.75">
      <c r="A20" s="1359" t="s">
        <v>381</v>
      </c>
      <c r="B20" s="1360" t="s">
        <v>1027</v>
      </c>
      <c r="C20" s="1361">
        <f>148.58439*(12+1-1)/12*0.0725/4</f>
        <v>2.69309206875</v>
      </c>
      <c r="D20" s="1362">
        <f>148.58439*(12+2-1)/12*0.0725/4</f>
        <v>2.9175164078125002</v>
      </c>
      <c r="E20" s="1362">
        <f>148.58439*(12+3-1)/12*0.0725/4</f>
        <v>3.1419407468750005</v>
      </c>
      <c r="F20" s="1362">
        <f>148.58439*(12+4-1)/12*0.0725/4</f>
        <v>3.3663650859374998</v>
      </c>
      <c r="G20" s="1363">
        <f>C20+D20+E20+F20</f>
        <v>12.118914309375</v>
      </c>
      <c r="J20" s="1364"/>
    </row>
    <row r="21" spans="1:15">
      <c r="A21" s="1360" t="s">
        <v>393</v>
      </c>
      <c r="B21" s="1360" t="s">
        <v>1028</v>
      </c>
      <c r="C21" s="1361">
        <f>148.58439*(12+1-2)/12*0.0725/4</f>
        <v>2.4686677296874997</v>
      </c>
      <c r="D21" s="1362">
        <f>148.58439*(12+2-2)/12*0.0725/4</f>
        <v>2.69309206875</v>
      </c>
      <c r="E21" s="1362">
        <f>148.58439*(12+3-2)/12*0.0725/4</f>
        <v>2.9175164078125002</v>
      </c>
      <c r="F21" s="1362">
        <f>148.58439*(12+4-2)/12*0.0725/4</f>
        <v>3.1419407468750005</v>
      </c>
      <c r="G21" s="1363">
        <f>C21+D21+E21+F21</f>
        <v>11.221216953125001</v>
      </c>
    </row>
    <row r="22" spans="1:15">
      <c r="A22" s="1360" t="s">
        <v>21</v>
      </c>
      <c r="B22" s="1360" t="s">
        <v>1029</v>
      </c>
      <c r="C22" s="1361">
        <f>148.58439*(12+1-3)/12*0.0725/4</f>
        <v>2.2442433906249999</v>
      </c>
      <c r="D22" s="1362">
        <f>148.58439*(12+2-3)/12*0.0725/4</f>
        <v>2.4686677296874997</v>
      </c>
      <c r="E22" s="1362">
        <f>148.58439*(12+3-3)/12*0.0725/4</f>
        <v>2.69309206875</v>
      </c>
      <c r="F22" s="1362">
        <f>148.58439*(12+4-3)/12*0.0725/4</f>
        <v>2.9175164078125002</v>
      </c>
      <c r="G22" s="1363">
        <f>C22+D22+E22+F22</f>
        <v>10.323519596874998</v>
      </c>
    </row>
    <row r="23" spans="1:15">
      <c r="A23" s="1360" t="s">
        <v>23</v>
      </c>
      <c r="B23" s="1360" t="s">
        <v>1030</v>
      </c>
      <c r="C23" s="1361">
        <f>148.58439*(12+1-4)/12*0.0725/4</f>
        <v>2.0198190515625001</v>
      </c>
      <c r="D23" s="1362">
        <f>148.58439*(12+2-4)/12*0.0725/4</f>
        <v>2.2442433906249999</v>
      </c>
      <c r="E23" s="1362">
        <f>148.58439*(12+3-4)/12*0.0725/4</f>
        <v>2.4686677296874997</v>
      </c>
      <c r="F23" s="1362">
        <f>148.58439*(12+4-4)/12*0.0725/4</f>
        <v>2.69309206875</v>
      </c>
      <c r="G23" s="1363">
        <f>C23+D23+E23+F23</f>
        <v>9.4258222406249992</v>
      </c>
    </row>
    <row r="24" spans="1:15">
      <c r="A24" s="1360" t="s">
        <v>135</v>
      </c>
      <c r="B24" s="1365" t="s">
        <v>1031</v>
      </c>
      <c r="C24" s="1355">
        <f>C25+C26+C27+C28</f>
        <v>5.8350328156250004</v>
      </c>
      <c r="D24" s="1356">
        <f>D25+D26+D27+D28</f>
        <v>6.7327301718750006</v>
      </c>
      <c r="E24" s="1356">
        <f>E25+E26+E27+E28</f>
        <v>7.6304275281250007</v>
      </c>
      <c r="F24" s="1356">
        <f>F25+F26+F27+F28</f>
        <v>8.5281248843749999</v>
      </c>
      <c r="G24" s="1357">
        <f>G25+G26+G27+G28</f>
        <v>28.726315400000004</v>
      </c>
    </row>
    <row r="25" spans="1:15">
      <c r="A25" s="1360" t="s">
        <v>167</v>
      </c>
      <c r="B25" s="1360" t="s">
        <v>1032</v>
      </c>
      <c r="C25" s="1361">
        <f>148.58439*(12+1-5)/12*0.0725/4</f>
        <v>1.7953947125</v>
      </c>
      <c r="D25" s="1362">
        <f>148.58439*(12+2-5)/12*0.0725/4</f>
        <v>2.0198190515625001</v>
      </c>
      <c r="E25" s="1362">
        <f>148.58439*(12+3-5)/12*0.0725/4</f>
        <v>2.2442433906249999</v>
      </c>
      <c r="F25" s="1362">
        <f>148.58439*(12+4-5)/12*0.0725/4</f>
        <v>2.4686677296874997</v>
      </c>
      <c r="G25" s="1363">
        <f>C25+D25+E25+F25</f>
        <v>8.5281248843749999</v>
      </c>
    </row>
    <row r="26" spans="1:15">
      <c r="A26" s="1360" t="s">
        <v>173</v>
      </c>
      <c r="B26" s="1360" t="s">
        <v>1033</v>
      </c>
      <c r="C26" s="1361">
        <f>148.58439*(12+1-6)/12*0.0725/4</f>
        <v>1.5709703734375002</v>
      </c>
      <c r="D26" s="1362">
        <f>148.58439*(12+2-6)/12*0.0725/4</f>
        <v>1.7953947125</v>
      </c>
      <c r="E26" s="1362">
        <f>148.58439*(12+3-6)/12*0.0725/4</f>
        <v>2.0198190515625001</v>
      </c>
      <c r="F26" s="1362">
        <f>148.58439*(12+4-6)/12*0.0725/4</f>
        <v>2.2442433906249999</v>
      </c>
      <c r="G26" s="1363">
        <f>C26+D26+E26+F26</f>
        <v>7.6304275281250007</v>
      </c>
    </row>
    <row r="27" spans="1:15">
      <c r="A27" s="1360" t="s">
        <v>180</v>
      </c>
      <c r="B27" s="1360" t="s">
        <v>1034</v>
      </c>
      <c r="C27" s="1361">
        <f>148.58439*(12+1-7)/12*0.0725/4</f>
        <v>1.346546034375</v>
      </c>
      <c r="D27" s="1362">
        <f>148.58439*(12+2-7)/12*0.0725/4</f>
        <v>1.5709703734375002</v>
      </c>
      <c r="E27" s="1362">
        <f>148.58439*(12+3-7)/12*0.0725/4</f>
        <v>1.7953947125</v>
      </c>
      <c r="F27" s="1362">
        <f>148.58439*(12+4-7)/12*0.0725/4</f>
        <v>2.0198190515625001</v>
      </c>
      <c r="G27" s="1363">
        <f>C27+D27+E27+F27</f>
        <v>6.7327301718750006</v>
      </c>
    </row>
    <row r="28" spans="1:15">
      <c r="A28" s="1360" t="s">
        <v>182</v>
      </c>
      <c r="B28" s="1360" t="s">
        <v>1035</v>
      </c>
      <c r="C28" s="1361">
        <f>148.58439*(12+1-8)/12*0.0725/4</f>
        <v>1.1221216953124999</v>
      </c>
      <c r="D28" s="1362">
        <f>148.58439*(12+2-8)/12*0.0725/4</f>
        <v>1.346546034375</v>
      </c>
      <c r="E28" s="1362">
        <f>148.58439*(12+3-8)/12*0.0725/4</f>
        <v>1.5709703734375002</v>
      </c>
      <c r="F28" s="1362">
        <f>148.58439*(12+4-8)/12*0.0725/4</f>
        <v>1.7953947125</v>
      </c>
      <c r="G28" s="1363">
        <f>C28+D28+E28+F28</f>
        <v>5.8350328156250004</v>
      </c>
    </row>
    <row r="29" spans="1:15">
      <c r="A29" s="1360" t="s">
        <v>191</v>
      </c>
      <c r="B29" s="1365" t="s">
        <v>1036</v>
      </c>
      <c r="C29" s="1355">
        <f>C30+C31+C32+C33</f>
        <v>2.2442433906249999</v>
      </c>
      <c r="D29" s="1356">
        <f>D30+D31+D32+D33</f>
        <v>3.141940746875</v>
      </c>
      <c r="E29" s="1356">
        <f>E30+E31+E32+E33</f>
        <v>4.0396381031250002</v>
      </c>
      <c r="F29" s="1356">
        <f>F30+F31+F32+F33</f>
        <v>4.9373354593750003</v>
      </c>
      <c r="G29" s="1357">
        <f>G30+G31+G32+G33</f>
        <v>14.3631577</v>
      </c>
      <c r="H29" s="1366"/>
      <c r="I29" s="1366"/>
    </row>
    <row r="30" spans="1:15">
      <c r="A30" s="1360" t="s">
        <v>192</v>
      </c>
      <c r="B30" s="1360" t="s">
        <v>1037</v>
      </c>
      <c r="C30" s="1361">
        <f>148.58439*(12+1-9)/12*0.0725/4</f>
        <v>0.89769735625000002</v>
      </c>
      <c r="D30" s="1362">
        <f>148.58439*(12+2-9)/12*0.0725/4</f>
        <v>1.1221216953124999</v>
      </c>
      <c r="E30" s="1362">
        <f>148.58439*(12+3-9)/12*0.0725/4</f>
        <v>1.346546034375</v>
      </c>
      <c r="F30" s="1362">
        <f>148.58439*(12+4-9)/12*0.0725/4</f>
        <v>1.5709703734375002</v>
      </c>
      <c r="G30" s="1363">
        <f>C30+D30+E30+F30</f>
        <v>4.9373354593750003</v>
      </c>
      <c r="H30" s="1366"/>
      <c r="I30" s="1366"/>
    </row>
    <row r="31" spans="1:15">
      <c r="A31" s="1360" t="s">
        <v>195</v>
      </c>
      <c r="B31" s="1360" t="s">
        <v>1038</v>
      </c>
      <c r="C31" s="1361">
        <f>148.58439*(12+1-10)/12*0.0725/4</f>
        <v>0.67327301718749999</v>
      </c>
      <c r="D31" s="1362">
        <f>148.58439*(12+2-10)/12*0.0725/4</f>
        <v>0.89769735625000002</v>
      </c>
      <c r="E31" s="1362">
        <f>148.58439*(12+3-10)/12*0.0725/4</f>
        <v>1.1221216953124999</v>
      </c>
      <c r="F31" s="1362">
        <f>148.58439*(12+4-10)/12*0.0725/4</f>
        <v>1.346546034375</v>
      </c>
      <c r="G31" s="1363">
        <f>C31+D31+E31+F31</f>
        <v>4.0396381031250002</v>
      </c>
      <c r="H31" s="1366"/>
      <c r="I31" s="1366"/>
    </row>
    <row r="32" spans="1:15">
      <c r="A32" s="1360" t="s">
        <v>631</v>
      </c>
      <c r="B32" s="1360" t="s">
        <v>1039</v>
      </c>
      <c r="C32" s="1361">
        <f>148.58439*(12+1-11)/12*0.0725/4</f>
        <v>0.44884867812500001</v>
      </c>
      <c r="D32" s="1362">
        <f>148.58439*(12+2-11)/12*0.0725/4</f>
        <v>0.67327301718749999</v>
      </c>
      <c r="E32" s="1362">
        <f>148.58439*(12+3-11)/12*0.0725/4</f>
        <v>0.89769735625000002</v>
      </c>
      <c r="F32" s="1362">
        <f>148.58439*(12+4-11)/12*0.0725/4</f>
        <v>1.1221216953124999</v>
      </c>
      <c r="G32" s="1363">
        <f>C32+D32+E32+F32</f>
        <v>3.141940746875</v>
      </c>
      <c r="H32" s="1366"/>
      <c r="I32" s="1366"/>
    </row>
    <row r="33" spans="1:10" ht="13.5" thickBot="1">
      <c r="A33" s="1360" t="s">
        <v>1040</v>
      </c>
      <c r="B33" s="1360" t="s">
        <v>1041</v>
      </c>
      <c r="C33" s="1361">
        <f>148.58439*(12+1-12)/12*0.0725/4</f>
        <v>0.22442433906250001</v>
      </c>
      <c r="D33" s="1362">
        <f>148.58439*(12+2-12)/12*0.0725/4</f>
        <v>0.44884867812500001</v>
      </c>
      <c r="E33" s="1362">
        <f>148.58439*(12+3-12)/12*0.0725/4</f>
        <v>0.67327301718749999</v>
      </c>
      <c r="F33" s="1362">
        <f>148.58439*(12+4-12)/12*0.0725/4</f>
        <v>0.89769735625000002</v>
      </c>
      <c r="G33" s="1363">
        <f>C33+D33+E33+F33</f>
        <v>2.2442433906249999</v>
      </c>
      <c r="H33" s="1366"/>
      <c r="I33" s="1366"/>
    </row>
    <row r="34" spans="1:10" ht="13.5" thickBot="1">
      <c r="A34" s="1367" t="s">
        <v>198</v>
      </c>
      <c r="B34" s="1368" t="s">
        <v>201</v>
      </c>
      <c r="C34" s="1369">
        <f>C19+C24+C29</f>
        <v>17.505098446874999</v>
      </c>
      <c r="D34" s="1370">
        <f>D19+D24+D29</f>
        <v>20.198190515625001</v>
      </c>
      <c r="E34" s="1370">
        <f>E19+E24+E29</f>
        <v>22.891282584374999</v>
      </c>
      <c r="F34" s="1370">
        <f>F19+F24+F29</f>
        <v>25.584374653124996</v>
      </c>
      <c r="G34" s="1371">
        <f>G19+G24+G29</f>
        <v>86.178946199999999</v>
      </c>
      <c r="H34" s="1372">
        <f>G34/1.18</f>
        <v>73.033005254237295</v>
      </c>
      <c r="I34" s="1373" t="s">
        <v>1042</v>
      </c>
      <c r="J34" s="1374"/>
    </row>
    <row r="35" spans="1:10">
      <c r="H35" s="1375"/>
      <c r="I35" s="1375"/>
    </row>
    <row r="36" spans="1:10">
      <c r="H36" s="1375"/>
      <c r="I36" s="1375"/>
    </row>
    <row r="37" spans="1:10" ht="26.25" thickBot="1">
      <c r="B37" s="1341" t="s">
        <v>1043</v>
      </c>
      <c r="C37" s="1342" t="s">
        <v>1044</v>
      </c>
      <c r="D37" s="1342"/>
      <c r="E37" s="1342"/>
      <c r="F37" s="215" t="s">
        <v>1045</v>
      </c>
      <c r="H37" s="1375"/>
      <c r="I37" s="1375"/>
    </row>
    <row r="38" spans="1:10" ht="31.5" customHeight="1" thickBot="1">
      <c r="A38" s="1343" t="s">
        <v>1018</v>
      </c>
      <c r="B38" s="1344" t="s">
        <v>1019</v>
      </c>
      <c r="C38" s="1345" t="s">
        <v>1020</v>
      </c>
      <c r="D38" s="1346"/>
      <c r="E38" s="1346"/>
      <c r="F38" s="1346"/>
      <c r="G38" s="1347"/>
      <c r="H38" s="1375"/>
      <c r="I38" s="1375"/>
    </row>
    <row r="39" spans="1:10" ht="64.5" thickBot="1">
      <c r="A39" s="1348"/>
      <c r="B39" s="1349"/>
      <c r="C39" s="1350" t="s">
        <v>1021</v>
      </c>
      <c r="D39" s="1351" t="s">
        <v>1022</v>
      </c>
      <c r="E39" s="1351" t="s">
        <v>1023</v>
      </c>
      <c r="F39" s="1351" t="s">
        <v>1024</v>
      </c>
      <c r="G39" s="1313" t="s">
        <v>1025</v>
      </c>
      <c r="H39" s="1376"/>
      <c r="I39" s="1377"/>
    </row>
    <row r="40" spans="1:10">
      <c r="A40" s="1353" t="s">
        <v>14</v>
      </c>
      <c r="B40" s="1354" t="s">
        <v>1046</v>
      </c>
      <c r="C40" s="1378">
        <f>C44</f>
        <v>2.7948269687499994</v>
      </c>
      <c r="D40" s="1379">
        <f>D44</f>
        <v>3.7607479192968749</v>
      </c>
      <c r="E40" s="1379">
        <f>E44</f>
        <v>4.0500362207812497</v>
      </c>
      <c r="F40" s="1379">
        <f>F44</f>
        <v>4.3393245222656249</v>
      </c>
      <c r="G40" s="1357">
        <f>C40+D40+E40+F40</f>
        <v>14.944935631093749</v>
      </c>
      <c r="H40" s="1374"/>
      <c r="I40" s="1374"/>
    </row>
    <row r="41" spans="1:10">
      <c r="A41" s="1359" t="s">
        <v>381</v>
      </c>
      <c r="B41" s="1360"/>
      <c r="C41" s="1380"/>
      <c r="D41" s="1381"/>
      <c r="E41" s="1381"/>
      <c r="F41" s="1381"/>
      <c r="G41" s="1382"/>
      <c r="H41" s="1374"/>
      <c r="I41" s="1374"/>
    </row>
    <row r="42" spans="1:10">
      <c r="A42" s="1360" t="s">
        <v>393</v>
      </c>
      <c r="B42" s="1360"/>
      <c r="C42" s="1380"/>
      <c r="D42" s="1381"/>
      <c r="E42" s="1381"/>
      <c r="F42" s="1381"/>
      <c r="G42" s="1382"/>
      <c r="H42" s="1374"/>
      <c r="I42" s="1374"/>
    </row>
    <row r="43" spans="1:10">
      <c r="A43" s="1360" t="s">
        <v>21</v>
      </c>
      <c r="B43" s="1360"/>
      <c r="C43" s="1380"/>
      <c r="D43" s="1381"/>
      <c r="E43" s="1381"/>
      <c r="F43" s="1381"/>
      <c r="G43" s="1382"/>
      <c r="H43" s="1374"/>
      <c r="I43" s="1374"/>
    </row>
    <row r="44" spans="1:10">
      <c r="A44" s="1360" t="s">
        <v>23</v>
      </c>
      <c r="B44" s="1360" t="s">
        <v>1027</v>
      </c>
      <c r="C44" s="1361">
        <f>162.313*0.95*(12+1-1)/12*0.0725/4</f>
        <v>2.7948269687499994</v>
      </c>
      <c r="D44" s="1362">
        <f>201.60927*0.95*(12+2-1)/12*0.0725/4</f>
        <v>3.7607479192968749</v>
      </c>
      <c r="E44" s="1362">
        <f>201.60927*0.95*(12+3-1)/12*0.0725/4</f>
        <v>4.0500362207812497</v>
      </c>
      <c r="F44" s="1362">
        <f>201.60927*0.95*(12+4-1)/12*0.0725/4</f>
        <v>4.3393245222656249</v>
      </c>
      <c r="G44" s="1363">
        <f>C44+D44+E44+F44</f>
        <v>14.944935631093749</v>
      </c>
      <c r="H44" s="1374"/>
      <c r="I44" s="1374"/>
    </row>
    <row r="45" spans="1:10">
      <c r="A45" s="1360" t="s">
        <v>135</v>
      </c>
      <c r="B45" s="1365" t="s">
        <v>1047</v>
      </c>
      <c r="C45" s="1355">
        <f>C46+C47+C48+C49</f>
        <v>10.99295545640625</v>
      </c>
      <c r="D45" s="1356">
        <f>D46+D47+D48+D49</f>
        <v>12.150108662343747</v>
      </c>
      <c r="E45" s="1356">
        <f>E46+E47+E48+E49</f>
        <v>13.307261868281248</v>
      </c>
      <c r="F45" s="1356">
        <f>F46+F47+F48+F49</f>
        <v>14.464415074218749</v>
      </c>
      <c r="G45" s="1357">
        <f>G46+G47+G48+G49</f>
        <v>50.914741061249998</v>
      </c>
      <c r="H45" s="1374"/>
      <c r="I45" s="1374"/>
    </row>
    <row r="46" spans="1:10">
      <c r="A46" s="1360" t="s">
        <v>167</v>
      </c>
      <c r="B46" s="1360" t="s">
        <v>1028</v>
      </c>
      <c r="C46" s="1361">
        <f>201.60927*0.95*(12+1-2)/12*0.0725/4</f>
        <v>3.1821713163281249</v>
      </c>
      <c r="D46" s="1362">
        <f>201.60927*0.95*(12+2-2)/12*0.0725/4</f>
        <v>3.4714596178124997</v>
      </c>
      <c r="E46" s="1362">
        <f>201.60927*0.95*(12+3-2)/12*0.0725/4</f>
        <v>3.7607479192968749</v>
      </c>
      <c r="F46" s="1362">
        <f>201.60927*0.95*(12+4-2)/12*0.0725/4</f>
        <v>4.0500362207812497</v>
      </c>
      <c r="G46" s="1363">
        <f>C46+D46+E46+F46</f>
        <v>14.464415074218749</v>
      </c>
      <c r="H46" s="1374"/>
      <c r="I46" s="1374"/>
    </row>
    <row r="47" spans="1:10">
      <c r="A47" s="1360" t="s">
        <v>173</v>
      </c>
      <c r="B47" s="1360" t="s">
        <v>1029</v>
      </c>
      <c r="C47" s="1361">
        <f>201.60927*0.95*(12+1-3)/12*0.0725/4</f>
        <v>2.8928830148437497</v>
      </c>
      <c r="D47" s="1362">
        <f>201.60927*0.95*(12+2-3)/12*0.0725/4</f>
        <v>3.1821713163281249</v>
      </c>
      <c r="E47" s="1362">
        <f>201.60927*0.95*(12+3-3)/12*0.0725/4</f>
        <v>3.4714596178124997</v>
      </c>
      <c r="F47" s="1362">
        <f>201.60927*0.95*(12+4-3)/12*0.0725/4</f>
        <v>3.7607479192968749</v>
      </c>
      <c r="G47" s="1363">
        <f>C47+D47+E47+F47</f>
        <v>13.30726186828125</v>
      </c>
      <c r="H47" s="1374"/>
      <c r="I47" s="1374"/>
    </row>
    <row r="48" spans="1:10">
      <c r="A48" s="1360" t="s">
        <v>180</v>
      </c>
      <c r="B48" s="1360" t="s">
        <v>1030</v>
      </c>
      <c r="C48" s="1361">
        <f>201.60927*0.95*(12+1-4)/12*0.0725/4</f>
        <v>2.6035947133593749</v>
      </c>
      <c r="D48" s="1362">
        <f>201.60927*0.95*(12+2-4)/12*0.0725/4</f>
        <v>2.8928830148437497</v>
      </c>
      <c r="E48" s="1362">
        <f>201.60927*0.95*(12+3-4)/12*0.0725/4</f>
        <v>3.1821713163281249</v>
      </c>
      <c r="F48" s="1362">
        <f>201.60927*0.95*(12+4-4)/12*0.0725/4</f>
        <v>3.4714596178124997</v>
      </c>
      <c r="G48" s="1363">
        <f>C48+D48+E48+F48</f>
        <v>12.150108662343749</v>
      </c>
      <c r="H48" s="1374"/>
      <c r="I48" s="1374"/>
    </row>
    <row r="49" spans="1:11">
      <c r="A49" s="1360" t="s">
        <v>182</v>
      </c>
      <c r="B49" s="1360" t="s">
        <v>1032</v>
      </c>
      <c r="C49" s="1361">
        <f>201.60927*0.95*(12+1-5)/12*0.0725/4</f>
        <v>2.3143064118750001</v>
      </c>
      <c r="D49" s="1362">
        <f>201.60927*0.95*(12+2-5)/12*0.0725/4</f>
        <v>2.6035947133593749</v>
      </c>
      <c r="E49" s="1362">
        <f>201.60927*0.95*(12+3-5)/12*0.0725/4</f>
        <v>2.8928830148437497</v>
      </c>
      <c r="F49" s="1362">
        <f>201.60927*0.95*(12+4-5)/12*0.0725/4</f>
        <v>3.1821713163281249</v>
      </c>
      <c r="G49" s="1363">
        <f>C49+D49+E49+F49</f>
        <v>10.99295545640625</v>
      </c>
      <c r="H49" s="1374"/>
      <c r="I49" s="1374"/>
    </row>
    <row r="50" spans="1:11">
      <c r="A50" s="1360" t="s">
        <v>191</v>
      </c>
      <c r="B50" s="1365" t="s">
        <v>1048</v>
      </c>
      <c r="C50" s="1355">
        <f>C51+C52+C53+C54</f>
        <v>6.3643426326562489</v>
      </c>
      <c r="D50" s="1356">
        <f>D51+D52+D53+D54</f>
        <v>7.5214958385937489</v>
      </c>
      <c r="E50" s="1356">
        <f>E51+E52+E53+E54</f>
        <v>8.6786490445312499</v>
      </c>
      <c r="F50" s="1356">
        <f>F51+F52+F53+F54</f>
        <v>9.835802250468749</v>
      </c>
      <c r="G50" s="1357">
        <f>G51+G52+G53+G54</f>
        <v>32.400289766249998</v>
      </c>
      <c r="H50" s="1374"/>
      <c r="I50" s="1374"/>
    </row>
    <row r="51" spans="1:11">
      <c r="A51" s="1360" t="s">
        <v>192</v>
      </c>
      <c r="B51" s="1360" t="s">
        <v>1033</v>
      </c>
      <c r="C51" s="1361">
        <f>201.60927*0.95*(12+1-6)/12*0.0725/4</f>
        <v>2.0250181103906248</v>
      </c>
      <c r="D51" s="1362">
        <f>201.60927*0.95*(12+2-6)/12*0.0725/4</f>
        <v>2.3143064118750001</v>
      </c>
      <c r="E51" s="1362">
        <f>201.60927*0.95*(12+3-6)/12*0.0725/4</f>
        <v>2.6035947133593749</v>
      </c>
      <c r="F51" s="1362">
        <f>201.60927*0.95*(12+4-6)/12*0.0725/4</f>
        <v>2.8928830148437497</v>
      </c>
      <c r="G51" s="1363">
        <f>C51+D51+E51+F51</f>
        <v>9.835802250468749</v>
      </c>
      <c r="H51" s="1374"/>
      <c r="I51" s="1374"/>
    </row>
    <row r="52" spans="1:11">
      <c r="A52" s="1360" t="s">
        <v>195</v>
      </c>
      <c r="B52" s="1360" t="s">
        <v>1034</v>
      </c>
      <c r="C52" s="1361">
        <f>201.60927*0.95*(12+1-7)/12*0.0725/4</f>
        <v>1.7357298089062498</v>
      </c>
      <c r="D52" s="1362">
        <f>201.60927*0.95*(12+2-7)/12*0.0725/4</f>
        <v>2.0250181103906248</v>
      </c>
      <c r="E52" s="1362">
        <f>201.60927*0.95*(12+3-7)/12*0.0725/4</f>
        <v>2.3143064118750001</v>
      </c>
      <c r="F52" s="1362">
        <f>201.60927*0.95*(12+4-7)/12*0.0725/4</f>
        <v>2.6035947133593749</v>
      </c>
      <c r="G52" s="1363">
        <f>C52+D52+E52+F52</f>
        <v>8.6786490445312499</v>
      </c>
      <c r="H52" s="1374"/>
      <c r="I52" s="1374"/>
    </row>
    <row r="53" spans="1:11">
      <c r="A53" s="1360" t="s">
        <v>631</v>
      </c>
      <c r="B53" s="1360" t="s">
        <v>1035</v>
      </c>
      <c r="C53" s="1361">
        <f>201.60927*0.95*(12+1-8)/12*0.0725/4</f>
        <v>1.4464415074218748</v>
      </c>
      <c r="D53" s="1362">
        <f>201.60927*0.95*(12+2-8)/12*0.0725/4</f>
        <v>1.7357298089062498</v>
      </c>
      <c r="E53" s="1362">
        <f>201.60927*0.95*(12+3-8)/12*0.0725/4</f>
        <v>2.0250181103906248</v>
      </c>
      <c r="F53" s="1362">
        <f>201.60927*0.95*(12+4-8)/12*0.0725/4</f>
        <v>2.3143064118750001</v>
      </c>
      <c r="G53" s="1363">
        <f>C53+D53+E53+F53</f>
        <v>7.5214958385937498</v>
      </c>
      <c r="H53" s="1374"/>
      <c r="I53" s="1374"/>
    </row>
    <row r="54" spans="1:11">
      <c r="A54" s="1360" t="s">
        <v>1040</v>
      </c>
      <c r="B54" s="1360" t="s">
        <v>1037</v>
      </c>
      <c r="C54" s="1361">
        <f>201.60927*0.95*(12+1-9)/12*0.0725/4</f>
        <v>1.1571532059375</v>
      </c>
      <c r="D54" s="1362">
        <f>201.60927*0.95*(12+2-9)/12*0.0725/4</f>
        <v>1.4464415074218748</v>
      </c>
      <c r="E54" s="1362">
        <f>201.60927*0.95*(12+3-9)/12*0.0725/4</f>
        <v>1.7357298089062498</v>
      </c>
      <c r="F54" s="1362">
        <f>201.60927*0.95*(12+4-9)/12*0.0725/4</f>
        <v>2.0250181103906248</v>
      </c>
      <c r="G54" s="1363">
        <f>C54+D54+E54+F54</f>
        <v>6.3643426326562498</v>
      </c>
      <c r="H54" s="1374"/>
      <c r="I54" s="1374"/>
    </row>
    <row r="55" spans="1:11">
      <c r="A55" s="1360" t="s">
        <v>198</v>
      </c>
      <c r="B55" s="1365" t="s">
        <v>1049</v>
      </c>
      <c r="C55" s="1355">
        <f>C56+C57+C58+C59</f>
        <v>1.7357298089062498</v>
      </c>
      <c r="D55" s="1356">
        <f>D56+D57+D58+D59</f>
        <v>2.6035947133593749</v>
      </c>
      <c r="E55" s="1356">
        <f>E56+E57+E58+E59</f>
        <v>3.4714596178124997</v>
      </c>
      <c r="F55" s="1356">
        <f>F56+F57+F58+F59</f>
        <v>4.3393245222656249</v>
      </c>
      <c r="G55" s="1357">
        <f>G56+G57+G58+G59</f>
        <v>12.150108662343751</v>
      </c>
      <c r="H55" s="1374"/>
      <c r="I55" s="1374"/>
    </row>
    <row r="56" spans="1:11">
      <c r="A56" s="1360" t="s">
        <v>199</v>
      </c>
      <c r="B56" s="1360" t="s">
        <v>1038</v>
      </c>
      <c r="C56" s="1361">
        <f>201.60927*0.95*(12+1-10)/12*0.0725/4</f>
        <v>0.86786490445312492</v>
      </c>
      <c r="D56" s="1362">
        <f>201.60927*0.95*(12+2-10)/12*0.0725/4</f>
        <v>1.1571532059375</v>
      </c>
      <c r="E56" s="1362">
        <f>201.60927*0.95*(12+3-10)/12*0.0725/4</f>
        <v>1.4464415074218748</v>
      </c>
      <c r="F56" s="1362">
        <f>201.60927*0.95*(12+4-10)/12*0.0725/4</f>
        <v>1.7357298089062498</v>
      </c>
      <c r="G56" s="1363">
        <f>C56+D56+E56+F56</f>
        <v>5.2071894267187497</v>
      </c>
      <c r="H56" s="1373"/>
      <c r="I56" s="1373"/>
      <c r="J56" s="1373"/>
      <c r="K56" s="1373"/>
    </row>
    <row r="57" spans="1:11">
      <c r="A57" s="1360" t="s">
        <v>637</v>
      </c>
      <c r="B57" s="1360" t="s">
        <v>1039</v>
      </c>
      <c r="C57" s="1361">
        <f>201.60927*0.95*(12+1-11)/12*0.0725/4</f>
        <v>0.57857660296875002</v>
      </c>
      <c r="D57" s="1362">
        <f>201.60927*0.95*(12+2-11)/12*0.0725/4</f>
        <v>0.86786490445312492</v>
      </c>
      <c r="E57" s="1362">
        <f>201.60927*0.95*(12+3-11)/12*0.0725/4</f>
        <v>1.1571532059375</v>
      </c>
      <c r="F57" s="1362">
        <f>201.60927*0.95*(12+4-11)/12*0.0725/4</f>
        <v>1.4464415074218748</v>
      </c>
      <c r="G57" s="1363">
        <f>C57+D57+E57+F57</f>
        <v>4.0500362207812497</v>
      </c>
      <c r="H57" s="1373"/>
      <c r="I57" s="1373"/>
      <c r="J57" s="1373"/>
      <c r="K57" s="1373"/>
    </row>
    <row r="58" spans="1:11">
      <c r="A58" s="1360" t="s">
        <v>1050</v>
      </c>
      <c r="B58" s="1360" t="s">
        <v>1041</v>
      </c>
      <c r="C58" s="1361">
        <f>201.60927*0.95*(12+1-12)/12*0.0725/4</f>
        <v>0.28928830148437501</v>
      </c>
      <c r="D58" s="1362">
        <f>201.60927*0.95*(12+2-12)/12*0.0725/4</f>
        <v>0.57857660296875002</v>
      </c>
      <c r="E58" s="1362">
        <f>201.60927*0.95*(12+3-12)/12*0.0725/4</f>
        <v>0.86786490445312492</v>
      </c>
      <c r="F58" s="1362">
        <f>201.60927*0.95*(12+4-12)/12*0.0725/4</f>
        <v>1.1571532059375</v>
      </c>
      <c r="G58" s="1363">
        <f>C58+D58+E58+F58</f>
        <v>2.8928830148437501</v>
      </c>
      <c r="H58" s="1373"/>
      <c r="I58" s="1373"/>
      <c r="J58" s="1373"/>
      <c r="K58" s="1373"/>
    </row>
    <row r="59" spans="1:11" ht="13.5" thickBot="1">
      <c r="A59" s="1360" t="s">
        <v>1051</v>
      </c>
      <c r="B59" s="1360"/>
      <c r="C59" s="1361"/>
      <c r="D59" s="1362"/>
      <c r="E59" s="1362"/>
      <c r="F59" s="1362"/>
      <c r="G59" s="1363">
        <f>C59+D59+E59+F59</f>
        <v>0</v>
      </c>
      <c r="H59" s="1373"/>
      <c r="I59" s="1373"/>
      <c r="J59" s="1373"/>
      <c r="K59" s="1373"/>
    </row>
    <row r="60" spans="1:11" ht="13.5" thickBot="1">
      <c r="A60" s="1367" t="s">
        <v>351</v>
      </c>
      <c r="B60" s="1368" t="s">
        <v>201</v>
      </c>
      <c r="C60" s="1369">
        <f>C40+C45+C50+C55</f>
        <v>21.887854866718747</v>
      </c>
      <c r="D60" s="1370">
        <f>D40+D45+D50+D55</f>
        <v>26.035947133593748</v>
      </c>
      <c r="E60" s="1370">
        <f>E40+E45+E50+E55</f>
        <v>29.507406751406243</v>
      </c>
      <c r="F60" s="1370">
        <f>F40+F45+F50+F55</f>
        <v>32.97886636921875</v>
      </c>
      <c r="G60" s="1371">
        <f>G40+G45+G50+G55</f>
        <v>110.41007512093751</v>
      </c>
      <c r="H60" s="1372">
        <f>G60/1.18</f>
        <v>93.567860271980948</v>
      </c>
      <c r="I60" s="1373" t="s">
        <v>1042</v>
      </c>
      <c r="J60" s="1373"/>
      <c r="K60" s="1373"/>
    </row>
    <row r="61" spans="1:11">
      <c r="H61" s="1373"/>
      <c r="I61" s="1373"/>
      <c r="J61" s="1373"/>
      <c r="K61" s="1373"/>
    </row>
    <row r="62" spans="1:11">
      <c r="B62" s="1383"/>
      <c r="H62" s="1373"/>
      <c r="I62" s="1373"/>
      <c r="J62" s="1373"/>
      <c r="K62" s="1373"/>
    </row>
    <row r="63" spans="1:11">
      <c r="B63" s="1384"/>
      <c r="C63" s="1384"/>
      <c r="D63" s="1384"/>
      <c r="E63" s="1384"/>
      <c r="H63" s="1373"/>
      <c r="I63" s="1373"/>
      <c r="J63" s="1373"/>
      <c r="K63" s="1373"/>
    </row>
    <row r="64" spans="1:11" ht="26.25" thickBot="1">
      <c r="B64" s="1341" t="s">
        <v>1052</v>
      </c>
      <c r="C64" s="1342" t="s">
        <v>1053</v>
      </c>
      <c r="D64" s="1342"/>
      <c r="E64" s="1342"/>
      <c r="F64" s="215" t="s">
        <v>1045</v>
      </c>
      <c r="H64" s="1373"/>
      <c r="I64" s="1373"/>
      <c r="J64" s="1373"/>
      <c r="K64" s="1373"/>
    </row>
    <row r="65" spans="1:11" ht="23.25" customHeight="1" thickBot="1">
      <c r="A65" s="1343" t="s">
        <v>1018</v>
      </c>
      <c r="B65" s="1344" t="s">
        <v>1019</v>
      </c>
      <c r="C65" s="1345" t="s">
        <v>1020</v>
      </c>
      <c r="D65" s="1346"/>
      <c r="E65" s="1346"/>
      <c r="F65" s="1346"/>
      <c r="G65" s="1347"/>
      <c r="H65" s="1373"/>
      <c r="I65" s="1373"/>
      <c r="J65" s="1373"/>
      <c r="K65" s="1373"/>
    </row>
    <row r="66" spans="1:11" ht="64.5" thickBot="1">
      <c r="A66" s="1348"/>
      <c r="B66" s="1349"/>
      <c r="C66" s="1350" t="s">
        <v>1021</v>
      </c>
      <c r="D66" s="1351" t="s">
        <v>1022</v>
      </c>
      <c r="E66" s="1351" t="s">
        <v>1023</v>
      </c>
      <c r="F66" s="1351" t="s">
        <v>1024</v>
      </c>
      <c r="G66" s="1313" t="s">
        <v>1025</v>
      </c>
      <c r="H66" s="1376"/>
      <c r="I66" s="1373"/>
      <c r="J66" s="1373"/>
      <c r="K66" s="1373"/>
    </row>
    <row r="67" spans="1:11">
      <c r="A67" s="1353" t="s">
        <v>14</v>
      </c>
      <c r="B67" s="1354" t="s">
        <v>1046</v>
      </c>
      <c r="C67" s="1378">
        <f>C71</f>
        <v>5.8789533881249989</v>
      </c>
      <c r="D67" s="1379">
        <f>D71</f>
        <v>6.368866170468749</v>
      </c>
      <c r="E67" s="1379">
        <f>E71</f>
        <v>6.8587789528124992</v>
      </c>
      <c r="F67" s="1379">
        <f>F71</f>
        <v>7.3486917351562493</v>
      </c>
      <c r="G67" s="1357">
        <f>G68+G69+G70+G71</f>
        <v>26.455290246562498</v>
      </c>
      <c r="H67" s="1373"/>
      <c r="I67" s="1373"/>
      <c r="J67" s="1373"/>
      <c r="K67" s="1373"/>
    </row>
    <row r="68" spans="1:11">
      <c r="A68" s="1359" t="s">
        <v>381</v>
      </c>
      <c r="B68" s="1360"/>
      <c r="C68" s="1380"/>
      <c r="D68" s="1381"/>
      <c r="E68" s="1381"/>
      <c r="F68" s="1381"/>
      <c r="G68" s="1382"/>
      <c r="H68" s="1373"/>
      <c r="I68" s="1373"/>
      <c r="J68" s="1373"/>
      <c r="K68" s="1373"/>
    </row>
    <row r="69" spans="1:11">
      <c r="A69" s="1360" t="s">
        <v>393</v>
      </c>
      <c r="B69" s="1360"/>
      <c r="C69" s="1380"/>
      <c r="D69" s="1381"/>
      <c r="E69" s="1381"/>
      <c r="F69" s="1381"/>
      <c r="G69" s="1382"/>
      <c r="H69" s="1373"/>
      <c r="I69" s="1373"/>
      <c r="J69" s="1373"/>
      <c r="K69" s="1373"/>
    </row>
    <row r="70" spans="1:11">
      <c r="A70" s="1360" t="s">
        <v>21</v>
      </c>
      <c r="B70" s="1360"/>
      <c r="C70" s="1380"/>
      <c r="D70" s="1381"/>
      <c r="E70" s="1381"/>
      <c r="F70" s="1381"/>
      <c r="G70" s="1382"/>
      <c r="H70" s="1373"/>
      <c r="I70" s="1373"/>
      <c r="J70" s="1373"/>
      <c r="K70" s="1373"/>
    </row>
    <row r="71" spans="1:11">
      <c r="A71" s="1360" t="s">
        <v>23</v>
      </c>
      <c r="B71" s="1360" t="s">
        <v>1027</v>
      </c>
      <c r="C71" s="1361">
        <f>341.42742*0.95*(12+1-1)/12*0.0725/4</f>
        <v>5.8789533881249989</v>
      </c>
      <c r="D71" s="1362">
        <f>341.42742*0.95*(12+2-1)/12*0.0725/4</f>
        <v>6.368866170468749</v>
      </c>
      <c r="E71" s="1362">
        <f>341.42742*0.95*(12+3-1)/12*0.0725/4</f>
        <v>6.8587789528124992</v>
      </c>
      <c r="F71" s="1362">
        <f>341.42742*0.95*(12+4-1)/12*0.0725/4</f>
        <v>7.3486917351562493</v>
      </c>
      <c r="G71" s="1363">
        <f>C71+D71+E71+F71</f>
        <v>26.455290246562498</v>
      </c>
      <c r="H71" s="1373"/>
      <c r="I71" s="1373"/>
      <c r="J71" s="1373"/>
      <c r="K71" s="1373"/>
    </row>
    <row r="72" spans="1:11">
      <c r="A72" s="1360" t="s">
        <v>135</v>
      </c>
      <c r="B72" s="1365" t="s">
        <v>1047</v>
      </c>
      <c r="C72" s="1355">
        <f>C73+C74+C75+C76</f>
        <v>18.616685729062496</v>
      </c>
      <c r="D72" s="1356">
        <f>D73+D74+D75+D76</f>
        <v>20.576336858437497</v>
      </c>
      <c r="E72" s="1356">
        <f>E73+E74+E75+E76</f>
        <v>22.535987987812497</v>
      </c>
      <c r="F72" s="1356">
        <f>F73+F74+F75+F76</f>
        <v>24.495639117187498</v>
      </c>
      <c r="G72" s="1357">
        <f>G73+G74+G75+G76</f>
        <v>86.224649692499995</v>
      </c>
      <c r="H72" s="1373"/>
      <c r="I72" s="1373"/>
      <c r="J72" s="1373"/>
      <c r="K72" s="1373"/>
    </row>
    <row r="73" spans="1:11">
      <c r="A73" s="1360" t="s">
        <v>167</v>
      </c>
      <c r="B73" s="1360" t="s">
        <v>1028</v>
      </c>
      <c r="C73" s="1361">
        <f>341.42742*0.95*(12+1-2)/12*0.0725/4</f>
        <v>5.3890406057812497</v>
      </c>
      <c r="D73" s="1362">
        <f>341.42742*0.95*(12+2-2)/12*0.0725/4</f>
        <v>5.8789533881249989</v>
      </c>
      <c r="E73" s="1362">
        <f>341.42742*0.95*(12+3-2)/12*0.0725/4</f>
        <v>6.368866170468749</v>
      </c>
      <c r="F73" s="1362">
        <f>341.42742*0.95*(12+4-2)/12*0.0725/4</f>
        <v>6.8587789528124992</v>
      </c>
      <c r="G73" s="1363">
        <f>C73+D73+E73+F73</f>
        <v>24.495639117187498</v>
      </c>
      <c r="H73" s="1373"/>
      <c r="I73" s="1373"/>
      <c r="J73" s="1373"/>
      <c r="K73" s="1373"/>
    </row>
    <row r="74" spans="1:11">
      <c r="A74" s="1360" t="s">
        <v>173</v>
      </c>
      <c r="B74" s="1360" t="s">
        <v>1029</v>
      </c>
      <c r="C74" s="1361">
        <f>341.42742*0.95*(12+1-3)/12*0.0725/4</f>
        <v>4.8991278234374995</v>
      </c>
      <c r="D74" s="1362">
        <f>341.42742*0.95*(12+2-3)/12*0.0725/4</f>
        <v>5.3890406057812497</v>
      </c>
      <c r="E74" s="1362">
        <f>341.42742*0.95*(12+3-3)/12*0.0725/4</f>
        <v>5.8789533881249989</v>
      </c>
      <c r="F74" s="1362">
        <f>341.42742*0.95*(12+4-3)/12*0.0725/4</f>
        <v>6.368866170468749</v>
      </c>
      <c r="G74" s="1363">
        <f>C74+D74+E74+F74</f>
        <v>22.535987987812497</v>
      </c>
      <c r="H74" s="1373"/>
      <c r="I74" s="1373"/>
      <c r="J74" s="1373"/>
      <c r="K74" s="1373"/>
    </row>
    <row r="75" spans="1:11">
      <c r="A75" s="1360" t="s">
        <v>180</v>
      </c>
      <c r="B75" s="1360" t="s">
        <v>1030</v>
      </c>
      <c r="C75" s="1361">
        <f>341.42742*0.95*(12+1-4)/12*0.0725/4</f>
        <v>4.4092150410937494</v>
      </c>
      <c r="D75" s="1362">
        <f>341.42742*0.95*(12+2-4)/12*0.0725/4</f>
        <v>4.8991278234374995</v>
      </c>
      <c r="E75" s="1362">
        <f>341.42742*0.95*(12+3-4)/12*0.0725/4</f>
        <v>5.3890406057812497</v>
      </c>
      <c r="F75" s="1362">
        <f>341.42742*0.95*(12+4-4)/12*0.0725/4</f>
        <v>5.8789533881249989</v>
      </c>
      <c r="G75" s="1363">
        <f>C75+D75+E75+F75</f>
        <v>20.576336858437497</v>
      </c>
      <c r="H75" s="1373"/>
      <c r="I75" s="1373"/>
      <c r="J75" s="1373"/>
      <c r="K75" s="1373"/>
    </row>
    <row r="76" spans="1:11">
      <c r="A76" s="1360" t="s">
        <v>182</v>
      </c>
      <c r="B76" s="1360" t="s">
        <v>1032</v>
      </c>
      <c r="C76" s="1361">
        <f>341.42742*0.95*(12+1-5)/12*0.0725/4</f>
        <v>3.9193022587499993</v>
      </c>
      <c r="D76" s="1362">
        <f>341.42742*0.95*(12+2-5)/12*0.0725/4</f>
        <v>4.4092150410937494</v>
      </c>
      <c r="E76" s="1362">
        <f>341.42742*0.95*(12+3-5)/12*0.0725/4</f>
        <v>4.8991278234374995</v>
      </c>
      <c r="F76" s="1362">
        <f>341.42742*0.95*(12+4-5)/12*0.0725/4</f>
        <v>5.3890406057812497</v>
      </c>
      <c r="G76" s="1363">
        <f>C76+D76+E76+F76</f>
        <v>18.6166857290625</v>
      </c>
      <c r="H76" s="1373"/>
      <c r="I76" s="1373"/>
      <c r="J76" s="1373"/>
      <c r="K76" s="1373"/>
    </row>
    <row r="77" spans="1:11">
      <c r="A77" s="1360" t="s">
        <v>191</v>
      </c>
      <c r="B77" s="1365" t="s">
        <v>1048</v>
      </c>
      <c r="C77" s="1355">
        <f>C78+C79+C80+C81</f>
        <v>10.778081211562498</v>
      </c>
      <c r="D77" s="1356">
        <f>D78+D79+D80+D81</f>
        <v>12.737732340937498</v>
      </c>
      <c r="E77" s="1356">
        <f>E78+E79+E80+E81</f>
        <v>14.697383470312499</v>
      </c>
      <c r="F77" s="1356">
        <f>F78+F79+F80+F81</f>
        <v>16.657034599687496</v>
      </c>
      <c r="G77" s="1357">
        <f>G78+G79+G80+G81</f>
        <v>54.870231622499993</v>
      </c>
      <c r="H77" s="1373"/>
      <c r="I77" s="1373"/>
      <c r="J77" s="1373"/>
      <c r="K77" s="1373"/>
    </row>
    <row r="78" spans="1:11">
      <c r="A78" s="1360" t="s">
        <v>192</v>
      </c>
      <c r="B78" s="1360" t="s">
        <v>1033</v>
      </c>
      <c r="C78" s="1361">
        <f>341.42742*0.95*(12+1-6)/12*0.0725/4</f>
        <v>3.4293894764062496</v>
      </c>
      <c r="D78" s="1362">
        <f>341.42742*0.95*(12+2-6)/12*0.0725/4</f>
        <v>3.9193022587499993</v>
      </c>
      <c r="E78" s="1362">
        <f>341.42742*0.95*(12+3-6)/12*0.0725/4</f>
        <v>4.4092150410937494</v>
      </c>
      <c r="F78" s="1362">
        <f>341.42742*0.95*(12+4-6)/12*0.0725/4</f>
        <v>4.8991278234374995</v>
      </c>
      <c r="G78" s="1363">
        <f>C78+D78+E78+F78</f>
        <v>16.657034599687499</v>
      </c>
      <c r="H78" s="1373"/>
      <c r="I78" s="1373"/>
      <c r="J78" s="1373"/>
      <c r="K78" s="1373"/>
    </row>
    <row r="79" spans="1:11">
      <c r="A79" s="1360" t="s">
        <v>195</v>
      </c>
      <c r="B79" s="1360" t="s">
        <v>1034</v>
      </c>
      <c r="C79" s="1361">
        <f>341.42742*0.95*(12+1-7)/12*0.0725/4</f>
        <v>2.9394766940624995</v>
      </c>
      <c r="D79" s="1362">
        <f>341.42742*0.95*(12+2-7)/12*0.0725/4</f>
        <v>3.4293894764062496</v>
      </c>
      <c r="E79" s="1362">
        <f>341.42742*0.95*(12+3-7)/12*0.0725/4</f>
        <v>3.9193022587499993</v>
      </c>
      <c r="F79" s="1362">
        <f>341.42742*0.95*(12+4-7)/12*0.0725/4</f>
        <v>4.4092150410937494</v>
      </c>
      <c r="G79" s="1363">
        <f>C79+D79+E79+F79</f>
        <v>14.697383470312499</v>
      </c>
      <c r="H79" s="1373"/>
      <c r="I79" s="1373"/>
      <c r="J79" s="1373"/>
      <c r="K79" s="1373"/>
    </row>
    <row r="80" spans="1:11">
      <c r="A80" s="1360" t="s">
        <v>631</v>
      </c>
      <c r="B80" s="1360" t="s">
        <v>1035</v>
      </c>
      <c r="C80" s="1361">
        <f>341.42742*0.95*(12+1-8)/12*0.0725/4</f>
        <v>2.4495639117187498</v>
      </c>
      <c r="D80" s="1362">
        <f>341.42742*0.95*(12+2-8)/12*0.0725/4</f>
        <v>2.9394766940624995</v>
      </c>
      <c r="E80" s="1362">
        <f>341.42742*0.95*(12+3-8)/12*0.0725/4</f>
        <v>3.4293894764062496</v>
      </c>
      <c r="F80" s="1362">
        <f>341.42742*0.95*(12+4-8)/12*0.0725/4</f>
        <v>3.9193022587499993</v>
      </c>
      <c r="G80" s="1363">
        <f>C80+D80+E80+F80</f>
        <v>12.737732340937498</v>
      </c>
      <c r="H80" s="1373"/>
      <c r="I80" s="1373"/>
      <c r="J80" s="1373"/>
      <c r="K80" s="1373"/>
    </row>
    <row r="81" spans="1:11">
      <c r="A81" s="1360" t="s">
        <v>1040</v>
      </c>
      <c r="B81" s="1360" t="s">
        <v>1037</v>
      </c>
      <c r="C81" s="1361">
        <f>341.42742*0.95*(12+1-9)/12*0.0725/4</f>
        <v>1.9596511293749996</v>
      </c>
      <c r="D81" s="1362">
        <f>341.42742*0.95*(12+2-9)/12*0.0725/4</f>
        <v>2.4495639117187498</v>
      </c>
      <c r="E81" s="1362">
        <f>341.42742*0.95*(12+3-9)/12*0.0725/4</f>
        <v>2.9394766940624995</v>
      </c>
      <c r="F81" s="1362">
        <f>341.42742*0.95*(12+4-9)/12*0.0725/4</f>
        <v>3.4293894764062496</v>
      </c>
      <c r="G81" s="1363">
        <f>C81+D81+E81+F81</f>
        <v>10.778081211562499</v>
      </c>
      <c r="H81" s="1373"/>
      <c r="I81" s="1373"/>
      <c r="J81" s="1373"/>
      <c r="K81" s="1373"/>
    </row>
    <row r="82" spans="1:11">
      <c r="A82" s="1360" t="s">
        <v>198</v>
      </c>
      <c r="B82" s="1365" t="s">
        <v>1049</v>
      </c>
      <c r="C82" s="1355">
        <f>C83+C84+C85+C86</f>
        <v>2.9394766940624999</v>
      </c>
      <c r="D82" s="1356">
        <f>D83+D84+D85+D86</f>
        <v>4.4092150410937485</v>
      </c>
      <c r="E82" s="1356">
        <f>E83+E84+E85+E86</f>
        <v>5.8789533881249989</v>
      </c>
      <c r="F82" s="1356">
        <f>F83+F84+F85+F86</f>
        <v>7.3486917351562484</v>
      </c>
      <c r="G82" s="1357">
        <f>G83+G84+G85+G86</f>
        <v>20.576336858437497</v>
      </c>
      <c r="H82" s="1373"/>
      <c r="I82" s="1373"/>
      <c r="J82" s="1373"/>
      <c r="K82" s="1373"/>
    </row>
    <row r="83" spans="1:11">
      <c r="A83" s="1360" t="s">
        <v>199</v>
      </c>
      <c r="B83" s="1360" t="s">
        <v>1038</v>
      </c>
      <c r="C83" s="1361">
        <f>341.42742*0.95*(12+1-10)/12*0.0725/4</f>
        <v>1.4697383470312497</v>
      </c>
      <c r="D83" s="1362">
        <f>341.42742*0.95*(12+2-10)/12*0.0725/4</f>
        <v>1.9596511293749996</v>
      </c>
      <c r="E83" s="1362">
        <f>341.42742*0.95*(12+3-10)/12*0.0725/4</f>
        <v>2.4495639117187498</v>
      </c>
      <c r="F83" s="1362">
        <f>341.42742*0.95*(12+4-10)/12*0.0725/4</f>
        <v>2.9394766940624995</v>
      </c>
      <c r="G83" s="1363">
        <f>C83+D83+E83+F83</f>
        <v>8.8184300821874988</v>
      </c>
      <c r="H83" s="1373"/>
      <c r="I83" s="1373"/>
      <c r="J83" s="1373"/>
      <c r="K83" s="1373"/>
    </row>
    <row r="84" spans="1:11">
      <c r="A84" s="1360" t="s">
        <v>637</v>
      </c>
      <c r="B84" s="1360" t="s">
        <v>1039</v>
      </c>
      <c r="C84" s="1361">
        <f>341.42742*0.95*(12+1-11)/12*0.0725/4</f>
        <v>0.97982556468749982</v>
      </c>
      <c r="D84" s="1362">
        <f>341.42742*0.95*(12+2-11)/12*0.0725/4</f>
        <v>1.4697383470312497</v>
      </c>
      <c r="E84" s="1362">
        <f>341.42742*0.95*(12+3-11)/12*0.0725/4</f>
        <v>1.9596511293749996</v>
      </c>
      <c r="F84" s="1362">
        <f>341.42742*0.95*(12+4-11)/12*0.0725/4</f>
        <v>2.4495639117187498</v>
      </c>
      <c r="G84" s="1363">
        <f>C84+D84+E84+F84</f>
        <v>6.8587789528124992</v>
      </c>
      <c r="H84" s="1373"/>
      <c r="I84" s="1373"/>
      <c r="J84" s="1373"/>
      <c r="K84" s="1373"/>
    </row>
    <row r="85" spans="1:11">
      <c r="A85" s="1360" t="s">
        <v>1050</v>
      </c>
      <c r="B85" s="1360" t="s">
        <v>1041</v>
      </c>
      <c r="C85" s="1361">
        <f>341.42742*0.95*(12+1-12)/12*0.0725/4</f>
        <v>0.48991278234374991</v>
      </c>
      <c r="D85" s="1362">
        <f>341.42742*0.95*(12+2-12)/12*0.0725/4</f>
        <v>0.97982556468749982</v>
      </c>
      <c r="E85" s="1362">
        <f>341.42742*0.95*(12+3-12)/12*0.0725/4</f>
        <v>1.4697383470312497</v>
      </c>
      <c r="F85" s="1362">
        <f>341.42742*0.95*(12+4-12)/12*0.0725/4</f>
        <v>1.9596511293749996</v>
      </c>
      <c r="G85" s="1363">
        <f>C85+D85+E85+F85</f>
        <v>4.8991278234374995</v>
      </c>
      <c r="H85" s="1373"/>
      <c r="I85" s="1373"/>
      <c r="J85" s="1373"/>
      <c r="K85" s="1373"/>
    </row>
    <row r="86" spans="1:11" ht="13.5" thickBot="1">
      <c r="A86" s="1360" t="s">
        <v>1051</v>
      </c>
      <c r="B86" s="1360"/>
      <c r="C86" s="1361"/>
      <c r="D86" s="1362"/>
      <c r="E86" s="1362"/>
      <c r="F86" s="1362"/>
      <c r="G86" s="1363">
        <f>C86+D86+E86+F86</f>
        <v>0</v>
      </c>
      <c r="H86" s="1373"/>
      <c r="I86" s="1373"/>
      <c r="J86" s="1373"/>
      <c r="K86" s="1373"/>
    </row>
    <row r="87" spans="1:11" ht="13.5" thickBot="1">
      <c r="A87" s="1367" t="s">
        <v>351</v>
      </c>
      <c r="B87" s="1368" t="s">
        <v>201</v>
      </c>
      <c r="C87" s="1369">
        <f>C67+C72+C77+C82</f>
        <v>38.213197022812487</v>
      </c>
      <c r="D87" s="1370">
        <f>D67+D72+D77+D82</f>
        <v>44.092150410937492</v>
      </c>
      <c r="E87" s="1370">
        <f>E67+E72+E77+E82</f>
        <v>49.97110379906249</v>
      </c>
      <c r="F87" s="1370">
        <f>F67+F72+F77+F82</f>
        <v>55.850057187187488</v>
      </c>
      <c r="G87" s="1371">
        <f>G67+G72+G77+G82</f>
        <v>188.12650841999996</v>
      </c>
      <c r="H87" s="1372">
        <f>G87/1.18</f>
        <v>159.42924442372879</v>
      </c>
      <c r="I87" s="1373" t="s">
        <v>1042</v>
      </c>
      <c r="J87" s="1373"/>
      <c r="K87" s="1373"/>
    </row>
    <row r="88" spans="1:11">
      <c r="B88" s="1384"/>
      <c r="C88" s="1384"/>
      <c r="D88" s="1384"/>
      <c r="E88" s="1384"/>
      <c r="H88" s="1373"/>
      <c r="I88" s="1373"/>
      <c r="J88" s="1373"/>
      <c r="K88" s="1373"/>
    </row>
    <row r="89" spans="1:11">
      <c r="B89" s="1384"/>
      <c r="C89" s="1384"/>
      <c r="D89" s="1384"/>
      <c r="E89" s="1384"/>
      <c r="H89" s="1373"/>
      <c r="I89" s="1373"/>
      <c r="J89" s="1373"/>
      <c r="K89" s="1373"/>
    </row>
    <row r="90" spans="1:11">
      <c r="B90" s="1384"/>
      <c r="C90" s="1384"/>
      <c r="D90" s="1384"/>
      <c r="E90" s="1384"/>
      <c r="H90" s="1373"/>
      <c r="I90" s="1373"/>
      <c r="J90" s="1373"/>
      <c r="K90" s="1373"/>
    </row>
    <row r="91" spans="1:11" ht="26.25" thickBot="1">
      <c r="B91" s="1341" t="s">
        <v>1054</v>
      </c>
      <c r="C91" s="1342" t="s">
        <v>1055</v>
      </c>
      <c r="D91" s="1342"/>
      <c r="E91" s="1342"/>
      <c r="F91" s="215" t="s">
        <v>1056</v>
      </c>
      <c r="H91" s="1373"/>
      <c r="I91" s="1373"/>
      <c r="J91" s="1373"/>
      <c r="K91" s="1373"/>
    </row>
    <row r="92" spans="1:11" ht="27.75" customHeight="1" thickBot="1">
      <c r="A92" s="1343" t="s">
        <v>1018</v>
      </c>
      <c r="B92" s="1344" t="s">
        <v>1019</v>
      </c>
      <c r="C92" s="1345" t="s">
        <v>1020</v>
      </c>
      <c r="D92" s="1346"/>
      <c r="E92" s="1346"/>
      <c r="F92" s="1346"/>
      <c r="G92" s="1347"/>
      <c r="H92" s="1373"/>
      <c r="I92" s="1373"/>
      <c r="J92" s="1373"/>
      <c r="K92" s="1373"/>
    </row>
    <row r="93" spans="1:11" ht="64.5" thickBot="1">
      <c r="A93" s="1348"/>
      <c r="B93" s="1349"/>
      <c r="C93" s="1350" t="s">
        <v>1021</v>
      </c>
      <c r="D93" s="1351" t="s">
        <v>1022</v>
      </c>
      <c r="E93" s="1351" t="s">
        <v>1023</v>
      </c>
      <c r="F93" s="1351" t="s">
        <v>1024</v>
      </c>
      <c r="G93" s="1313" t="s">
        <v>1025</v>
      </c>
      <c r="H93" s="1376"/>
      <c r="I93" s="1373"/>
      <c r="J93" s="1373"/>
      <c r="K93" s="1373"/>
    </row>
    <row r="94" spans="1:11">
      <c r="A94" s="1353" t="s">
        <v>14</v>
      </c>
      <c r="B94" s="1365" t="s">
        <v>1057</v>
      </c>
      <c r="C94" s="1355">
        <f>C95+C96+C97+C98</f>
        <v>59.893510077187493</v>
      </c>
      <c r="D94" s="1356">
        <f>D95+D96+D97+D98</f>
        <v>65.597653894062489</v>
      </c>
      <c r="E94" s="1356">
        <f>E95+E96+E97+E98</f>
        <v>71.301797710937493</v>
      </c>
      <c r="F94" s="1356">
        <f>F95+F96+F97+F98</f>
        <v>77.005941527812496</v>
      </c>
      <c r="G94" s="1357">
        <f>G95+G96+G97+G98</f>
        <v>273.79890320999999</v>
      </c>
      <c r="H94" s="1374"/>
      <c r="I94" s="1374"/>
    </row>
    <row r="95" spans="1:11">
      <c r="A95" s="1359" t="s">
        <v>381</v>
      </c>
      <c r="B95" s="1360" t="s">
        <v>1027</v>
      </c>
      <c r="C95" s="1361">
        <f>993.82542*0.95*(12+1-1)/12*0.0725/4</f>
        <v>17.112431450624999</v>
      </c>
      <c r="D95" s="1362">
        <f>993.82542*0.95*(12+2-1)/12*0.0725/4</f>
        <v>18.538467404843747</v>
      </c>
      <c r="E95" s="1362">
        <f>993.82542*0.95*(12+3-1)/12*0.0725/4</f>
        <v>19.964503359062501</v>
      </c>
      <c r="F95" s="1362">
        <f>993.82542*0.95*(12+4-1)/12*0.0725/4</f>
        <v>21.390539313281248</v>
      </c>
      <c r="G95" s="1363">
        <f>C95+D95+E95+F95</f>
        <v>77.005941527812496</v>
      </c>
      <c r="H95" s="1374"/>
      <c r="I95" s="1374"/>
    </row>
    <row r="96" spans="1:11">
      <c r="A96" s="1360" t="s">
        <v>393</v>
      </c>
      <c r="B96" s="1360" t="s">
        <v>1028</v>
      </c>
      <c r="C96" s="1361">
        <f>993.82542*0.95*(12+1-2)/12*0.0725/4</f>
        <v>15.686395496406249</v>
      </c>
      <c r="D96" s="1362">
        <f>993.82542*0.95*(12+2-2)/12*0.0725/4</f>
        <v>17.112431450624999</v>
      </c>
      <c r="E96" s="1362">
        <f>993.82542*0.95*(12+3-2)/12*0.0725/4</f>
        <v>18.538467404843747</v>
      </c>
      <c r="F96" s="1362">
        <f>993.82542*0.95*(12+4-2)/12*0.0725/4</f>
        <v>19.964503359062501</v>
      </c>
      <c r="G96" s="1363">
        <f>C96+D96+E96+F96</f>
        <v>71.301797710937493</v>
      </c>
      <c r="H96" s="1374"/>
      <c r="I96" s="1374"/>
    </row>
    <row r="97" spans="1:9">
      <c r="A97" s="1360" t="s">
        <v>21</v>
      </c>
      <c r="B97" s="1360" t="s">
        <v>1029</v>
      </c>
      <c r="C97" s="1361">
        <f>993.82542*0.95*(12+1-3)/12*0.0725/4</f>
        <v>14.260359542187498</v>
      </c>
      <c r="D97" s="1362">
        <f>993.82542*0.95*(12+2-3)/12*0.0725/4</f>
        <v>15.686395496406249</v>
      </c>
      <c r="E97" s="1362">
        <f>993.82542*0.95*(12+3-3)/12*0.0725/4</f>
        <v>17.112431450624999</v>
      </c>
      <c r="F97" s="1362">
        <f>993.82542*0.95*(12+4-3)/12*0.0725/4</f>
        <v>18.538467404843747</v>
      </c>
      <c r="G97" s="1363">
        <f>C97+D97+E97+F97</f>
        <v>65.597653894062489</v>
      </c>
      <c r="H97" s="1374"/>
      <c r="I97" s="1374"/>
    </row>
    <row r="98" spans="1:9">
      <c r="A98" s="1360" t="s">
        <v>23</v>
      </c>
      <c r="B98" s="1360" t="s">
        <v>1030</v>
      </c>
      <c r="C98" s="1361">
        <f>993.82542*0.95*(12+1-4)/12*0.0725/4</f>
        <v>12.834323587968749</v>
      </c>
      <c r="D98" s="1362">
        <f>993.82542*0.95*(12+2-4)/12*0.0725/4</f>
        <v>14.260359542187498</v>
      </c>
      <c r="E98" s="1362">
        <f>993.82542*0.95*(12+3-4)/12*0.0725/4</f>
        <v>15.686395496406249</v>
      </c>
      <c r="F98" s="1362">
        <f>993.82542*0.95*(12+4-4)/12*0.0725/4</f>
        <v>17.112431450624999</v>
      </c>
      <c r="G98" s="1363">
        <f>C98+D98+E98+F98</f>
        <v>59.8935100771875</v>
      </c>
      <c r="H98" s="1374"/>
      <c r="I98" s="1374"/>
    </row>
    <row r="99" spans="1:9" ht="12.75" customHeight="1">
      <c r="A99" s="1360" t="s">
        <v>135</v>
      </c>
      <c r="B99" s="1365" t="s">
        <v>1031</v>
      </c>
      <c r="C99" s="1355">
        <f>C100+C101+C102+C103</f>
        <v>37.076934809687501</v>
      </c>
      <c r="D99" s="1356">
        <f>D100+D101+D102+D103</f>
        <v>42.781078626562497</v>
      </c>
      <c r="E99" s="1356">
        <f>E100+E101+E102+E103</f>
        <v>48.4852224434375</v>
      </c>
      <c r="F99" s="1356">
        <f>F100+F101+F102+F103</f>
        <v>54.189366260312497</v>
      </c>
      <c r="G99" s="1357">
        <f>G100+G101+G102+G103</f>
        <v>182.53260213999999</v>
      </c>
      <c r="H99" s="1374"/>
      <c r="I99" s="1374"/>
    </row>
    <row r="100" spans="1:9" ht="12.75" customHeight="1">
      <c r="A100" s="1360" t="s">
        <v>167</v>
      </c>
      <c r="B100" s="1360" t="s">
        <v>1032</v>
      </c>
      <c r="C100" s="1361">
        <f>993.82542*0.95*(12+1-5)/12*0.0725/4</f>
        <v>11.40828763375</v>
      </c>
      <c r="D100" s="1362">
        <f>993.82542*0.95*(12+2-5)/12*0.0725/4</f>
        <v>12.834323587968749</v>
      </c>
      <c r="E100" s="1362">
        <f>993.82542*0.95*(12+3-5)/12*0.0725/4</f>
        <v>14.260359542187498</v>
      </c>
      <c r="F100" s="1362">
        <f>993.82542*0.95*(12+4-5)/12*0.0725/4</f>
        <v>15.686395496406249</v>
      </c>
      <c r="G100" s="1363">
        <f>C100+D100+E100+F100</f>
        <v>54.189366260312497</v>
      </c>
      <c r="H100" s="1374"/>
      <c r="I100" s="1374"/>
    </row>
    <row r="101" spans="1:9" ht="12.75" customHeight="1">
      <c r="A101" s="1360" t="s">
        <v>173</v>
      </c>
      <c r="B101" s="1360" t="s">
        <v>1033</v>
      </c>
      <c r="C101" s="1361">
        <f>993.82542*0.95*(12+1-6)/12*0.0725/4</f>
        <v>9.9822516795312506</v>
      </c>
      <c r="D101" s="1362">
        <f>993.82542*0.95*(12+2-6)/12*0.0725/4</f>
        <v>11.40828763375</v>
      </c>
      <c r="E101" s="1362">
        <f>993.82542*0.95*(12+3-6)/12*0.0725/4</f>
        <v>12.834323587968749</v>
      </c>
      <c r="F101" s="1362">
        <f>993.82542*0.95*(12+4-6)/12*0.0725/4</f>
        <v>14.260359542187498</v>
      </c>
      <c r="G101" s="1363">
        <f>C101+D101+E101+F101</f>
        <v>48.485222443437493</v>
      </c>
      <c r="H101" s="1374"/>
      <c r="I101" s="1374"/>
    </row>
    <row r="102" spans="1:9" ht="12.75" customHeight="1">
      <c r="A102" s="1360" t="s">
        <v>180</v>
      </c>
      <c r="B102" s="1360" t="s">
        <v>1034</v>
      </c>
      <c r="C102" s="1361">
        <f>993.82542*0.95*(12+1-7)/12*0.0725/4</f>
        <v>8.5562157253124997</v>
      </c>
      <c r="D102" s="1362">
        <f>993.82542*0.95*(12+2-7)/12*0.0725/4</f>
        <v>9.9822516795312506</v>
      </c>
      <c r="E102" s="1362">
        <f>993.82542*0.95*(12+3-7)/12*0.0725/4</f>
        <v>11.40828763375</v>
      </c>
      <c r="F102" s="1362">
        <f>993.82542*0.95*(12+4-7)/12*0.0725/4</f>
        <v>12.834323587968749</v>
      </c>
      <c r="G102" s="1363">
        <f>C102+D102+E102+F102</f>
        <v>42.781078626562497</v>
      </c>
      <c r="H102" s="1374"/>
      <c r="I102" s="1374"/>
    </row>
    <row r="103" spans="1:9" ht="12.75" customHeight="1">
      <c r="A103" s="1360" t="s">
        <v>182</v>
      </c>
      <c r="B103" s="1360" t="s">
        <v>1035</v>
      </c>
      <c r="C103" s="1361">
        <f>993.82542*0.95*(12+1-8)/12*0.0725/4</f>
        <v>7.1301797710937489</v>
      </c>
      <c r="D103" s="1362">
        <f>993.82542*0.95*(12+2-8)/12*0.0725/4</f>
        <v>8.5562157253124997</v>
      </c>
      <c r="E103" s="1362">
        <f>993.82542*0.95*(12+3-8)/12*0.0725/4</f>
        <v>9.9822516795312506</v>
      </c>
      <c r="F103" s="1362">
        <f>993.82542*0.95*(12+4-8)/12*0.0725/4</f>
        <v>11.40828763375</v>
      </c>
      <c r="G103" s="1363">
        <f>C103+D103+E103+F103</f>
        <v>37.076934809687501</v>
      </c>
      <c r="H103" s="1374"/>
      <c r="I103" s="1374"/>
    </row>
    <row r="104" spans="1:9" ht="12" customHeight="1">
      <c r="A104" s="1360" t="s">
        <v>191</v>
      </c>
      <c r="B104" s="1365" t="s">
        <v>1036</v>
      </c>
      <c r="C104" s="1355">
        <f>C105+C106+C107+C108</f>
        <v>14.260359542187498</v>
      </c>
      <c r="D104" s="1356">
        <f>D105+D106+D107+D108</f>
        <v>19.964503359062498</v>
      </c>
      <c r="E104" s="1356">
        <f>E105+E106+E107+E108</f>
        <v>25.668647175937497</v>
      </c>
      <c r="F104" s="1356">
        <f>F105+F106+F107+F108</f>
        <v>31.372790992812501</v>
      </c>
      <c r="G104" s="1357">
        <f>G105+G106+G107+G108</f>
        <v>91.266301069999997</v>
      </c>
      <c r="H104" s="1374"/>
      <c r="I104" s="1374"/>
    </row>
    <row r="105" spans="1:9" ht="12.75" customHeight="1">
      <c r="A105" s="1360" t="s">
        <v>192</v>
      </c>
      <c r="B105" s="1360" t="s">
        <v>1037</v>
      </c>
      <c r="C105" s="1361">
        <f>993.82542*0.95*(12+1-9)/12*0.0725/4</f>
        <v>5.7041438168749998</v>
      </c>
      <c r="D105" s="1362">
        <f>993.82542*0.95*(12+2-9)/12*0.0725/4</f>
        <v>7.1301797710937489</v>
      </c>
      <c r="E105" s="1362">
        <f>993.82542*0.95*(12+3-9)/12*0.0725/4</f>
        <v>8.5562157253124997</v>
      </c>
      <c r="F105" s="1362">
        <f>993.82542*0.95*(12+4-9)/12*0.0725/4</f>
        <v>9.9822516795312506</v>
      </c>
      <c r="G105" s="1363">
        <f>C105+D105+E105+F105</f>
        <v>31.372790992812497</v>
      </c>
      <c r="H105" s="1374"/>
      <c r="I105" s="1374"/>
    </row>
    <row r="106" spans="1:9" ht="12.75" customHeight="1">
      <c r="A106" s="1360" t="s">
        <v>195</v>
      </c>
      <c r="B106" s="1360" t="s">
        <v>1038</v>
      </c>
      <c r="C106" s="1361">
        <f>993.82542*0.95*(12+1-10)/12*0.0725/4</f>
        <v>4.2781078626562499</v>
      </c>
      <c r="D106" s="1362">
        <f>993.82542*0.95*(12+2-10)/12*0.0725/4</f>
        <v>5.7041438168749998</v>
      </c>
      <c r="E106" s="1362">
        <f>993.82542*0.95*(12+3-10)/12*0.0725/4</f>
        <v>7.1301797710937489</v>
      </c>
      <c r="F106" s="1362">
        <f>993.82542*0.95*(12+4-10)/12*0.0725/4</f>
        <v>8.5562157253124997</v>
      </c>
      <c r="G106" s="1363">
        <f>C106+D106+E106+F106</f>
        <v>25.668647175937494</v>
      </c>
      <c r="H106" s="1374"/>
      <c r="I106" s="1374"/>
    </row>
    <row r="107" spans="1:9" ht="12.75" customHeight="1">
      <c r="A107" s="1360" t="s">
        <v>631</v>
      </c>
      <c r="B107" s="1360" t="s">
        <v>1039</v>
      </c>
      <c r="C107" s="1361">
        <f>993.82542*0.95*(12+1-11)/12*0.0725/4</f>
        <v>2.8520719084374999</v>
      </c>
      <c r="D107" s="1362">
        <f>993.82542*0.95*(12+2-11)/12*0.0725/4</f>
        <v>4.2781078626562499</v>
      </c>
      <c r="E107" s="1362">
        <f>993.82542*0.95*(12+3-11)/12*0.0725/4</f>
        <v>5.7041438168749998</v>
      </c>
      <c r="F107" s="1362">
        <f>993.82542*0.95*(12+4-11)/12*0.0725/4</f>
        <v>7.1301797710937489</v>
      </c>
      <c r="G107" s="1363">
        <f>C107+D107+E107+F107</f>
        <v>19.964503359062498</v>
      </c>
      <c r="H107" s="1374"/>
      <c r="I107" s="1374"/>
    </row>
    <row r="108" spans="1:9" ht="12.75" customHeight="1" thickBot="1">
      <c r="A108" s="1360" t="s">
        <v>1040</v>
      </c>
      <c r="B108" s="1360" t="s">
        <v>1041</v>
      </c>
      <c r="C108" s="1361">
        <f>993.82542*0.95*(12+1-12)/12*0.0725/4</f>
        <v>1.42603595421875</v>
      </c>
      <c r="D108" s="1362">
        <f>993.82542*0.95*(12+2-12)/12*0.0725/4</f>
        <v>2.8520719084374999</v>
      </c>
      <c r="E108" s="1362">
        <f>993.82542*0.95*(12+3-12)/12*0.0725/4</f>
        <v>4.2781078626562499</v>
      </c>
      <c r="F108" s="1362">
        <f>993.82542*0.95*(12+4-12)/12*0.0725/4</f>
        <v>5.7041438168749998</v>
      </c>
      <c r="G108" s="1363">
        <f>C108+D108+E108+F108</f>
        <v>14.2603595421875</v>
      </c>
      <c r="H108" s="1374"/>
      <c r="I108" s="1374"/>
    </row>
    <row r="109" spans="1:9" ht="13.5" thickBot="1">
      <c r="A109" s="1367" t="s">
        <v>198</v>
      </c>
      <c r="B109" s="1368" t="s">
        <v>201</v>
      </c>
      <c r="C109" s="1369">
        <f>C94+C99+C104</f>
        <v>111.23080442906249</v>
      </c>
      <c r="D109" s="1369">
        <f>D94+D99+D104</f>
        <v>128.34323587968748</v>
      </c>
      <c r="E109" s="1369">
        <f>E94+E99+E104</f>
        <v>145.45566733031251</v>
      </c>
      <c r="F109" s="1369">
        <f>F94+F99+F104</f>
        <v>162.56809878093748</v>
      </c>
      <c r="G109" s="1369">
        <f>G94+G99+G104</f>
        <v>547.59780641999998</v>
      </c>
      <c r="H109" s="1374"/>
      <c r="I109" s="1374"/>
    </row>
    <row r="110" spans="1:9">
      <c r="H110" s="1374"/>
      <c r="I110" s="1374"/>
    </row>
    <row r="111" spans="1:9">
      <c r="H111" s="1374"/>
      <c r="I111" s="1374"/>
    </row>
    <row r="112" spans="1:9">
      <c r="H112" s="1374"/>
      <c r="I112" s="1374"/>
    </row>
    <row r="113" spans="1:12" ht="26.25" thickBot="1">
      <c r="B113" s="1341" t="s">
        <v>1058</v>
      </c>
      <c r="C113" s="1342" t="s">
        <v>1059</v>
      </c>
      <c r="D113" s="1342"/>
      <c r="E113" s="1342"/>
      <c r="F113" s="1196" t="s">
        <v>1060</v>
      </c>
      <c r="H113" s="1375"/>
      <c r="I113" s="1375"/>
      <c r="J113" s="1375"/>
      <c r="K113" s="1375"/>
      <c r="L113" s="1375"/>
    </row>
    <row r="114" spans="1:12" ht="30.75" customHeight="1" thickBot="1">
      <c r="A114" s="1343" t="s">
        <v>1018</v>
      </c>
      <c r="B114" s="1344" t="s">
        <v>1019</v>
      </c>
      <c r="C114" s="1345" t="s">
        <v>1020</v>
      </c>
      <c r="D114" s="1346"/>
      <c r="E114" s="1346"/>
      <c r="F114" s="1346"/>
      <c r="G114" s="1347"/>
      <c r="H114" s="1372">
        <f>G109/1.18</f>
        <v>464.06593764406779</v>
      </c>
      <c r="I114" s="1373" t="s">
        <v>1042</v>
      </c>
      <c r="J114" s="1375"/>
      <c r="K114" s="1375"/>
      <c r="L114" s="1375"/>
    </row>
    <row r="115" spans="1:12" ht="64.5" thickBot="1">
      <c r="A115" s="1348"/>
      <c r="B115" s="1349"/>
      <c r="C115" s="1350" t="s">
        <v>1021</v>
      </c>
      <c r="D115" s="1351" t="s">
        <v>1022</v>
      </c>
      <c r="E115" s="1351" t="s">
        <v>1023</v>
      </c>
      <c r="F115" s="1351" t="s">
        <v>1024</v>
      </c>
      <c r="G115" s="1313" t="s">
        <v>1025</v>
      </c>
      <c r="H115" s="1375"/>
      <c r="I115" s="1375"/>
      <c r="J115" s="1375"/>
      <c r="K115" s="1375"/>
      <c r="L115" s="1375"/>
    </row>
    <row r="116" spans="1:12">
      <c r="A116" s="1353" t="s">
        <v>14</v>
      </c>
      <c r="B116" s="1365" t="s">
        <v>1057</v>
      </c>
      <c r="C116" s="1355">
        <f>C117+C118+C119+C120</f>
        <v>23.741071650625003</v>
      </c>
      <c r="D116" s="1356">
        <f>D117+D118+D119+D120</f>
        <v>26.002126093541666</v>
      </c>
      <c r="E116" s="1356">
        <f>E117+E118+E119+E120</f>
        <v>28.263180536458332</v>
      </c>
      <c r="F116" s="1356">
        <f>F117+F118+F119+F120</f>
        <v>30.524234979374995</v>
      </c>
      <c r="G116" s="1357">
        <f>G117+G118+G119+G120</f>
        <v>108.53061326</v>
      </c>
      <c r="H116" s="1375"/>
      <c r="I116" s="1375"/>
      <c r="J116" s="1375"/>
      <c r="K116" s="1375"/>
      <c r="L116" s="1375"/>
    </row>
    <row r="117" spans="1:12">
      <c r="A117" s="1359" t="s">
        <v>381</v>
      </c>
      <c r="B117" s="1360" t="s">
        <v>1027</v>
      </c>
      <c r="C117" s="1361">
        <f>393.94052*0.95*(12+1-1)/12*0.0725/4</f>
        <v>6.7831633287499997</v>
      </c>
      <c r="D117" s="1362">
        <f>393.94052*0.95*(12+2-1)/12*0.0725/4</f>
        <v>7.3484269394791664</v>
      </c>
      <c r="E117" s="1362">
        <f>393.94052*0.95*(12+3-1)/12*0.0725/4</f>
        <v>7.913690550208333</v>
      </c>
      <c r="F117" s="1362">
        <f>393.94052*0.95*(12+4-1)/12*0.0725/4</f>
        <v>8.4789541609374979</v>
      </c>
      <c r="G117" s="1363">
        <f>C117+D117+E117+F117</f>
        <v>30.524234979374995</v>
      </c>
      <c r="H117" s="1375"/>
      <c r="I117" s="1375"/>
      <c r="J117" s="1375"/>
      <c r="K117" s="1375"/>
      <c r="L117" s="1375"/>
    </row>
    <row r="118" spans="1:12">
      <c r="A118" s="1360" t="s">
        <v>393</v>
      </c>
      <c r="B118" s="1360" t="s">
        <v>1028</v>
      </c>
      <c r="C118" s="1361">
        <f>393.94052*0.95*(12+1-2)/12*0.0725/4</f>
        <v>6.217899718020834</v>
      </c>
      <c r="D118" s="1362">
        <f>393.94052*0.95*(12+2-2)/12*0.0725/4</f>
        <v>6.7831633287499997</v>
      </c>
      <c r="E118" s="1362">
        <f>393.94052*0.95*(12+3-2)/12*0.0725/4</f>
        <v>7.3484269394791664</v>
      </c>
      <c r="F118" s="1362">
        <f>393.94052*0.95*(12+4-2)/12*0.0725/4</f>
        <v>7.913690550208333</v>
      </c>
      <c r="G118" s="1363">
        <f>C118+D118+E118+F118</f>
        <v>28.263180536458332</v>
      </c>
      <c r="H118" s="1375"/>
      <c r="I118" s="1375"/>
      <c r="J118" s="1375"/>
      <c r="K118" s="1375"/>
      <c r="L118" s="1375"/>
    </row>
    <row r="119" spans="1:12" ht="12.75" customHeight="1">
      <c r="A119" s="1360" t="s">
        <v>21</v>
      </c>
      <c r="B119" s="1360" t="s">
        <v>1029</v>
      </c>
      <c r="C119" s="1361">
        <f>393.94052*0.95*(12+1-3)/12*0.0725/4</f>
        <v>5.6526361072916664</v>
      </c>
      <c r="D119" s="1362">
        <f>393.94052*0.95*(12+2-3)/12*0.0725/4</f>
        <v>6.217899718020834</v>
      </c>
      <c r="E119" s="1362">
        <f>393.94052*0.95*(12+3-3)/12*0.0725/4</f>
        <v>6.7831633287499997</v>
      </c>
      <c r="F119" s="1362">
        <f>393.94052*0.95*(12+4-3)/12*0.0725/4</f>
        <v>7.3484269394791664</v>
      </c>
      <c r="G119" s="1363">
        <f>C119+D119+E119+F119</f>
        <v>26.002126093541669</v>
      </c>
      <c r="H119" s="1375"/>
      <c r="I119" s="1375"/>
      <c r="J119" s="1375"/>
      <c r="K119" s="1375"/>
      <c r="L119" s="1375"/>
    </row>
    <row r="120" spans="1:12">
      <c r="A120" s="1360" t="s">
        <v>23</v>
      </c>
      <c r="B120" s="1360" t="s">
        <v>1030</v>
      </c>
      <c r="C120" s="1361">
        <f>393.94052*0.95*(12+1-4)/12*0.0725/4</f>
        <v>5.0873724965624998</v>
      </c>
      <c r="D120" s="1362">
        <f>393.94052*0.95*(12+2-4)/12*0.0725/4</f>
        <v>5.6526361072916664</v>
      </c>
      <c r="E120" s="1362">
        <f>393.94052*0.95*(12+3-4)/12*0.0725/4</f>
        <v>6.217899718020834</v>
      </c>
      <c r="F120" s="1362">
        <f>393.94052*0.95*(12+4-4)/12*0.0725/4</f>
        <v>6.7831633287499997</v>
      </c>
      <c r="G120" s="1363">
        <f>C120+D120+E120+F120</f>
        <v>23.741071650624999</v>
      </c>
      <c r="H120" s="1376"/>
      <c r="I120" s="1373"/>
      <c r="J120" s="1375"/>
      <c r="K120" s="1375"/>
      <c r="L120" s="1375"/>
    </row>
    <row r="121" spans="1:12">
      <c r="A121" s="1360" t="s">
        <v>135</v>
      </c>
      <c r="B121" s="1365" t="s">
        <v>1031</v>
      </c>
      <c r="C121" s="1355">
        <f>C122+C123+C124+C125</f>
        <v>14.696853878958333</v>
      </c>
      <c r="D121" s="1356">
        <f>D122+D123+D124+D125</f>
        <v>16.957908321874999</v>
      </c>
      <c r="E121" s="1356">
        <f>E122+E123+E124+E125</f>
        <v>19.218962764791666</v>
      </c>
      <c r="F121" s="1356">
        <f>F122+F123+F124+F125</f>
        <v>21.480017207708336</v>
      </c>
      <c r="G121" s="1357">
        <f>G122+G123+G124+G125</f>
        <v>72.35374217333333</v>
      </c>
      <c r="H121" s="1375"/>
      <c r="I121" s="1375"/>
      <c r="J121" s="1375"/>
      <c r="K121" s="1375"/>
      <c r="L121" s="1375"/>
    </row>
    <row r="122" spans="1:12">
      <c r="A122" s="1360" t="s">
        <v>167</v>
      </c>
      <c r="B122" s="1360" t="s">
        <v>1032</v>
      </c>
      <c r="C122" s="1361">
        <f>393.94052*0.95*(12+1-5)/12*0.0725/4</f>
        <v>4.5221088858333331</v>
      </c>
      <c r="D122" s="1362">
        <f>393.94052*0.95*(12+2-5)/12*0.0725/4</f>
        <v>5.0873724965624998</v>
      </c>
      <c r="E122" s="1362">
        <f>393.94052*0.95*(12+3-5)/12*0.0725/4</f>
        <v>5.6526361072916664</v>
      </c>
      <c r="F122" s="1362">
        <f>393.94052*0.95*(12+4-5)/12*0.0725/4</f>
        <v>6.217899718020834</v>
      </c>
      <c r="G122" s="1363">
        <f>C122+D122+E122+F122</f>
        <v>21.480017207708332</v>
      </c>
      <c r="H122" s="1375"/>
      <c r="I122" s="1375"/>
      <c r="J122" s="1375"/>
      <c r="K122" s="1375"/>
      <c r="L122" s="1375"/>
    </row>
    <row r="123" spans="1:12">
      <c r="A123" s="1360" t="s">
        <v>173</v>
      </c>
      <c r="B123" s="1360" t="s">
        <v>1033</v>
      </c>
      <c r="C123" s="1361">
        <f>393.94052*0.95*(12+1-6)/12*0.0725/4</f>
        <v>3.9568452751041665</v>
      </c>
      <c r="D123" s="1362">
        <f>393.94052*0.95*(12+2-6)/12*0.0725/4</f>
        <v>4.5221088858333331</v>
      </c>
      <c r="E123" s="1362">
        <f>393.94052*0.95*(12+3-6)/12*0.0725/4</f>
        <v>5.0873724965624998</v>
      </c>
      <c r="F123" s="1362">
        <f>393.94052*0.95*(12+4-6)/12*0.0725/4</f>
        <v>5.6526361072916664</v>
      </c>
      <c r="G123" s="1363">
        <f>C123+D123+E123+F123</f>
        <v>19.218962764791666</v>
      </c>
      <c r="H123" s="1375"/>
      <c r="I123" s="1375"/>
      <c r="J123" s="1375"/>
      <c r="K123" s="1375"/>
      <c r="L123" s="1375"/>
    </row>
    <row r="124" spans="1:12">
      <c r="A124" s="1360" t="s">
        <v>180</v>
      </c>
      <c r="B124" s="1360" t="s">
        <v>1034</v>
      </c>
      <c r="C124" s="1361">
        <f>393.94052*0.95*(12+1-7)/12*0.0725/4</f>
        <v>3.3915816643749999</v>
      </c>
      <c r="D124" s="1362">
        <f>393.94052*0.95*(12+2-7)/12*0.0725/4</f>
        <v>3.9568452751041665</v>
      </c>
      <c r="E124" s="1362">
        <f>393.94052*0.95*(12+3-7)/12*0.0725/4</f>
        <v>4.5221088858333331</v>
      </c>
      <c r="F124" s="1362">
        <f>393.94052*0.95*(12+4-7)/12*0.0725/4</f>
        <v>5.0873724965624998</v>
      </c>
      <c r="G124" s="1363">
        <f>C124+D124+E124+F124</f>
        <v>16.957908321874999</v>
      </c>
      <c r="H124" s="1375"/>
      <c r="I124" s="1375"/>
      <c r="J124" s="1375"/>
      <c r="K124" s="1375"/>
      <c r="L124" s="1375"/>
    </row>
    <row r="125" spans="1:12">
      <c r="A125" s="1360" t="s">
        <v>182</v>
      </c>
      <c r="B125" s="1360" t="s">
        <v>1035</v>
      </c>
      <c r="C125" s="1361">
        <f>393.94052*0.95*(12+1-8)/12*0.0725/4</f>
        <v>2.8263180536458332</v>
      </c>
      <c r="D125" s="1362">
        <f>393.94052*0.95*(12+2-8)/12*0.0725/4</f>
        <v>3.3915816643749999</v>
      </c>
      <c r="E125" s="1362">
        <f>393.94052*0.95*(12+3-8)/12*0.0725/4</f>
        <v>3.9568452751041665</v>
      </c>
      <c r="F125" s="1362">
        <f>393.94052*0.95*(12+4-8)/12*0.0725/4</f>
        <v>4.5221088858333331</v>
      </c>
      <c r="G125" s="1363">
        <f>C125+D125+E125+F125</f>
        <v>14.696853878958333</v>
      </c>
      <c r="H125" s="1375"/>
      <c r="I125" s="1375"/>
      <c r="J125" s="1375"/>
      <c r="K125" s="1375"/>
      <c r="L125" s="1375"/>
    </row>
    <row r="126" spans="1:12">
      <c r="A126" s="1360" t="s">
        <v>191</v>
      </c>
      <c r="B126" s="1365" t="s">
        <v>1036</v>
      </c>
      <c r="C126" s="1355">
        <f>C127+C128+C129+C130</f>
        <v>5.6526361072916664</v>
      </c>
      <c r="D126" s="1356">
        <f>D127+D128+D129+D130</f>
        <v>7.913690550208333</v>
      </c>
      <c r="E126" s="1356">
        <f>E127+E128+E129+E130</f>
        <v>10.174744993125</v>
      </c>
      <c r="F126" s="1356">
        <f>F127+F128+F129+F130</f>
        <v>12.435799436041666</v>
      </c>
      <c r="G126" s="1357">
        <f>G127+G128+G129+G130</f>
        <v>36.176871086666665</v>
      </c>
      <c r="H126" s="1375"/>
      <c r="I126" s="1375"/>
      <c r="J126" s="1375"/>
      <c r="K126" s="1375"/>
      <c r="L126" s="1375"/>
    </row>
    <row r="127" spans="1:12">
      <c r="A127" s="1360" t="s">
        <v>192</v>
      </c>
      <c r="B127" s="1360" t="s">
        <v>1037</v>
      </c>
      <c r="C127" s="1361">
        <f>393.94052*0.95*(12+1-9)/12*0.0725/4</f>
        <v>2.2610544429166666</v>
      </c>
      <c r="D127" s="1362">
        <f>393.94052*0.95*(12+2-9)/12*0.0725/4</f>
        <v>2.8263180536458332</v>
      </c>
      <c r="E127" s="1362">
        <f>393.94052*0.95*(12+3-9)/12*0.0725/4</f>
        <v>3.3915816643749999</v>
      </c>
      <c r="F127" s="1362">
        <f>393.94052*0.95*(12+4-9)/12*0.0725/4</f>
        <v>3.9568452751041665</v>
      </c>
      <c r="G127" s="1363">
        <f>C127+D127+E127+F127</f>
        <v>12.435799436041666</v>
      </c>
      <c r="H127" s="1375"/>
      <c r="I127" s="1375"/>
      <c r="J127" s="1375"/>
      <c r="K127" s="1375"/>
      <c r="L127" s="1375"/>
    </row>
    <row r="128" spans="1:12">
      <c r="A128" s="1360" t="s">
        <v>195</v>
      </c>
      <c r="B128" s="1360" t="s">
        <v>1038</v>
      </c>
      <c r="C128" s="1361">
        <f>393.94052*0.95*(12+1-10)/12*0.0725/4</f>
        <v>1.6957908321874999</v>
      </c>
      <c r="D128" s="1362">
        <f>393.94052*0.95*(12+2-10)/12*0.0725/4</f>
        <v>2.2610544429166666</v>
      </c>
      <c r="E128" s="1362">
        <f>393.94052*0.95*(12+3-10)/12*0.0725/4</f>
        <v>2.8263180536458332</v>
      </c>
      <c r="F128" s="1362">
        <f>393.94052*0.95*(12+4-10)/12*0.0725/4</f>
        <v>3.3915816643749999</v>
      </c>
      <c r="G128" s="1363">
        <f>C128+D128+E128+F128</f>
        <v>10.174744993125</v>
      </c>
      <c r="H128" s="1375"/>
      <c r="I128" s="1375"/>
      <c r="J128" s="1375"/>
      <c r="K128" s="1375"/>
      <c r="L128" s="1375"/>
    </row>
    <row r="129" spans="1:12">
      <c r="A129" s="1360" t="s">
        <v>631</v>
      </c>
      <c r="B129" s="1360" t="s">
        <v>1039</v>
      </c>
      <c r="C129" s="1361">
        <f>393.94052*0.95*(12+1-11)/12*0.0725/4</f>
        <v>1.1305272214583333</v>
      </c>
      <c r="D129" s="1362">
        <f>393.94052*0.95*(12+2-11)/12*0.0725/4</f>
        <v>1.6957908321874999</v>
      </c>
      <c r="E129" s="1362">
        <f>393.94052*0.95*(12+3-11)/12*0.0725/4</f>
        <v>2.2610544429166666</v>
      </c>
      <c r="F129" s="1362">
        <f>393.94052*0.95*(12+4-11)/12*0.0725/4</f>
        <v>2.8263180536458332</v>
      </c>
      <c r="G129" s="1363">
        <f>C129+D129+E129+F129</f>
        <v>7.913690550208333</v>
      </c>
      <c r="H129" s="1375"/>
      <c r="I129" s="1375"/>
      <c r="J129" s="1375"/>
      <c r="K129" s="1375"/>
      <c r="L129" s="1375"/>
    </row>
    <row r="130" spans="1:12" ht="13.5" thickBot="1">
      <c r="A130" s="1360" t="s">
        <v>1040</v>
      </c>
      <c r="B130" s="1360" t="s">
        <v>1041</v>
      </c>
      <c r="C130" s="1361">
        <f>393.94052*0.95*(12+1-12)/12*0.0725/4</f>
        <v>0.56526361072916664</v>
      </c>
      <c r="D130" s="1362">
        <f>393.94052*0.95*(12+2-12)/12*0.0725/4</f>
        <v>1.1305272214583333</v>
      </c>
      <c r="E130" s="1362">
        <f>393.94052*0.95*(12+3-12)/12*0.0725/4</f>
        <v>1.6957908321874999</v>
      </c>
      <c r="F130" s="1362">
        <f>393.94052*0.95*(12+4-12)/12*0.0725/4</f>
        <v>2.2610544429166666</v>
      </c>
      <c r="G130" s="1363">
        <f>C130+D130+E130+F130</f>
        <v>5.6526361072916664</v>
      </c>
      <c r="H130" s="1375"/>
      <c r="I130" s="1375"/>
      <c r="J130" s="1375"/>
      <c r="K130" s="1375"/>
      <c r="L130" s="1375"/>
    </row>
    <row r="131" spans="1:12" ht="13.5" thickBot="1">
      <c r="A131" s="1367" t="s">
        <v>198</v>
      </c>
      <c r="B131" s="1368" t="s">
        <v>201</v>
      </c>
      <c r="C131" s="1369">
        <f>C116+C121+C126</f>
        <v>44.090561636875009</v>
      </c>
      <c r="D131" s="1369">
        <f>D116+D121+D126</f>
        <v>50.873724965625001</v>
      </c>
      <c r="E131" s="1369">
        <f>E116+E121+E126</f>
        <v>57.656888294374994</v>
      </c>
      <c r="F131" s="1369">
        <f>F116+F121+F126</f>
        <v>64.440051623125001</v>
      </c>
      <c r="G131" s="1369">
        <f>G116+G121+G126</f>
        <v>217.06122651999999</v>
      </c>
      <c r="H131" s="1375"/>
      <c r="I131" s="1375"/>
      <c r="J131" s="1375"/>
      <c r="K131" s="1375"/>
      <c r="L131" s="1375"/>
    </row>
    <row r="132" spans="1:12">
      <c r="H132" s="1375"/>
      <c r="I132" s="1375"/>
      <c r="J132" s="1375"/>
      <c r="K132" s="1375"/>
      <c r="L132" s="1375"/>
    </row>
    <row r="133" spans="1:12">
      <c r="H133" s="1375"/>
      <c r="I133" s="1375"/>
      <c r="J133" s="1375"/>
      <c r="K133" s="1375"/>
      <c r="L133" s="1375"/>
    </row>
    <row r="134" spans="1:12">
      <c r="H134" s="1375"/>
      <c r="I134" s="1375"/>
      <c r="J134" s="1375"/>
      <c r="K134" s="1375"/>
      <c r="L134" s="1375"/>
    </row>
    <row r="135" spans="1:12" ht="26.25" thickBot="1">
      <c r="B135" s="1341" t="s">
        <v>1061</v>
      </c>
      <c r="C135" s="1342" t="s">
        <v>1062</v>
      </c>
      <c r="D135" s="1342"/>
      <c r="E135" s="1342"/>
      <c r="F135" s="215" t="s">
        <v>1063</v>
      </c>
      <c r="H135" s="1375"/>
      <c r="I135" s="1375"/>
      <c r="J135" s="1375"/>
      <c r="K135" s="1375"/>
      <c r="L135" s="1375"/>
    </row>
    <row r="136" spans="1:12" ht="26.25" customHeight="1" thickBot="1">
      <c r="A136" s="1343" t="s">
        <v>1018</v>
      </c>
      <c r="B136" s="1344" t="s">
        <v>1019</v>
      </c>
      <c r="C136" s="1345" t="s">
        <v>1020</v>
      </c>
      <c r="D136" s="1346"/>
      <c r="E136" s="1346"/>
      <c r="F136" s="1346"/>
      <c r="G136" s="1347"/>
      <c r="H136" s="1375"/>
      <c r="I136" s="1375"/>
      <c r="J136" s="1375"/>
      <c r="K136" s="1375"/>
      <c r="L136" s="1375"/>
    </row>
    <row r="137" spans="1:12" ht="64.5" thickBot="1">
      <c r="A137" s="1348"/>
      <c r="B137" s="1349"/>
      <c r="C137" s="1350" t="s">
        <v>1021</v>
      </c>
      <c r="D137" s="1351" t="s">
        <v>1022</v>
      </c>
      <c r="E137" s="1351" t="s">
        <v>1023</v>
      </c>
      <c r="F137" s="1351" t="s">
        <v>1024</v>
      </c>
      <c r="G137" s="1313" t="s">
        <v>1025</v>
      </c>
      <c r="H137" s="1375"/>
      <c r="I137" s="1375"/>
      <c r="J137" s="1375"/>
      <c r="K137" s="1375"/>
      <c r="L137" s="1375"/>
    </row>
    <row r="138" spans="1:12">
      <c r="A138" s="1353" t="s">
        <v>14</v>
      </c>
      <c r="B138" s="1365" t="s">
        <v>1057</v>
      </c>
      <c r="C138" s="1355">
        <f>C139+C140+C141+C142</f>
        <v>4.5327898629947914</v>
      </c>
      <c r="D138" s="1356">
        <f>D139+D140+D141+D142</f>
        <v>4.9269455032552081</v>
      </c>
      <c r="E138" s="1356">
        <f>E139+E140+E141+E142</f>
        <v>5.3211011435156248</v>
      </c>
      <c r="F138" s="1356">
        <f>F139+F140+F141+F142</f>
        <v>5.7152567837760415</v>
      </c>
      <c r="G138" s="1357">
        <f>G139+G140+G141+G142</f>
        <v>20.496093293541666</v>
      </c>
      <c r="H138" s="1375"/>
      <c r="I138" s="1375"/>
      <c r="J138" s="1375"/>
      <c r="K138" s="1375"/>
      <c r="L138" s="1375"/>
    </row>
    <row r="139" spans="1:12">
      <c r="A139" s="1359" t="s">
        <v>381</v>
      </c>
      <c r="B139" s="1360"/>
      <c r="C139" s="1361"/>
      <c r="D139" s="1362"/>
      <c r="E139" s="1362"/>
      <c r="F139" s="1362"/>
      <c r="G139" s="1363">
        <f>C139+D139+E139+F139</f>
        <v>0</v>
      </c>
      <c r="H139" s="1375"/>
      <c r="I139" s="1375"/>
      <c r="J139" s="1375"/>
      <c r="K139" s="1375"/>
      <c r="L139" s="1375"/>
    </row>
    <row r="140" spans="1:12">
      <c r="A140" s="1360" t="s">
        <v>393</v>
      </c>
      <c r="B140" s="1360"/>
      <c r="C140" s="1361"/>
      <c r="D140" s="1362"/>
      <c r="E140" s="1362"/>
      <c r="F140" s="1362"/>
      <c r="G140" s="1363">
        <f>C140+D140+E140+F140</f>
        <v>0</v>
      </c>
      <c r="H140" s="1375"/>
      <c r="I140" s="1375"/>
      <c r="J140" s="1375"/>
      <c r="K140" s="1375"/>
      <c r="L140" s="1375"/>
    </row>
    <row r="141" spans="1:12" ht="12.75" customHeight="1">
      <c r="A141" s="1360" t="s">
        <v>21</v>
      </c>
      <c r="B141" s="1360" t="s">
        <v>1027</v>
      </c>
      <c r="C141" s="1361">
        <f>137.34643*0.95*(12+1-1)/12*0.0725/4</f>
        <v>2.3649338415624999</v>
      </c>
      <c r="D141" s="1362">
        <f>137.34643*0.95*(12+2-1)/12*0.0725/4</f>
        <v>2.5620116616927082</v>
      </c>
      <c r="E141" s="1362">
        <f>137.34643*0.95*(12+3-1)/12*0.0725/4</f>
        <v>2.7590894818229166</v>
      </c>
      <c r="F141" s="1362">
        <f>137.34643*0.95*(12+4-1)/12*0.0725/4</f>
        <v>2.9561673019531249</v>
      </c>
      <c r="G141" s="1363">
        <f>C141+D141+E141+F141</f>
        <v>10.64220228703125</v>
      </c>
      <c r="H141" s="1375"/>
      <c r="I141" s="1375"/>
      <c r="J141" s="1375"/>
      <c r="K141" s="1375"/>
      <c r="L141" s="1375"/>
    </row>
    <row r="142" spans="1:12">
      <c r="A142" s="1360" t="s">
        <v>23</v>
      </c>
      <c r="B142" s="1360" t="s">
        <v>1028</v>
      </c>
      <c r="C142" s="1361">
        <f>137.34643*0.95*(12+1-2)/12*0.0725/4</f>
        <v>2.1678560214322915</v>
      </c>
      <c r="D142" s="1362">
        <f>137.34643*0.95*(12+2-2)/12*0.0725/4</f>
        <v>2.3649338415624999</v>
      </c>
      <c r="E142" s="1362">
        <f>137.34643*0.95*(12+3-2)/12*0.0725/4</f>
        <v>2.5620116616927082</v>
      </c>
      <c r="F142" s="1362">
        <f>137.34643*0.95*(12+4-2)/12*0.0725/4</f>
        <v>2.7590894818229166</v>
      </c>
      <c r="G142" s="1363">
        <f>C142+D142+E142+F142</f>
        <v>9.8538910065104162</v>
      </c>
      <c r="H142" s="1376"/>
      <c r="I142" s="1373"/>
      <c r="J142" s="1375"/>
      <c r="K142" s="1375"/>
      <c r="L142" s="1375"/>
    </row>
    <row r="143" spans="1:12">
      <c r="A143" s="1360" t="s">
        <v>135</v>
      </c>
      <c r="B143" s="1365" t="s">
        <v>1031</v>
      </c>
      <c r="C143" s="1355">
        <f>C144+C145+C146+C147</f>
        <v>6.7006458844270833</v>
      </c>
      <c r="D143" s="1356">
        <f>D144+D145+D146+D147</f>
        <v>7.4889571649479159</v>
      </c>
      <c r="E143" s="1356">
        <f>E144+E145+E146+E147</f>
        <v>8.2772684454687493</v>
      </c>
      <c r="F143" s="1356">
        <f>F144+F145+F146+F147</f>
        <v>9.0655797259895827</v>
      </c>
      <c r="G143" s="1357">
        <f>G144+G145+G146+G147</f>
        <v>31.53245122083333</v>
      </c>
      <c r="H143" s="1375"/>
      <c r="I143" s="1375"/>
      <c r="J143" s="1375"/>
      <c r="K143" s="1375"/>
      <c r="L143" s="1375"/>
    </row>
    <row r="144" spans="1:12">
      <c r="A144" s="1360" t="s">
        <v>167</v>
      </c>
      <c r="B144" s="1360" t="s">
        <v>1029</v>
      </c>
      <c r="C144" s="1361">
        <f>137.34643*0.95*(12+1-3)/12*0.0725/4</f>
        <v>1.9707782013020829</v>
      </c>
      <c r="D144" s="1362">
        <f>137.34643*0.95*(12+2-3)/12*0.0725/4</f>
        <v>2.1678560214322915</v>
      </c>
      <c r="E144" s="1362">
        <f>137.34643*0.95*(12+3-3)/12*0.0725/4</f>
        <v>2.3649338415624999</v>
      </c>
      <c r="F144" s="1362">
        <f>137.34643*0.95*(12+4-3)/12*0.0725/4</f>
        <v>2.5620116616927082</v>
      </c>
      <c r="G144" s="1363">
        <f>C144+D144+E144+F144</f>
        <v>9.0655797259895827</v>
      </c>
      <c r="H144" s="1375"/>
      <c r="I144" s="1375"/>
      <c r="J144" s="1375"/>
      <c r="K144" s="1375"/>
      <c r="L144" s="1375"/>
    </row>
    <row r="145" spans="1:12">
      <c r="A145" s="1360" t="s">
        <v>173</v>
      </c>
      <c r="B145" s="1360" t="s">
        <v>1030</v>
      </c>
      <c r="C145" s="1361">
        <f>137.34643*0.95*(12+1-4)/12*0.0725/4</f>
        <v>1.7737003811718748</v>
      </c>
      <c r="D145" s="1362">
        <f>137.34643*0.95*(12+2-4)/12*0.0725/4</f>
        <v>1.9707782013020829</v>
      </c>
      <c r="E145" s="1362">
        <f>137.34643*0.95*(12+3-4)/12*0.0725/4</f>
        <v>2.1678560214322915</v>
      </c>
      <c r="F145" s="1362">
        <f>137.34643*0.95*(12+4-4)/12*0.0725/4</f>
        <v>2.3649338415624999</v>
      </c>
      <c r="G145" s="1363">
        <f>C145+D145+E145+F145</f>
        <v>8.2772684454687493</v>
      </c>
      <c r="H145" s="1375"/>
      <c r="I145" s="1375"/>
      <c r="J145" s="1375"/>
      <c r="K145" s="1375"/>
      <c r="L145" s="1375"/>
    </row>
    <row r="146" spans="1:12">
      <c r="A146" s="1360" t="s">
        <v>180</v>
      </c>
      <c r="B146" s="1360" t="s">
        <v>1032</v>
      </c>
      <c r="C146" s="1361">
        <f>137.34643*0.95*(12+1-5)/12*0.0725/4</f>
        <v>1.5766225610416664</v>
      </c>
      <c r="D146" s="1362">
        <f>137.34643*0.95*(12+2-5)/12*0.0725/4</f>
        <v>1.7737003811718748</v>
      </c>
      <c r="E146" s="1362">
        <f>137.34643*0.95*(12+3-5)/12*0.0725/4</f>
        <v>1.9707782013020829</v>
      </c>
      <c r="F146" s="1362">
        <f>137.34643*0.95*(12+4-5)/12*0.0725/4</f>
        <v>2.1678560214322915</v>
      </c>
      <c r="G146" s="1363">
        <f>C146+D146+E146+F146</f>
        <v>7.4889571649479159</v>
      </c>
      <c r="H146" s="1375"/>
      <c r="I146" s="1375"/>
      <c r="J146" s="1375"/>
      <c r="K146" s="1375"/>
      <c r="L146" s="1375"/>
    </row>
    <row r="147" spans="1:12">
      <c r="A147" s="1360" t="s">
        <v>182</v>
      </c>
      <c r="B147" s="1360" t="s">
        <v>1033</v>
      </c>
      <c r="C147" s="1361">
        <f>137.34643*0.95*(12+1-6)/12*0.0725/4</f>
        <v>1.3795447409114583</v>
      </c>
      <c r="D147" s="1362">
        <f>137.34643*0.95*(12+2-6)/12*0.0725/4</f>
        <v>1.5766225610416664</v>
      </c>
      <c r="E147" s="1362">
        <f>137.34643*0.95*(12+3-6)/12*0.0725/4</f>
        <v>1.7737003811718748</v>
      </c>
      <c r="F147" s="1362">
        <f>137.34643*0.95*(12+4-6)/12*0.0725/4</f>
        <v>1.9707782013020829</v>
      </c>
      <c r="G147" s="1363">
        <f>C147+D147+E147+F147</f>
        <v>6.7006458844270815</v>
      </c>
      <c r="H147" s="1375"/>
      <c r="I147" s="1375"/>
      <c r="J147" s="1375"/>
      <c r="K147" s="1375"/>
      <c r="L147" s="1375"/>
    </row>
    <row r="148" spans="1:12">
      <c r="A148" s="1360" t="s">
        <v>191</v>
      </c>
      <c r="B148" s="1365" t="s">
        <v>1036</v>
      </c>
      <c r="C148" s="1355">
        <f>C149+C150+C151+C152</f>
        <v>3.5474007623437496</v>
      </c>
      <c r="D148" s="1356">
        <f>D149+D150+D151+D152</f>
        <v>4.335712042864583</v>
      </c>
      <c r="E148" s="1356">
        <f>E149+E150+E151+E152</f>
        <v>5.1240233233854164</v>
      </c>
      <c r="F148" s="1356">
        <f>F149+F150+F151+F152</f>
        <v>5.9123346039062499</v>
      </c>
      <c r="G148" s="1357">
        <f>G149+G150+G151+G152</f>
        <v>18.919470732499995</v>
      </c>
      <c r="H148" s="1375"/>
      <c r="I148" s="1375"/>
      <c r="J148" s="1375"/>
      <c r="K148" s="1375"/>
      <c r="L148" s="1375"/>
    </row>
    <row r="149" spans="1:12">
      <c r="A149" s="1360" t="s">
        <v>192</v>
      </c>
      <c r="B149" s="1360" t="s">
        <v>1034</v>
      </c>
      <c r="C149" s="1361">
        <f>137.34643*0.95*(12+1-7)/12*0.0725/4</f>
        <v>1.1824669207812499</v>
      </c>
      <c r="D149" s="1362">
        <f>137.34643*0.95*(12+2-7)/12*0.0725/4</f>
        <v>1.3795447409114583</v>
      </c>
      <c r="E149" s="1362">
        <f>137.34643*0.95*(12+3-7)/12*0.0725/4</f>
        <v>1.5766225610416664</v>
      </c>
      <c r="F149" s="1362">
        <f>137.34643*0.95*(12+4-7)/12*0.0725/4</f>
        <v>1.7737003811718748</v>
      </c>
      <c r="G149" s="1363">
        <f>C149+D149+E149+F149</f>
        <v>5.912334603906249</v>
      </c>
      <c r="H149" s="1375"/>
      <c r="I149" s="1375"/>
      <c r="J149" s="1375"/>
      <c r="K149" s="1375"/>
      <c r="L149" s="1375"/>
    </row>
    <row r="150" spans="1:12">
      <c r="A150" s="1360" t="s">
        <v>195</v>
      </c>
      <c r="B150" s="1360" t="s">
        <v>1035</v>
      </c>
      <c r="C150" s="1361">
        <f>137.34643*0.95*(12+1-8)/12*0.0725/4</f>
        <v>0.98538910065104146</v>
      </c>
      <c r="D150" s="1362">
        <f>137.34643*0.95*(12+2-8)/12*0.0725/4</f>
        <v>1.1824669207812499</v>
      </c>
      <c r="E150" s="1362">
        <f>137.34643*0.95*(12+3-8)/12*0.0725/4</f>
        <v>1.3795447409114583</v>
      </c>
      <c r="F150" s="1362">
        <f>137.34643*0.95*(12+4-8)/12*0.0725/4</f>
        <v>1.5766225610416664</v>
      </c>
      <c r="G150" s="1363">
        <f>C150+D150+E150+F150</f>
        <v>5.1240233233854156</v>
      </c>
      <c r="H150" s="1375"/>
      <c r="I150" s="1375"/>
      <c r="J150" s="1375"/>
      <c r="K150" s="1375"/>
      <c r="L150" s="1375"/>
    </row>
    <row r="151" spans="1:12">
      <c r="A151" s="1360" t="s">
        <v>631</v>
      </c>
      <c r="B151" s="1360" t="s">
        <v>1037</v>
      </c>
      <c r="C151" s="1361">
        <f>137.34643*0.95*(12+1-9)/12*0.0725/4</f>
        <v>0.78831128052083321</v>
      </c>
      <c r="D151" s="1362">
        <f>137.34643*0.95*(12+2-9)/12*0.0725/4</f>
        <v>0.98538910065104146</v>
      </c>
      <c r="E151" s="1362">
        <f>137.34643*0.95*(12+3-9)/12*0.0725/4</f>
        <v>1.1824669207812499</v>
      </c>
      <c r="F151" s="1362">
        <f>137.34643*0.95*(12+4-9)/12*0.0725/4</f>
        <v>1.3795447409114583</v>
      </c>
      <c r="G151" s="1363">
        <f>C151+D151+E151+F151</f>
        <v>4.335712042864583</v>
      </c>
      <c r="H151" s="1375"/>
      <c r="I151" s="1375"/>
      <c r="J151" s="1375"/>
      <c r="K151" s="1375"/>
      <c r="L151" s="1375"/>
    </row>
    <row r="152" spans="1:12">
      <c r="A152" s="1360" t="s">
        <v>1040</v>
      </c>
      <c r="B152" s="1360" t="s">
        <v>1038</v>
      </c>
      <c r="C152" s="1361">
        <f>137.34643*0.95*(12+1-10)/12*0.0725/4</f>
        <v>0.59123346039062497</v>
      </c>
      <c r="D152" s="1362">
        <f>137.34643*0.95*(12+2-10)/12*0.0725/4</f>
        <v>0.78831128052083321</v>
      </c>
      <c r="E152" s="1362">
        <f>137.34643*0.95*(12+3-10)/12*0.0725/4</f>
        <v>0.98538910065104146</v>
      </c>
      <c r="F152" s="1362">
        <f>137.34643*0.95*(12+4-10)/12*0.0725/4</f>
        <v>1.1824669207812499</v>
      </c>
      <c r="G152" s="1363">
        <f>C152+D152+E152+F152</f>
        <v>3.5474007623437496</v>
      </c>
      <c r="H152" s="1375"/>
      <c r="I152" s="1375"/>
      <c r="J152" s="1375"/>
      <c r="K152" s="1375"/>
      <c r="L152" s="1375"/>
    </row>
    <row r="153" spans="1:12">
      <c r="A153" s="1360" t="s">
        <v>198</v>
      </c>
      <c r="B153" s="1365" t="s">
        <v>1064</v>
      </c>
      <c r="C153" s="1355">
        <f>C154+C155+C156+C157</f>
        <v>0.59123346039062485</v>
      </c>
      <c r="D153" s="1356">
        <f>D154+D155+D156+D157</f>
        <v>0.98538910065104157</v>
      </c>
      <c r="E153" s="1356">
        <f>E154+E155+E156+E157</f>
        <v>1.3795447409114581</v>
      </c>
      <c r="F153" s="1356">
        <f>F154+F155+F156+F157</f>
        <v>1.7737003811718748</v>
      </c>
      <c r="G153" s="1357">
        <f>G154+G155+G156+G157</f>
        <v>4.7298676831249988</v>
      </c>
      <c r="H153" s="1375"/>
      <c r="I153" s="1375"/>
      <c r="J153" s="1375"/>
      <c r="K153" s="1375"/>
      <c r="L153" s="1375"/>
    </row>
    <row r="154" spans="1:12">
      <c r="A154" s="1360" t="s">
        <v>199</v>
      </c>
      <c r="B154" s="1360" t="s">
        <v>1039</v>
      </c>
      <c r="C154" s="1361">
        <f>137.34643*0.95*(12+1-11)/12*0.0725/4</f>
        <v>0.39415564026041661</v>
      </c>
      <c r="D154" s="1362">
        <f>137.34643*0.95*(12+2-11)/12*0.0725/4</f>
        <v>0.59123346039062497</v>
      </c>
      <c r="E154" s="1362">
        <f>137.34643*0.95*(12+3-11)/12*0.0725/4</f>
        <v>0.78831128052083321</v>
      </c>
      <c r="F154" s="1362">
        <f>137.34643*0.95*(12+4-11)/12*0.0725/4</f>
        <v>0.98538910065104146</v>
      </c>
      <c r="G154" s="1363">
        <f>C154+D154+E154+F154</f>
        <v>2.7590894818229161</v>
      </c>
      <c r="H154" s="1375"/>
      <c r="I154" s="1375"/>
      <c r="J154" s="1375"/>
      <c r="K154" s="1375"/>
      <c r="L154" s="1375"/>
    </row>
    <row r="155" spans="1:12">
      <c r="A155" s="1360" t="s">
        <v>637</v>
      </c>
      <c r="B155" s="1360" t="s">
        <v>1041</v>
      </c>
      <c r="C155" s="1361">
        <f>137.34643*0.95*(12+1-12)/12*0.0725/4</f>
        <v>0.1970778201302083</v>
      </c>
      <c r="D155" s="1362">
        <f>137.34643*0.95*(12+2-12)/12*0.0725/4</f>
        <v>0.39415564026041661</v>
      </c>
      <c r="E155" s="1362">
        <f>137.34643*0.95*(12+3-12)/12*0.0725/4</f>
        <v>0.59123346039062497</v>
      </c>
      <c r="F155" s="1362">
        <f>137.34643*0.95*(12+4-12)/12*0.0725/4</f>
        <v>0.78831128052083321</v>
      </c>
      <c r="G155" s="1363">
        <f>C155+D155+E155+F155</f>
        <v>1.9707782013020829</v>
      </c>
      <c r="H155" s="1375"/>
      <c r="I155" s="1375"/>
      <c r="J155" s="1375"/>
      <c r="K155" s="1375"/>
      <c r="L155" s="1375"/>
    </row>
    <row r="156" spans="1:12">
      <c r="A156" s="1360" t="s">
        <v>1050</v>
      </c>
      <c r="B156" s="1360"/>
      <c r="C156" s="1361"/>
      <c r="D156" s="1362"/>
      <c r="E156" s="1362"/>
      <c r="F156" s="1362"/>
      <c r="G156" s="1363">
        <f>C156+D156+E156+F156</f>
        <v>0</v>
      </c>
      <c r="H156" s="1375"/>
      <c r="I156" s="1375"/>
      <c r="J156" s="1375"/>
      <c r="K156" s="1375"/>
      <c r="L156" s="1375"/>
    </row>
    <row r="157" spans="1:12" ht="13.5" thickBot="1">
      <c r="A157" s="1360" t="s">
        <v>1051</v>
      </c>
      <c r="B157" s="1385"/>
      <c r="C157" s="1386"/>
      <c r="D157" s="1387"/>
      <c r="E157" s="1387"/>
      <c r="F157" s="1387"/>
      <c r="G157" s="1388">
        <f>C157+D157+E157+F157</f>
        <v>0</v>
      </c>
      <c r="H157" s="1375"/>
      <c r="I157" s="1375"/>
      <c r="J157" s="1375"/>
      <c r="K157" s="1375"/>
      <c r="L157" s="1375"/>
    </row>
    <row r="158" spans="1:12" ht="13.5" thickBot="1">
      <c r="A158" s="1367" t="s">
        <v>351</v>
      </c>
      <c r="B158" s="1368" t="s">
        <v>201</v>
      </c>
      <c r="C158" s="1369">
        <f>C138+C143+C148+C153</f>
        <v>15.372069970156248</v>
      </c>
      <c r="D158" s="1369">
        <f>D138+D143+D148+D153</f>
        <v>17.737003811718747</v>
      </c>
      <c r="E158" s="1369">
        <f>E138+E143+E148+E153</f>
        <v>20.101937653281251</v>
      </c>
      <c r="F158" s="1369">
        <f>F138+F143+F148+F153</f>
        <v>22.466871494843748</v>
      </c>
      <c r="G158" s="1369">
        <f>G138+G143+G148+G153</f>
        <v>75.677882929999996</v>
      </c>
      <c r="H158" s="1375"/>
      <c r="I158" s="1375">
        <f>G158/1.18</f>
        <v>64.133799093220333</v>
      </c>
      <c r="J158" s="1375"/>
      <c r="K158" s="1375"/>
      <c r="L158" s="1375"/>
    </row>
    <row r="159" spans="1:12">
      <c r="H159" s="1375"/>
      <c r="I159" s="1375"/>
      <c r="J159" s="1375"/>
      <c r="K159" s="1375"/>
      <c r="L159" s="1375"/>
    </row>
    <row r="160" spans="1:12" ht="51.75" thickBot="1">
      <c r="B160" s="1341" t="s">
        <v>1065</v>
      </c>
      <c r="C160" s="1342" t="s">
        <v>1066</v>
      </c>
      <c r="D160" s="1342"/>
      <c r="E160" s="1342"/>
      <c r="F160" s="215" t="s">
        <v>1067</v>
      </c>
      <c r="H160" s="1375"/>
      <c r="I160" s="1375"/>
      <c r="J160" s="1375"/>
      <c r="K160" s="1375"/>
      <c r="L160" s="1375"/>
    </row>
    <row r="161" spans="1:12" ht="30.75" customHeight="1" thickBot="1">
      <c r="A161" s="1343" t="s">
        <v>1018</v>
      </c>
      <c r="B161" s="1344" t="s">
        <v>1019</v>
      </c>
      <c r="C161" s="1345" t="s">
        <v>1020</v>
      </c>
      <c r="D161" s="1346"/>
      <c r="E161" s="1346"/>
      <c r="F161" s="1346"/>
      <c r="G161" s="1347"/>
      <c r="H161" s="1375"/>
      <c r="I161" s="1375"/>
      <c r="J161" s="1375"/>
      <c r="K161" s="1375"/>
      <c r="L161" s="1375"/>
    </row>
    <row r="162" spans="1:12" ht="64.5" thickBot="1">
      <c r="A162" s="1348"/>
      <c r="B162" s="1349"/>
      <c r="C162" s="1350" t="s">
        <v>1021</v>
      </c>
      <c r="D162" s="1351" t="s">
        <v>1022</v>
      </c>
      <c r="E162" s="1351" t="s">
        <v>1023</v>
      </c>
      <c r="F162" s="1351" t="s">
        <v>1024</v>
      </c>
      <c r="G162" s="1313" t="s">
        <v>1025</v>
      </c>
      <c r="H162" s="1375"/>
      <c r="I162" s="1375"/>
      <c r="J162" s="1375"/>
      <c r="K162" s="1375"/>
      <c r="L162" s="1375"/>
    </row>
    <row r="163" spans="1:12">
      <c r="A163" s="1353" t="s">
        <v>14</v>
      </c>
      <c r="B163" s="1365" t="s">
        <v>1057</v>
      </c>
      <c r="C163" s="1355">
        <f>C164+C165+C166+C167</f>
        <v>17.525731628932292</v>
      </c>
      <c r="D163" s="1356">
        <f>D164+D165+D166+D167</f>
        <v>19.04970829231771</v>
      </c>
      <c r="E163" s="1356">
        <f>E164+E165+E166+E167</f>
        <v>20.573684955703126</v>
      </c>
      <c r="F163" s="1356">
        <f>F164+F165+F166+F167</f>
        <v>22.097661619088541</v>
      </c>
      <c r="G163" s="1357">
        <f>G164+G165+G166+G167</f>
        <v>79.246786496041665</v>
      </c>
      <c r="H163" s="1374"/>
      <c r="I163" s="1374"/>
    </row>
    <row r="164" spans="1:12">
      <c r="A164" s="1359" t="s">
        <v>381</v>
      </c>
      <c r="B164" s="1360"/>
      <c r="C164" s="1361"/>
      <c r="D164" s="1362"/>
      <c r="E164" s="1362"/>
      <c r="F164" s="1362"/>
      <c r="G164" s="1363">
        <f>C164+D164+E164+F164</f>
        <v>0</v>
      </c>
      <c r="H164" s="1374"/>
      <c r="I164" s="1374"/>
    </row>
    <row r="165" spans="1:12">
      <c r="A165" s="1360" t="s">
        <v>393</v>
      </c>
      <c r="B165" s="1360"/>
      <c r="C165" s="1361"/>
      <c r="D165" s="1362"/>
      <c r="E165" s="1362"/>
      <c r="F165" s="1362"/>
      <c r="G165" s="1363">
        <f>C165+D165+E165+F165</f>
        <v>0</v>
      </c>
      <c r="H165" s="1374"/>
      <c r="I165" s="1374"/>
    </row>
    <row r="166" spans="1:12">
      <c r="A166" s="1360" t="s">
        <v>21</v>
      </c>
      <c r="B166" s="1360" t="s">
        <v>1027</v>
      </c>
      <c r="C166" s="1361">
        <f>531.04087*0.95*(12+1-1)/12*0.0725/4</f>
        <v>9.1438599803125005</v>
      </c>
      <c r="D166" s="1362">
        <f>531.04087*0.95*(12+2-1)/12*0.0725/4</f>
        <v>9.9058483120052081</v>
      </c>
      <c r="E166" s="1362">
        <f>531.04087*0.95*(12+3-1)/12*0.0725/4</f>
        <v>10.667836643697918</v>
      </c>
      <c r="F166" s="1362">
        <f>531.04087*0.95*(12+4-1)/12*0.0725/4</f>
        <v>11.429824975390625</v>
      </c>
      <c r="G166" s="1363">
        <f>C166+D166+E166+F166</f>
        <v>41.147369911406251</v>
      </c>
      <c r="H166" s="1374"/>
      <c r="I166" s="1374"/>
    </row>
    <row r="167" spans="1:12">
      <c r="A167" s="1360" t="s">
        <v>23</v>
      </c>
      <c r="B167" s="1360" t="s">
        <v>1028</v>
      </c>
      <c r="C167" s="1361">
        <f>531.04087*0.95*(12+1-2)/12*0.0725/4</f>
        <v>8.3818716486197911</v>
      </c>
      <c r="D167" s="1362">
        <f>531.04087*0.95*(12+2-2)/12*0.0725/4</f>
        <v>9.1438599803125005</v>
      </c>
      <c r="E167" s="1362">
        <f>531.04087*0.95*(12+3-2)/12*0.0725/4</f>
        <v>9.9058483120052081</v>
      </c>
      <c r="F167" s="1362">
        <f>531.04087*0.95*(12+4-2)/12*0.0725/4</f>
        <v>10.667836643697918</v>
      </c>
      <c r="G167" s="1363">
        <f>C167+D167+E167+F167</f>
        <v>38.099416584635421</v>
      </c>
      <c r="H167" s="1389"/>
      <c r="I167" s="1377"/>
    </row>
    <row r="168" spans="1:12">
      <c r="A168" s="1360" t="s">
        <v>135</v>
      </c>
      <c r="B168" s="1365" t="s">
        <v>1031</v>
      </c>
      <c r="C168" s="1355">
        <f>C169+C170+C171+C172</f>
        <v>25.907603277552081</v>
      </c>
      <c r="D168" s="1356">
        <f>D169+D170+D171+D172</f>
        <v>28.955556604322915</v>
      </c>
      <c r="E168" s="1356">
        <f>E169+E170+E171+E172</f>
        <v>32.003509931093753</v>
      </c>
      <c r="F168" s="1356">
        <f>F169+F170+F171+F172</f>
        <v>35.051463257864583</v>
      </c>
      <c r="G168" s="1357">
        <f>G169+G170+G171+G172</f>
        <v>121.91813307083333</v>
      </c>
      <c r="H168" s="1374"/>
      <c r="I168" s="1374"/>
    </row>
    <row r="169" spans="1:12">
      <c r="A169" s="1360" t="s">
        <v>167</v>
      </c>
      <c r="B169" s="1360" t="s">
        <v>1029</v>
      </c>
      <c r="C169" s="1361">
        <f>531.04087*0.95*(12+1-3)/12*0.0725/4</f>
        <v>7.6198833169270834</v>
      </c>
      <c r="D169" s="1362">
        <f>531.04087*0.95*(12+2-3)/12*0.0725/4</f>
        <v>8.3818716486197911</v>
      </c>
      <c r="E169" s="1362">
        <f>531.04087*0.95*(12+3-3)/12*0.0725/4</f>
        <v>9.1438599803125005</v>
      </c>
      <c r="F169" s="1362">
        <f>531.04087*0.95*(12+4-3)/12*0.0725/4</f>
        <v>9.9058483120052081</v>
      </c>
      <c r="G169" s="1363">
        <f>C169+D169+E169+F169</f>
        <v>35.051463257864583</v>
      </c>
      <c r="H169" s="1374"/>
      <c r="I169" s="1374"/>
    </row>
    <row r="170" spans="1:12">
      <c r="A170" s="1360" t="s">
        <v>173</v>
      </c>
      <c r="B170" s="1360" t="s">
        <v>1030</v>
      </c>
      <c r="C170" s="1361">
        <f>531.04087*0.95*(12+1-4)/12*0.0725/4</f>
        <v>6.8578949852343749</v>
      </c>
      <c r="D170" s="1362">
        <f>531.04087*0.95*(12+2-4)/12*0.0725/4</f>
        <v>7.6198833169270834</v>
      </c>
      <c r="E170" s="1362">
        <f>531.04087*0.95*(12+3-4)/12*0.0725/4</f>
        <v>8.3818716486197911</v>
      </c>
      <c r="F170" s="1362">
        <f>531.04087*0.95*(12+4-4)/12*0.0725/4</f>
        <v>9.1438599803125005</v>
      </c>
      <c r="G170" s="1363">
        <f>C170+D170+E170+F170</f>
        <v>32.003509931093745</v>
      </c>
      <c r="H170" s="1374"/>
      <c r="I170" s="1374"/>
    </row>
    <row r="171" spans="1:12">
      <c r="A171" s="1360" t="s">
        <v>180</v>
      </c>
      <c r="B171" s="1360" t="s">
        <v>1032</v>
      </c>
      <c r="C171" s="1361">
        <f>531.04087*0.95*(12+1-5)/12*0.0725/4</f>
        <v>6.0959066535416664</v>
      </c>
      <c r="D171" s="1362">
        <f>531.04087*0.95*(12+2-5)/12*0.0725/4</f>
        <v>6.8578949852343749</v>
      </c>
      <c r="E171" s="1362">
        <f>531.04087*0.95*(12+3-5)/12*0.0725/4</f>
        <v>7.6198833169270834</v>
      </c>
      <c r="F171" s="1362">
        <f>531.04087*0.95*(12+4-5)/12*0.0725/4</f>
        <v>8.3818716486197911</v>
      </c>
      <c r="G171" s="1363">
        <f>C171+D171+E171+F171</f>
        <v>28.955556604322915</v>
      </c>
      <c r="H171" s="1374"/>
      <c r="I171" s="1374"/>
    </row>
    <row r="172" spans="1:12">
      <c r="A172" s="1360" t="s">
        <v>182</v>
      </c>
      <c r="B172" s="1360" t="s">
        <v>1033</v>
      </c>
      <c r="C172" s="1361">
        <f>531.04087*0.95*(12+1-6)/12*0.0725/4</f>
        <v>5.3339183218489588</v>
      </c>
      <c r="D172" s="1362">
        <f>531.04087*0.95*(12+2-6)/12*0.0725/4</f>
        <v>6.0959066535416664</v>
      </c>
      <c r="E172" s="1362">
        <f>531.04087*0.95*(12+3-6)/12*0.0725/4</f>
        <v>6.8578949852343749</v>
      </c>
      <c r="F172" s="1362">
        <f>531.04087*0.95*(12+4-6)/12*0.0725/4</f>
        <v>7.6198833169270834</v>
      </c>
      <c r="G172" s="1363">
        <f>C172+D172+E172+F172</f>
        <v>25.907603277552084</v>
      </c>
      <c r="H172" s="1374"/>
      <c r="I172" s="1374"/>
    </row>
    <row r="173" spans="1:12">
      <c r="A173" s="1360" t="s">
        <v>191</v>
      </c>
      <c r="B173" s="1365" t="s">
        <v>1036</v>
      </c>
      <c r="C173" s="1355">
        <f>C174+C175+C176+C177</f>
        <v>13.715789970468752</v>
      </c>
      <c r="D173" s="1356">
        <f>D174+D175+D176+D177</f>
        <v>16.763743297239582</v>
      </c>
      <c r="E173" s="1356">
        <f>E174+E175+E176+E177</f>
        <v>19.811696624010416</v>
      </c>
      <c r="F173" s="1356">
        <f>F174+F175+F176+F177</f>
        <v>22.85964995078125</v>
      </c>
      <c r="G173" s="1357">
        <f>G174+G175+G176+G177</f>
        <v>73.150879842500004</v>
      </c>
      <c r="H173" s="1374"/>
      <c r="I173" s="1374"/>
    </row>
    <row r="174" spans="1:12">
      <c r="A174" s="1360" t="s">
        <v>192</v>
      </c>
      <c r="B174" s="1360" t="s">
        <v>1034</v>
      </c>
      <c r="C174" s="1361">
        <f>531.04087*0.95*(12+1-7)/12*0.0725/4</f>
        <v>4.5719299901562502</v>
      </c>
      <c r="D174" s="1362">
        <f>531.04087*0.95*(12+2-7)/12*0.0725/4</f>
        <v>5.3339183218489588</v>
      </c>
      <c r="E174" s="1362">
        <f>531.04087*0.95*(12+3-7)/12*0.0725/4</f>
        <v>6.0959066535416664</v>
      </c>
      <c r="F174" s="1362">
        <f>531.04087*0.95*(12+4-7)/12*0.0725/4</f>
        <v>6.8578949852343749</v>
      </c>
      <c r="G174" s="1363">
        <f>C174+D174+E174+F174</f>
        <v>22.859649950781247</v>
      </c>
      <c r="H174" s="1375"/>
      <c r="I174" s="1375"/>
      <c r="J174" s="1375"/>
      <c r="K174" s="1375"/>
    </row>
    <row r="175" spans="1:12">
      <c r="A175" s="1360" t="s">
        <v>195</v>
      </c>
      <c r="B175" s="1360" t="s">
        <v>1035</v>
      </c>
      <c r="C175" s="1361">
        <f>531.04087*0.95*(12+1-8)/12*0.0725/4</f>
        <v>3.8099416584635417</v>
      </c>
      <c r="D175" s="1362">
        <f>531.04087*0.95*(12+2-8)/12*0.0725/4</f>
        <v>4.5719299901562502</v>
      </c>
      <c r="E175" s="1362">
        <f>531.04087*0.95*(12+3-8)/12*0.0725/4</f>
        <v>5.3339183218489588</v>
      </c>
      <c r="F175" s="1362">
        <f>531.04087*0.95*(12+4-8)/12*0.0725/4</f>
        <v>6.0959066535416664</v>
      </c>
      <c r="G175" s="1363">
        <f>C175+D175+E175+F175</f>
        <v>19.811696624010416</v>
      </c>
      <c r="H175" s="1375"/>
      <c r="I175" s="1375"/>
      <c r="J175" s="1375"/>
      <c r="K175" s="1375"/>
    </row>
    <row r="176" spans="1:12">
      <c r="A176" s="1360" t="s">
        <v>631</v>
      </c>
      <c r="B176" s="1360" t="s">
        <v>1037</v>
      </c>
      <c r="C176" s="1361">
        <f>531.04087*0.95*(12+1-9)/12*0.0725/4</f>
        <v>3.0479533267708332</v>
      </c>
      <c r="D176" s="1362">
        <f>531.04087*0.95*(12+2-9)/12*0.0725/4</f>
        <v>3.8099416584635417</v>
      </c>
      <c r="E176" s="1362">
        <f>531.04087*0.95*(12+3-9)/12*0.0725/4</f>
        <v>4.5719299901562502</v>
      </c>
      <c r="F176" s="1362">
        <f>531.04087*0.95*(12+4-9)/12*0.0725/4</f>
        <v>5.3339183218489588</v>
      </c>
      <c r="G176" s="1363">
        <f>C176+D176+E176+F176</f>
        <v>16.763743297239586</v>
      </c>
      <c r="H176" s="1375"/>
      <c r="I176" s="1375"/>
      <c r="J176" s="1375"/>
      <c r="K176" s="1375"/>
    </row>
    <row r="177" spans="1:11">
      <c r="A177" s="1360" t="s">
        <v>1040</v>
      </c>
      <c r="B177" s="1360" t="s">
        <v>1038</v>
      </c>
      <c r="C177" s="1361">
        <f>531.04087*0.95*(12+1-10)/12*0.0725/4</f>
        <v>2.2859649950781251</v>
      </c>
      <c r="D177" s="1362">
        <f>531.04087*0.95*(12+2-10)/12*0.0725/4</f>
        <v>3.0479533267708332</v>
      </c>
      <c r="E177" s="1362">
        <f>531.04087*0.95*(12+3-10)/12*0.0725/4</f>
        <v>3.8099416584635417</v>
      </c>
      <c r="F177" s="1362">
        <f>531.04087*0.95*(12+4-10)/12*0.0725/4</f>
        <v>4.5719299901562502</v>
      </c>
      <c r="G177" s="1363">
        <f>C177+D177+E177+F177</f>
        <v>13.715789970468752</v>
      </c>
      <c r="H177" s="1375"/>
      <c r="I177" s="1375"/>
      <c r="J177" s="1375"/>
      <c r="K177" s="1375"/>
    </row>
    <row r="178" spans="1:11">
      <c r="A178" s="1360" t="s">
        <v>198</v>
      </c>
      <c r="B178" s="1365" t="s">
        <v>1064</v>
      </c>
      <c r="C178" s="1355">
        <f>C179+C180+C181+C182</f>
        <v>2.2859649950781247</v>
      </c>
      <c r="D178" s="1356">
        <f>D179+D180+D181+D182</f>
        <v>3.8099416584635417</v>
      </c>
      <c r="E178" s="1356">
        <f>E179+E180+E181+E182</f>
        <v>5.3339183218489588</v>
      </c>
      <c r="F178" s="1356">
        <f>F179+F180+F181+F182</f>
        <v>6.8578949852343749</v>
      </c>
      <c r="G178" s="1357">
        <f>G179+G180+G181+G182</f>
        <v>18.287719960625001</v>
      </c>
      <c r="H178" s="1375"/>
      <c r="I178" s="1375"/>
      <c r="J178" s="1375"/>
      <c r="K178" s="1375"/>
    </row>
    <row r="179" spans="1:11">
      <c r="A179" s="1360" t="s">
        <v>199</v>
      </c>
      <c r="B179" s="1360" t="s">
        <v>1039</v>
      </c>
      <c r="C179" s="1361">
        <f>531.04087*0.95*(12+1-11)/12*0.0725/4</f>
        <v>1.5239766633854166</v>
      </c>
      <c r="D179" s="1362">
        <f>531.04087*0.95*(12+2-11)/12*0.0725/4</f>
        <v>2.2859649950781251</v>
      </c>
      <c r="E179" s="1362">
        <f>531.04087*0.95*(12+3-11)/12*0.0725/4</f>
        <v>3.0479533267708332</v>
      </c>
      <c r="F179" s="1362">
        <f>531.04087*0.95*(12+4-11)/12*0.0725/4</f>
        <v>3.8099416584635417</v>
      </c>
      <c r="G179" s="1363">
        <f>C179+D179+E179+F179</f>
        <v>10.667836643697918</v>
      </c>
      <c r="H179" s="1375"/>
      <c r="I179" s="1375"/>
      <c r="J179" s="1375"/>
      <c r="K179" s="1375"/>
    </row>
    <row r="180" spans="1:11">
      <c r="A180" s="1360" t="s">
        <v>637</v>
      </c>
      <c r="B180" s="1360" t="s">
        <v>1041</v>
      </c>
      <c r="C180" s="1361">
        <f>531.04087*0.95*(12+1-12)/12*0.0725/4</f>
        <v>0.7619883316927083</v>
      </c>
      <c r="D180" s="1362">
        <f>531.04087*0.95*(12+2-12)/12*0.0725/4</f>
        <v>1.5239766633854166</v>
      </c>
      <c r="E180" s="1362">
        <f>531.04087*0.95*(12+3-12)/12*0.0725/4</f>
        <v>2.2859649950781251</v>
      </c>
      <c r="F180" s="1362">
        <f>531.04087*0.95*(12+4-12)/12*0.0725/4</f>
        <v>3.0479533267708332</v>
      </c>
      <c r="G180" s="1363">
        <f>C180+D180+E180+F180</f>
        <v>7.6198833169270825</v>
      </c>
      <c r="H180" s="1375"/>
      <c r="I180" s="1375"/>
      <c r="J180" s="1375"/>
      <c r="K180" s="1375"/>
    </row>
    <row r="181" spans="1:11">
      <c r="A181" s="1360" t="s">
        <v>1050</v>
      </c>
      <c r="B181" s="1360"/>
      <c r="C181" s="1361"/>
      <c r="D181" s="1362"/>
      <c r="E181" s="1362"/>
      <c r="F181" s="1362"/>
      <c r="G181" s="1363">
        <f>C181+D181+E181+F181</f>
        <v>0</v>
      </c>
      <c r="H181" s="1375"/>
      <c r="I181" s="1375"/>
      <c r="J181" s="1375"/>
      <c r="K181" s="1375"/>
    </row>
    <row r="182" spans="1:11" ht="13.5" thickBot="1">
      <c r="A182" s="1360" t="s">
        <v>1051</v>
      </c>
      <c r="B182" s="1385"/>
      <c r="C182" s="1386"/>
      <c r="D182" s="1387"/>
      <c r="E182" s="1387"/>
      <c r="F182" s="1387"/>
      <c r="G182" s="1388">
        <f>C182+D182+E182+F182</f>
        <v>0</v>
      </c>
      <c r="H182" s="1375"/>
      <c r="I182" s="1375"/>
      <c r="J182" s="1375"/>
      <c r="K182" s="1375"/>
    </row>
    <row r="183" spans="1:11" ht="13.5" thickBot="1">
      <c r="A183" s="1367" t="s">
        <v>351</v>
      </c>
      <c r="B183" s="1368" t="s">
        <v>201</v>
      </c>
      <c r="C183" s="1369">
        <f>C163+C168+C173+C178</f>
        <v>59.435089872031249</v>
      </c>
      <c r="D183" s="1369">
        <f>D163+D168+D173+D178</f>
        <v>68.578949852343754</v>
      </c>
      <c r="E183" s="1369">
        <f>E163+E168+E173+E178</f>
        <v>77.722809832656253</v>
      </c>
      <c r="F183" s="1369">
        <f>F163+F168+F173+F178</f>
        <v>86.866669812968752</v>
      </c>
      <c r="G183" s="1369">
        <f>G163+G168+G173+G178</f>
        <v>292.60351937000001</v>
      </c>
      <c r="H183" s="1375"/>
      <c r="I183" s="1375">
        <f>G183/1.18</f>
        <v>247.96908421186444</v>
      </c>
      <c r="J183" s="1375"/>
      <c r="K183" s="1375"/>
    </row>
    <row r="184" spans="1:11">
      <c r="H184" s="1375"/>
      <c r="I184" s="1375"/>
      <c r="J184" s="1375"/>
      <c r="K184" s="1375"/>
    </row>
    <row r="185" spans="1:11" ht="39" thickBot="1">
      <c r="B185" s="1341" t="s">
        <v>1068</v>
      </c>
      <c r="C185" s="1342" t="s">
        <v>1069</v>
      </c>
      <c r="D185" s="1342"/>
      <c r="E185" s="1342"/>
      <c r="F185" s="215" t="s">
        <v>1070</v>
      </c>
      <c r="H185" s="1375"/>
      <c r="I185" s="1375"/>
      <c r="J185" s="1375"/>
      <c r="K185" s="1375"/>
    </row>
    <row r="186" spans="1:11" ht="26.25" customHeight="1" thickBot="1">
      <c r="A186" s="1343" t="s">
        <v>1018</v>
      </c>
      <c r="B186" s="1344" t="s">
        <v>1019</v>
      </c>
      <c r="C186" s="1345" t="s">
        <v>1020</v>
      </c>
      <c r="D186" s="1346"/>
      <c r="E186" s="1346"/>
      <c r="F186" s="1346"/>
      <c r="G186" s="1347"/>
      <c r="H186" s="1375"/>
      <c r="I186" s="1375"/>
      <c r="J186" s="1375"/>
      <c r="K186" s="1375"/>
    </row>
    <row r="187" spans="1:11" ht="64.5" thickBot="1">
      <c r="A187" s="1348"/>
      <c r="B187" s="1349"/>
      <c r="C187" s="1350" t="s">
        <v>1021</v>
      </c>
      <c r="D187" s="1351" t="s">
        <v>1022</v>
      </c>
      <c r="E187" s="1351" t="s">
        <v>1023</v>
      </c>
      <c r="F187" s="1351" t="s">
        <v>1024</v>
      </c>
      <c r="G187" s="1313" t="s">
        <v>1025</v>
      </c>
      <c r="H187" s="1375"/>
      <c r="I187" s="1375"/>
      <c r="J187" s="1375"/>
      <c r="K187" s="1375"/>
    </row>
    <row r="188" spans="1:11">
      <c r="A188" s="1353" t="s">
        <v>14</v>
      </c>
      <c r="B188" s="1365" t="s">
        <v>1071</v>
      </c>
      <c r="C188" s="1355">
        <f>C191+C192</f>
        <v>6.9733776546874982</v>
      </c>
      <c r="D188" s="1355">
        <f>D191+D192</f>
        <v>7.5797583203124983</v>
      </c>
      <c r="E188" s="1355">
        <f>E191+E192</f>
        <v>8.1861389859374984</v>
      </c>
      <c r="F188" s="1355">
        <f>F191+F192</f>
        <v>8.7925196515624986</v>
      </c>
      <c r="G188" s="1357">
        <f>G189+G191+G192+G190</f>
        <v>31.531794612499993</v>
      </c>
      <c r="H188" s="1375"/>
      <c r="I188" s="1375"/>
      <c r="J188" s="1375"/>
      <c r="K188" s="1375"/>
    </row>
    <row r="189" spans="1:11">
      <c r="A189" s="1360" t="s">
        <v>381</v>
      </c>
      <c r="B189" s="1365"/>
      <c r="C189" s="1361"/>
      <c r="D189" s="1362"/>
      <c r="E189" s="1362"/>
      <c r="F189" s="1362"/>
      <c r="G189" s="1363"/>
      <c r="H189" s="1375"/>
      <c r="I189" s="1375"/>
      <c r="J189" s="1375"/>
      <c r="K189" s="1375"/>
    </row>
    <row r="190" spans="1:11">
      <c r="A190" s="1360" t="s">
        <v>393</v>
      </c>
      <c r="B190" s="1365"/>
      <c r="C190" s="1361"/>
      <c r="D190" s="1362"/>
      <c r="E190" s="1362"/>
      <c r="F190" s="1362"/>
      <c r="G190" s="1363"/>
      <c r="H190" s="1374"/>
      <c r="I190" s="1374"/>
    </row>
    <row r="191" spans="1:11">
      <c r="A191" s="1360" t="s">
        <v>21</v>
      </c>
      <c r="B191" s="1360" t="s">
        <v>1027</v>
      </c>
      <c r="C191" s="1361">
        <f>211.2978*0.95*(12+1-1)/12*0.0725/4</f>
        <v>3.6382839937499991</v>
      </c>
      <c r="D191" s="1362">
        <f>211.2978*0.95*(12+2-1)/12*0.0725/4</f>
        <v>3.9414743265624987</v>
      </c>
      <c r="E191" s="1362">
        <f>211.2978*0.95*(12+3-1)/12*0.0725/4</f>
        <v>4.2446646593749993</v>
      </c>
      <c r="F191" s="1362">
        <f>211.2978*0.95*(12+4-1)/12*0.0725/4</f>
        <v>4.5478549921874993</v>
      </c>
      <c r="G191" s="1363">
        <f>C191+D191+E191+F191</f>
        <v>16.372277971874997</v>
      </c>
      <c r="H191" s="1374"/>
      <c r="I191" s="1374"/>
    </row>
    <row r="192" spans="1:11">
      <c r="A192" s="1360" t="s">
        <v>23</v>
      </c>
      <c r="B192" s="1360" t="s">
        <v>1028</v>
      </c>
      <c r="C192" s="1361">
        <f>211.2978*0.95*(12+1-2)/12*0.0725/4</f>
        <v>3.335093660937499</v>
      </c>
      <c r="D192" s="1362">
        <f>211.2978*0.95*(12+2-2)/12*0.0725/4</f>
        <v>3.6382839937499991</v>
      </c>
      <c r="E192" s="1362">
        <f>211.2978*0.95*(12+3-2)/12*0.0725/4</f>
        <v>3.9414743265624987</v>
      </c>
      <c r="F192" s="1362">
        <f>211.2978*0.95*(12+4-2)/12*0.0725/4</f>
        <v>4.2446646593749993</v>
      </c>
      <c r="G192" s="1363">
        <f>C192+D192+E192+F192</f>
        <v>15.159516640624997</v>
      </c>
      <c r="H192" s="1374"/>
      <c r="I192" s="1374"/>
    </row>
    <row r="193" spans="1:13">
      <c r="A193" s="1360" t="s">
        <v>135</v>
      </c>
      <c r="B193" s="1365" t="s">
        <v>1072</v>
      </c>
      <c r="C193" s="1355">
        <f>C194+C195+C196+C197</f>
        <v>10.308471315624999</v>
      </c>
      <c r="D193" s="1356">
        <f>D194+D195+D196+D197</f>
        <v>11.521232646874999</v>
      </c>
      <c r="E193" s="1356">
        <f>E194+E195+E196+E197</f>
        <v>12.733993978124996</v>
      </c>
      <c r="F193" s="1356">
        <f>F194+F195+F196+F197</f>
        <v>13.946755309374996</v>
      </c>
      <c r="G193" s="1357">
        <f>G194+G195+G196+G197</f>
        <v>48.510453249999991</v>
      </c>
      <c r="H193" s="1374"/>
      <c r="I193" s="1374"/>
    </row>
    <row r="194" spans="1:13">
      <c r="A194" s="1360" t="s">
        <v>167</v>
      </c>
      <c r="B194" s="1360" t="s">
        <v>1029</v>
      </c>
      <c r="C194" s="1361">
        <f>211.2978*0.95*(12+1-3)/12*0.0725/4</f>
        <v>3.031903328124999</v>
      </c>
      <c r="D194" s="1362">
        <f>211.2978*0.95*(12+2-3)/12*0.0725/4</f>
        <v>3.335093660937499</v>
      </c>
      <c r="E194" s="1362">
        <f>211.2978*0.95*(12+3-3)/12*0.0725/4</f>
        <v>3.6382839937499991</v>
      </c>
      <c r="F194" s="1362">
        <f>211.2978*0.95*(12+4-3)/12*0.0725/4</f>
        <v>3.9414743265624987</v>
      </c>
      <c r="G194" s="1363">
        <f>C194+D194+E194+F194</f>
        <v>13.946755309374996</v>
      </c>
      <c r="H194" s="1374"/>
      <c r="I194" s="1374"/>
    </row>
    <row r="195" spans="1:13">
      <c r="A195" s="1360" t="s">
        <v>173</v>
      </c>
      <c r="B195" s="1360" t="s">
        <v>1030</v>
      </c>
      <c r="C195" s="1361">
        <f>211.2978*0.95*(12+1-4)/12*0.0725/4</f>
        <v>2.7287129953124998</v>
      </c>
      <c r="D195" s="1362">
        <f>211.2978*0.95*(12+2-4)/12*0.0725/4</f>
        <v>3.031903328124999</v>
      </c>
      <c r="E195" s="1362">
        <f>211.2978*0.95*(12+3-4)/12*0.0725/4</f>
        <v>3.335093660937499</v>
      </c>
      <c r="F195" s="1362">
        <f>211.2978*0.95*(12+4-4)/12*0.0725/4</f>
        <v>3.6382839937499991</v>
      </c>
      <c r="G195" s="1363">
        <f>C195+D195+E195+F195</f>
        <v>12.733993978124998</v>
      </c>
      <c r="H195" s="1374"/>
      <c r="I195" s="1374"/>
    </row>
    <row r="196" spans="1:13">
      <c r="A196" s="1360" t="s">
        <v>180</v>
      </c>
      <c r="B196" s="1360" t="s">
        <v>1032</v>
      </c>
      <c r="C196" s="1361">
        <f>211.2978*0.95*(12+1-5)/12*0.0725/4</f>
        <v>2.4255226624999997</v>
      </c>
      <c r="D196" s="1362">
        <f>211.2978*0.95*(12+2-5)/12*0.0725/4</f>
        <v>2.7287129953124998</v>
      </c>
      <c r="E196" s="1362">
        <f>211.2978*0.95*(12+3-5)/12*0.0725/4</f>
        <v>3.031903328124999</v>
      </c>
      <c r="F196" s="1362">
        <f>211.2978*0.95*(12+4-5)/12*0.0725/4</f>
        <v>3.335093660937499</v>
      </c>
      <c r="G196" s="1363">
        <f>C196+D196+E196+F196</f>
        <v>11.521232646874997</v>
      </c>
      <c r="H196" s="1374"/>
      <c r="I196" s="1374"/>
    </row>
    <row r="197" spans="1:13">
      <c r="A197" s="1360" t="s">
        <v>182</v>
      </c>
      <c r="B197" s="1360" t="s">
        <v>1033</v>
      </c>
      <c r="C197" s="1361">
        <f>211.2978*0.95*(12+1-6)/12*0.0725/4</f>
        <v>2.1223323296874996</v>
      </c>
      <c r="D197" s="1362">
        <f>211.2978*0.95*(12+2-6)/12*0.0725/4</f>
        <v>2.4255226624999997</v>
      </c>
      <c r="E197" s="1362">
        <f>211.2978*0.95*(12+3-6)/12*0.0725/4</f>
        <v>2.7287129953124998</v>
      </c>
      <c r="F197" s="1362">
        <f>211.2978*0.95*(12+4-6)/12*0.0725/4</f>
        <v>3.031903328124999</v>
      </c>
      <c r="G197" s="1363">
        <f>C197+D197+E197+F197</f>
        <v>10.308471315624999</v>
      </c>
      <c r="H197" s="1374"/>
      <c r="I197" s="1374"/>
    </row>
    <row r="198" spans="1:13">
      <c r="A198" s="1360" t="s">
        <v>191</v>
      </c>
      <c r="B198" s="1365" t="s">
        <v>1073</v>
      </c>
      <c r="C198" s="1355">
        <f>C199+C200+C201+C202</f>
        <v>5.4574259906249996</v>
      </c>
      <c r="D198" s="1356">
        <f>D199+D200+D201+D202</f>
        <v>6.6701873218749981</v>
      </c>
      <c r="E198" s="1356">
        <f>E199+E200+E201+E202</f>
        <v>7.8829486531249984</v>
      </c>
      <c r="F198" s="1356">
        <f>F199+F200+F201+F202</f>
        <v>9.0957099843749987</v>
      </c>
      <c r="G198" s="1357">
        <f>G199+G200+G201+G202</f>
        <v>29.106271949999993</v>
      </c>
      <c r="H198" s="1374"/>
      <c r="I198" s="1374"/>
    </row>
    <row r="199" spans="1:13">
      <c r="A199" s="1360" t="s">
        <v>192</v>
      </c>
      <c r="B199" s="1360" t="s">
        <v>1034</v>
      </c>
      <c r="C199" s="1361">
        <f>211.2978*0.95*(12+1-7)/12*0.0725/4</f>
        <v>1.8191419968749996</v>
      </c>
      <c r="D199" s="1362">
        <f>211.2978*0.95*(12+2-7)/12*0.0725/4</f>
        <v>2.1223323296874996</v>
      </c>
      <c r="E199" s="1362">
        <f>211.2978*0.95*(12+3-7)/12*0.0725/4</f>
        <v>2.4255226624999997</v>
      </c>
      <c r="F199" s="1362">
        <f>211.2978*0.95*(12+4-7)/12*0.0725/4</f>
        <v>2.7287129953124998</v>
      </c>
      <c r="G199" s="1363">
        <f>C199+D199+E199+F199</f>
        <v>9.0957099843749987</v>
      </c>
      <c r="H199" s="1374"/>
      <c r="I199" s="1374"/>
    </row>
    <row r="200" spans="1:13">
      <c r="A200" s="1360" t="s">
        <v>195</v>
      </c>
      <c r="B200" s="1360" t="s">
        <v>1035</v>
      </c>
      <c r="C200" s="1361">
        <f>211.2978*0.95*(12+1-8)/12*0.0725/4</f>
        <v>1.5159516640624995</v>
      </c>
      <c r="D200" s="1362">
        <f>211.2978*0.95*(12+2-8)/12*0.0725/4</f>
        <v>1.8191419968749996</v>
      </c>
      <c r="E200" s="1362">
        <f>211.2978*0.95*(12+3-8)/12*0.0725/4</f>
        <v>2.1223323296874996</v>
      </c>
      <c r="F200" s="1362">
        <f>211.2978*0.95*(12+4-8)/12*0.0725/4</f>
        <v>2.4255226624999997</v>
      </c>
      <c r="G200" s="1363">
        <f>C200+D200+E200+F200</f>
        <v>7.8829486531249984</v>
      </c>
      <c r="H200" s="1374"/>
      <c r="I200" s="1374"/>
    </row>
    <row r="201" spans="1:13">
      <c r="A201" s="1360" t="s">
        <v>631</v>
      </c>
      <c r="B201" s="1360" t="s">
        <v>1037</v>
      </c>
      <c r="C201" s="1361">
        <f>211.2978*0.95*(12+1-9)/12*0.0725/4</f>
        <v>1.2127613312499999</v>
      </c>
      <c r="D201" s="1362">
        <f>211.2978*0.95*(12+2-9)/12*0.0725/4</f>
        <v>1.5159516640624995</v>
      </c>
      <c r="E201" s="1362">
        <f>211.2978*0.95*(12+3-9)/12*0.0725/4</f>
        <v>1.8191419968749996</v>
      </c>
      <c r="F201" s="1362">
        <f>211.2978*0.95*(12+4-9)/12*0.0725/4</f>
        <v>2.1223323296874996</v>
      </c>
      <c r="G201" s="1363">
        <f>C201+D201+E201+F201</f>
        <v>6.670187321874999</v>
      </c>
      <c r="H201" s="1374"/>
      <c r="I201" s="1374"/>
    </row>
    <row r="202" spans="1:13">
      <c r="A202" s="1360" t="s">
        <v>1040</v>
      </c>
      <c r="B202" s="1360" t="s">
        <v>1038</v>
      </c>
      <c r="C202" s="1361">
        <f>211.2978*0.95*(12+1-10)/12*0.0725/4</f>
        <v>0.90957099843749978</v>
      </c>
      <c r="D202" s="1362">
        <f>211.2978*0.95*(12+2-10)/12*0.0725/4</f>
        <v>1.2127613312499999</v>
      </c>
      <c r="E202" s="1362">
        <f>211.2978*0.95*(12+3-10)/12*0.0725/4</f>
        <v>1.5159516640624995</v>
      </c>
      <c r="F202" s="1362">
        <f>211.2978*0.95*(12+4-10)/12*0.0725/4</f>
        <v>1.8191419968749996</v>
      </c>
      <c r="G202" s="1363">
        <f>C202+D202+E202+F202</f>
        <v>5.4574259906249987</v>
      </c>
      <c r="H202" s="1374"/>
      <c r="I202" s="1374"/>
    </row>
    <row r="203" spans="1:13">
      <c r="A203" s="1360" t="s">
        <v>198</v>
      </c>
      <c r="B203" s="1365" t="s">
        <v>1074</v>
      </c>
      <c r="C203" s="1355">
        <f>C204+C205+C206+C207</f>
        <v>0.90957099843749989</v>
      </c>
      <c r="D203" s="1356">
        <f>D204+D205+D206+D207</f>
        <v>1.5159516640624997</v>
      </c>
      <c r="E203" s="1356">
        <f>E204+E205+E206+E207</f>
        <v>2.1223323296874996</v>
      </c>
      <c r="F203" s="1356">
        <f>F204+F205+F206+F207</f>
        <v>2.7287129953124993</v>
      </c>
      <c r="G203" s="1357">
        <f>G204+G205+G206+G207</f>
        <v>7.2765679874999982</v>
      </c>
      <c r="H203" s="1375"/>
      <c r="I203" s="1375"/>
      <c r="J203" s="1375"/>
      <c r="K203" s="1375"/>
      <c r="L203" s="1375"/>
      <c r="M203" s="1375"/>
    </row>
    <row r="204" spans="1:13">
      <c r="A204" s="1360" t="s">
        <v>199</v>
      </c>
      <c r="B204" s="1360" t="s">
        <v>1039</v>
      </c>
      <c r="C204" s="1361">
        <f>211.2978*0.95*(12+1-11)/12*0.0725/4</f>
        <v>0.60638066562499993</v>
      </c>
      <c r="D204" s="1362">
        <f>211.2978*0.95*(12+2-11)/12*0.0725/4</f>
        <v>0.90957099843749978</v>
      </c>
      <c r="E204" s="1362">
        <f>211.2978*0.95*(12+3-11)/12*0.0725/4</f>
        <v>1.2127613312499999</v>
      </c>
      <c r="F204" s="1362">
        <f>211.2978*0.95*(12+4-11)/12*0.0725/4</f>
        <v>1.5159516640624995</v>
      </c>
      <c r="G204" s="1363">
        <f>C204+D204+E204+F204</f>
        <v>4.2446646593749993</v>
      </c>
      <c r="H204" s="1375"/>
      <c r="I204" s="1375"/>
      <c r="J204" s="1375"/>
      <c r="K204" s="1375"/>
      <c r="L204" s="1375"/>
      <c r="M204" s="1375"/>
    </row>
    <row r="205" spans="1:13">
      <c r="A205" s="1360" t="s">
        <v>637</v>
      </c>
      <c r="B205" s="1360" t="s">
        <v>1041</v>
      </c>
      <c r="C205" s="1361">
        <f>211.2978*0.95*(12+1-12)/12*0.0725/4</f>
        <v>0.30319033281249996</v>
      </c>
      <c r="D205" s="1362">
        <f>211.2978*0.95*(12+2-12)/12*0.0725/4</f>
        <v>0.60638066562499993</v>
      </c>
      <c r="E205" s="1362">
        <f>211.2978*0.95*(12+3-12)/12*0.0725/4</f>
        <v>0.90957099843749978</v>
      </c>
      <c r="F205" s="1362">
        <f>211.2978*0.95*(12+4-12)/12*0.0725/4</f>
        <v>1.2127613312499999</v>
      </c>
      <c r="G205" s="1363">
        <f>C205+D205+E205+F205</f>
        <v>3.0319033281249994</v>
      </c>
      <c r="H205" s="1375"/>
      <c r="I205" s="1375"/>
      <c r="J205" s="1375"/>
      <c r="K205" s="1375"/>
      <c r="L205" s="1375"/>
      <c r="M205" s="1375"/>
    </row>
    <row r="206" spans="1:13">
      <c r="A206" s="1360" t="s">
        <v>1050</v>
      </c>
      <c r="B206" s="1360"/>
      <c r="C206" s="1361"/>
      <c r="D206" s="1362"/>
      <c r="E206" s="1362"/>
      <c r="F206" s="1362"/>
      <c r="G206" s="1363">
        <f>C206+D206+E206+F206</f>
        <v>0</v>
      </c>
      <c r="H206" s="1375"/>
      <c r="I206" s="1375"/>
      <c r="J206" s="1375"/>
      <c r="K206" s="1375"/>
      <c r="L206" s="1375"/>
      <c r="M206" s="1375"/>
    </row>
    <row r="207" spans="1:13" ht="13.5" thickBot="1">
      <c r="A207" s="1360" t="s">
        <v>1051</v>
      </c>
      <c r="B207" s="1385"/>
      <c r="C207" s="1386"/>
      <c r="D207" s="1387"/>
      <c r="E207" s="1387"/>
      <c r="F207" s="1387"/>
      <c r="G207" s="1388">
        <f>C207+D207+E207+F207</f>
        <v>0</v>
      </c>
      <c r="H207" s="1375"/>
      <c r="I207" s="1375"/>
      <c r="J207" s="1375"/>
      <c r="K207" s="1375"/>
      <c r="L207" s="1375"/>
      <c r="M207" s="1375"/>
    </row>
    <row r="208" spans="1:13" ht="13.5" thickBot="1">
      <c r="A208" s="1367" t="s">
        <v>351</v>
      </c>
      <c r="B208" s="1368" t="s">
        <v>201</v>
      </c>
      <c r="C208" s="1369">
        <f>C188+C193+C198+C203</f>
        <v>23.648845959374992</v>
      </c>
      <c r="D208" s="1369">
        <f>D188+D193+D198+D203</f>
        <v>27.287129953124996</v>
      </c>
      <c r="E208" s="1369">
        <f>E188+E193+E198+E203</f>
        <v>30.925413946874993</v>
      </c>
      <c r="F208" s="1369">
        <f>F188+F193+F198+F203</f>
        <v>34.563697940624991</v>
      </c>
      <c r="G208" s="1369">
        <f>G188+G193+G198+G203</f>
        <v>116.42508779999997</v>
      </c>
      <c r="H208" s="1375"/>
      <c r="I208" s="1375">
        <f>G208/1.18</f>
        <v>98.665328644067785</v>
      </c>
      <c r="J208" s="1375">
        <f>G198/1.18</f>
        <v>24.666332161016946</v>
      </c>
      <c r="K208" s="1375">
        <f>G203/1.18</f>
        <v>6.1665830402542365</v>
      </c>
      <c r="L208" s="1375"/>
      <c r="M208" s="1375"/>
    </row>
    <row r="209" spans="1:13">
      <c r="H209" s="1375"/>
      <c r="I209" s="1375"/>
      <c r="J209" s="1375"/>
      <c r="K209" s="1375"/>
      <c r="L209" s="1375"/>
      <c r="M209" s="1375"/>
    </row>
    <row r="210" spans="1:13">
      <c r="H210" s="1375"/>
      <c r="I210" s="1375"/>
      <c r="J210" s="1375"/>
      <c r="K210" s="1375"/>
      <c r="L210" s="1375"/>
      <c r="M210" s="1375"/>
    </row>
    <row r="211" spans="1:13" ht="26.25" thickBot="1">
      <c r="B211" s="1341" t="s">
        <v>1075</v>
      </c>
      <c r="C211" s="1342" t="s">
        <v>1076</v>
      </c>
      <c r="D211" s="1342"/>
      <c r="E211" s="1342"/>
      <c r="F211" s="215" t="s">
        <v>1077</v>
      </c>
      <c r="H211" s="1375"/>
      <c r="I211" s="1375"/>
      <c r="J211" s="1375"/>
      <c r="K211" s="1375"/>
      <c r="L211" s="1375"/>
      <c r="M211" s="1375"/>
    </row>
    <row r="212" spans="1:13" ht="27.75" customHeight="1" thickBot="1">
      <c r="A212" s="1343" t="s">
        <v>1018</v>
      </c>
      <c r="B212" s="1344" t="s">
        <v>1019</v>
      </c>
      <c r="C212" s="1345" t="s">
        <v>1020</v>
      </c>
      <c r="D212" s="1346"/>
      <c r="E212" s="1346"/>
      <c r="F212" s="1346"/>
      <c r="G212" s="1347"/>
      <c r="H212" s="1375"/>
      <c r="I212" s="1375"/>
      <c r="J212" s="1375"/>
      <c r="K212" s="1375"/>
      <c r="L212" s="1375"/>
      <c r="M212" s="1375"/>
    </row>
    <row r="213" spans="1:13" ht="64.5" thickBot="1">
      <c r="A213" s="1348"/>
      <c r="B213" s="1349"/>
      <c r="C213" s="1350" t="s">
        <v>1021</v>
      </c>
      <c r="D213" s="1351" t="s">
        <v>1022</v>
      </c>
      <c r="E213" s="1351" t="s">
        <v>1023</v>
      </c>
      <c r="F213" s="1351" t="s">
        <v>1024</v>
      </c>
      <c r="G213" s="1313" t="s">
        <v>1025</v>
      </c>
      <c r="H213" s="1375"/>
      <c r="I213" s="1375"/>
      <c r="J213" s="1375"/>
      <c r="K213" s="1375"/>
      <c r="L213" s="1375"/>
      <c r="M213" s="1375"/>
    </row>
    <row r="214" spans="1:13">
      <c r="A214" s="1353" t="s">
        <v>14</v>
      </c>
      <c r="B214" s="1365" t="s">
        <v>1071</v>
      </c>
      <c r="C214" s="1355">
        <f>C217+C218</f>
        <v>10.026348568255209</v>
      </c>
      <c r="D214" s="1355">
        <f>D217+D218</f>
        <v>10.898204965494791</v>
      </c>
      <c r="E214" s="1355">
        <f>E217+E218</f>
        <v>11.770061362734374</v>
      </c>
      <c r="F214" s="1355">
        <f>F217+F218</f>
        <v>12.641917759973957</v>
      </c>
      <c r="G214" s="1357">
        <f>C214+D214+E214+F214</f>
        <v>45.336532656458331</v>
      </c>
      <c r="H214" s="1375"/>
      <c r="I214" s="1375"/>
      <c r="J214" s="1375"/>
      <c r="K214" s="1375"/>
      <c r="L214" s="1375"/>
      <c r="M214" s="1375"/>
    </row>
    <row r="215" spans="1:13">
      <c r="A215" s="1360" t="s">
        <v>381</v>
      </c>
      <c r="B215" s="1365"/>
      <c r="C215" s="1361"/>
      <c r="D215" s="1362"/>
      <c r="E215" s="1362"/>
      <c r="F215" s="1362"/>
      <c r="G215" s="1363"/>
      <c r="H215" s="1375"/>
      <c r="I215" s="1375"/>
      <c r="J215" s="1375"/>
      <c r="K215" s="1375"/>
      <c r="L215" s="1375"/>
      <c r="M215" s="1375"/>
    </row>
    <row r="216" spans="1:13">
      <c r="A216" s="1360" t="s">
        <v>393</v>
      </c>
      <c r="B216" s="1365"/>
      <c r="C216" s="1361"/>
      <c r="D216" s="1362"/>
      <c r="E216" s="1362"/>
      <c r="F216" s="1362"/>
      <c r="G216" s="1363"/>
      <c r="H216" s="1375"/>
      <c r="I216" s="1375"/>
      <c r="J216" s="1375"/>
      <c r="K216" s="1375"/>
      <c r="L216" s="1375"/>
      <c r="M216" s="1375"/>
    </row>
    <row r="217" spans="1:13">
      <c r="A217" s="1360" t="s">
        <v>21</v>
      </c>
      <c r="B217" s="1360" t="s">
        <v>1027</v>
      </c>
      <c r="C217" s="1361">
        <f>303.80477*0.95*(12+1-1)/12*0.0725/4</f>
        <v>5.2311383834375</v>
      </c>
      <c r="D217" s="1362">
        <f>303.80477*0.95*(12+2-1)/12*0.0725/4</f>
        <v>5.6670665820572914</v>
      </c>
      <c r="E217" s="1362">
        <f>303.80477*0.95*(12+3-1)/12*0.0725/4</f>
        <v>6.1029947806770828</v>
      </c>
      <c r="F217" s="1362">
        <f>303.80477*0.95*(12+4-1)/12*0.0725/4</f>
        <v>6.5389229792968742</v>
      </c>
      <c r="G217" s="1363">
        <f>C217+D217+E217+F217</f>
        <v>23.540122725468748</v>
      </c>
      <c r="H217" s="1375"/>
      <c r="I217" s="1375"/>
      <c r="J217" s="1375"/>
      <c r="K217" s="1375"/>
      <c r="L217" s="1375"/>
      <c r="M217" s="1375"/>
    </row>
    <row r="218" spans="1:13">
      <c r="A218" s="1360" t="s">
        <v>23</v>
      </c>
      <c r="B218" s="1360" t="s">
        <v>1028</v>
      </c>
      <c r="C218" s="1361">
        <f>303.80477*0.95*(12+1-2)/12*0.0725/4</f>
        <v>4.7952101848177078</v>
      </c>
      <c r="D218" s="1362">
        <f>303.80477*0.95*(12+2-2)/12*0.0725/4</f>
        <v>5.2311383834375</v>
      </c>
      <c r="E218" s="1362">
        <f>303.80477*0.95*(12+3-2)/12*0.0725/4</f>
        <v>5.6670665820572914</v>
      </c>
      <c r="F218" s="1362">
        <f>303.80477*0.95*(12+4-2)/12*0.0725/4</f>
        <v>6.1029947806770828</v>
      </c>
      <c r="G218" s="1363">
        <f>C218+D218+E218+F218</f>
        <v>21.796409930989583</v>
      </c>
      <c r="H218" s="1375"/>
      <c r="I218" s="1375"/>
      <c r="J218" s="1375"/>
      <c r="K218" s="1375"/>
      <c r="L218" s="1375"/>
      <c r="M218" s="1375"/>
    </row>
    <row r="219" spans="1:13">
      <c r="A219" s="1360" t="s">
        <v>135</v>
      </c>
      <c r="B219" s="1365" t="s">
        <v>1072</v>
      </c>
      <c r="C219" s="1355">
        <f>C220+C221+C222+C223</f>
        <v>14.821558753072916</v>
      </c>
      <c r="D219" s="1356">
        <f>D220+D221+D222+D223</f>
        <v>16.565271547552079</v>
      </c>
      <c r="E219" s="1356">
        <f>E220+E221+E222+E223</f>
        <v>18.308984342031252</v>
      </c>
      <c r="F219" s="1356">
        <f>F220+F221+F222+F223</f>
        <v>20.052697136510417</v>
      </c>
      <c r="G219" s="1357">
        <f>G220+G221+G222+G223</f>
        <v>69.748511779166677</v>
      </c>
      <c r="H219" s="1375"/>
      <c r="I219" s="1375"/>
      <c r="J219" s="1375"/>
      <c r="K219" s="1375"/>
      <c r="L219" s="1375"/>
      <c r="M219" s="1375"/>
    </row>
    <row r="220" spans="1:13">
      <c r="A220" s="1360" t="s">
        <v>167</v>
      </c>
      <c r="B220" s="1360" t="s">
        <v>1029</v>
      </c>
      <c r="C220" s="1361">
        <f>303.80477*0.95*(12+1-3)/12*0.0725/4</f>
        <v>4.3592819861979164</v>
      </c>
      <c r="D220" s="1362">
        <f>303.80477*0.95*(12+2-3)/12*0.0725/4</f>
        <v>4.7952101848177078</v>
      </c>
      <c r="E220" s="1362">
        <f>303.80477*0.95*(12+3-3)/12*0.0725/4</f>
        <v>5.2311383834375</v>
      </c>
      <c r="F220" s="1362">
        <f>303.80477*0.95*(12+4-3)/12*0.0725/4</f>
        <v>5.6670665820572914</v>
      </c>
      <c r="G220" s="1363">
        <f>C220+D220+E220+F220</f>
        <v>20.052697136510417</v>
      </c>
      <c r="H220" s="1375"/>
      <c r="I220" s="1375"/>
      <c r="J220" s="1375"/>
      <c r="K220" s="1375"/>
      <c r="L220" s="1375"/>
      <c r="M220" s="1375"/>
    </row>
    <row r="221" spans="1:13">
      <c r="A221" s="1360" t="s">
        <v>173</v>
      </c>
      <c r="B221" s="1360" t="s">
        <v>1030</v>
      </c>
      <c r="C221" s="1361">
        <f>303.80477*0.95*(12+1-4)/12*0.0725/4</f>
        <v>3.9233537875781246</v>
      </c>
      <c r="D221" s="1362">
        <f>303.80477*0.95*(12+2-4)/12*0.0725/4</f>
        <v>4.3592819861979164</v>
      </c>
      <c r="E221" s="1362">
        <f>303.80477*0.95*(12+3-4)/12*0.0725/4</f>
        <v>4.7952101848177078</v>
      </c>
      <c r="F221" s="1362">
        <f>303.80477*0.95*(12+4-4)/12*0.0725/4</f>
        <v>5.2311383834375</v>
      </c>
      <c r="G221" s="1363">
        <f>C221+D221+E221+F221</f>
        <v>18.308984342031248</v>
      </c>
      <c r="H221" s="1375"/>
      <c r="I221" s="1375"/>
      <c r="J221" s="1375"/>
      <c r="K221" s="1375"/>
      <c r="L221" s="1375"/>
      <c r="M221" s="1375"/>
    </row>
    <row r="222" spans="1:13">
      <c r="A222" s="1360" t="s">
        <v>180</v>
      </c>
      <c r="B222" s="1360" t="s">
        <v>1032</v>
      </c>
      <c r="C222" s="1361">
        <f>303.80477*0.95*(12+1-5)/12*0.0725/4</f>
        <v>3.4874255889583328</v>
      </c>
      <c r="D222" s="1362">
        <f>303.80477*0.95*(12+2-5)/12*0.0725/4</f>
        <v>3.9233537875781246</v>
      </c>
      <c r="E222" s="1362">
        <f>303.80477*0.95*(12+3-5)/12*0.0725/4</f>
        <v>4.3592819861979164</v>
      </c>
      <c r="F222" s="1362">
        <f>303.80477*0.95*(12+4-5)/12*0.0725/4</f>
        <v>4.7952101848177078</v>
      </c>
      <c r="G222" s="1363">
        <f>C222+D222+E222+F222</f>
        <v>16.565271547552083</v>
      </c>
      <c r="H222" s="1375"/>
      <c r="I222" s="1375"/>
      <c r="J222" s="1375"/>
      <c r="K222" s="1375"/>
      <c r="L222" s="1375"/>
      <c r="M222" s="1375"/>
    </row>
    <row r="223" spans="1:13">
      <c r="A223" s="1360" t="s">
        <v>182</v>
      </c>
      <c r="B223" s="1360" t="s">
        <v>1033</v>
      </c>
      <c r="C223" s="1361">
        <f>303.80477*0.95*(12+1-6)/12*0.0725/4</f>
        <v>3.0514973903385414</v>
      </c>
      <c r="D223" s="1362">
        <f>303.80477*0.95*(12+2-6)/12*0.0725/4</f>
        <v>3.4874255889583328</v>
      </c>
      <c r="E223" s="1362">
        <f>303.80477*0.95*(12+3-6)/12*0.0725/4</f>
        <v>3.9233537875781246</v>
      </c>
      <c r="F223" s="1362">
        <f>303.80477*0.95*(12+4-6)/12*0.0725/4</f>
        <v>4.3592819861979164</v>
      </c>
      <c r="G223" s="1363">
        <f>C223+D223+E223+F223</f>
        <v>14.821558753072914</v>
      </c>
      <c r="H223" s="1375"/>
      <c r="I223" s="1375"/>
      <c r="J223" s="1375"/>
      <c r="K223" s="1375"/>
      <c r="L223" s="1375"/>
      <c r="M223" s="1375"/>
    </row>
    <row r="224" spans="1:13">
      <c r="A224" s="1360" t="s">
        <v>191</v>
      </c>
      <c r="B224" s="1365" t="s">
        <v>1073</v>
      </c>
      <c r="C224" s="1355">
        <f>C225+C226+C227+C228</f>
        <v>7.8467075751562501</v>
      </c>
      <c r="D224" s="1356">
        <f>D225+D226+D227+D228</f>
        <v>9.5904203696354173</v>
      </c>
      <c r="E224" s="1356">
        <f>E225+E226+E227+E228</f>
        <v>11.334133164114583</v>
      </c>
      <c r="F224" s="1356">
        <f>F225+F226+F227+F228</f>
        <v>13.077845958593748</v>
      </c>
      <c r="G224" s="1357">
        <f>G225+G226+G227+G228</f>
        <v>41.8491070675</v>
      </c>
      <c r="H224" s="1375"/>
      <c r="I224" s="1375"/>
      <c r="J224" s="1375"/>
      <c r="K224" s="1375"/>
      <c r="L224" s="1375"/>
      <c r="M224" s="1375"/>
    </row>
    <row r="225" spans="1:13">
      <c r="A225" s="1360" t="s">
        <v>192</v>
      </c>
      <c r="B225" s="1360" t="s">
        <v>1034</v>
      </c>
      <c r="C225" s="1361">
        <f>303.80477*0.95*(12+1-7)/12*0.0725/4</f>
        <v>2.61556919171875</v>
      </c>
      <c r="D225" s="1362">
        <f>303.80477*0.95*(12+2-7)/12*0.0725/4</f>
        <v>3.0514973903385414</v>
      </c>
      <c r="E225" s="1362">
        <f>303.80477*0.95*(12+3-7)/12*0.0725/4</f>
        <v>3.4874255889583328</v>
      </c>
      <c r="F225" s="1362">
        <f>303.80477*0.95*(12+4-7)/12*0.0725/4</f>
        <v>3.9233537875781246</v>
      </c>
      <c r="G225" s="1363">
        <f>C225+D225+E225+F225</f>
        <v>13.077845958593748</v>
      </c>
      <c r="H225" s="1375"/>
      <c r="I225" s="1375"/>
      <c r="J225" s="1375"/>
      <c r="K225" s="1375"/>
      <c r="L225" s="1375"/>
      <c r="M225" s="1375"/>
    </row>
    <row r="226" spans="1:13">
      <c r="A226" s="1360" t="s">
        <v>195</v>
      </c>
      <c r="B226" s="1360" t="s">
        <v>1035</v>
      </c>
      <c r="C226" s="1361">
        <f>303.80477*0.95*(12+1-8)/12*0.0725/4</f>
        <v>2.1796409930989582</v>
      </c>
      <c r="D226" s="1362">
        <f>303.80477*0.95*(12+2-8)/12*0.0725/4</f>
        <v>2.61556919171875</v>
      </c>
      <c r="E226" s="1362">
        <f>303.80477*0.95*(12+3-8)/12*0.0725/4</f>
        <v>3.0514973903385414</v>
      </c>
      <c r="F226" s="1362">
        <f>303.80477*0.95*(12+4-8)/12*0.0725/4</f>
        <v>3.4874255889583328</v>
      </c>
      <c r="G226" s="1363">
        <f>C226+D226+E226+F226</f>
        <v>11.334133164114583</v>
      </c>
      <c r="H226" s="1375"/>
      <c r="I226" s="1375"/>
      <c r="J226" s="1375"/>
      <c r="K226" s="1375"/>
      <c r="L226" s="1375"/>
      <c r="M226" s="1375"/>
    </row>
    <row r="227" spans="1:13">
      <c r="A227" s="1360" t="s">
        <v>631</v>
      </c>
      <c r="B227" s="1360" t="s">
        <v>1037</v>
      </c>
      <c r="C227" s="1361">
        <f>303.80477*0.95*(12+1-9)/12*0.0725/4</f>
        <v>1.7437127944791664</v>
      </c>
      <c r="D227" s="1362">
        <f>303.80477*0.95*(12+2-9)/12*0.0725/4</f>
        <v>2.1796409930989582</v>
      </c>
      <c r="E227" s="1362">
        <f>303.80477*0.95*(12+3-9)/12*0.0725/4</f>
        <v>2.61556919171875</v>
      </c>
      <c r="F227" s="1362">
        <f>303.80477*0.95*(12+4-9)/12*0.0725/4</f>
        <v>3.0514973903385414</v>
      </c>
      <c r="G227" s="1363">
        <f>C227+D227+E227+F227</f>
        <v>9.5904203696354156</v>
      </c>
      <c r="H227" s="1375"/>
      <c r="I227" s="1375"/>
      <c r="J227" s="1375"/>
      <c r="K227" s="1375"/>
      <c r="L227" s="1375"/>
      <c r="M227" s="1375"/>
    </row>
    <row r="228" spans="1:13">
      <c r="A228" s="1360" t="s">
        <v>1040</v>
      </c>
      <c r="B228" s="1360" t="s">
        <v>1038</v>
      </c>
      <c r="C228" s="1361">
        <f>303.80477*0.95*(12+1-10)/12*0.0725/4</f>
        <v>1.307784595859375</v>
      </c>
      <c r="D228" s="1362">
        <f>303.80477*0.95*(12+2-10)/12*0.0725/4</f>
        <v>1.7437127944791664</v>
      </c>
      <c r="E228" s="1362">
        <f>303.80477*0.95*(12+3-10)/12*0.0725/4</f>
        <v>2.1796409930989582</v>
      </c>
      <c r="F228" s="1362">
        <f>303.80477*0.95*(12+4-10)/12*0.0725/4</f>
        <v>2.61556919171875</v>
      </c>
      <c r="G228" s="1363">
        <f>C228+D228+E228+F228</f>
        <v>7.8467075751562501</v>
      </c>
      <c r="H228" s="1375"/>
      <c r="I228" s="1375"/>
      <c r="J228" s="1375"/>
      <c r="K228" s="1375"/>
      <c r="L228" s="1375"/>
      <c r="M228" s="1375"/>
    </row>
    <row r="229" spans="1:13">
      <c r="A229" s="1360" t="s">
        <v>198</v>
      </c>
      <c r="B229" s="1365" t="s">
        <v>1074</v>
      </c>
      <c r="C229" s="1355">
        <f>C230+C231+C232+C233</f>
        <v>1.3077845958593748</v>
      </c>
      <c r="D229" s="1356">
        <f>D230+D231+D232+D233</f>
        <v>2.1796409930989582</v>
      </c>
      <c r="E229" s="1356">
        <f>E230+E231+E232+E233</f>
        <v>3.0514973903385414</v>
      </c>
      <c r="F229" s="1356">
        <f>F230+F231+F232+F233</f>
        <v>3.9233537875781246</v>
      </c>
      <c r="G229" s="1357">
        <f>G230+G231+G232+G233</f>
        <v>10.462276766875</v>
      </c>
      <c r="H229" s="1375"/>
      <c r="I229" s="1375"/>
      <c r="J229" s="1375"/>
      <c r="K229" s="1375"/>
      <c r="L229" s="1375"/>
      <c r="M229" s="1375"/>
    </row>
    <row r="230" spans="1:13">
      <c r="A230" s="1360" t="s">
        <v>199</v>
      </c>
      <c r="B230" s="1360" t="s">
        <v>1039</v>
      </c>
      <c r="C230" s="1361">
        <f>303.80477*0.95*(12+1-11)/12*0.0725/4</f>
        <v>0.87185639723958319</v>
      </c>
      <c r="D230" s="1362">
        <f>303.80477*0.95*(12+2-11)/12*0.0725/4</f>
        <v>1.307784595859375</v>
      </c>
      <c r="E230" s="1362">
        <f>303.80477*0.95*(12+3-11)/12*0.0725/4</f>
        <v>1.7437127944791664</v>
      </c>
      <c r="F230" s="1362">
        <f>303.80477*0.95*(12+4-11)/12*0.0725/4</f>
        <v>2.1796409930989582</v>
      </c>
      <c r="G230" s="1363">
        <f>C230+D230+E230+F230</f>
        <v>6.1029947806770828</v>
      </c>
      <c r="H230" s="1375"/>
      <c r="I230" s="1375"/>
      <c r="J230" s="1375"/>
      <c r="K230" s="1375"/>
      <c r="L230" s="1375"/>
      <c r="M230" s="1375"/>
    </row>
    <row r="231" spans="1:13">
      <c r="A231" s="1360" t="s">
        <v>637</v>
      </c>
      <c r="B231" s="1360" t="s">
        <v>1041</v>
      </c>
      <c r="C231" s="1361">
        <f>303.80477*0.95*(12+1-12)/12*0.0725/4</f>
        <v>0.4359281986197916</v>
      </c>
      <c r="D231" s="1362">
        <f>303.80477*0.95*(12+2-12)/12*0.0725/4</f>
        <v>0.87185639723958319</v>
      </c>
      <c r="E231" s="1362">
        <f>303.80477*0.95*(12+3-12)/12*0.0725/4</f>
        <v>1.307784595859375</v>
      </c>
      <c r="F231" s="1362">
        <f>303.80477*0.95*(12+4-12)/12*0.0725/4</f>
        <v>1.7437127944791664</v>
      </c>
      <c r="G231" s="1363">
        <f>C231+D231+E231+F231</f>
        <v>4.3592819861979164</v>
      </c>
      <c r="H231" s="1375"/>
      <c r="I231" s="1375"/>
      <c r="J231" s="1375"/>
      <c r="K231" s="1375"/>
      <c r="L231" s="1375"/>
      <c r="M231" s="1375"/>
    </row>
    <row r="232" spans="1:13">
      <c r="A232" s="1360" t="s">
        <v>1050</v>
      </c>
      <c r="B232" s="1360"/>
      <c r="C232" s="1361"/>
      <c r="D232" s="1362"/>
      <c r="E232" s="1362"/>
      <c r="F232" s="1362"/>
      <c r="G232" s="1363">
        <f>C232+D232+E232+F232</f>
        <v>0</v>
      </c>
      <c r="H232" s="1375"/>
      <c r="I232" s="1375"/>
      <c r="J232" s="1375"/>
      <c r="K232" s="1375"/>
      <c r="L232" s="1375"/>
      <c r="M232" s="1375"/>
    </row>
    <row r="233" spans="1:13" ht="13.5" thickBot="1">
      <c r="A233" s="1360" t="s">
        <v>1051</v>
      </c>
      <c r="B233" s="1385"/>
      <c r="C233" s="1386"/>
      <c r="D233" s="1387"/>
      <c r="E233" s="1387"/>
      <c r="F233" s="1387"/>
      <c r="G233" s="1388">
        <f>C233+D233+E233+F233</f>
        <v>0</v>
      </c>
      <c r="H233" s="1375"/>
      <c r="I233" s="1375"/>
      <c r="J233" s="1375"/>
      <c r="K233" s="1375"/>
      <c r="L233" s="1375"/>
      <c r="M233" s="1375"/>
    </row>
    <row r="234" spans="1:13" ht="13.5" thickBot="1">
      <c r="A234" s="1367" t="s">
        <v>351</v>
      </c>
      <c r="B234" s="1368" t="s">
        <v>201</v>
      </c>
      <c r="C234" s="1369">
        <f>C214+C219+C224+C229</f>
        <v>34.002399492343748</v>
      </c>
      <c r="D234" s="1369">
        <f>D214+D219+D224+D229</f>
        <v>39.233537875781245</v>
      </c>
      <c r="E234" s="1369">
        <f>E214+E219+E224+E229</f>
        <v>44.464676259218749</v>
      </c>
      <c r="F234" s="1369">
        <f>F214+F219+F224+F229</f>
        <v>49.695814642656245</v>
      </c>
      <c r="G234" s="1369">
        <f>G214+G219+G224+G229</f>
        <v>167.39642827</v>
      </c>
      <c r="H234" s="1375"/>
      <c r="I234" s="1375">
        <f>G234/1.18</f>
        <v>141.86137988983052</v>
      </c>
      <c r="J234" s="1375">
        <f>G224/1.18</f>
        <v>35.465344972457629</v>
      </c>
      <c r="K234" s="1375">
        <f>G229/1.18</f>
        <v>8.8663362431144073</v>
      </c>
      <c r="L234" s="1375"/>
      <c r="M234" s="1375"/>
    </row>
    <row r="235" spans="1:13">
      <c r="H235" s="1375"/>
      <c r="I235" s="1375"/>
      <c r="J235" s="1375"/>
      <c r="K235" s="1375"/>
      <c r="L235" s="1375"/>
      <c r="M235" s="1375"/>
    </row>
    <row r="236" spans="1:13" ht="26.25" thickBot="1">
      <c r="B236" s="1341" t="s">
        <v>1078</v>
      </c>
      <c r="C236" s="1342" t="s">
        <v>1079</v>
      </c>
      <c r="D236" s="1342"/>
      <c r="E236" s="1342"/>
      <c r="F236" s="215" t="s">
        <v>1080</v>
      </c>
      <c r="H236" s="1375"/>
      <c r="I236" s="1375"/>
      <c r="J236" s="1375"/>
      <c r="K236" s="1375"/>
      <c r="L236" s="1375"/>
      <c r="M236" s="1375"/>
    </row>
    <row r="237" spans="1:13" ht="30" customHeight="1" thickBot="1">
      <c r="A237" s="1343" t="s">
        <v>1018</v>
      </c>
      <c r="B237" s="1344" t="s">
        <v>1019</v>
      </c>
      <c r="C237" s="1345" t="s">
        <v>1020</v>
      </c>
      <c r="D237" s="1346"/>
      <c r="E237" s="1346"/>
      <c r="F237" s="1346"/>
      <c r="G237" s="1347"/>
      <c r="H237" s="1375"/>
      <c r="I237" s="1375"/>
      <c r="J237" s="1375"/>
      <c r="K237" s="1375"/>
      <c r="L237" s="1375"/>
      <c r="M237" s="1375"/>
    </row>
    <row r="238" spans="1:13" ht="64.5" thickBot="1">
      <c r="A238" s="1348"/>
      <c r="B238" s="1349"/>
      <c r="C238" s="1350" t="s">
        <v>1021</v>
      </c>
      <c r="D238" s="1351" t="s">
        <v>1022</v>
      </c>
      <c r="E238" s="1351" t="s">
        <v>1023</v>
      </c>
      <c r="F238" s="1351" t="s">
        <v>1024</v>
      </c>
      <c r="G238" s="1313" t="s">
        <v>1025</v>
      </c>
      <c r="H238" s="1375"/>
      <c r="I238" s="1375"/>
      <c r="J238" s="1375"/>
      <c r="K238" s="1375"/>
      <c r="L238" s="1375"/>
      <c r="M238" s="1375"/>
    </row>
    <row r="239" spans="1:13">
      <c r="A239" s="1353" t="s">
        <v>14</v>
      </c>
      <c r="B239" s="1365" t="s">
        <v>1071</v>
      </c>
      <c r="C239" s="1355">
        <f>C241+C242+C243</f>
        <v>31.427761421718749</v>
      </c>
      <c r="D239" s="1355">
        <f>D241+D242+D243</f>
        <v>34.284830641874997</v>
      </c>
      <c r="E239" s="1355">
        <f>E241+E242+E243</f>
        <v>37.141899862031245</v>
      </c>
      <c r="F239" s="1355">
        <f>F241+F242+F243</f>
        <v>39.9989690821875</v>
      </c>
      <c r="G239" s="1357">
        <f>G241+G242+G243</f>
        <v>142.85346100781248</v>
      </c>
      <c r="H239" s="1375"/>
      <c r="I239" s="1375"/>
      <c r="J239" s="1375"/>
      <c r="K239" s="1375"/>
      <c r="L239" s="1375"/>
      <c r="M239" s="1375"/>
    </row>
    <row r="240" spans="1:13">
      <c r="A240" s="1360" t="s">
        <v>381</v>
      </c>
      <c r="B240" s="1365"/>
      <c r="C240" s="1361"/>
      <c r="D240" s="1362"/>
      <c r="E240" s="1362"/>
      <c r="F240" s="1362"/>
      <c r="G240" s="1363"/>
      <c r="H240" s="1375"/>
      <c r="I240" s="1375"/>
      <c r="J240" s="1375"/>
      <c r="K240" s="1375"/>
      <c r="L240" s="1375"/>
      <c r="M240" s="1375"/>
    </row>
    <row r="241" spans="1:14">
      <c r="A241" s="1360" t="s">
        <v>393</v>
      </c>
      <c r="B241" s="1360" t="s">
        <v>1027</v>
      </c>
      <c r="C241" s="1361">
        <f>663.71118*0.95*(12+1-1)/12*0.0725/4</f>
        <v>11.428276880624999</v>
      </c>
      <c r="D241" s="1362">
        <f>663.71118*0.95*(12+2-1)/12*0.0725/4</f>
        <v>12.380633287343748</v>
      </c>
      <c r="E241" s="1362">
        <f>663.71118*0.95*(12+3-1)/12*0.0725/4</f>
        <v>13.332989694062499</v>
      </c>
      <c r="F241" s="1362">
        <f>663.71118*0.95*(12+4-1)/12*0.0725/4</f>
        <v>14.285346100781249</v>
      </c>
      <c r="G241" s="1363">
        <f>C241+D241+E241+F241</f>
        <v>51.427245962812492</v>
      </c>
      <c r="H241" s="1375"/>
      <c r="I241" s="1375"/>
      <c r="J241" s="1375"/>
      <c r="K241" s="1375"/>
      <c r="L241" s="1375"/>
      <c r="M241" s="1375"/>
    </row>
    <row r="242" spans="1:14">
      <c r="A242" s="1360" t="s">
        <v>21</v>
      </c>
      <c r="B242" s="1360" t="s">
        <v>1028</v>
      </c>
      <c r="C242" s="1361">
        <f>663.71118*0.95*(12+1-2)/12*0.0725/4</f>
        <v>10.47592047390625</v>
      </c>
      <c r="D242" s="1362">
        <f>663.71118*0.95*(12+2-2)/12*0.0725/4</f>
        <v>11.428276880624999</v>
      </c>
      <c r="E242" s="1362">
        <f>663.71118*0.95*(12+3-2)/12*0.0725/4</f>
        <v>12.380633287343748</v>
      </c>
      <c r="F242" s="1362">
        <f>663.71118*0.95*(12+4-2)/12*0.0725/4</f>
        <v>13.332989694062499</v>
      </c>
      <c r="G242" s="1363">
        <f>C242+D242+E242+F242</f>
        <v>47.617820335937495</v>
      </c>
      <c r="H242" s="1375"/>
      <c r="I242" s="1375"/>
      <c r="J242" s="1375"/>
      <c r="K242" s="1375"/>
      <c r="L242" s="1375"/>
      <c r="M242" s="1375"/>
    </row>
    <row r="243" spans="1:14">
      <c r="A243" s="1360" t="s">
        <v>23</v>
      </c>
      <c r="B243" s="1360" t="s">
        <v>1029</v>
      </c>
      <c r="C243" s="1361">
        <f>663.71118*0.95*(12+1-3)/12*0.0725/4</f>
        <v>9.5235640671874986</v>
      </c>
      <c r="D243" s="1362">
        <f>663.71118*0.95*(12+2-3)/12*0.0725/4</f>
        <v>10.47592047390625</v>
      </c>
      <c r="E243" s="1362">
        <f>663.71118*0.95*(12+3-3)/12*0.0725/4</f>
        <v>11.428276880624999</v>
      </c>
      <c r="F243" s="1362">
        <f>663.71118*0.95*(12+4-3)/12*0.0725/4</f>
        <v>12.380633287343748</v>
      </c>
      <c r="G243" s="1363">
        <f>C243+D243+E243+F243</f>
        <v>43.808394709062497</v>
      </c>
      <c r="H243" s="1374"/>
      <c r="I243" s="1374"/>
    </row>
    <row r="244" spans="1:14">
      <c r="A244" s="1360" t="s">
        <v>135</v>
      </c>
      <c r="B244" s="1365" t="s">
        <v>1072</v>
      </c>
      <c r="C244" s="1355">
        <f>C243+C245+C246+C247</f>
        <v>32.380117828437498</v>
      </c>
      <c r="D244" s="1356">
        <f>D243+D245+D246+D247</f>
        <v>36.189543455312503</v>
      </c>
      <c r="E244" s="1356">
        <f>E243+E245+E246+E247</f>
        <v>39.9989690821875</v>
      </c>
      <c r="F244" s="1356">
        <f>F243+F245+F246+F247</f>
        <v>43.808394709062497</v>
      </c>
      <c r="G244" s="1357">
        <f>G243+G245+G246+G247</f>
        <v>152.37702507500001</v>
      </c>
      <c r="H244" s="1374"/>
      <c r="I244" s="1374"/>
    </row>
    <row r="245" spans="1:14">
      <c r="A245" s="1360" t="s">
        <v>167</v>
      </c>
      <c r="B245" s="1360" t="s">
        <v>1030</v>
      </c>
      <c r="C245" s="1361">
        <f>663.71118*0.95*(12+1-4)/12*0.0725/4</f>
        <v>8.5712076604687493</v>
      </c>
      <c r="D245" s="1362">
        <f>663.71118*0.95*(12+2-4)/12*0.0725/4</f>
        <v>9.5235640671874986</v>
      </c>
      <c r="E245" s="1362">
        <f>663.71118*0.95*(12+3-4)/12*0.0725/4</f>
        <v>10.47592047390625</v>
      </c>
      <c r="F245" s="1362">
        <f>663.71118*0.95*(12+4-4)/12*0.0725/4</f>
        <v>11.428276880624999</v>
      </c>
      <c r="G245" s="1363">
        <f>C245+D245+E245+F245</f>
        <v>39.9989690821875</v>
      </c>
      <c r="H245" s="1374"/>
      <c r="I245" s="1374"/>
    </row>
    <row r="246" spans="1:14">
      <c r="A246" s="1360" t="s">
        <v>173</v>
      </c>
      <c r="B246" s="1360" t="s">
        <v>1032</v>
      </c>
      <c r="C246" s="1361">
        <f>663.71118*0.95*(12+1-5)/12*0.0725/4</f>
        <v>7.6188512537499991</v>
      </c>
      <c r="D246" s="1362">
        <f>663.71118*0.95*(12+2-5)/12*0.0725/4</f>
        <v>8.5712076604687493</v>
      </c>
      <c r="E246" s="1362">
        <f>663.71118*0.95*(12+3-5)/12*0.0725/4</f>
        <v>9.5235640671874986</v>
      </c>
      <c r="F246" s="1362">
        <f>663.71118*0.95*(12+4-5)/12*0.0725/4</f>
        <v>10.47592047390625</v>
      </c>
      <c r="G246" s="1363">
        <f>C246+D246+E246+F246</f>
        <v>36.189543455312496</v>
      </c>
      <c r="H246" s="1374"/>
      <c r="I246" s="1374"/>
    </row>
    <row r="247" spans="1:14">
      <c r="A247" s="1360" t="s">
        <v>180</v>
      </c>
      <c r="B247" s="1360" t="s">
        <v>1033</v>
      </c>
      <c r="C247" s="1361">
        <f>663.71118*0.95*(12+1-6)/12*0.0725/4</f>
        <v>6.6664948470312497</v>
      </c>
      <c r="D247" s="1362">
        <f>663.71118*0.95*(12+2-6)/12*0.0725/4</f>
        <v>7.6188512537499991</v>
      </c>
      <c r="E247" s="1362">
        <f>663.71118*0.95*(12+3-6)/12*0.0725/4</f>
        <v>8.5712076604687493</v>
      </c>
      <c r="F247" s="1362">
        <f>663.71118*0.95*(12+4-6)/12*0.0725/4</f>
        <v>9.5235640671874986</v>
      </c>
      <c r="G247" s="1363">
        <f>C247+D247+E247+F247</f>
        <v>32.380117828437498</v>
      </c>
      <c r="H247" s="1374"/>
      <c r="I247" s="1374"/>
    </row>
    <row r="248" spans="1:14">
      <c r="A248" s="1360" t="s">
        <v>182</v>
      </c>
      <c r="B248" s="1360" t="s">
        <v>1034</v>
      </c>
      <c r="C248" s="1361">
        <f>663.71118*0.95*(12+1-7)/12*0.0725/4</f>
        <v>5.7141384403124995</v>
      </c>
      <c r="D248" s="1362">
        <f>663.71118*0.95*(12+2-7)/12*0.0725/4</f>
        <v>6.6664948470312497</v>
      </c>
      <c r="E248" s="1362">
        <f>663.71118*0.95*(12+3-7)/12*0.0725/4</f>
        <v>7.6188512537499991</v>
      </c>
      <c r="F248" s="1362">
        <f>663.71118*0.95*(12+4-7)/12*0.0725/4</f>
        <v>8.5712076604687493</v>
      </c>
      <c r="G248" s="1363">
        <f>C248+D248+E248+F248</f>
        <v>28.570692201562494</v>
      </c>
      <c r="H248" s="1374"/>
      <c r="I248" s="1374"/>
    </row>
    <row r="249" spans="1:14">
      <c r="A249" s="1360" t="s">
        <v>191</v>
      </c>
      <c r="B249" s="1365" t="s">
        <v>1073</v>
      </c>
      <c r="C249" s="1355">
        <f>C250+C251+C252+C253</f>
        <v>13.332989694062499</v>
      </c>
      <c r="D249" s="1355">
        <f>D250+D251+D252+D253</f>
        <v>17.142415320937499</v>
      </c>
      <c r="E249" s="1355">
        <f>E250+E251+E252+E253</f>
        <v>20.951840947812499</v>
      </c>
      <c r="F249" s="1355">
        <f>F250+F251+F252+F253</f>
        <v>24.7612665746875</v>
      </c>
      <c r="G249" s="1357">
        <f>G248+G250+G251+G252</f>
        <v>91.426215044999992</v>
      </c>
      <c r="H249" s="1374"/>
      <c r="I249" s="1374"/>
    </row>
    <row r="250" spans="1:14">
      <c r="A250" s="1360" t="s">
        <v>192</v>
      </c>
      <c r="B250" s="1360" t="s">
        <v>1035</v>
      </c>
      <c r="C250" s="1361">
        <f>663.71118*0.95*(12+1-8)/12*0.0725/4</f>
        <v>4.7617820335937493</v>
      </c>
      <c r="D250" s="1362">
        <f>663.71118*0.95*(12+2-8)/12*0.0725/4</f>
        <v>5.7141384403124995</v>
      </c>
      <c r="E250" s="1362">
        <f>663.71118*0.95*(12+3-8)/12*0.0725/4</f>
        <v>6.6664948470312497</v>
      </c>
      <c r="F250" s="1362">
        <f>663.71118*0.95*(12+4-8)/12*0.0725/4</f>
        <v>7.6188512537499991</v>
      </c>
      <c r="G250" s="1363">
        <f>C250+D250+E250+F250</f>
        <v>24.761266574687497</v>
      </c>
      <c r="H250" s="1374"/>
      <c r="I250" s="1374"/>
    </row>
    <row r="251" spans="1:14">
      <c r="A251" s="1360" t="s">
        <v>195</v>
      </c>
      <c r="B251" s="1360" t="s">
        <v>1037</v>
      </c>
      <c r="C251" s="1361">
        <f>663.71118*0.95*(12+1-9)/12*0.0725/4</f>
        <v>3.8094256268749995</v>
      </c>
      <c r="D251" s="1362">
        <f>663.71118*0.95*(12+2-9)/12*0.0725/4</f>
        <v>4.7617820335937493</v>
      </c>
      <c r="E251" s="1362">
        <f>663.71118*0.95*(12+3-9)/12*0.0725/4</f>
        <v>5.7141384403124995</v>
      </c>
      <c r="F251" s="1362">
        <f>663.71118*0.95*(12+4-9)/12*0.0725/4</f>
        <v>6.6664948470312497</v>
      </c>
      <c r="G251" s="1363">
        <f>C251+D251+E251+F251</f>
        <v>20.951840947812499</v>
      </c>
      <c r="H251" s="1374"/>
      <c r="I251" s="1374"/>
    </row>
    <row r="252" spans="1:14">
      <c r="A252" s="1360" t="s">
        <v>631</v>
      </c>
      <c r="B252" s="1360" t="s">
        <v>1038</v>
      </c>
      <c r="C252" s="1361">
        <f>663.71118*0.95*(12+1-10)/12*0.0725/4</f>
        <v>2.8570692201562498</v>
      </c>
      <c r="D252" s="1362">
        <f>663.71118*0.95*(12+2-10)/12*0.0725/4</f>
        <v>3.8094256268749995</v>
      </c>
      <c r="E252" s="1362">
        <f>663.71118*0.95*(12+3-10)/12*0.0725/4</f>
        <v>4.7617820335937493</v>
      </c>
      <c r="F252" s="1362">
        <f>663.71118*0.95*(12+4-10)/12*0.0725/4</f>
        <v>5.7141384403124995</v>
      </c>
      <c r="G252" s="1363">
        <f>C252+D252+E252+F252</f>
        <v>17.142415320937499</v>
      </c>
      <c r="H252" s="1375"/>
      <c r="I252" s="1375"/>
      <c r="J252" s="1375"/>
      <c r="K252" s="1375"/>
      <c r="L252" s="1375"/>
      <c r="M252" s="1375"/>
      <c r="N252" s="1375"/>
    </row>
    <row r="253" spans="1:14">
      <c r="A253" s="1360" t="s">
        <v>1040</v>
      </c>
      <c r="B253" s="1360" t="s">
        <v>1039</v>
      </c>
      <c r="C253" s="1361">
        <f>663.71118*0.95*(12+1-11)/12*0.0725/4</f>
        <v>1.9047128134374998</v>
      </c>
      <c r="D253" s="1362">
        <f>663.71118*0.95*(12+2-11)/12*0.0725/4</f>
        <v>2.8570692201562498</v>
      </c>
      <c r="E253" s="1362">
        <f>663.71118*0.95*(12+3-11)/12*0.0725/4</f>
        <v>3.8094256268749995</v>
      </c>
      <c r="F253" s="1362">
        <f>663.71118*0.95*(12+4-11)/12*0.0725/4</f>
        <v>4.7617820335937493</v>
      </c>
      <c r="G253" s="1363">
        <f>C253+D253+E253+F253</f>
        <v>13.332989694062498</v>
      </c>
      <c r="H253" s="1375"/>
      <c r="I253" s="1375"/>
      <c r="J253" s="1375"/>
      <c r="K253" s="1375"/>
      <c r="L253" s="1375"/>
      <c r="M253" s="1375"/>
      <c r="N253" s="1375"/>
    </row>
    <row r="254" spans="1:14">
      <c r="A254" s="1360" t="s">
        <v>198</v>
      </c>
      <c r="B254" s="1365" t="s">
        <v>1074</v>
      </c>
      <c r="C254" s="1355">
        <f>C255+C256+C257+C258</f>
        <v>0.95235640671874988</v>
      </c>
      <c r="D254" s="1356">
        <f>D255+D256+D257+D258</f>
        <v>1.9047128134374998</v>
      </c>
      <c r="E254" s="1356">
        <f>E255+E256+E257+E258</f>
        <v>2.8570692201562498</v>
      </c>
      <c r="F254" s="1356">
        <f>F255+F256+F257+F258</f>
        <v>3.8094256268749995</v>
      </c>
      <c r="G254" s="1357">
        <f>G255+G256+G257+G258</f>
        <v>9.5235640671874986</v>
      </c>
      <c r="H254" s="1375"/>
      <c r="I254" s="1375"/>
      <c r="J254" s="1375"/>
      <c r="K254" s="1375"/>
      <c r="L254" s="1375"/>
      <c r="M254" s="1375"/>
      <c r="N254" s="1375"/>
    </row>
    <row r="255" spans="1:14">
      <c r="A255" s="1360" t="s">
        <v>199</v>
      </c>
      <c r="B255" s="1360" t="s">
        <v>1041</v>
      </c>
      <c r="C255" s="1361">
        <f>663.71118*0.95*(12+1-12)/12*0.0725/4</f>
        <v>0.95235640671874988</v>
      </c>
      <c r="D255" s="1362">
        <f>663.71118*0.95*(12+2-12)/12*0.0725/4</f>
        <v>1.9047128134374998</v>
      </c>
      <c r="E255" s="1362">
        <f>663.71118*0.95*(12+3-12)/12*0.0725/4</f>
        <v>2.8570692201562498</v>
      </c>
      <c r="F255" s="1362">
        <f>663.71118*0.95*(12+4-12)/12*0.0725/4</f>
        <v>3.8094256268749995</v>
      </c>
      <c r="G255" s="1363">
        <f>C255+D255+E255+F255</f>
        <v>9.5235640671874986</v>
      </c>
      <c r="H255" s="1375"/>
      <c r="I255" s="1375"/>
      <c r="J255" s="1375"/>
      <c r="K255" s="1375"/>
      <c r="L255" s="1375"/>
      <c r="M255" s="1375"/>
      <c r="N255" s="1375"/>
    </row>
    <row r="256" spans="1:14">
      <c r="A256" s="1360" t="s">
        <v>637</v>
      </c>
      <c r="B256" s="1360"/>
      <c r="C256" s="1361"/>
      <c r="D256" s="1362"/>
      <c r="E256" s="1362"/>
      <c r="F256" s="1362"/>
      <c r="G256" s="1363">
        <f>C256+D256+E256+F256</f>
        <v>0</v>
      </c>
      <c r="H256" s="1375"/>
      <c r="I256" s="1375"/>
      <c r="J256" s="1375"/>
      <c r="K256" s="1375"/>
      <c r="L256" s="1375"/>
      <c r="M256" s="1375"/>
      <c r="N256" s="1375"/>
    </row>
    <row r="257" spans="1:14">
      <c r="A257" s="1360" t="s">
        <v>1050</v>
      </c>
      <c r="B257" s="1360"/>
      <c r="C257" s="1361"/>
      <c r="D257" s="1362"/>
      <c r="E257" s="1362"/>
      <c r="F257" s="1362"/>
      <c r="G257" s="1363">
        <f>C257+D257+E257+F257</f>
        <v>0</v>
      </c>
      <c r="H257" s="1375"/>
      <c r="I257" s="1375"/>
      <c r="J257" s="1375"/>
      <c r="K257" s="1375"/>
      <c r="L257" s="1375"/>
      <c r="M257" s="1375"/>
      <c r="N257" s="1375"/>
    </row>
    <row r="258" spans="1:14" ht="13.5" thickBot="1">
      <c r="A258" s="1360" t="s">
        <v>1051</v>
      </c>
      <c r="B258" s="1385"/>
      <c r="C258" s="1386"/>
      <c r="D258" s="1387"/>
      <c r="E258" s="1387"/>
      <c r="F258" s="1387"/>
      <c r="G258" s="1388">
        <f>C258+D258+E258+F258</f>
        <v>0</v>
      </c>
      <c r="H258" s="1375"/>
      <c r="I258" s="1375"/>
      <c r="J258" s="1375"/>
      <c r="K258" s="1375"/>
      <c r="L258" s="1375"/>
      <c r="M258" s="1375"/>
      <c r="N258" s="1375"/>
    </row>
    <row r="259" spans="1:14" ht="13.5" thickBot="1">
      <c r="A259" s="1367" t="s">
        <v>351</v>
      </c>
      <c r="B259" s="1368" t="s">
        <v>201</v>
      </c>
      <c r="C259" s="1369">
        <f>C239+C244+C249+C254</f>
        <v>78.093225350937502</v>
      </c>
      <c r="D259" s="1369">
        <f>D239+D244+D249+D254</f>
        <v>89.521502231562508</v>
      </c>
      <c r="E259" s="1369">
        <f>E239+E244+E249+E254</f>
        <v>100.94977911218749</v>
      </c>
      <c r="F259" s="1369">
        <f>F239+F244+F249+F254</f>
        <v>112.37805599281249</v>
      </c>
      <c r="G259" s="1369">
        <f>G239+G244+G249+G254</f>
        <v>396.180265195</v>
      </c>
      <c r="H259" s="1375"/>
      <c r="I259" s="1375">
        <f>G259/1.18</f>
        <v>335.74598745338983</v>
      </c>
      <c r="J259" s="1375">
        <f>G249/1.18</f>
        <v>77.479843258474574</v>
      </c>
      <c r="K259" s="1375">
        <f>G254/1.18</f>
        <v>8.0708170060911009</v>
      </c>
      <c r="L259" s="1375"/>
      <c r="M259" s="1375"/>
      <c r="N259" s="1375"/>
    </row>
    <row r="260" spans="1:14">
      <c r="H260" s="1375"/>
      <c r="I260" s="1375"/>
      <c r="J260" s="1375"/>
      <c r="K260" s="1375"/>
      <c r="L260" s="1375"/>
      <c r="M260" s="1375"/>
      <c r="N260" s="1375"/>
    </row>
    <row r="261" spans="1:14">
      <c r="H261" s="1375"/>
      <c r="I261" s="1375"/>
      <c r="J261" s="1375"/>
      <c r="K261" s="1375"/>
      <c r="L261" s="1375"/>
      <c r="M261" s="1375"/>
      <c r="N261" s="1375"/>
    </row>
    <row r="262" spans="1:14" ht="26.25" thickBot="1">
      <c r="B262" s="1341" t="s">
        <v>1081</v>
      </c>
      <c r="C262" s="1342" t="s">
        <v>1082</v>
      </c>
      <c r="D262" s="1342"/>
      <c r="E262" s="1342"/>
      <c r="F262" s="215" t="s">
        <v>1083</v>
      </c>
      <c r="H262" s="1375"/>
      <c r="I262" s="1375"/>
      <c r="J262" s="1375"/>
      <c r="K262" s="1375"/>
      <c r="L262" s="1375"/>
      <c r="M262" s="1375"/>
      <c r="N262" s="1375"/>
    </row>
    <row r="263" spans="1:14" ht="27.75" customHeight="1" thickBot="1">
      <c r="A263" s="1343" t="s">
        <v>1018</v>
      </c>
      <c r="B263" s="1344" t="s">
        <v>1019</v>
      </c>
      <c r="C263" s="1345" t="s">
        <v>1020</v>
      </c>
      <c r="D263" s="1346"/>
      <c r="E263" s="1346"/>
      <c r="F263" s="1346"/>
      <c r="G263" s="1347"/>
      <c r="H263" s="1375"/>
      <c r="I263" s="1375"/>
      <c r="J263" s="1375"/>
      <c r="K263" s="1375"/>
      <c r="L263" s="1375"/>
      <c r="M263" s="1375"/>
      <c r="N263" s="1375"/>
    </row>
    <row r="264" spans="1:14" ht="64.5" thickBot="1">
      <c r="A264" s="1348"/>
      <c r="B264" s="1349"/>
      <c r="C264" s="1350" t="s">
        <v>1021</v>
      </c>
      <c r="D264" s="1351" t="s">
        <v>1022</v>
      </c>
      <c r="E264" s="1351" t="s">
        <v>1023</v>
      </c>
      <c r="F264" s="1351" t="s">
        <v>1024</v>
      </c>
      <c r="G264" s="1313" t="s">
        <v>1025</v>
      </c>
      <c r="H264" s="1375"/>
      <c r="I264" s="1375"/>
      <c r="J264" s="1375"/>
      <c r="K264" s="1375"/>
      <c r="L264" s="1375"/>
      <c r="M264" s="1375"/>
      <c r="N264" s="1375"/>
    </row>
    <row r="265" spans="1:14">
      <c r="A265" s="1353" t="s">
        <v>14</v>
      </c>
      <c r="B265" s="1365" t="s">
        <v>1071</v>
      </c>
      <c r="C265" s="1355">
        <f>C267+C268+C269</f>
        <v>15.634653367890623</v>
      </c>
      <c r="D265" s="1355">
        <f>D267+D268+D269</f>
        <v>16.994188443359374</v>
      </c>
      <c r="E265" s="1355">
        <f>E267+E268+E269</f>
        <v>18.353723518828122</v>
      </c>
      <c r="F265" s="1355">
        <f>F267+F268+F269</f>
        <v>19.713258594296871</v>
      </c>
      <c r="G265" s="1357">
        <f>G267+G268+G269</f>
        <v>70.695823924374992</v>
      </c>
      <c r="H265" s="1375"/>
      <c r="I265" s="1375"/>
      <c r="J265" s="1375"/>
      <c r="K265" s="1375"/>
      <c r="L265" s="1375"/>
      <c r="M265" s="1375"/>
      <c r="N265" s="1375"/>
    </row>
    <row r="266" spans="1:14">
      <c r="A266" s="1360" t="s">
        <v>381</v>
      </c>
      <c r="B266" s="1365"/>
      <c r="C266" s="1361"/>
      <c r="D266" s="1362"/>
      <c r="E266" s="1362"/>
      <c r="F266" s="1362"/>
      <c r="G266" s="1363"/>
      <c r="H266" s="1375"/>
      <c r="I266" s="1375"/>
      <c r="J266" s="1375"/>
      <c r="K266" s="1375"/>
      <c r="L266" s="1375"/>
      <c r="M266" s="1375"/>
      <c r="N266" s="1375"/>
    </row>
    <row r="267" spans="1:14">
      <c r="A267" s="1360" t="s">
        <v>393</v>
      </c>
      <c r="B267" s="1365"/>
      <c r="C267" s="1361"/>
      <c r="D267" s="1362"/>
      <c r="E267" s="1362"/>
      <c r="F267" s="1362"/>
      <c r="G267" s="1363"/>
      <c r="H267" s="1375"/>
      <c r="I267" s="1375"/>
      <c r="J267" s="1375"/>
      <c r="K267" s="1375"/>
      <c r="L267" s="1375"/>
      <c r="M267" s="1375"/>
      <c r="N267" s="1375"/>
    </row>
    <row r="268" spans="1:14">
      <c r="A268" s="1360" t="s">
        <v>21</v>
      </c>
      <c r="B268" s="1360" t="s">
        <v>1027</v>
      </c>
      <c r="C268" s="1361">
        <f>473.73999*0.95*(12+1-1)/12*0.0725/4</f>
        <v>8.1572104528124996</v>
      </c>
      <c r="D268" s="1362">
        <f>473.73999*0.95*(12+2-1)/12*0.0725/4</f>
        <v>8.8369779905468739</v>
      </c>
      <c r="E268" s="1362">
        <f>473.73999*0.95*(12+3-1)/12*0.0725/4</f>
        <v>9.5167455282812483</v>
      </c>
      <c r="F268" s="1362">
        <f>473.73999*0.95*(12+4-1)/12*0.0725/4</f>
        <v>10.196513066015623</v>
      </c>
      <c r="G268" s="1363">
        <f>C268+D268+E268+F268</f>
        <v>36.707447037656245</v>
      </c>
      <c r="H268" s="1375"/>
      <c r="I268" s="1375"/>
      <c r="J268" s="1375"/>
      <c r="K268" s="1375"/>
      <c r="L268" s="1375"/>
      <c r="M268" s="1375"/>
      <c r="N268" s="1375"/>
    </row>
    <row r="269" spans="1:14">
      <c r="A269" s="1360" t="s">
        <v>23</v>
      </c>
      <c r="B269" s="1360" t="s">
        <v>1028</v>
      </c>
      <c r="C269" s="1361">
        <f>473.73999*0.95*(12+1-2)/12*0.0725/4</f>
        <v>7.4774429150781234</v>
      </c>
      <c r="D269" s="1362">
        <f>473.73999*0.95*(12+2-2)/12*0.0725/4</f>
        <v>8.1572104528124996</v>
      </c>
      <c r="E269" s="1362">
        <f>473.73999*0.95*(12+3-2)/12*0.0725/4</f>
        <v>8.8369779905468739</v>
      </c>
      <c r="F269" s="1362">
        <f>473.73999*0.95*(12+4-2)/12*0.0725/4</f>
        <v>9.5167455282812483</v>
      </c>
      <c r="G269" s="1363">
        <f>C269+D269+E269+F269</f>
        <v>33.988376886718747</v>
      </c>
      <c r="H269" s="1375"/>
      <c r="I269" s="1375"/>
      <c r="J269" s="1375"/>
      <c r="K269" s="1375"/>
      <c r="L269" s="1375"/>
      <c r="M269" s="1375"/>
      <c r="N269" s="1375"/>
    </row>
    <row r="270" spans="1:14">
      <c r="A270" s="1360" t="s">
        <v>135</v>
      </c>
      <c r="B270" s="1365" t="s">
        <v>1072</v>
      </c>
      <c r="C270" s="1355">
        <f>C271+C272+C273+C274</f>
        <v>23.112096282968746</v>
      </c>
      <c r="D270" s="1356">
        <f>D271+D272+D273+D274</f>
        <v>25.831166433906244</v>
      </c>
      <c r="E270" s="1356">
        <f>E271+E272+E273+E274</f>
        <v>28.550236584843745</v>
      </c>
      <c r="F270" s="1356">
        <f>F271+F272+F273+F274</f>
        <v>31.26930673578125</v>
      </c>
      <c r="G270" s="1357">
        <f>G271+G272+G273+G274</f>
        <v>108.76280603749998</v>
      </c>
      <c r="H270" s="1375"/>
      <c r="I270" s="1375"/>
      <c r="J270" s="1375"/>
      <c r="K270" s="1375"/>
      <c r="L270" s="1375"/>
      <c r="M270" s="1375"/>
      <c r="N270" s="1375"/>
    </row>
    <row r="271" spans="1:14">
      <c r="A271" s="1360" t="s">
        <v>167</v>
      </c>
      <c r="B271" s="1360" t="s">
        <v>1029</v>
      </c>
      <c r="C271" s="1361">
        <f>473.73999*0.95*(12+1-3)/12*0.0725/4</f>
        <v>6.797675377343749</v>
      </c>
      <c r="D271" s="1362">
        <f>473.73999*0.95*(12+2-3)/12*0.0725/4</f>
        <v>7.4774429150781234</v>
      </c>
      <c r="E271" s="1362">
        <f>473.73999*0.95*(12+3-3)/12*0.0725/4</f>
        <v>8.1572104528124996</v>
      </c>
      <c r="F271" s="1362">
        <f>473.73999*0.95*(12+4-3)/12*0.0725/4</f>
        <v>8.8369779905468739</v>
      </c>
      <c r="G271" s="1363">
        <f>C271+D271+E271+F271</f>
        <v>31.269306735781246</v>
      </c>
      <c r="H271" s="1375"/>
      <c r="I271" s="1375"/>
      <c r="J271" s="1375"/>
      <c r="K271" s="1375"/>
      <c r="L271" s="1375"/>
      <c r="M271" s="1375"/>
      <c r="N271" s="1375"/>
    </row>
    <row r="272" spans="1:14">
      <c r="A272" s="1360" t="s">
        <v>173</v>
      </c>
      <c r="B272" s="1360" t="s">
        <v>1030</v>
      </c>
      <c r="C272" s="1361">
        <f>473.73999*0.95*(12+1-4)/12*0.0725/4</f>
        <v>6.1179078396093738</v>
      </c>
      <c r="D272" s="1362">
        <f>473.73999*0.95*(12+2-4)/12*0.0725/4</f>
        <v>6.797675377343749</v>
      </c>
      <c r="E272" s="1362">
        <f>473.73999*0.95*(12+3-4)/12*0.0725/4</f>
        <v>7.4774429150781234</v>
      </c>
      <c r="F272" s="1362">
        <f>473.73999*0.95*(12+4-4)/12*0.0725/4</f>
        <v>8.1572104528124996</v>
      </c>
      <c r="G272" s="1363">
        <f>C272+D272+E272+F272</f>
        <v>28.550236584843745</v>
      </c>
      <c r="H272" s="1375"/>
      <c r="I272" s="1375"/>
      <c r="J272" s="1375"/>
      <c r="K272" s="1375"/>
      <c r="L272" s="1375"/>
      <c r="M272" s="1375"/>
      <c r="N272" s="1375"/>
    </row>
    <row r="273" spans="1:14">
      <c r="A273" s="1360" t="s">
        <v>180</v>
      </c>
      <c r="B273" s="1360" t="s">
        <v>1032</v>
      </c>
      <c r="C273" s="1361">
        <f>473.73999*0.95*(12+1-5)/12*0.0725/4</f>
        <v>5.4381403018749994</v>
      </c>
      <c r="D273" s="1362">
        <f>473.73999*0.95*(12+2-5)/12*0.0725/4</f>
        <v>6.1179078396093738</v>
      </c>
      <c r="E273" s="1362">
        <f>473.73999*0.95*(12+3-5)/12*0.0725/4</f>
        <v>6.797675377343749</v>
      </c>
      <c r="F273" s="1362">
        <f>473.73999*0.95*(12+4-5)/12*0.0725/4</f>
        <v>7.4774429150781234</v>
      </c>
      <c r="G273" s="1363">
        <f>C273+D273+E273+F273</f>
        <v>25.831166433906247</v>
      </c>
      <c r="H273" s="1375"/>
      <c r="I273" s="1375"/>
      <c r="J273" s="1375"/>
      <c r="K273" s="1375"/>
      <c r="L273" s="1375"/>
      <c r="M273" s="1375"/>
      <c r="N273" s="1375"/>
    </row>
    <row r="274" spans="1:14">
      <c r="A274" s="1360" t="s">
        <v>182</v>
      </c>
      <c r="B274" s="1360" t="s">
        <v>1033</v>
      </c>
      <c r="C274" s="1361">
        <f>473.73999*0.95*(12+1-6)/12*0.0725/4</f>
        <v>4.7583727641406242</v>
      </c>
      <c r="D274" s="1362">
        <f>473.73999*0.95*(12+2-6)/12*0.0725/4</f>
        <v>5.4381403018749994</v>
      </c>
      <c r="E274" s="1362">
        <f>473.73999*0.95*(12+3-6)/12*0.0725/4</f>
        <v>6.1179078396093738</v>
      </c>
      <c r="F274" s="1362">
        <f>473.73999*0.95*(12+4-6)/12*0.0725/4</f>
        <v>6.797675377343749</v>
      </c>
      <c r="G274" s="1363">
        <f>C274+D274+E274+F274</f>
        <v>23.112096282968743</v>
      </c>
      <c r="H274" s="1375"/>
      <c r="I274" s="1375"/>
      <c r="J274" s="1375"/>
      <c r="K274" s="1375"/>
      <c r="L274" s="1375"/>
      <c r="M274" s="1375"/>
      <c r="N274" s="1375"/>
    </row>
    <row r="275" spans="1:14">
      <c r="A275" s="1360" t="s">
        <v>191</v>
      </c>
      <c r="B275" s="1365" t="s">
        <v>1073</v>
      </c>
      <c r="C275" s="1355">
        <f>C276+C277+C278+C279</f>
        <v>12.235815679218749</v>
      </c>
      <c r="D275" s="1356">
        <f>D276+D277+D278+D279</f>
        <v>14.954885830156249</v>
      </c>
      <c r="E275" s="1356">
        <f>E276+E277+E278+E279</f>
        <v>17.673955981093748</v>
      </c>
      <c r="F275" s="1356">
        <f>F276+F277+F278+F279</f>
        <v>20.393026132031249</v>
      </c>
      <c r="G275" s="1357">
        <f>G276+G277+G278+G279</f>
        <v>65.257683622499997</v>
      </c>
      <c r="H275" s="1375"/>
      <c r="I275" s="1375"/>
      <c r="J275" s="1375"/>
      <c r="K275" s="1375"/>
      <c r="L275" s="1375"/>
      <c r="M275" s="1375"/>
      <c r="N275" s="1375"/>
    </row>
    <row r="276" spans="1:14">
      <c r="A276" s="1360" t="s">
        <v>192</v>
      </c>
      <c r="B276" s="1360" t="s">
        <v>1034</v>
      </c>
      <c r="C276" s="1361">
        <f>473.73999*0.95*(12+1-7)/12*0.0725/4</f>
        <v>4.0786052264062498</v>
      </c>
      <c r="D276" s="1362">
        <f>473.73999*0.95*(12+2-7)/12*0.0725/4</f>
        <v>4.7583727641406242</v>
      </c>
      <c r="E276" s="1362">
        <f>473.73999*0.95*(12+3-7)/12*0.0725/4</f>
        <v>5.4381403018749994</v>
      </c>
      <c r="F276" s="1362">
        <f>473.73999*0.95*(12+4-7)/12*0.0725/4</f>
        <v>6.1179078396093738</v>
      </c>
      <c r="G276" s="1363">
        <f>C276+D276+E276+F276</f>
        <v>20.393026132031245</v>
      </c>
      <c r="H276" s="1375"/>
      <c r="I276" s="1375"/>
      <c r="J276" s="1375"/>
      <c r="K276" s="1375"/>
      <c r="L276" s="1375"/>
      <c r="M276" s="1375"/>
      <c r="N276" s="1375"/>
    </row>
    <row r="277" spans="1:14">
      <c r="A277" s="1360" t="s">
        <v>195</v>
      </c>
      <c r="B277" s="1360" t="s">
        <v>1035</v>
      </c>
      <c r="C277" s="1361">
        <f>473.73999*0.95*(12+1-8)/12*0.0725/4</f>
        <v>3.3988376886718745</v>
      </c>
      <c r="D277" s="1362">
        <f>473.73999*0.95*(12+2-8)/12*0.0725/4</f>
        <v>4.0786052264062498</v>
      </c>
      <c r="E277" s="1362">
        <f>473.73999*0.95*(12+3-8)/12*0.0725/4</f>
        <v>4.7583727641406242</v>
      </c>
      <c r="F277" s="1362">
        <f>473.73999*0.95*(12+4-8)/12*0.0725/4</f>
        <v>5.4381403018749994</v>
      </c>
      <c r="G277" s="1363">
        <f>C277+D277+E277+F277</f>
        <v>17.673955981093748</v>
      </c>
      <c r="H277" s="1375"/>
      <c r="I277" s="1375"/>
      <c r="J277" s="1375"/>
      <c r="K277" s="1375"/>
      <c r="L277" s="1375"/>
      <c r="M277" s="1375"/>
      <c r="N277" s="1375"/>
    </row>
    <row r="278" spans="1:14">
      <c r="A278" s="1360" t="s">
        <v>631</v>
      </c>
      <c r="B278" s="1360" t="s">
        <v>1037</v>
      </c>
      <c r="C278" s="1361">
        <f>473.73999*0.95*(12+1-9)/12*0.0725/4</f>
        <v>2.7190701509374997</v>
      </c>
      <c r="D278" s="1362">
        <f>473.73999*0.95*(12+2-9)/12*0.0725/4</f>
        <v>3.3988376886718745</v>
      </c>
      <c r="E278" s="1362">
        <f>473.73999*0.95*(12+3-9)/12*0.0725/4</f>
        <v>4.0786052264062498</v>
      </c>
      <c r="F278" s="1362">
        <f>473.73999*0.95*(12+4-9)/12*0.0725/4</f>
        <v>4.7583727641406242</v>
      </c>
      <c r="G278" s="1363">
        <f>C278+D278+E278+F278</f>
        <v>14.954885830156249</v>
      </c>
      <c r="H278" s="1375"/>
      <c r="I278" s="1375"/>
      <c r="J278" s="1375"/>
      <c r="K278" s="1375"/>
      <c r="L278" s="1375"/>
      <c r="M278" s="1375"/>
      <c r="N278" s="1375"/>
    </row>
    <row r="279" spans="1:14">
      <c r="A279" s="1360" t="s">
        <v>1040</v>
      </c>
      <c r="B279" s="1360" t="s">
        <v>1038</v>
      </c>
      <c r="C279" s="1361">
        <f>473.73999*0.95*(12+1-10)/12*0.0725/4</f>
        <v>2.0393026132031249</v>
      </c>
      <c r="D279" s="1362">
        <f>473.73999*0.95*(12+2-10)/12*0.0725/4</f>
        <v>2.7190701509374997</v>
      </c>
      <c r="E279" s="1362">
        <f>473.73999*0.95*(12+3-10)/12*0.0725/4</f>
        <v>3.3988376886718745</v>
      </c>
      <c r="F279" s="1362">
        <f>473.73999*0.95*(12+4-10)/12*0.0725/4</f>
        <v>4.0786052264062498</v>
      </c>
      <c r="G279" s="1363">
        <f>C279+D279+E279+F279</f>
        <v>12.235815679218749</v>
      </c>
      <c r="H279" s="1375"/>
      <c r="I279" s="1375"/>
      <c r="J279" s="1375"/>
      <c r="K279" s="1375"/>
      <c r="L279" s="1375"/>
      <c r="M279" s="1375"/>
      <c r="N279" s="1375"/>
    </row>
    <row r="280" spans="1:14">
      <c r="A280" s="1360" t="s">
        <v>198</v>
      </c>
      <c r="B280" s="1365" t="s">
        <v>1074</v>
      </c>
      <c r="C280" s="1355">
        <f>C281+C282+C283+C284</f>
        <v>2.0393026132031249</v>
      </c>
      <c r="D280" s="1356">
        <f>D281+D282+D283+D284</f>
        <v>3.3988376886718745</v>
      </c>
      <c r="E280" s="1356">
        <f>E281+E282+E283+E284</f>
        <v>4.7583727641406242</v>
      </c>
      <c r="F280" s="1356">
        <f>F281+F282+F283+F284</f>
        <v>6.1179078396093747</v>
      </c>
      <c r="G280" s="1357">
        <f>G281+G282+G283+G284</f>
        <v>16.314420905624999</v>
      </c>
      <c r="H280" s="1375"/>
      <c r="I280" s="1375"/>
      <c r="J280" s="1375"/>
      <c r="K280" s="1375"/>
      <c r="L280" s="1375"/>
      <c r="M280" s="1375"/>
      <c r="N280" s="1375"/>
    </row>
    <row r="281" spans="1:14">
      <c r="A281" s="1360" t="s">
        <v>199</v>
      </c>
      <c r="B281" s="1360" t="s">
        <v>1039</v>
      </c>
      <c r="C281" s="1361">
        <f>473.73999*0.95*(12+1-11)/12*0.0725/4</f>
        <v>1.3595350754687499</v>
      </c>
      <c r="D281" s="1362">
        <f>473.73999*0.95*(12+2-11)/12*0.0725/4</f>
        <v>2.0393026132031249</v>
      </c>
      <c r="E281" s="1362">
        <f>473.73999*0.95*(12+3-11)/12*0.0725/4</f>
        <v>2.7190701509374997</v>
      </c>
      <c r="F281" s="1362">
        <f>473.73999*0.95*(12+4-11)/12*0.0725/4</f>
        <v>3.3988376886718745</v>
      </c>
      <c r="G281" s="1363">
        <f>C281+D281+E281+F281</f>
        <v>9.5167455282812483</v>
      </c>
      <c r="H281" s="1375"/>
      <c r="I281" s="1375"/>
      <c r="J281" s="1375"/>
      <c r="K281" s="1375"/>
      <c r="L281" s="1375"/>
      <c r="M281" s="1375"/>
      <c r="N281" s="1375"/>
    </row>
    <row r="282" spans="1:14">
      <c r="A282" s="1360" t="s">
        <v>637</v>
      </c>
      <c r="B282" s="1360" t="s">
        <v>1041</v>
      </c>
      <c r="C282" s="1361">
        <f>473.73999*0.95*(12+1-12)/12*0.0725/4</f>
        <v>0.67976753773437493</v>
      </c>
      <c r="D282" s="1362">
        <f>473.73999*0.95*(12+2-12)/12*0.0725/4</f>
        <v>1.3595350754687499</v>
      </c>
      <c r="E282" s="1362">
        <f>473.73999*0.95*(12+3-12)/12*0.0725/4</f>
        <v>2.0393026132031249</v>
      </c>
      <c r="F282" s="1362">
        <f>473.73999*0.95*(12+4-12)/12*0.0725/4</f>
        <v>2.7190701509374997</v>
      </c>
      <c r="G282" s="1363">
        <f>C282+D282+E282+F282</f>
        <v>6.797675377343749</v>
      </c>
      <c r="H282" s="1375"/>
      <c r="I282" s="1375"/>
      <c r="J282" s="1375"/>
      <c r="K282" s="1375"/>
      <c r="L282" s="1375"/>
      <c r="M282" s="1375"/>
      <c r="N282" s="1375"/>
    </row>
    <row r="283" spans="1:14">
      <c r="A283" s="1360" t="s">
        <v>1050</v>
      </c>
      <c r="B283" s="1360"/>
      <c r="C283" s="1361"/>
      <c r="D283" s="1362"/>
      <c r="E283" s="1362"/>
      <c r="F283" s="1362"/>
      <c r="G283" s="1363">
        <f>C283+D283+E283+F283</f>
        <v>0</v>
      </c>
      <c r="H283" s="1375"/>
      <c r="I283" s="1375"/>
      <c r="J283" s="1375"/>
      <c r="K283" s="1375"/>
      <c r="L283" s="1375"/>
      <c r="M283" s="1375"/>
      <c r="N283" s="1375"/>
    </row>
    <row r="284" spans="1:14" ht="13.5" thickBot="1">
      <c r="A284" s="1360" t="s">
        <v>1051</v>
      </c>
      <c r="B284" s="1385"/>
      <c r="C284" s="1386"/>
      <c r="D284" s="1387"/>
      <c r="E284" s="1387"/>
      <c r="F284" s="1387"/>
      <c r="G284" s="1388">
        <f>C284+D284+E284+F284</f>
        <v>0</v>
      </c>
      <c r="H284" s="1375"/>
      <c r="I284" s="1375"/>
      <c r="J284" s="1375"/>
      <c r="K284" s="1375"/>
      <c r="L284" s="1375"/>
      <c r="M284" s="1375"/>
      <c r="N284" s="1375"/>
    </row>
    <row r="285" spans="1:14" ht="13.5" thickBot="1">
      <c r="A285" s="1367" t="s">
        <v>351</v>
      </c>
      <c r="B285" s="1368" t="s">
        <v>201</v>
      </c>
      <c r="C285" s="1369">
        <f>C265+C270+C275+C280</f>
        <v>53.021867943281244</v>
      </c>
      <c r="D285" s="1369">
        <f>D265+D270+D275+D280</f>
        <v>61.179078396093743</v>
      </c>
      <c r="E285" s="1369">
        <f>E265+E270+E275+E280</f>
        <v>69.336288848906236</v>
      </c>
      <c r="F285" s="1369">
        <f>F265+F270+F275+F280</f>
        <v>77.493499301718742</v>
      </c>
      <c r="G285" s="1369">
        <f>G265+G270+G275+G280</f>
        <v>261.03073448999999</v>
      </c>
      <c r="H285" s="1375"/>
      <c r="I285" s="1375">
        <f>G285/1.18</f>
        <v>221.21248685593221</v>
      </c>
      <c r="J285" s="1375">
        <f>G275/1.18</f>
        <v>55.303121713983053</v>
      </c>
      <c r="K285" s="1375">
        <f>G280/1.18</f>
        <v>13.825780428495763</v>
      </c>
      <c r="L285" s="1375"/>
      <c r="M285" s="1375"/>
      <c r="N285" s="1375"/>
    </row>
    <row r="286" spans="1:14">
      <c r="H286" s="1375"/>
      <c r="I286" s="1375"/>
      <c r="J286" s="1375"/>
      <c r="K286" s="1375"/>
      <c r="L286" s="1375"/>
      <c r="M286" s="1375"/>
      <c r="N286" s="1375"/>
    </row>
    <row r="287" spans="1:14">
      <c r="H287" s="1375"/>
      <c r="I287" s="1375"/>
      <c r="J287" s="1375"/>
      <c r="K287" s="1375"/>
      <c r="L287" s="1375"/>
      <c r="M287" s="1375"/>
      <c r="N287" s="1375"/>
    </row>
    <row r="288" spans="1:14" ht="26.25" thickBot="1">
      <c r="B288" s="1341" t="s">
        <v>1084</v>
      </c>
      <c r="C288" s="1342" t="s">
        <v>1085</v>
      </c>
      <c r="D288" s="1342"/>
      <c r="E288" s="1342"/>
      <c r="H288" s="1375"/>
      <c r="I288" s="1375"/>
      <c r="J288" s="1375"/>
      <c r="K288" s="1375"/>
      <c r="L288" s="1375"/>
      <c r="M288" s="1375"/>
      <c r="N288" s="1375"/>
    </row>
    <row r="289" spans="1:14" ht="28.5" customHeight="1" thickBot="1">
      <c r="A289" s="1343" t="s">
        <v>1018</v>
      </c>
      <c r="B289" s="1344" t="s">
        <v>1019</v>
      </c>
      <c r="C289" s="1345" t="s">
        <v>1020</v>
      </c>
      <c r="D289" s="1346"/>
      <c r="E289" s="1346"/>
      <c r="F289" s="1346"/>
      <c r="G289" s="1347"/>
      <c r="H289" s="1375"/>
      <c r="I289" s="1375"/>
      <c r="J289" s="1375"/>
      <c r="K289" s="1375"/>
      <c r="L289" s="1375"/>
      <c r="M289" s="1375"/>
      <c r="N289" s="1375"/>
    </row>
    <row r="290" spans="1:14" ht="64.5" thickBot="1">
      <c r="A290" s="1348"/>
      <c r="B290" s="1349"/>
      <c r="C290" s="1350" t="s">
        <v>1021</v>
      </c>
      <c r="D290" s="1351" t="s">
        <v>1022</v>
      </c>
      <c r="E290" s="1351" t="s">
        <v>1023</v>
      </c>
      <c r="F290" s="1351" t="s">
        <v>1024</v>
      </c>
      <c r="G290" s="1313" t="s">
        <v>1025</v>
      </c>
      <c r="H290" s="1375"/>
      <c r="I290" s="1375"/>
      <c r="J290" s="1375"/>
      <c r="K290" s="1375"/>
      <c r="L290" s="1375"/>
      <c r="M290" s="1375"/>
      <c r="N290" s="1375"/>
    </row>
    <row r="291" spans="1:14">
      <c r="A291" s="1353" t="s">
        <v>14</v>
      </c>
      <c r="B291" s="1365" t="s">
        <v>1071</v>
      </c>
      <c r="C291" s="1355">
        <f>C293+C294+C295</f>
        <v>26.478358292031245</v>
      </c>
      <c r="D291" s="1355">
        <f>D293+D294+D295</f>
        <v>28.780824230468745</v>
      </c>
      <c r="E291" s="1355">
        <f>E293+E294+E295</f>
        <v>31.083290168906245</v>
      </c>
      <c r="F291" s="1355">
        <f>F293+F294+F295</f>
        <v>33.385756107343745</v>
      </c>
      <c r="G291" s="1357">
        <f>G293+G294+G295</f>
        <v>119.72822879874998</v>
      </c>
      <c r="H291" s="1375"/>
      <c r="I291" s="1375"/>
      <c r="J291" s="1375"/>
      <c r="K291" s="1375"/>
      <c r="L291" s="1375"/>
      <c r="M291" s="1375"/>
      <c r="N291" s="1375"/>
    </row>
    <row r="292" spans="1:14">
      <c r="A292" s="1360" t="s">
        <v>381</v>
      </c>
      <c r="B292" s="1365"/>
      <c r="C292" s="1361"/>
      <c r="D292" s="1362"/>
      <c r="E292" s="1362"/>
      <c r="F292" s="1362"/>
      <c r="G292" s="1363"/>
      <c r="H292" s="1375"/>
      <c r="I292" s="1375"/>
      <c r="J292" s="1375"/>
      <c r="K292" s="1375"/>
      <c r="L292" s="1375"/>
      <c r="M292" s="1375"/>
      <c r="N292" s="1375"/>
    </row>
    <row r="293" spans="1:14">
      <c r="A293" s="1360" t="s">
        <v>393</v>
      </c>
      <c r="B293" s="1365"/>
      <c r="C293" s="1361"/>
      <c r="D293" s="1362"/>
      <c r="E293" s="1362"/>
      <c r="F293" s="1362"/>
      <c r="G293" s="1363"/>
      <c r="H293" s="1375"/>
      <c r="I293" s="1375"/>
      <c r="J293" s="1375"/>
      <c r="K293" s="1375"/>
      <c r="L293" s="1375"/>
      <c r="M293" s="1375"/>
      <c r="N293" s="1375"/>
    </row>
    <row r="294" spans="1:14">
      <c r="A294" s="1360" t="s">
        <v>21</v>
      </c>
      <c r="B294" s="1360" t="s">
        <v>1027</v>
      </c>
      <c r="C294" s="1361">
        <f>802.31118*0.95*(12+1-1)/12*0.0725/4</f>
        <v>13.814795630624998</v>
      </c>
      <c r="D294" s="1362">
        <f>802.31118*0.95*(12+2-1)/12*0.0725/4</f>
        <v>14.966028599843746</v>
      </c>
      <c r="E294" s="1362">
        <f>802.31118*0.95*(12+3-1)/12*0.0725/4</f>
        <v>16.117261569062499</v>
      </c>
      <c r="F294" s="1362">
        <f>802.31118*0.95*(12+4-1)/12*0.0725/4</f>
        <v>17.268494538281246</v>
      </c>
      <c r="G294" s="1363">
        <f>C294+D294+E294+F294</f>
        <v>62.166580337812491</v>
      </c>
      <c r="H294" s="1374"/>
      <c r="I294" s="1374"/>
    </row>
    <row r="295" spans="1:14">
      <c r="A295" s="1360" t="s">
        <v>23</v>
      </c>
      <c r="B295" s="1360" t="s">
        <v>1028</v>
      </c>
      <c r="C295" s="1361">
        <f>802.31118*0.95*(12+1-2)/12*0.0725/4</f>
        <v>12.663562661406248</v>
      </c>
      <c r="D295" s="1362">
        <f>802.31118*0.95*(12+2-2)/12*0.0725/4</f>
        <v>13.814795630624998</v>
      </c>
      <c r="E295" s="1362">
        <f>802.31118*0.95*(12+3-2)/12*0.0725/4</f>
        <v>14.966028599843746</v>
      </c>
      <c r="F295" s="1362">
        <f>802.31118*0.95*(12+4-2)/12*0.0725/4</f>
        <v>16.117261569062499</v>
      </c>
      <c r="G295" s="1363">
        <f>C295+D295+E295+F295</f>
        <v>57.561648460937491</v>
      </c>
      <c r="H295" s="1374"/>
      <c r="I295" s="1374"/>
    </row>
    <row r="296" spans="1:14">
      <c r="A296" s="1360" t="s">
        <v>135</v>
      </c>
      <c r="B296" s="1365" t="s">
        <v>1072</v>
      </c>
      <c r="C296" s="1355">
        <f>C297+C298+C299+C300</f>
        <v>39.141920953437491</v>
      </c>
      <c r="D296" s="1356">
        <f>D297+D298+D299+D300</f>
        <v>43.746852830312491</v>
      </c>
      <c r="E296" s="1356">
        <f>E297+E298+E299+E300</f>
        <v>48.351784707187491</v>
      </c>
      <c r="F296" s="1356">
        <f>F297+F298+F299+F300</f>
        <v>52.956716584062491</v>
      </c>
      <c r="G296" s="1357">
        <f>G297+G298+G299+G300</f>
        <v>184.19727507499996</v>
      </c>
      <c r="H296" s="1374"/>
      <c r="I296" s="1374"/>
    </row>
    <row r="297" spans="1:14">
      <c r="A297" s="1360" t="s">
        <v>167</v>
      </c>
      <c r="B297" s="1360" t="s">
        <v>1029</v>
      </c>
      <c r="C297" s="1361">
        <f>802.31118*0.95*(12+1-3)/12*0.0725/4</f>
        <v>11.512329692187498</v>
      </c>
      <c r="D297" s="1362">
        <f>802.31118*0.95*(12+2-3)/12*0.0725/4</f>
        <v>12.663562661406248</v>
      </c>
      <c r="E297" s="1362">
        <f>802.31118*0.95*(12+3-3)/12*0.0725/4</f>
        <v>13.814795630624998</v>
      </c>
      <c r="F297" s="1362">
        <f>802.31118*0.95*(12+4-3)/12*0.0725/4</f>
        <v>14.966028599843746</v>
      </c>
      <c r="G297" s="1363">
        <f>C297+D297+E297+F297</f>
        <v>52.956716584062491</v>
      </c>
      <c r="H297" s="1374"/>
      <c r="I297" s="1374"/>
    </row>
    <row r="298" spans="1:14">
      <c r="A298" s="1360" t="s">
        <v>173</v>
      </c>
      <c r="B298" s="1360" t="s">
        <v>1030</v>
      </c>
      <c r="C298" s="1361">
        <f>802.31118*0.95*(12+1-4)/12*0.0725/4</f>
        <v>10.36109672296875</v>
      </c>
      <c r="D298" s="1362">
        <f>802.31118*0.95*(12+2-4)/12*0.0725/4</f>
        <v>11.512329692187498</v>
      </c>
      <c r="E298" s="1362">
        <f>802.31118*0.95*(12+3-4)/12*0.0725/4</f>
        <v>12.663562661406248</v>
      </c>
      <c r="F298" s="1362">
        <f>802.31118*0.95*(12+4-4)/12*0.0725/4</f>
        <v>13.814795630624998</v>
      </c>
      <c r="G298" s="1363">
        <f>C298+D298+E298+F298</f>
        <v>48.351784707187491</v>
      </c>
      <c r="H298" s="1374"/>
      <c r="I298" s="1374"/>
    </row>
    <row r="299" spans="1:14">
      <c r="A299" s="1360" t="s">
        <v>180</v>
      </c>
      <c r="B299" s="1360" t="s">
        <v>1032</v>
      </c>
      <c r="C299" s="1361">
        <f>802.31118*0.95*(12+1-5)/12*0.0725/4</f>
        <v>9.2098637537499997</v>
      </c>
      <c r="D299" s="1362">
        <f>802.31118*0.95*(12+2-5)/12*0.0725/4</f>
        <v>10.36109672296875</v>
      </c>
      <c r="E299" s="1362">
        <f>802.31118*0.95*(12+3-5)/12*0.0725/4</f>
        <v>11.512329692187498</v>
      </c>
      <c r="F299" s="1362">
        <f>802.31118*0.95*(12+4-5)/12*0.0725/4</f>
        <v>12.663562661406248</v>
      </c>
      <c r="G299" s="1363">
        <f>C299+D299+E299+F299</f>
        <v>43.746852830312491</v>
      </c>
      <c r="H299" s="1374"/>
      <c r="I299" s="1374"/>
    </row>
    <row r="300" spans="1:14">
      <c r="A300" s="1360" t="s">
        <v>182</v>
      </c>
      <c r="B300" s="1360" t="s">
        <v>1033</v>
      </c>
      <c r="C300" s="1361">
        <f>802.31118*0.95*(12+1-6)/12*0.0725/4</f>
        <v>8.0586307845312497</v>
      </c>
      <c r="D300" s="1362">
        <f>802.31118*0.95*(12+2-6)/12*0.0725/4</f>
        <v>9.2098637537499997</v>
      </c>
      <c r="E300" s="1362">
        <f>802.31118*0.95*(12+3-6)/12*0.0725/4</f>
        <v>10.36109672296875</v>
      </c>
      <c r="F300" s="1362">
        <f>802.31118*0.95*(12+4-6)/12*0.0725/4</f>
        <v>11.512329692187498</v>
      </c>
      <c r="G300" s="1363">
        <f>C300+D300+E300+F300</f>
        <v>39.141920953437499</v>
      </c>
      <c r="H300" s="1374"/>
      <c r="I300" s="1374"/>
      <c r="J300" s="1374"/>
      <c r="K300" s="1374"/>
      <c r="L300" s="1374"/>
    </row>
    <row r="301" spans="1:14">
      <c r="A301" s="1360" t="s">
        <v>191</v>
      </c>
      <c r="B301" s="1365" t="s">
        <v>1073</v>
      </c>
      <c r="C301" s="1355">
        <f>C302+C303+C304+C305</f>
        <v>20.722193445937496</v>
      </c>
      <c r="D301" s="1356">
        <f>D302+D303+D304+D305</f>
        <v>25.327125322812499</v>
      </c>
      <c r="E301" s="1356">
        <f>E302+E303+E304+E305</f>
        <v>29.932057199687499</v>
      </c>
      <c r="F301" s="1356">
        <f>F302+F303+F304+F305</f>
        <v>34.536989076562499</v>
      </c>
      <c r="G301" s="1357">
        <f>G302+G303+G304+G305</f>
        <v>110.518365045</v>
      </c>
      <c r="H301" s="1374"/>
      <c r="I301" s="1374"/>
      <c r="J301" s="1374"/>
      <c r="K301" s="1374"/>
      <c r="L301" s="1374"/>
    </row>
    <row r="302" spans="1:14">
      <c r="A302" s="1360" t="s">
        <v>192</v>
      </c>
      <c r="B302" s="1360" t="s">
        <v>1034</v>
      </c>
      <c r="C302" s="1361">
        <f>802.31118*0.95*(12+1-7)/12*0.0725/4</f>
        <v>6.9073978153124989</v>
      </c>
      <c r="D302" s="1362">
        <f>802.31118*0.95*(12+2-7)/12*0.0725/4</f>
        <v>8.0586307845312497</v>
      </c>
      <c r="E302" s="1362">
        <f>802.31118*0.95*(12+3-7)/12*0.0725/4</f>
        <v>9.2098637537499997</v>
      </c>
      <c r="F302" s="1362">
        <f>802.31118*0.95*(12+4-7)/12*0.0725/4</f>
        <v>10.36109672296875</v>
      </c>
      <c r="G302" s="1363">
        <f>C302+D302+E302+F302</f>
        <v>34.536989076562499</v>
      </c>
      <c r="H302" s="1374"/>
      <c r="I302" s="1374"/>
      <c r="J302" s="1374"/>
      <c r="K302" s="1374"/>
      <c r="L302" s="1374"/>
    </row>
    <row r="303" spans="1:14">
      <c r="A303" s="1360" t="s">
        <v>195</v>
      </c>
      <c r="B303" s="1360" t="s">
        <v>1035</v>
      </c>
      <c r="C303" s="1361">
        <f>802.31118*0.95*(12+1-8)/12*0.0725/4</f>
        <v>5.7561648460937489</v>
      </c>
      <c r="D303" s="1362">
        <f>802.31118*0.95*(12+2-8)/12*0.0725/4</f>
        <v>6.9073978153124989</v>
      </c>
      <c r="E303" s="1362">
        <f>802.31118*0.95*(12+3-8)/12*0.0725/4</f>
        <v>8.0586307845312497</v>
      </c>
      <c r="F303" s="1362">
        <f>802.31118*0.95*(12+4-8)/12*0.0725/4</f>
        <v>9.2098637537499997</v>
      </c>
      <c r="G303" s="1363">
        <f>C303+D303+E303+F303</f>
        <v>29.932057199687499</v>
      </c>
      <c r="H303" s="1374"/>
      <c r="I303" s="1374"/>
      <c r="J303" s="1374"/>
      <c r="K303" s="1374"/>
      <c r="L303" s="1374"/>
    </row>
    <row r="304" spans="1:14">
      <c r="A304" s="1360" t="s">
        <v>631</v>
      </c>
      <c r="B304" s="1360" t="s">
        <v>1037</v>
      </c>
      <c r="C304" s="1361">
        <f>802.31118*0.95*(12+1-9)/12*0.0725/4</f>
        <v>4.6049318768749998</v>
      </c>
      <c r="D304" s="1362">
        <f>802.31118*0.95*(12+2-9)/12*0.0725/4</f>
        <v>5.7561648460937489</v>
      </c>
      <c r="E304" s="1362">
        <f>802.31118*0.95*(12+3-9)/12*0.0725/4</f>
        <v>6.9073978153124989</v>
      </c>
      <c r="F304" s="1362">
        <f>802.31118*0.95*(12+4-9)/12*0.0725/4</f>
        <v>8.0586307845312497</v>
      </c>
      <c r="G304" s="1363">
        <f>C304+D304+E304+F304</f>
        <v>25.327125322812499</v>
      </c>
      <c r="H304" s="1374"/>
      <c r="I304" s="1374"/>
      <c r="J304" s="1374"/>
      <c r="K304" s="1374"/>
      <c r="L304" s="1374"/>
    </row>
    <row r="305" spans="1:12">
      <c r="A305" s="1360" t="s">
        <v>1040</v>
      </c>
      <c r="B305" s="1360" t="s">
        <v>1038</v>
      </c>
      <c r="C305" s="1361">
        <f>802.31118*0.95*(12+1-10)/12*0.0725/4</f>
        <v>3.4536989076562494</v>
      </c>
      <c r="D305" s="1362">
        <f>802.31118*0.95*(12+2-10)/12*0.0725/4</f>
        <v>4.6049318768749998</v>
      </c>
      <c r="E305" s="1362">
        <f>802.31118*0.95*(12+3-10)/12*0.0725/4</f>
        <v>5.7561648460937489</v>
      </c>
      <c r="F305" s="1362">
        <f>802.31118*0.95*(12+4-10)/12*0.0725/4</f>
        <v>6.9073978153124989</v>
      </c>
      <c r="G305" s="1363">
        <f>C305+D305+E305+F305</f>
        <v>20.722193445937499</v>
      </c>
      <c r="H305" s="1374"/>
      <c r="I305" s="1374"/>
      <c r="J305" s="1374"/>
      <c r="K305" s="1374"/>
      <c r="L305" s="1374"/>
    </row>
    <row r="306" spans="1:12">
      <c r="A306" s="1360" t="s">
        <v>198</v>
      </c>
      <c r="B306" s="1365" t="s">
        <v>1074</v>
      </c>
      <c r="C306" s="1355">
        <f>C307+C308+C309+C310</f>
        <v>3.4536989076562499</v>
      </c>
      <c r="D306" s="1356">
        <f>D307+D308+D309+D310</f>
        <v>5.7561648460937498</v>
      </c>
      <c r="E306" s="1356">
        <f>E307+E308+E309+E310</f>
        <v>8.0586307845312497</v>
      </c>
      <c r="F306" s="1356">
        <f>F307+F308+F309+F310</f>
        <v>10.36109672296875</v>
      </c>
      <c r="G306" s="1357">
        <f>G307+G308+G309+G310</f>
        <v>27.629591261249999</v>
      </c>
      <c r="H306" s="1374"/>
      <c r="I306" s="1374"/>
      <c r="J306" s="1374"/>
      <c r="K306" s="1374"/>
      <c r="L306" s="1374"/>
    </row>
    <row r="307" spans="1:12">
      <c r="A307" s="1360" t="s">
        <v>199</v>
      </c>
      <c r="B307" s="1360" t="s">
        <v>1039</v>
      </c>
      <c r="C307" s="1361">
        <f>802.31118*0.95*(12+1-11)/12*0.0725/4</f>
        <v>2.3024659384374999</v>
      </c>
      <c r="D307" s="1362">
        <f>802.31118*0.95*(12+2-11)/12*0.0725/4</f>
        <v>3.4536989076562494</v>
      </c>
      <c r="E307" s="1362">
        <f>802.31118*0.95*(12+3-11)/12*0.0725/4</f>
        <v>4.6049318768749998</v>
      </c>
      <c r="F307" s="1362">
        <f>802.31118*0.95*(12+4-11)/12*0.0725/4</f>
        <v>5.7561648460937489</v>
      </c>
      <c r="G307" s="1363">
        <f>C307+D307+E307+F307</f>
        <v>16.117261569062499</v>
      </c>
      <c r="H307" s="1374"/>
      <c r="I307" s="1374"/>
      <c r="J307" s="1374"/>
      <c r="K307" s="1374"/>
      <c r="L307" s="1374"/>
    </row>
    <row r="308" spans="1:12">
      <c r="A308" s="1360" t="s">
        <v>637</v>
      </c>
      <c r="B308" s="1360" t="s">
        <v>1041</v>
      </c>
      <c r="C308" s="1361">
        <f>802.31118*0.95*(12+1-12)/12*0.0725/4</f>
        <v>1.15123296921875</v>
      </c>
      <c r="D308" s="1362">
        <f>802.31118*0.95*(12+2-12)/12*0.0725/4</f>
        <v>2.3024659384374999</v>
      </c>
      <c r="E308" s="1362">
        <f>802.31118*0.95*(12+3-12)/12*0.0725/4</f>
        <v>3.4536989076562494</v>
      </c>
      <c r="F308" s="1362">
        <f>802.31118*0.95*(12+4-12)/12*0.0725/4</f>
        <v>4.6049318768749998</v>
      </c>
      <c r="G308" s="1363">
        <f>C308+D308+E308+F308</f>
        <v>11.5123296921875</v>
      </c>
      <c r="H308" s="1374"/>
      <c r="I308" s="1374"/>
      <c r="J308" s="1374"/>
      <c r="K308" s="1374"/>
      <c r="L308" s="1374"/>
    </row>
    <row r="309" spans="1:12">
      <c r="A309" s="1360" t="s">
        <v>1050</v>
      </c>
      <c r="B309" s="1360"/>
      <c r="C309" s="1361"/>
      <c r="D309" s="1362"/>
      <c r="E309" s="1362"/>
      <c r="F309" s="1362"/>
      <c r="G309" s="1363">
        <f>C309+D309+E309+F309</f>
        <v>0</v>
      </c>
      <c r="H309" s="1374"/>
      <c r="I309" s="1374"/>
      <c r="J309" s="1374"/>
      <c r="K309" s="1374"/>
      <c r="L309" s="1374"/>
    </row>
    <row r="310" spans="1:12" ht="13.5" thickBot="1">
      <c r="A310" s="1360" t="s">
        <v>1051</v>
      </c>
      <c r="B310" s="1385"/>
      <c r="C310" s="1386"/>
      <c r="D310" s="1387"/>
      <c r="E310" s="1387"/>
      <c r="F310" s="1387"/>
      <c r="G310" s="1388">
        <f>C310+D310+E310+F310</f>
        <v>0</v>
      </c>
      <c r="H310" s="1374"/>
      <c r="I310" s="1374"/>
      <c r="J310" s="1374"/>
      <c r="K310" s="1374"/>
      <c r="L310" s="1374"/>
    </row>
    <row r="311" spans="1:12" ht="13.5" thickBot="1">
      <c r="A311" s="1367" t="s">
        <v>351</v>
      </c>
      <c r="B311" s="1368" t="s">
        <v>201</v>
      </c>
      <c r="C311" s="1369">
        <f>C291+C296+C301+C306</f>
        <v>89.796171599062475</v>
      </c>
      <c r="D311" s="1369">
        <f>D291+D296+D301+D306</f>
        <v>103.61096722968747</v>
      </c>
      <c r="E311" s="1369">
        <f>E291+E296+E301+E306</f>
        <v>117.42576286031247</v>
      </c>
      <c r="F311" s="1369">
        <f>F291+F296+F301+F306</f>
        <v>131.24055849093747</v>
      </c>
      <c r="G311" s="1369">
        <f>G291+G296+G301+G306</f>
        <v>442.07346017999998</v>
      </c>
      <c r="H311" s="1374"/>
      <c r="I311" s="1374">
        <f>G311/1.18</f>
        <v>374.63852557627121</v>
      </c>
      <c r="J311" s="1374">
        <f>G301/1.18</f>
        <v>93.659631394067802</v>
      </c>
      <c r="K311" s="1374">
        <f>G306/1.18</f>
        <v>23.41490784851695</v>
      </c>
      <c r="L311" s="1374"/>
    </row>
    <row r="312" spans="1:12">
      <c r="H312" s="1374"/>
      <c r="I312" s="1374"/>
      <c r="J312" s="1374"/>
      <c r="K312" s="1374"/>
      <c r="L312" s="1374"/>
    </row>
    <row r="313" spans="1:12">
      <c r="H313" s="1374"/>
      <c r="I313" s="1374"/>
      <c r="J313" s="1374"/>
      <c r="K313" s="1374"/>
      <c r="L313" s="1374"/>
    </row>
    <row r="314" spans="1:12" ht="26.25" thickBot="1">
      <c r="B314" s="1341" t="s">
        <v>1086</v>
      </c>
      <c r="C314" s="1342" t="s">
        <v>1087</v>
      </c>
      <c r="D314" s="1342"/>
      <c r="E314" s="1342"/>
      <c r="F314" s="1196" t="s">
        <v>1088</v>
      </c>
      <c r="H314" s="1374"/>
      <c r="I314" s="1374"/>
      <c r="J314" s="1374"/>
      <c r="K314" s="1374"/>
      <c r="L314" s="1374"/>
    </row>
    <row r="315" spans="1:12" ht="27.75" customHeight="1" thickBot="1">
      <c r="A315" s="1343" t="s">
        <v>1018</v>
      </c>
      <c r="B315" s="1344" t="s">
        <v>1019</v>
      </c>
      <c r="C315" s="1345" t="s">
        <v>1020</v>
      </c>
      <c r="D315" s="1346"/>
      <c r="E315" s="1346"/>
      <c r="F315" s="1346"/>
      <c r="G315" s="1347"/>
      <c r="H315" s="1374"/>
      <c r="I315" s="1374"/>
      <c r="J315" s="1374"/>
      <c r="K315" s="1374"/>
      <c r="L315" s="1374"/>
    </row>
    <row r="316" spans="1:12" ht="64.5" thickBot="1">
      <c r="A316" s="1348"/>
      <c r="B316" s="1349"/>
      <c r="C316" s="1350" t="s">
        <v>1021</v>
      </c>
      <c r="D316" s="1351" t="s">
        <v>1022</v>
      </c>
      <c r="E316" s="1351" t="s">
        <v>1023</v>
      </c>
      <c r="F316" s="1351" t="s">
        <v>1024</v>
      </c>
      <c r="G316" s="1313" t="s">
        <v>1025</v>
      </c>
      <c r="H316" s="1374"/>
      <c r="I316" s="1374"/>
      <c r="J316" s="1374"/>
      <c r="K316" s="1374"/>
      <c r="L316" s="1374"/>
    </row>
    <row r="317" spans="1:12">
      <c r="A317" s="1353" t="s">
        <v>14</v>
      </c>
      <c r="B317" s="1365" t="s">
        <v>1089</v>
      </c>
      <c r="C317" s="1355">
        <f>C318+C319+C320+C321</f>
        <v>51.409804746562493</v>
      </c>
      <c r="D317" s="1356">
        <f>D318+D319+D320+D321</f>
        <v>56.305976627187498</v>
      </c>
      <c r="E317" s="1356">
        <f>E318+E319+E320+E321</f>
        <v>61.202148507812495</v>
      </c>
      <c r="F317" s="1356">
        <f>F318+F319+F320+F321</f>
        <v>66.098320388437486</v>
      </c>
      <c r="G317" s="1357">
        <f>G318+G319+G320+G321</f>
        <v>235.01625027</v>
      </c>
      <c r="H317" s="1374"/>
      <c r="I317" s="1374"/>
      <c r="J317" s="1374"/>
      <c r="K317" s="1374"/>
      <c r="L317" s="1374"/>
    </row>
    <row r="318" spans="1:12">
      <c r="A318" s="1359" t="s">
        <v>381</v>
      </c>
      <c r="B318" s="1360" t="s">
        <v>1027</v>
      </c>
      <c r="C318" s="1361">
        <f>853.05354*0.95*(12+1-1)/12*0.0725/4</f>
        <v>14.688515641874998</v>
      </c>
      <c r="D318" s="1362">
        <f>853.05354*0.95*(12+2-1)/12*0.0725/4</f>
        <v>15.912558612031248</v>
      </c>
      <c r="E318" s="1362">
        <f>853.05354*0.95*(12+3-1)/12*0.0725/4</f>
        <v>17.136601582187499</v>
      </c>
      <c r="F318" s="1362">
        <f>853.05354*0.95*(12+4-1)/12*0.0725/4</f>
        <v>18.360644552343746</v>
      </c>
      <c r="G318" s="1363">
        <f>C318+D318+E318+F318</f>
        <v>66.098320388437486</v>
      </c>
      <c r="H318" s="1374"/>
      <c r="I318" s="1374"/>
      <c r="J318" s="1374"/>
      <c r="K318" s="1374"/>
      <c r="L318" s="1374"/>
    </row>
    <row r="319" spans="1:12">
      <c r="A319" s="1360" t="s">
        <v>393</v>
      </c>
      <c r="B319" s="1360" t="s">
        <v>1028</v>
      </c>
      <c r="C319" s="1361">
        <f>853.05354*0.95*(12+1-2)/12*0.0725/4</f>
        <v>13.464472671718749</v>
      </c>
      <c r="D319" s="1362">
        <f>853.05354*0.95*(12+2-2)/12*0.0725/4</f>
        <v>14.688515641874998</v>
      </c>
      <c r="E319" s="1362">
        <f>853.05354*0.95*(12+3-2)/12*0.0725/4</f>
        <v>15.912558612031248</v>
      </c>
      <c r="F319" s="1362">
        <f>853.05354*0.95*(12+4-2)/12*0.0725/4</f>
        <v>17.136601582187499</v>
      </c>
      <c r="G319" s="1363">
        <f>C319+D319+E319+F319</f>
        <v>61.202148507812495</v>
      </c>
      <c r="H319" s="1374"/>
      <c r="I319" s="1374"/>
      <c r="J319" s="1374"/>
      <c r="K319" s="1374"/>
      <c r="L319" s="1374"/>
    </row>
    <row r="320" spans="1:12">
      <c r="A320" s="1360" t="s">
        <v>21</v>
      </c>
      <c r="B320" s="1360" t="s">
        <v>1029</v>
      </c>
      <c r="C320" s="1361">
        <f>853.05354*0.95*(12+1-3)/12*0.0725/4</f>
        <v>12.240429701562499</v>
      </c>
      <c r="D320" s="1362">
        <f>853.05354*0.95*(12+2-3)/12*0.0725/4</f>
        <v>13.464472671718749</v>
      </c>
      <c r="E320" s="1362">
        <f>853.05354*0.95*(12+3-3)/12*0.0725/4</f>
        <v>14.688515641874998</v>
      </c>
      <c r="F320" s="1362">
        <f>853.05354*0.95*(12+4-3)/12*0.0725/4</f>
        <v>15.912558612031248</v>
      </c>
      <c r="G320" s="1363">
        <f>C320+D320+E320+F320</f>
        <v>56.305976627187498</v>
      </c>
      <c r="H320" s="1374"/>
      <c r="I320" s="1374"/>
      <c r="J320" s="1374"/>
      <c r="K320" s="1374"/>
      <c r="L320" s="1374"/>
    </row>
    <row r="321" spans="1:12">
      <c r="A321" s="1360" t="s">
        <v>23</v>
      </c>
      <c r="B321" s="1360" t="s">
        <v>1030</v>
      </c>
      <c r="C321" s="1361">
        <f>853.05354*0.95*(12+1-4)/12*0.0725/4</f>
        <v>11.01638673140625</v>
      </c>
      <c r="D321" s="1362">
        <f>853.05354*0.95*(12+2-4)/12*0.0725/4</f>
        <v>12.240429701562499</v>
      </c>
      <c r="E321" s="1362">
        <f>853.05354*0.95*(12+3-4)/12*0.0725/4</f>
        <v>13.464472671718749</v>
      </c>
      <c r="F321" s="1362">
        <f>853.05354*0.95*(12+4-4)/12*0.0725/4</f>
        <v>14.688515641874998</v>
      </c>
      <c r="G321" s="1363">
        <f>C321+D321+E321+F321</f>
        <v>51.4098047465625</v>
      </c>
      <c r="H321" s="1374"/>
      <c r="I321" s="1374"/>
      <c r="J321" s="1374"/>
      <c r="K321" s="1374"/>
      <c r="L321" s="1374"/>
    </row>
    <row r="322" spans="1:12">
      <c r="A322" s="1360" t="s">
        <v>135</v>
      </c>
      <c r="B322" s="1365" t="s">
        <v>1090</v>
      </c>
      <c r="C322" s="1355">
        <f>C323+C324+C325+C326</f>
        <v>31.825117224062499</v>
      </c>
      <c r="D322" s="1356">
        <f>D323+D324+D325+D326</f>
        <v>36.7212891046875</v>
      </c>
      <c r="E322" s="1356">
        <f>E323+E324+E325+E326</f>
        <v>41.617460985312491</v>
      </c>
      <c r="F322" s="1356">
        <f>F323+F324+F325+F326</f>
        <v>46.513632865937495</v>
      </c>
      <c r="G322" s="1357">
        <f>G323+G324+G325+G326</f>
        <v>156.67750018000001</v>
      </c>
      <c r="H322" s="1374"/>
      <c r="I322" s="1374"/>
      <c r="J322" s="1374"/>
      <c r="K322" s="1374"/>
      <c r="L322" s="1374"/>
    </row>
    <row r="323" spans="1:12">
      <c r="A323" s="1360" t="s">
        <v>167</v>
      </c>
      <c r="B323" s="1360" t="s">
        <v>1032</v>
      </c>
      <c r="C323" s="1361">
        <f>853.05354*0.95*(12+1-5)/12*0.0725/4</f>
        <v>9.7923437612499988</v>
      </c>
      <c r="D323" s="1362">
        <f>853.05354*0.95*(12+2-5)/12*0.0725/4</f>
        <v>11.01638673140625</v>
      </c>
      <c r="E323" s="1362">
        <f>853.05354*0.95*(12+3-5)/12*0.0725/4</f>
        <v>12.240429701562499</v>
      </c>
      <c r="F323" s="1362">
        <f>853.05354*0.95*(12+4-5)/12*0.0725/4</f>
        <v>13.464472671718749</v>
      </c>
      <c r="G323" s="1363">
        <f>C323+D323+E323+F323</f>
        <v>46.513632865937495</v>
      </c>
      <c r="H323" s="1374"/>
      <c r="I323" s="1374"/>
      <c r="J323" s="1374"/>
      <c r="K323" s="1374"/>
      <c r="L323" s="1374"/>
    </row>
    <row r="324" spans="1:12">
      <c r="A324" s="1360" t="s">
        <v>173</v>
      </c>
      <c r="B324" s="1360" t="s">
        <v>1033</v>
      </c>
      <c r="C324" s="1361">
        <f>853.05354*0.95*(12+1-6)/12*0.0725/4</f>
        <v>8.5683007910937494</v>
      </c>
      <c r="D324" s="1362">
        <f>853.05354*0.95*(12+2-6)/12*0.0725/4</f>
        <v>9.7923437612499988</v>
      </c>
      <c r="E324" s="1362">
        <f>853.05354*0.95*(12+3-6)/12*0.0725/4</f>
        <v>11.01638673140625</v>
      </c>
      <c r="F324" s="1362">
        <f>853.05354*0.95*(12+4-6)/12*0.0725/4</f>
        <v>12.240429701562499</v>
      </c>
      <c r="G324" s="1363">
        <f>C324+D324+E324+F324</f>
        <v>41.617460985312498</v>
      </c>
      <c r="H324" s="1374"/>
      <c r="I324" s="1374"/>
      <c r="J324" s="1374"/>
      <c r="K324" s="1374"/>
      <c r="L324" s="1374"/>
    </row>
    <row r="325" spans="1:12">
      <c r="A325" s="1360" t="s">
        <v>180</v>
      </c>
      <c r="B325" s="1360" t="s">
        <v>1034</v>
      </c>
      <c r="C325" s="1361">
        <f>853.05354*0.95*(12+1-7)/12*0.0725/4</f>
        <v>7.3442578209374991</v>
      </c>
      <c r="D325" s="1362">
        <f>853.05354*0.95*(12+2-7)/12*0.0725/4</f>
        <v>8.5683007910937494</v>
      </c>
      <c r="E325" s="1362">
        <f>853.05354*0.95*(12+3-7)/12*0.0725/4</f>
        <v>9.7923437612499988</v>
      </c>
      <c r="F325" s="1362">
        <f>853.05354*0.95*(12+4-7)/12*0.0725/4</f>
        <v>11.01638673140625</v>
      </c>
      <c r="G325" s="1363">
        <f>C325+D325+E325+F325</f>
        <v>36.7212891046875</v>
      </c>
      <c r="H325" s="1374"/>
      <c r="I325" s="1374"/>
      <c r="J325" s="1374"/>
      <c r="K325" s="1374"/>
      <c r="L325" s="1374"/>
    </row>
    <row r="326" spans="1:12">
      <c r="A326" s="1360" t="s">
        <v>182</v>
      </c>
      <c r="B326" s="1360" t="s">
        <v>1035</v>
      </c>
      <c r="C326" s="1361">
        <f>853.05354*0.95*(12+1-8)/12*0.0725/4</f>
        <v>6.1202148507812497</v>
      </c>
      <c r="D326" s="1362">
        <f>853.05354*0.95*(12+2-8)/12*0.0725/4</f>
        <v>7.3442578209374991</v>
      </c>
      <c r="E326" s="1362">
        <f>853.05354*0.95*(12+3-8)/12*0.0725/4</f>
        <v>8.5683007910937494</v>
      </c>
      <c r="F326" s="1362">
        <f>853.05354*0.95*(12+4-8)/12*0.0725/4</f>
        <v>9.7923437612499988</v>
      </c>
      <c r="G326" s="1363">
        <f>C326+D326+E326+F326</f>
        <v>31.825117224062499</v>
      </c>
      <c r="H326" s="1374"/>
      <c r="I326" s="1374"/>
      <c r="J326" s="1374"/>
      <c r="K326" s="1374"/>
      <c r="L326" s="1374"/>
    </row>
    <row r="327" spans="1:12">
      <c r="A327" s="1360" t="s">
        <v>191</v>
      </c>
      <c r="B327" s="1365" t="s">
        <v>1091</v>
      </c>
      <c r="C327" s="1355">
        <f>C328+C329+C330+C331</f>
        <v>12.240429701562499</v>
      </c>
      <c r="D327" s="1356">
        <f>D328+D329+D330+D331</f>
        <v>17.136601582187499</v>
      </c>
      <c r="E327" s="1356">
        <f>E328+E329+E330+E331</f>
        <v>22.0327734628125</v>
      </c>
      <c r="F327" s="1356">
        <f>F328+F329+F330+F331</f>
        <v>26.928945343437498</v>
      </c>
      <c r="G327" s="1357">
        <f>G328+G329+G330+G331</f>
        <v>78.338750089999991</v>
      </c>
      <c r="H327" s="1374"/>
      <c r="I327" s="1374"/>
      <c r="J327" s="1374"/>
      <c r="K327" s="1374"/>
      <c r="L327" s="1374"/>
    </row>
    <row r="328" spans="1:12">
      <c r="A328" s="1360" t="s">
        <v>192</v>
      </c>
      <c r="B328" s="1360" t="s">
        <v>1037</v>
      </c>
      <c r="C328" s="1361">
        <f>853.05354*0.95*(12+1-9)/12*0.0725/4</f>
        <v>4.8961718806249994</v>
      </c>
      <c r="D328" s="1362">
        <f>853.05354*0.95*(12+2-9)/12*0.0725/4</f>
        <v>6.1202148507812497</v>
      </c>
      <c r="E328" s="1362">
        <f>853.05354*0.95*(12+3-9)/12*0.0725/4</f>
        <v>7.3442578209374991</v>
      </c>
      <c r="F328" s="1362">
        <f>853.05354*0.95*(12+4-9)/12*0.0725/4</f>
        <v>8.5683007910937494</v>
      </c>
      <c r="G328" s="1363">
        <f>C328+D328+E328+F328</f>
        <v>26.928945343437498</v>
      </c>
      <c r="H328" s="1374"/>
      <c r="I328" s="1374"/>
      <c r="J328" s="1374"/>
      <c r="K328" s="1374"/>
      <c r="L328" s="1374"/>
    </row>
    <row r="329" spans="1:12">
      <c r="A329" s="1360" t="s">
        <v>195</v>
      </c>
      <c r="B329" s="1360" t="s">
        <v>1038</v>
      </c>
      <c r="C329" s="1361">
        <f>853.05354*0.95*(12+1-10)/12*0.0725/4</f>
        <v>3.6721289104687496</v>
      </c>
      <c r="D329" s="1362">
        <f>853.05354*0.95*(12+2-10)/12*0.0725/4</f>
        <v>4.8961718806249994</v>
      </c>
      <c r="E329" s="1362">
        <f>853.05354*0.95*(12+3-10)/12*0.0725/4</f>
        <v>6.1202148507812497</v>
      </c>
      <c r="F329" s="1362">
        <f>853.05354*0.95*(12+4-10)/12*0.0725/4</f>
        <v>7.3442578209374991</v>
      </c>
      <c r="G329" s="1363">
        <f>C329+D329+E329+F329</f>
        <v>22.0327734628125</v>
      </c>
      <c r="H329" s="1374"/>
      <c r="I329" s="1374"/>
      <c r="J329" s="1374"/>
      <c r="K329" s="1374"/>
      <c r="L329" s="1374"/>
    </row>
    <row r="330" spans="1:12">
      <c r="A330" s="1360" t="s">
        <v>631</v>
      </c>
      <c r="B330" s="1360" t="s">
        <v>1039</v>
      </c>
      <c r="C330" s="1361">
        <f>853.05354*0.95*(12+1-11)/12*0.0725/4</f>
        <v>2.4480859403124997</v>
      </c>
      <c r="D330" s="1362">
        <f>853.05354*0.95*(12+2-11)/12*0.0725/4</f>
        <v>3.6721289104687496</v>
      </c>
      <c r="E330" s="1362">
        <f>853.05354*0.95*(12+3-11)/12*0.0725/4</f>
        <v>4.8961718806249994</v>
      </c>
      <c r="F330" s="1362">
        <f>853.05354*0.95*(12+4-11)/12*0.0725/4</f>
        <v>6.1202148507812497</v>
      </c>
      <c r="G330" s="1363">
        <f>C330+D330+E330+F330</f>
        <v>17.136601582187499</v>
      </c>
      <c r="H330" s="1374"/>
      <c r="I330" s="1374"/>
      <c r="J330" s="1374"/>
      <c r="K330" s="1374"/>
      <c r="L330" s="1374"/>
    </row>
    <row r="331" spans="1:12" ht="13.5" thickBot="1">
      <c r="A331" s="1360" t="s">
        <v>1040</v>
      </c>
      <c r="B331" s="1360" t="s">
        <v>1041</v>
      </c>
      <c r="C331" s="1361">
        <f>853.05354*0.95*(12+1-12)/12*0.0725/4</f>
        <v>1.2240429701562499</v>
      </c>
      <c r="D331" s="1362">
        <f>853.05354*0.95*(12+2-12)/12*0.0725/4</f>
        <v>2.4480859403124997</v>
      </c>
      <c r="E331" s="1362">
        <f>853.05354*0.95*(12+3-12)/12*0.0725/4</f>
        <v>3.6721289104687496</v>
      </c>
      <c r="F331" s="1362">
        <f>853.05354*0.95*(12+4-12)/12*0.0725/4</f>
        <v>4.8961718806249994</v>
      </c>
      <c r="G331" s="1363">
        <f>C331+D331+E331+F331</f>
        <v>12.240429701562498</v>
      </c>
      <c r="H331" s="1374"/>
      <c r="I331" s="1374"/>
      <c r="J331" s="1374"/>
      <c r="K331" s="1374"/>
      <c r="L331" s="1374"/>
    </row>
    <row r="332" spans="1:12" ht="13.5" thickBot="1">
      <c r="A332" s="1367" t="s">
        <v>198</v>
      </c>
      <c r="B332" s="1368" t="s">
        <v>201</v>
      </c>
      <c r="C332" s="1369">
        <f>C317+C322+C327</f>
        <v>95.4753516721875</v>
      </c>
      <c r="D332" s="1369">
        <f>D317+D322+D327</f>
        <v>110.16386731406249</v>
      </c>
      <c r="E332" s="1369">
        <f>E317+E322+E327</f>
        <v>124.85238295593749</v>
      </c>
      <c r="F332" s="1369">
        <f>F317+F322+F327</f>
        <v>139.54089859781249</v>
      </c>
      <c r="G332" s="1369">
        <f>G317+G322+G327</f>
        <v>470.03250054</v>
      </c>
      <c r="H332" s="1374"/>
      <c r="I332" s="1374">
        <f>G332/1.18</f>
        <v>398.33262757627119</v>
      </c>
      <c r="J332" s="1374">
        <f>G322/1.18</f>
        <v>132.77754252542374</v>
      </c>
      <c r="K332" s="1374">
        <f>G327/1.18</f>
        <v>66.388771262711856</v>
      </c>
      <c r="L332" s="1374"/>
    </row>
    <row r="333" spans="1:12">
      <c r="H333" s="1374"/>
      <c r="I333" s="1374"/>
      <c r="J333" s="1374"/>
      <c r="K333" s="1374"/>
      <c r="L333" s="1374"/>
    </row>
    <row r="334" spans="1:12">
      <c r="H334" s="1374"/>
      <c r="I334" s="1374"/>
      <c r="J334" s="1374"/>
      <c r="K334" s="1374"/>
      <c r="L334" s="1374"/>
    </row>
    <row r="335" spans="1:12" ht="26.25" thickBot="1">
      <c r="B335" s="1341" t="s">
        <v>1092</v>
      </c>
      <c r="C335" s="1342" t="s">
        <v>1093</v>
      </c>
      <c r="D335" s="1342"/>
      <c r="E335" s="1342"/>
      <c r="F335" s="1196" t="s">
        <v>1094</v>
      </c>
      <c r="H335" s="1374"/>
      <c r="I335" s="1374"/>
      <c r="J335" s="1374"/>
      <c r="K335" s="1374"/>
      <c r="L335" s="1374"/>
    </row>
    <row r="336" spans="1:12" ht="30" customHeight="1" thickBot="1">
      <c r="A336" s="1343" t="s">
        <v>1018</v>
      </c>
      <c r="B336" s="1344" t="s">
        <v>1019</v>
      </c>
      <c r="C336" s="1345" t="s">
        <v>1020</v>
      </c>
      <c r="D336" s="1346"/>
      <c r="E336" s="1346"/>
      <c r="F336" s="1346"/>
      <c r="G336" s="1347"/>
      <c r="H336" s="1374"/>
      <c r="I336" s="1374"/>
      <c r="J336" s="1374"/>
      <c r="K336" s="1374"/>
      <c r="L336" s="1374"/>
    </row>
    <row r="337" spans="1:14" ht="64.5" thickBot="1">
      <c r="A337" s="1348"/>
      <c r="B337" s="1349"/>
      <c r="C337" s="1350" t="s">
        <v>1021</v>
      </c>
      <c r="D337" s="1351" t="s">
        <v>1022</v>
      </c>
      <c r="E337" s="1351" t="s">
        <v>1023</v>
      </c>
      <c r="F337" s="1351" t="s">
        <v>1024</v>
      </c>
      <c r="G337" s="1313" t="s">
        <v>1025</v>
      </c>
      <c r="H337" s="1374"/>
      <c r="I337" s="1374"/>
      <c r="J337" s="1374"/>
      <c r="K337" s="1374"/>
      <c r="L337" s="1374"/>
    </row>
    <row r="338" spans="1:14">
      <c r="A338" s="1353" t="s">
        <v>14</v>
      </c>
      <c r="B338" s="1365" t="s">
        <v>1089</v>
      </c>
      <c r="C338" s="1355">
        <f>C340+C341+C342</f>
        <v>1.3188863849218748</v>
      </c>
      <c r="D338" s="1355">
        <f>D340+D341+D342</f>
        <v>1.4387851471874997</v>
      </c>
      <c r="E338" s="1355">
        <f>E340+E341+E342</f>
        <v>1.5586839094531251</v>
      </c>
      <c r="F338" s="1355">
        <f>F340+F341+F342</f>
        <v>1.6785826717187495</v>
      </c>
      <c r="G338" s="1357">
        <f>G340+G341+G342</f>
        <v>5.9949381132812487</v>
      </c>
      <c r="H338" s="1374"/>
      <c r="I338" s="1374"/>
    </row>
    <row r="339" spans="1:14">
      <c r="A339" s="1360" t="s">
        <v>381</v>
      </c>
      <c r="B339" s="1365"/>
      <c r="C339" s="1361"/>
      <c r="D339" s="1362"/>
      <c r="E339" s="1362"/>
      <c r="F339" s="1362"/>
      <c r="G339" s="1363"/>
      <c r="H339" s="1374"/>
      <c r="I339" s="1374"/>
    </row>
    <row r="340" spans="1:14">
      <c r="A340" s="1360" t="s">
        <v>393</v>
      </c>
      <c r="B340" s="1360" t="s">
        <v>1027</v>
      </c>
      <c r="C340" s="1361">
        <f>27.85307*0.95*(12+1-1)/12*0.0725/4</f>
        <v>0.47959504906249995</v>
      </c>
      <c r="D340" s="1362">
        <f>27.85307*0.95*(12+2-1)/12*0.0725/4</f>
        <v>0.51956130315104165</v>
      </c>
      <c r="E340" s="1362">
        <f>27.85307*0.95*(12+3-1)/12*0.0725/4</f>
        <v>0.55952755723958325</v>
      </c>
      <c r="F340" s="1362">
        <f>27.85307*0.95*(12+4-1)/12*0.0725/4</f>
        <v>0.59949381132812485</v>
      </c>
      <c r="G340" s="1363">
        <f>C340+D340+E340+F340</f>
        <v>2.1581777207812496</v>
      </c>
      <c r="H340" s="1374"/>
      <c r="I340" s="1374"/>
    </row>
    <row r="341" spans="1:14">
      <c r="A341" s="1360" t="s">
        <v>21</v>
      </c>
      <c r="B341" s="1360" t="s">
        <v>1028</v>
      </c>
      <c r="C341" s="1361">
        <f>27.85307*0.95*(12+1-2)/12*0.0725/4</f>
        <v>0.43962879497395824</v>
      </c>
      <c r="D341" s="1362">
        <f>27.85307*0.95*(12+2-2)/12*0.0725/4</f>
        <v>0.47959504906249995</v>
      </c>
      <c r="E341" s="1362">
        <f>27.85307*0.95*(12+3-2)/12*0.0725/4</f>
        <v>0.51956130315104165</v>
      </c>
      <c r="F341" s="1362">
        <f>27.85307*0.95*(12+4-2)/12*0.0725/4</f>
        <v>0.55952755723958325</v>
      </c>
      <c r="G341" s="1363">
        <f>C341+D341+E341+F341</f>
        <v>1.998312704427083</v>
      </c>
      <c r="H341" s="1374"/>
      <c r="I341" s="1374"/>
    </row>
    <row r="342" spans="1:14">
      <c r="A342" s="1360" t="s">
        <v>23</v>
      </c>
      <c r="B342" s="1360" t="s">
        <v>1029</v>
      </c>
      <c r="C342" s="1361">
        <f>27.85307*0.95*(12+1-3)/12*0.0725/4</f>
        <v>0.39966254088541658</v>
      </c>
      <c r="D342" s="1362">
        <f>27.85307*0.95*(12+2-3)/12*0.0725/4</f>
        <v>0.43962879497395824</v>
      </c>
      <c r="E342" s="1362">
        <f>27.85307*0.95*(12+3-3)/12*0.0725/4</f>
        <v>0.47959504906249995</v>
      </c>
      <c r="F342" s="1362">
        <f>27.85307*0.95*(12+4-3)/12*0.0725/4</f>
        <v>0.51956130315104165</v>
      </c>
      <c r="G342" s="1363">
        <f>C342+D342+E342+F342</f>
        <v>1.8384476880729164</v>
      </c>
      <c r="H342" s="1374"/>
      <c r="I342" s="1374"/>
    </row>
    <row r="343" spans="1:14">
      <c r="A343" s="1360" t="s">
        <v>135</v>
      </c>
      <c r="B343" s="1365" t="s">
        <v>1090</v>
      </c>
      <c r="C343" s="1355">
        <f>C342+C344+C345+C346</f>
        <v>1.3588526390104163</v>
      </c>
      <c r="D343" s="1356">
        <f>D342+D344+D345+D346</f>
        <v>1.5187176553645829</v>
      </c>
      <c r="E343" s="1356">
        <f>E342+E344+E345+E346</f>
        <v>1.6785826717187498</v>
      </c>
      <c r="F343" s="1356">
        <f>F342+F344+F345+F346</f>
        <v>1.8384476880729164</v>
      </c>
      <c r="G343" s="1357">
        <f>G342+G344+G345+G346</f>
        <v>6.3946006541666662</v>
      </c>
      <c r="H343" s="1374"/>
      <c r="I343" s="1374"/>
    </row>
    <row r="344" spans="1:14">
      <c r="A344" s="1360" t="s">
        <v>167</v>
      </c>
      <c r="B344" s="1360" t="s">
        <v>1030</v>
      </c>
      <c r="C344" s="1361">
        <f>27.85307*0.95*(12+1-4)/12*0.0725/4</f>
        <v>0.35969628679687493</v>
      </c>
      <c r="D344" s="1362">
        <f>27.85307*0.95*(12+2-4)/12*0.0725/4</f>
        <v>0.39966254088541658</v>
      </c>
      <c r="E344" s="1362">
        <f>27.85307*0.95*(12+3-4)/12*0.0725/4</f>
        <v>0.43962879497395824</v>
      </c>
      <c r="F344" s="1362">
        <f>27.85307*0.95*(12+4-4)/12*0.0725/4</f>
        <v>0.47959504906249995</v>
      </c>
      <c r="G344" s="1363">
        <f>C344+D344+E344+F344</f>
        <v>1.67858267171875</v>
      </c>
      <c r="H344" s="1374"/>
      <c r="I344" s="1374"/>
    </row>
    <row r="345" spans="1:14">
      <c r="A345" s="1360" t="s">
        <v>173</v>
      </c>
      <c r="B345" s="1360" t="s">
        <v>1032</v>
      </c>
      <c r="C345" s="1361">
        <f>27.85307*0.95*(12+1-5)/12*0.0725/4</f>
        <v>0.31973003270833328</v>
      </c>
      <c r="D345" s="1362">
        <f>27.85307*0.95*(12+2-5)/12*0.0725/4</f>
        <v>0.35969628679687493</v>
      </c>
      <c r="E345" s="1362">
        <f>27.85307*0.95*(12+3-5)/12*0.0725/4</f>
        <v>0.39966254088541658</v>
      </c>
      <c r="F345" s="1362">
        <f>27.85307*0.95*(12+4-5)/12*0.0725/4</f>
        <v>0.43962879497395824</v>
      </c>
      <c r="G345" s="1363">
        <f>C345+D345+E345+F345</f>
        <v>1.5187176553645831</v>
      </c>
      <c r="H345" s="1374"/>
      <c r="I345" s="1374"/>
    </row>
    <row r="346" spans="1:14">
      <c r="A346" s="1360" t="s">
        <v>180</v>
      </c>
      <c r="B346" s="1360" t="s">
        <v>1033</v>
      </c>
      <c r="C346" s="1361">
        <f>27.85307*0.95*(12+1-6)/12*0.0725/4</f>
        <v>0.27976377861979163</v>
      </c>
      <c r="D346" s="1362">
        <f>27.85307*0.95*(12+2-6)/12*0.0725/4</f>
        <v>0.31973003270833328</v>
      </c>
      <c r="E346" s="1362">
        <f>27.85307*0.95*(12+3-6)/12*0.0725/4</f>
        <v>0.35969628679687493</v>
      </c>
      <c r="F346" s="1362">
        <f>27.85307*0.95*(12+4-6)/12*0.0725/4</f>
        <v>0.39966254088541658</v>
      </c>
      <c r="G346" s="1363">
        <f>C346+D346+E346+F346</f>
        <v>1.3588526390104165</v>
      </c>
      <c r="H346" s="1374"/>
      <c r="I346" s="1374"/>
    </row>
    <row r="347" spans="1:14">
      <c r="A347" s="1360" t="s">
        <v>182</v>
      </c>
      <c r="B347" s="1360" t="s">
        <v>1034</v>
      </c>
      <c r="C347" s="1361">
        <f>27.85307*0.95*(12+1-7)/12*0.0725/4</f>
        <v>0.23979752453124997</v>
      </c>
      <c r="D347" s="1362">
        <f>27.85307*0.95*(12+2-7)/12*0.0725/4</f>
        <v>0.27976377861979163</v>
      </c>
      <c r="E347" s="1362">
        <f>27.85307*0.95*(12+3-7)/12*0.0725/4</f>
        <v>0.31973003270833328</v>
      </c>
      <c r="F347" s="1362">
        <f>27.85307*0.95*(12+4-7)/12*0.0725/4</f>
        <v>0.35969628679687493</v>
      </c>
      <c r="G347" s="1363">
        <f>C347+D347+E347+F347</f>
        <v>1.1989876226562497</v>
      </c>
      <c r="H347" s="1374"/>
      <c r="I347" s="1374"/>
    </row>
    <row r="348" spans="1:14">
      <c r="A348" s="1360" t="s">
        <v>191</v>
      </c>
      <c r="B348" s="1365" t="s">
        <v>1091</v>
      </c>
      <c r="C348" s="1355">
        <f>C349+C350+C351+C352</f>
        <v>0.55952755723958325</v>
      </c>
      <c r="D348" s="1355">
        <f>D349+D350+D351+D352</f>
        <v>0.71939257359374986</v>
      </c>
      <c r="E348" s="1355">
        <f>E349+E350+E351+E352</f>
        <v>0.87925758994791647</v>
      </c>
      <c r="F348" s="1355">
        <f>F349+F350+F351+F352</f>
        <v>1.0391226063020833</v>
      </c>
      <c r="G348" s="1357">
        <f>G347+G349+G350+G351</f>
        <v>3.8367603924999996</v>
      </c>
      <c r="H348" s="1374"/>
      <c r="I348" s="1374"/>
    </row>
    <row r="349" spans="1:14">
      <c r="A349" s="1360" t="s">
        <v>192</v>
      </c>
      <c r="B349" s="1360" t="s">
        <v>1035</v>
      </c>
      <c r="C349" s="1361">
        <f>27.85307*0.95*(12+1-8)/12*0.0725/4</f>
        <v>0.19983127044270829</v>
      </c>
      <c r="D349" s="1362">
        <f>27.85307*0.95*(12+2-8)/12*0.0725/4</f>
        <v>0.23979752453124997</v>
      </c>
      <c r="E349" s="1362">
        <f>27.85307*0.95*(12+3-8)/12*0.0725/4</f>
        <v>0.27976377861979163</v>
      </c>
      <c r="F349" s="1362">
        <f>27.85307*0.95*(12+4-8)/12*0.0725/4</f>
        <v>0.31973003270833328</v>
      </c>
      <c r="G349" s="1363">
        <f>C349+D349+E349+F349</f>
        <v>1.0391226063020831</v>
      </c>
      <c r="H349" s="1374"/>
      <c r="I349" s="1374"/>
    </row>
    <row r="350" spans="1:14">
      <c r="A350" s="1360" t="s">
        <v>195</v>
      </c>
      <c r="B350" s="1360" t="s">
        <v>1037</v>
      </c>
      <c r="C350" s="1361">
        <f>27.85307*0.95*(12+1-9)/12*0.0725/4</f>
        <v>0.15986501635416664</v>
      </c>
      <c r="D350" s="1362">
        <f>27.85307*0.95*(12+2-9)/12*0.0725/4</f>
        <v>0.19983127044270829</v>
      </c>
      <c r="E350" s="1362">
        <f>27.85307*0.95*(12+3-9)/12*0.0725/4</f>
        <v>0.23979752453124997</v>
      </c>
      <c r="F350" s="1362">
        <f>27.85307*0.95*(12+4-9)/12*0.0725/4</f>
        <v>0.27976377861979163</v>
      </c>
      <c r="G350" s="1363">
        <f>C350+D350+E350+F350</f>
        <v>0.87925758994791658</v>
      </c>
      <c r="H350" s="1374"/>
      <c r="I350" s="1374"/>
    </row>
    <row r="351" spans="1:14">
      <c r="A351" s="1360" t="s">
        <v>631</v>
      </c>
      <c r="B351" s="1360" t="s">
        <v>1038</v>
      </c>
      <c r="C351" s="1361">
        <f>27.85307*0.95*(12+1-10)/12*0.0725/4</f>
        <v>0.11989876226562499</v>
      </c>
      <c r="D351" s="1362">
        <f>27.85307*0.95*(12+2-10)/12*0.0725/4</f>
        <v>0.15986501635416664</v>
      </c>
      <c r="E351" s="1362">
        <f>27.85307*0.95*(12+3-10)/12*0.0725/4</f>
        <v>0.19983127044270829</v>
      </c>
      <c r="F351" s="1362">
        <f>27.85307*0.95*(12+4-10)/12*0.0725/4</f>
        <v>0.23979752453124997</v>
      </c>
      <c r="G351" s="1363">
        <f>C351+D351+E351+F351</f>
        <v>0.71939257359374986</v>
      </c>
      <c r="H351" s="1374"/>
      <c r="I351" s="1374"/>
    </row>
    <row r="352" spans="1:14">
      <c r="A352" s="1360" t="s">
        <v>1040</v>
      </c>
      <c r="B352" s="1360" t="s">
        <v>1039</v>
      </c>
      <c r="C352" s="1361">
        <f>27.85307*0.95*(12+1-11)/12*0.0725/4</f>
        <v>7.993250817708332E-2</v>
      </c>
      <c r="D352" s="1362">
        <f>27.85307*0.95*(12+2-11)/12*0.0725/4</f>
        <v>0.11989876226562499</v>
      </c>
      <c r="E352" s="1362">
        <f>27.85307*0.95*(12+3-11)/12*0.0725/4</f>
        <v>0.15986501635416664</v>
      </c>
      <c r="F352" s="1362">
        <f>27.85307*0.95*(12+4-11)/12*0.0725/4</f>
        <v>0.19983127044270829</v>
      </c>
      <c r="G352" s="1363">
        <f>C352+D352+E352+F352</f>
        <v>0.55952755723958325</v>
      </c>
      <c r="H352" s="1374"/>
      <c r="I352" s="1374"/>
      <c r="J352" s="1374"/>
      <c r="K352" s="1374"/>
      <c r="L352" s="1374"/>
      <c r="M352" s="1374"/>
      <c r="N352" s="1374"/>
    </row>
    <row r="353" spans="1:14">
      <c r="A353" s="1360" t="s">
        <v>198</v>
      </c>
      <c r="B353" s="1365" t="s">
        <v>1095</v>
      </c>
      <c r="C353" s="1355">
        <f>C354+C355+C356+C357</f>
        <v>3.996625408854166E-2</v>
      </c>
      <c r="D353" s="1356">
        <f>D354+D355+D356+D357</f>
        <v>7.993250817708332E-2</v>
      </c>
      <c r="E353" s="1356">
        <f>E354+E355+E356+E357</f>
        <v>0.11989876226562499</v>
      </c>
      <c r="F353" s="1356">
        <f>F354+F355+F356+F357</f>
        <v>0.15986501635416664</v>
      </c>
      <c r="G353" s="1357">
        <f>G354+G355+G356+G357</f>
        <v>0.39966254088541664</v>
      </c>
      <c r="H353" s="1374"/>
      <c r="I353" s="1374"/>
      <c r="J353" s="1374"/>
      <c r="K353" s="1374"/>
      <c r="L353" s="1374"/>
      <c r="M353" s="1374"/>
      <c r="N353" s="1374"/>
    </row>
    <row r="354" spans="1:14">
      <c r="A354" s="1360" t="s">
        <v>199</v>
      </c>
      <c r="B354" s="1360" t="s">
        <v>1041</v>
      </c>
      <c r="C354" s="1361">
        <f>27.85307*0.95*(12+1-12)/12*0.0725/4</f>
        <v>3.996625408854166E-2</v>
      </c>
      <c r="D354" s="1362">
        <f>27.85307*0.95*(12+2-12)/12*0.0725/4</f>
        <v>7.993250817708332E-2</v>
      </c>
      <c r="E354" s="1362">
        <f>27.85307*0.95*(12+3-12)/12*0.0725/4</f>
        <v>0.11989876226562499</v>
      </c>
      <c r="F354" s="1362">
        <f>27.85307*0.95*(12+4-12)/12*0.0725/4</f>
        <v>0.15986501635416664</v>
      </c>
      <c r="G354" s="1363">
        <f>C354+D354+E354+F354</f>
        <v>0.39966254088541664</v>
      </c>
      <c r="H354" s="1374"/>
      <c r="I354" s="1374"/>
      <c r="J354" s="1374"/>
      <c r="K354" s="1374"/>
      <c r="L354" s="1374"/>
      <c r="M354" s="1374"/>
      <c r="N354" s="1374"/>
    </row>
    <row r="355" spans="1:14">
      <c r="A355" s="1360" t="s">
        <v>637</v>
      </c>
      <c r="B355" s="1360"/>
      <c r="C355" s="1361"/>
      <c r="D355" s="1362"/>
      <c r="E355" s="1362"/>
      <c r="F355" s="1362"/>
      <c r="G355" s="1363">
        <f>C355+D355+E355+F355</f>
        <v>0</v>
      </c>
      <c r="H355" s="1374"/>
      <c r="I355" s="1374"/>
      <c r="J355" s="1374"/>
      <c r="K355" s="1374"/>
      <c r="L355" s="1374"/>
      <c r="M355" s="1374"/>
      <c r="N355" s="1374"/>
    </row>
    <row r="356" spans="1:14">
      <c r="A356" s="1360" t="s">
        <v>1050</v>
      </c>
      <c r="B356" s="1360"/>
      <c r="C356" s="1361"/>
      <c r="D356" s="1362"/>
      <c r="E356" s="1362"/>
      <c r="F356" s="1362"/>
      <c r="G356" s="1363">
        <f>C356+D356+E356+F356</f>
        <v>0</v>
      </c>
      <c r="H356" s="1374"/>
      <c r="I356" s="1374"/>
      <c r="J356" s="1374"/>
      <c r="K356" s="1374"/>
      <c r="L356" s="1374"/>
      <c r="M356" s="1374"/>
      <c r="N356" s="1374"/>
    </row>
    <row r="357" spans="1:14" ht="13.5" thickBot="1">
      <c r="A357" s="1360" t="s">
        <v>1051</v>
      </c>
      <c r="B357" s="1385"/>
      <c r="C357" s="1386"/>
      <c r="D357" s="1387"/>
      <c r="E357" s="1387"/>
      <c r="F357" s="1387"/>
      <c r="G357" s="1388">
        <f>C357+D357+E357+F357</f>
        <v>0</v>
      </c>
      <c r="H357" s="1374"/>
      <c r="I357" s="1374"/>
      <c r="J357" s="1374"/>
      <c r="K357" s="1374"/>
      <c r="L357" s="1374"/>
      <c r="M357" s="1374"/>
      <c r="N357" s="1374"/>
    </row>
    <row r="358" spans="1:14" ht="13.5" thickBot="1">
      <c r="A358" s="1367" t="s">
        <v>351</v>
      </c>
      <c r="B358" s="1368" t="s">
        <v>201</v>
      </c>
      <c r="C358" s="1369">
        <f>C338+C343+C348+C353</f>
        <v>3.2772328352604156</v>
      </c>
      <c r="D358" s="1369">
        <f>D338+D343+D348+D353</f>
        <v>3.7568278843229157</v>
      </c>
      <c r="E358" s="1369">
        <f>E338+E343+E348+E353</f>
        <v>4.2364229333854162</v>
      </c>
      <c r="F358" s="1369">
        <f>F338+F343+F348+F353</f>
        <v>4.7160179824479158</v>
      </c>
      <c r="G358" s="1369">
        <f>G338+G343+G348+G353</f>
        <v>16.625961700833329</v>
      </c>
      <c r="H358" s="1374"/>
      <c r="I358" s="1374">
        <f>G358/1.18</f>
        <v>14.08979805155367</v>
      </c>
      <c r="J358" s="1374">
        <f>G343/1.18</f>
        <v>5.4191530967514128</v>
      </c>
      <c r="K358" s="1374">
        <f>G353/1.18</f>
        <v>0.3386970685469633</v>
      </c>
      <c r="L358" s="1374"/>
      <c r="M358" s="1374"/>
      <c r="N358" s="1374"/>
    </row>
    <row r="359" spans="1:14">
      <c r="H359" s="1374"/>
      <c r="I359" s="1374"/>
      <c r="J359" s="1374"/>
      <c r="K359" s="1374"/>
      <c r="L359" s="1374"/>
      <c r="M359" s="1374"/>
      <c r="N359" s="1374"/>
    </row>
    <row r="360" spans="1:14">
      <c r="H360" s="1374"/>
      <c r="I360" s="1374"/>
      <c r="J360" s="1374"/>
      <c r="K360" s="1374"/>
      <c r="L360" s="1374"/>
      <c r="M360" s="1374"/>
      <c r="N360" s="1374"/>
    </row>
    <row r="361" spans="1:14" ht="26.25" thickBot="1">
      <c r="B361" s="1341" t="s">
        <v>1096</v>
      </c>
      <c r="C361" s="1342" t="s">
        <v>1097</v>
      </c>
      <c r="D361" s="1342"/>
      <c r="E361" s="1342"/>
      <c r="F361" s="1390" t="s">
        <v>1098</v>
      </c>
      <c r="H361" s="1374"/>
      <c r="I361" s="1374"/>
      <c r="J361" s="1374"/>
      <c r="K361" s="1374"/>
      <c r="L361" s="1374"/>
      <c r="M361" s="1374"/>
      <c r="N361" s="1374"/>
    </row>
    <row r="362" spans="1:14" ht="29.25" customHeight="1" thickBot="1">
      <c r="A362" s="1343" t="s">
        <v>1018</v>
      </c>
      <c r="B362" s="1344" t="s">
        <v>1019</v>
      </c>
      <c r="C362" s="1345" t="s">
        <v>1020</v>
      </c>
      <c r="D362" s="1346"/>
      <c r="E362" s="1346"/>
      <c r="F362" s="1346"/>
      <c r="G362" s="1347"/>
      <c r="H362" s="1374"/>
      <c r="I362" s="1374"/>
      <c r="J362" s="1374"/>
      <c r="K362" s="1374"/>
      <c r="L362" s="1374"/>
      <c r="M362" s="1374"/>
      <c r="N362" s="1374"/>
    </row>
    <row r="363" spans="1:14" ht="64.5" thickBot="1">
      <c r="A363" s="1348"/>
      <c r="B363" s="1349"/>
      <c r="C363" s="1350" t="s">
        <v>1021</v>
      </c>
      <c r="D363" s="1351" t="s">
        <v>1022</v>
      </c>
      <c r="E363" s="1351" t="s">
        <v>1023</v>
      </c>
      <c r="F363" s="1351" t="s">
        <v>1024</v>
      </c>
      <c r="G363" s="1313" t="s">
        <v>1025</v>
      </c>
      <c r="H363" s="1374"/>
      <c r="I363" s="1374"/>
      <c r="J363" s="1374"/>
      <c r="K363" s="1374"/>
      <c r="L363" s="1374"/>
      <c r="M363" s="1374"/>
      <c r="N363" s="1374"/>
    </row>
    <row r="364" spans="1:14">
      <c r="A364" s="1353" t="s">
        <v>14</v>
      </c>
      <c r="B364" s="1354" t="s">
        <v>1099</v>
      </c>
      <c r="C364" s="1378">
        <f>C368</f>
        <v>11.418794170624997</v>
      </c>
      <c r="D364" s="1379">
        <f>D368</f>
        <v>12.370360351510413</v>
      </c>
      <c r="E364" s="1379">
        <f>E368</f>
        <v>13.321926532395828</v>
      </c>
      <c r="F364" s="1379">
        <f>F368</f>
        <v>14.273492713281247</v>
      </c>
      <c r="G364" s="1357">
        <f>G365+G366+G367+G368</f>
        <v>51.384573767812483</v>
      </c>
      <c r="H364" s="1374"/>
      <c r="I364" s="1374"/>
      <c r="J364" s="1374"/>
      <c r="K364" s="1374"/>
      <c r="L364" s="1374"/>
      <c r="M364" s="1374"/>
      <c r="N364" s="1374"/>
    </row>
    <row r="365" spans="1:14">
      <c r="A365" s="1359" t="s">
        <v>381</v>
      </c>
      <c r="B365" s="1360"/>
      <c r="C365" s="1380"/>
      <c r="D365" s="1381"/>
      <c r="E365" s="1381"/>
      <c r="F365" s="1381"/>
      <c r="G365" s="1382"/>
      <c r="H365" s="1374"/>
      <c r="I365" s="1374"/>
      <c r="J365" s="1374"/>
      <c r="K365" s="1374"/>
      <c r="L365" s="1374"/>
      <c r="M365" s="1374"/>
      <c r="N365" s="1374"/>
    </row>
    <row r="366" spans="1:14">
      <c r="A366" s="1360" t="s">
        <v>393</v>
      </c>
      <c r="B366" s="1360"/>
      <c r="C366" s="1380"/>
      <c r="D366" s="1381"/>
      <c r="E366" s="1381"/>
      <c r="F366" s="1381"/>
      <c r="G366" s="1382"/>
      <c r="H366" s="1374"/>
      <c r="I366" s="1374"/>
      <c r="J366" s="1374"/>
      <c r="K366" s="1374"/>
      <c r="L366" s="1374"/>
      <c r="M366" s="1374"/>
      <c r="N366" s="1374"/>
    </row>
    <row r="367" spans="1:14">
      <c r="A367" s="1360" t="s">
        <v>21</v>
      </c>
      <c r="B367" s="1360"/>
      <c r="C367" s="1380"/>
      <c r="D367" s="1381"/>
      <c r="E367" s="1381"/>
      <c r="F367" s="1381"/>
      <c r="G367" s="1382"/>
      <c r="H367" s="1374"/>
      <c r="I367" s="1374"/>
      <c r="J367" s="1374"/>
      <c r="K367" s="1374"/>
      <c r="L367" s="1374"/>
      <c r="M367" s="1374"/>
      <c r="N367" s="1374"/>
    </row>
    <row r="368" spans="1:14">
      <c r="A368" s="1360" t="s">
        <v>23</v>
      </c>
      <c r="B368" s="1360" t="s">
        <v>1027</v>
      </c>
      <c r="C368" s="1361">
        <f>663.16046*0.95*(12+1-1)/12*0.0725/4</f>
        <v>11.418794170624997</v>
      </c>
      <c r="D368" s="1362">
        <f>663.16046*0.95*(12+2-1)/12*0.0725/4</f>
        <v>12.370360351510413</v>
      </c>
      <c r="E368" s="1362">
        <f>663.16046*0.95*(12+3-1)/12*0.0725/4</f>
        <v>13.321926532395828</v>
      </c>
      <c r="F368" s="1362">
        <f>663.16046*0.95*(12+4-1)/12*0.0725/4</f>
        <v>14.273492713281247</v>
      </c>
      <c r="G368" s="1363">
        <f>C368+D368+E368+F368</f>
        <v>51.384573767812483</v>
      </c>
      <c r="H368" s="1374"/>
      <c r="I368" s="1374"/>
      <c r="J368" s="1374"/>
      <c r="K368" s="1374"/>
      <c r="L368" s="1374"/>
      <c r="M368" s="1374"/>
      <c r="N368" s="1374"/>
    </row>
    <row r="369" spans="1:14">
      <c r="A369" s="1360" t="s">
        <v>135</v>
      </c>
      <c r="B369" s="1365" t="s">
        <v>1090</v>
      </c>
      <c r="C369" s="1355">
        <f>C370+C371+C372+C373</f>
        <v>36.159514873645826</v>
      </c>
      <c r="D369" s="1356">
        <f>D370+D371+D372+D373</f>
        <v>39.965779597187492</v>
      </c>
      <c r="E369" s="1356">
        <f>E370+E371+E372+E373</f>
        <v>43.772044320729151</v>
      </c>
      <c r="F369" s="1356">
        <f>F370+F371+F372+F373</f>
        <v>47.578309044270824</v>
      </c>
      <c r="G369" s="1357">
        <f>G370+G371+G372+G373</f>
        <v>167.47564783583329</v>
      </c>
      <c r="H369" s="1374"/>
      <c r="I369" s="1374"/>
      <c r="J369" s="1374"/>
      <c r="K369" s="1374"/>
      <c r="L369" s="1374"/>
      <c r="M369" s="1374"/>
      <c r="N369" s="1374"/>
    </row>
    <row r="370" spans="1:14">
      <c r="A370" s="1360" t="s">
        <v>167</v>
      </c>
      <c r="B370" s="1360" t="s">
        <v>1028</v>
      </c>
      <c r="C370" s="1361">
        <f>663.16046*0.95*(12+1-2)/12*0.0725/4</f>
        <v>10.46722798973958</v>
      </c>
      <c r="D370" s="1362">
        <f>663.16046*0.95*(12+2-2)/12*0.0725/4</f>
        <v>11.418794170624997</v>
      </c>
      <c r="E370" s="1362">
        <f>663.16046*0.95*(12+3-2)/12*0.0725/4</f>
        <v>12.370360351510413</v>
      </c>
      <c r="F370" s="1362">
        <f>663.16046*0.95*(12+4-2)/12*0.0725/4</f>
        <v>13.321926532395828</v>
      </c>
      <c r="G370" s="1363">
        <f>C370+D370+E370+F370</f>
        <v>47.578309044270817</v>
      </c>
      <c r="H370" s="1374"/>
      <c r="I370" s="1374"/>
      <c r="J370" s="1374"/>
      <c r="K370" s="1374"/>
      <c r="L370" s="1374"/>
      <c r="M370" s="1374"/>
      <c r="N370" s="1374"/>
    </row>
    <row r="371" spans="1:14">
      <c r="A371" s="1360" t="s">
        <v>173</v>
      </c>
      <c r="B371" s="1360" t="s">
        <v>1029</v>
      </c>
      <c r="C371" s="1361">
        <f>663.16046*0.95*(12+1-3)/12*0.0725/4</f>
        <v>9.5156618088541656</v>
      </c>
      <c r="D371" s="1362">
        <f>663.16046*0.95*(12+2-3)/12*0.0725/4</f>
        <v>10.46722798973958</v>
      </c>
      <c r="E371" s="1362">
        <f>663.16046*0.95*(12+3-3)/12*0.0725/4</f>
        <v>11.418794170624997</v>
      </c>
      <c r="F371" s="1362">
        <f>663.16046*0.95*(12+4-3)/12*0.0725/4</f>
        <v>12.370360351510413</v>
      </c>
      <c r="G371" s="1363">
        <f>C371+D371+E371+F371</f>
        <v>43.772044320729158</v>
      </c>
      <c r="H371" s="1374"/>
      <c r="I371" s="1374"/>
      <c r="J371" s="1374"/>
      <c r="K371" s="1374"/>
      <c r="L371" s="1374"/>
      <c r="M371" s="1374"/>
      <c r="N371" s="1374"/>
    </row>
    <row r="372" spans="1:14">
      <c r="A372" s="1360" t="s">
        <v>180</v>
      </c>
      <c r="B372" s="1360" t="s">
        <v>1030</v>
      </c>
      <c r="C372" s="1361">
        <f>663.16046*0.95*(12+1-4)/12*0.0725/4</f>
        <v>8.5640956279687472</v>
      </c>
      <c r="D372" s="1362">
        <f>663.16046*0.95*(12+2-4)/12*0.0725/4</f>
        <v>9.5156618088541656</v>
      </c>
      <c r="E372" s="1362">
        <f>663.16046*0.95*(12+3-4)/12*0.0725/4</f>
        <v>10.46722798973958</v>
      </c>
      <c r="F372" s="1362">
        <f>663.16046*0.95*(12+4-4)/12*0.0725/4</f>
        <v>11.418794170624997</v>
      </c>
      <c r="G372" s="1363">
        <f>C372+D372+E372+F372</f>
        <v>39.965779597187492</v>
      </c>
      <c r="H372" s="1374"/>
      <c r="I372" s="1374"/>
      <c r="J372" s="1374"/>
      <c r="K372" s="1374"/>
      <c r="L372" s="1374"/>
      <c r="M372" s="1374"/>
      <c r="N372" s="1374"/>
    </row>
    <row r="373" spans="1:14">
      <c r="A373" s="1360" t="s">
        <v>182</v>
      </c>
      <c r="B373" s="1360" t="s">
        <v>1032</v>
      </c>
      <c r="C373" s="1361">
        <f>663.16046*0.95*(12+1-5)/12*0.0725/4</f>
        <v>7.6125294470833316</v>
      </c>
      <c r="D373" s="1362">
        <f>663.16046*0.95*(12+2-5)/12*0.0725/4</f>
        <v>8.5640956279687472</v>
      </c>
      <c r="E373" s="1362">
        <f>663.16046*0.95*(12+3-5)/12*0.0725/4</f>
        <v>9.5156618088541656</v>
      </c>
      <c r="F373" s="1362">
        <f>663.16046*0.95*(12+4-5)/12*0.0725/4</f>
        <v>10.46722798973958</v>
      </c>
      <c r="G373" s="1363">
        <f>C373+D373+E373+F373</f>
        <v>36.159514873645826</v>
      </c>
      <c r="H373" s="1374"/>
      <c r="I373" s="1374"/>
      <c r="J373" s="1374"/>
      <c r="K373" s="1374"/>
      <c r="L373" s="1374"/>
      <c r="M373" s="1374"/>
      <c r="N373" s="1374"/>
    </row>
    <row r="374" spans="1:14">
      <c r="A374" s="1360" t="s">
        <v>191</v>
      </c>
      <c r="B374" s="1365" t="s">
        <v>1091</v>
      </c>
      <c r="C374" s="1355">
        <f>C375+C376+C377+C378</f>
        <v>20.934455979479161</v>
      </c>
      <c r="D374" s="1356">
        <f>D375+D376+D377+D378</f>
        <v>24.740720703020827</v>
      </c>
      <c r="E374" s="1356">
        <f>E375+E376+E377+E378</f>
        <v>28.546985426562493</v>
      </c>
      <c r="F374" s="1356">
        <f>F375+F376+F377+F378</f>
        <v>32.353250150104159</v>
      </c>
      <c r="G374" s="1357">
        <f>G375+G376+G377+G378</f>
        <v>106.57541225916665</v>
      </c>
      <c r="H374" s="1374"/>
      <c r="I374" s="1374"/>
      <c r="J374" s="1374"/>
      <c r="K374" s="1374"/>
      <c r="L374" s="1374"/>
      <c r="M374" s="1374"/>
      <c r="N374" s="1374"/>
    </row>
    <row r="375" spans="1:14">
      <c r="A375" s="1360" t="s">
        <v>192</v>
      </c>
      <c r="B375" s="1360" t="s">
        <v>1033</v>
      </c>
      <c r="C375" s="1361">
        <f>663.16046*0.95*(12+1-6)/12*0.0725/4</f>
        <v>6.6609632661979141</v>
      </c>
      <c r="D375" s="1362">
        <f>663.16046*0.95*(12+2-6)/12*0.0725/4</f>
        <v>7.6125294470833316</v>
      </c>
      <c r="E375" s="1362">
        <f>663.16046*0.95*(12+3-6)/12*0.0725/4</f>
        <v>8.5640956279687472</v>
      </c>
      <c r="F375" s="1362">
        <f>663.16046*0.95*(12+4-6)/12*0.0725/4</f>
        <v>9.5156618088541656</v>
      </c>
      <c r="G375" s="1363">
        <f>C375+D375+E375+F375</f>
        <v>32.353250150104159</v>
      </c>
      <c r="H375" s="1374"/>
      <c r="I375" s="1374"/>
      <c r="J375" s="1374"/>
      <c r="K375" s="1374"/>
      <c r="L375" s="1374"/>
      <c r="M375" s="1374"/>
      <c r="N375" s="1374"/>
    </row>
    <row r="376" spans="1:14">
      <c r="A376" s="1360" t="s">
        <v>195</v>
      </c>
      <c r="B376" s="1360" t="s">
        <v>1034</v>
      </c>
      <c r="C376" s="1361">
        <f>663.16046*0.95*(12+1-7)/12*0.0725/4</f>
        <v>5.7093970853124985</v>
      </c>
      <c r="D376" s="1362">
        <f>663.16046*0.95*(12+2-7)/12*0.0725/4</f>
        <v>6.6609632661979141</v>
      </c>
      <c r="E376" s="1362">
        <f>663.16046*0.95*(12+3-7)/12*0.0725/4</f>
        <v>7.6125294470833316</v>
      </c>
      <c r="F376" s="1362">
        <f>663.16046*0.95*(12+4-7)/12*0.0725/4</f>
        <v>8.5640956279687472</v>
      </c>
      <c r="G376" s="1363">
        <f>C376+D376+E376+F376</f>
        <v>28.546985426562493</v>
      </c>
      <c r="H376" s="1374"/>
      <c r="I376" s="1374"/>
      <c r="J376" s="1374"/>
      <c r="K376" s="1374"/>
      <c r="L376" s="1374"/>
      <c r="M376" s="1374"/>
      <c r="N376" s="1374"/>
    </row>
    <row r="377" spans="1:14">
      <c r="A377" s="1360" t="s">
        <v>631</v>
      </c>
      <c r="B377" s="1360" t="s">
        <v>1035</v>
      </c>
      <c r="C377" s="1361">
        <f>663.16046*0.95*(12+1-8)/12*0.0725/4</f>
        <v>4.7578309044270828</v>
      </c>
      <c r="D377" s="1362">
        <f>663.16046*0.95*(12+2-8)/12*0.0725/4</f>
        <v>5.7093970853124985</v>
      </c>
      <c r="E377" s="1362">
        <f>663.16046*0.95*(12+3-8)/12*0.0725/4</f>
        <v>6.6609632661979141</v>
      </c>
      <c r="F377" s="1362">
        <f>663.16046*0.95*(12+4-8)/12*0.0725/4</f>
        <v>7.6125294470833316</v>
      </c>
      <c r="G377" s="1363">
        <f>C377+D377+E377+F377</f>
        <v>24.740720703020827</v>
      </c>
      <c r="H377" s="1374"/>
      <c r="I377" s="1374"/>
      <c r="J377" s="1374"/>
      <c r="K377" s="1374"/>
      <c r="L377" s="1374"/>
      <c r="M377" s="1374"/>
      <c r="N377" s="1374"/>
    </row>
    <row r="378" spans="1:14">
      <c r="A378" s="1360" t="s">
        <v>1040</v>
      </c>
      <c r="B378" s="1360" t="s">
        <v>1037</v>
      </c>
      <c r="C378" s="1361">
        <f>663.16046*0.95*(12+1-9)/12*0.0725/4</f>
        <v>3.8062647235416658</v>
      </c>
      <c r="D378" s="1362">
        <f>663.16046*0.95*(12+2-9)/12*0.0725/4</f>
        <v>4.7578309044270828</v>
      </c>
      <c r="E378" s="1362">
        <f>663.16046*0.95*(12+3-9)/12*0.0725/4</f>
        <v>5.7093970853124985</v>
      </c>
      <c r="F378" s="1362">
        <f>663.16046*0.95*(12+4-9)/12*0.0725/4</f>
        <v>6.6609632661979141</v>
      </c>
      <c r="G378" s="1363">
        <f>C378+D378+E378+F378</f>
        <v>20.934455979479161</v>
      </c>
      <c r="H378" s="1374"/>
      <c r="I378" s="1374"/>
      <c r="J378" s="1374"/>
      <c r="K378" s="1374"/>
      <c r="L378" s="1374"/>
      <c r="M378" s="1374"/>
      <c r="N378" s="1374"/>
    </row>
    <row r="379" spans="1:14">
      <c r="A379" s="1360" t="s">
        <v>198</v>
      </c>
      <c r="B379" s="1365" t="s">
        <v>1095</v>
      </c>
      <c r="C379" s="1355">
        <f>C380+C381+C382+C383</f>
        <v>5.7093970853124985</v>
      </c>
      <c r="D379" s="1356">
        <f>D380+D381+D382+D383</f>
        <v>8.5640956279687472</v>
      </c>
      <c r="E379" s="1356">
        <f>E380+E381+E382+E383</f>
        <v>11.418794170624999</v>
      </c>
      <c r="F379" s="1356">
        <f>F380+F381+F382+F383</f>
        <v>14.273492713281247</v>
      </c>
      <c r="G379" s="1357">
        <f>G380+G381+G382+G383</f>
        <v>39.965779597187492</v>
      </c>
      <c r="H379" s="1374"/>
      <c r="I379" s="1374"/>
      <c r="J379" s="1374"/>
      <c r="K379" s="1374"/>
      <c r="L379" s="1374"/>
      <c r="M379" s="1374"/>
      <c r="N379" s="1374"/>
    </row>
    <row r="380" spans="1:14">
      <c r="A380" s="1360" t="s">
        <v>199</v>
      </c>
      <c r="B380" s="1360" t="s">
        <v>1038</v>
      </c>
      <c r="C380" s="1361">
        <f>663.16046*0.95*(12+1-10)/12*0.0725/4</f>
        <v>2.8546985426562492</v>
      </c>
      <c r="D380" s="1362">
        <f>663.16046*0.95*(12+2-10)/12*0.0725/4</f>
        <v>3.8062647235416658</v>
      </c>
      <c r="E380" s="1362">
        <f>663.16046*0.95*(12+3-10)/12*0.0725/4</f>
        <v>4.7578309044270828</v>
      </c>
      <c r="F380" s="1362">
        <f>663.16046*0.95*(12+4-10)/12*0.0725/4</f>
        <v>5.7093970853124985</v>
      </c>
      <c r="G380" s="1363">
        <f>C380+D380+E380+F380</f>
        <v>17.128191255937498</v>
      </c>
      <c r="H380" s="1374"/>
      <c r="I380" s="1374"/>
      <c r="J380" s="1374"/>
      <c r="K380" s="1374"/>
      <c r="L380" s="1374"/>
      <c r="M380" s="1374"/>
      <c r="N380" s="1374"/>
    </row>
    <row r="381" spans="1:14">
      <c r="A381" s="1360" t="s">
        <v>637</v>
      </c>
      <c r="B381" s="1360" t="s">
        <v>1039</v>
      </c>
      <c r="C381" s="1361">
        <f>663.16046*0.95*(12+1-11)/12*0.0725/4</f>
        <v>1.9031323617708329</v>
      </c>
      <c r="D381" s="1362">
        <f>663.16046*0.95*(12+2-11)/12*0.0725/4</f>
        <v>2.8546985426562492</v>
      </c>
      <c r="E381" s="1362">
        <f>663.16046*0.95*(12+3-11)/12*0.0725/4</f>
        <v>3.8062647235416658</v>
      </c>
      <c r="F381" s="1362">
        <f>663.16046*0.95*(12+4-11)/12*0.0725/4</f>
        <v>4.7578309044270828</v>
      </c>
      <c r="G381" s="1363">
        <f>C381+D381+E381+F381</f>
        <v>13.32192653239583</v>
      </c>
      <c r="H381" s="1374"/>
      <c r="I381" s="1374"/>
      <c r="J381" s="1374"/>
      <c r="K381" s="1374"/>
      <c r="L381" s="1374"/>
      <c r="M381" s="1374"/>
      <c r="N381" s="1374"/>
    </row>
    <row r="382" spans="1:14">
      <c r="A382" s="1360" t="s">
        <v>1050</v>
      </c>
      <c r="B382" s="1360" t="s">
        <v>1041</v>
      </c>
      <c r="C382" s="1361">
        <f>663.16046*0.95*(12+1-12)/12*0.0725/4</f>
        <v>0.95156618088541645</v>
      </c>
      <c r="D382" s="1362">
        <f>663.16046*0.95*(12+2-12)/12*0.0725/4</f>
        <v>1.9031323617708329</v>
      </c>
      <c r="E382" s="1362">
        <f>663.16046*0.95*(12+3-12)/12*0.0725/4</f>
        <v>2.8546985426562492</v>
      </c>
      <c r="F382" s="1362">
        <f>663.16046*0.95*(12+4-12)/12*0.0725/4</f>
        <v>3.8062647235416658</v>
      </c>
      <c r="G382" s="1363">
        <f>C382+D382+E382+F382</f>
        <v>9.5156618088541638</v>
      </c>
      <c r="H382" s="1374"/>
      <c r="I382" s="1374"/>
      <c r="J382" s="1374"/>
      <c r="K382" s="1374"/>
      <c r="L382" s="1374"/>
      <c r="M382" s="1374"/>
      <c r="N382" s="1374"/>
    </row>
    <row r="383" spans="1:14" ht="13.9" customHeight="1" thickBot="1">
      <c r="A383" s="1360" t="s">
        <v>1051</v>
      </c>
      <c r="B383" s="1360"/>
      <c r="C383" s="1361"/>
      <c r="D383" s="1362"/>
      <c r="E383" s="1362"/>
      <c r="F383" s="1362"/>
      <c r="G383" s="1363">
        <f>C383+D383+E383+F383</f>
        <v>0</v>
      </c>
      <c r="H383" s="1374"/>
      <c r="I383" s="1374"/>
      <c r="J383" s="1374"/>
      <c r="K383" s="1374"/>
      <c r="L383" s="1374"/>
      <c r="M383" s="1374"/>
      <c r="N383" s="1374"/>
    </row>
    <row r="384" spans="1:14" ht="13.5" thickBot="1">
      <c r="A384" s="1367" t="s">
        <v>351</v>
      </c>
      <c r="B384" s="1368" t="s">
        <v>201</v>
      </c>
      <c r="C384" s="1369">
        <f>C364+C369+C374+C379</f>
        <v>74.222162109062481</v>
      </c>
      <c r="D384" s="1370">
        <f>D364+D369+D374+D379</f>
        <v>85.640956279687487</v>
      </c>
      <c r="E384" s="1370">
        <f>E364+E369+E374+E379</f>
        <v>97.059750450312464</v>
      </c>
      <c r="F384" s="1370">
        <f>F364+F369+F374+F379</f>
        <v>108.47854462093747</v>
      </c>
      <c r="G384" s="1371">
        <f>G364+G369+G374+G379</f>
        <v>365.40141345999996</v>
      </c>
      <c r="H384" s="1374"/>
      <c r="I384" s="1374">
        <f>G384/1.18</f>
        <v>309.66221479661016</v>
      </c>
      <c r="J384" s="1374">
        <f>G369/1.18</f>
        <v>141.92851511511296</v>
      </c>
      <c r="K384" s="1374">
        <f>G374/1.18</f>
        <v>90.318145982344632</v>
      </c>
      <c r="L384" s="1374">
        <f>G379/1.18</f>
        <v>33.869304743379232</v>
      </c>
      <c r="M384" s="1374"/>
      <c r="N384" s="1374"/>
    </row>
    <row r="385" spans="1:14">
      <c r="H385" s="1374"/>
      <c r="I385" s="1374"/>
      <c r="J385" s="1374"/>
      <c r="K385" s="1374"/>
      <c r="L385" s="1374"/>
      <c r="M385" s="1374"/>
      <c r="N385" s="1374"/>
    </row>
    <row r="386" spans="1:14">
      <c r="H386" s="1374"/>
      <c r="I386" s="1374"/>
      <c r="J386" s="1374"/>
      <c r="K386" s="1374"/>
      <c r="L386" s="1374"/>
      <c r="M386" s="1374"/>
      <c r="N386" s="1374"/>
    </row>
    <row r="387" spans="1:14" ht="26.25" thickBot="1">
      <c r="B387" s="1341" t="s">
        <v>1100</v>
      </c>
      <c r="C387" s="1342" t="s">
        <v>1101</v>
      </c>
      <c r="D387" s="1342"/>
      <c r="E387" s="1342"/>
      <c r="F387" s="1390" t="s">
        <v>1102</v>
      </c>
      <c r="H387" s="1374"/>
      <c r="I387" s="1374"/>
      <c r="J387" s="1374"/>
      <c r="K387" s="1374"/>
      <c r="L387" s="1374"/>
      <c r="M387" s="1374"/>
      <c r="N387" s="1374"/>
    </row>
    <row r="388" spans="1:14" ht="27.75" customHeight="1" thickBot="1">
      <c r="A388" s="1343" t="s">
        <v>1018</v>
      </c>
      <c r="B388" s="1344" t="s">
        <v>1019</v>
      </c>
      <c r="C388" s="1345" t="s">
        <v>1020</v>
      </c>
      <c r="D388" s="1346"/>
      <c r="E388" s="1346"/>
      <c r="F388" s="1346"/>
      <c r="G388" s="1347"/>
      <c r="H388" s="1374"/>
      <c r="I388" s="1374"/>
      <c r="J388" s="1374"/>
      <c r="K388" s="1374"/>
      <c r="L388" s="1374"/>
      <c r="M388" s="1374"/>
      <c r="N388" s="1374"/>
    </row>
    <row r="389" spans="1:14" ht="64.5" thickBot="1">
      <c r="A389" s="1348"/>
      <c r="B389" s="1349"/>
      <c r="C389" s="1350" t="s">
        <v>1021</v>
      </c>
      <c r="D389" s="1351" t="s">
        <v>1022</v>
      </c>
      <c r="E389" s="1351" t="s">
        <v>1023</v>
      </c>
      <c r="F389" s="1351" t="s">
        <v>1024</v>
      </c>
      <c r="G389" s="1313" t="s">
        <v>1025</v>
      </c>
      <c r="H389" s="1374"/>
      <c r="I389" s="1374"/>
      <c r="J389" s="1374"/>
      <c r="K389" s="1374"/>
      <c r="L389" s="1374"/>
      <c r="M389" s="1374"/>
      <c r="N389" s="1374"/>
    </row>
    <row r="390" spans="1:14">
      <c r="A390" s="1353" t="s">
        <v>14</v>
      </c>
      <c r="B390" s="1365" t="s">
        <v>1103</v>
      </c>
      <c r="C390" s="1355">
        <f>C391+C392+C393+C394</f>
        <v>21.392240611874996</v>
      </c>
      <c r="D390" s="1356">
        <f>D391+D392+D393+D394</f>
        <v>23.429596860624997</v>
      </c>
      <c r="E390" s="1356">
        <f>E391+E392+E393+E394</f>
        <v>25.466953109374998</v>
      </c>
      <c r="F390" s="1356">
        <f>F391+F392+F393+F394</f>
        <v>27.504309358124999</v>
      </c>
      <c r="G390" s="1357">
        <f>G391+G392+G393+G394</f>
        <v>97.793099939999991</v>
      </c>
      <c r="H390" s="1374"/>
      <c r="I390" s="1374"/>
    </row>
    <row r="391" spans="1:14">
      <c r="A391" s="1359" t="s">
        <v>381</v>
      </c>
      <c r="B391" s="1360" t="s">
        <v>1027</v>
      </c>
      <c r="C391" s="1361">
        <f>354.96588*0.95*(12+1-1)/12*0.0725/4</f>
        <v>6.1120687462499994</v>
      </c>
      <c r="D391" s="1362">
        <f>354.96588*0.95*(12+2-1)/12*0.0725/4</f>
        <v>6.6214078084374988</v>
      </c>
      <c r="E391" s="1362">
        <f>354.96588*0.95*(12+3-1)/12*0.0725/4</f>
        <v>7.1307468706249999</v>
      </c>
      <c r="F391" s="1362">
        <f>354.96588*0.95*(12+4-1)/12*0.0725/4</f>
        <v>7.6400859328124993</v>
      </c>
      <c r="G391" s="1363">
        <f>C391+D391+E391+F391</f>
        <v>27.504309358124999</v>
      </c>
      <c r="H391" s="1374"/>
      <c r="I391" s="1374"/>
    </row>
    <row r="392" spans="1:14">
      <c r="A392" s="1360" t="s">
        <v>393</v>
      </c>
      <c r="B392" s="1360" t="s">
        <v>1028</v>
      </c>
      <c r="C392" s="1361">
        <f>354.96588*0.95*(12+1-2)/12*0.0725/4</f>
        <v>5.6027296840625</v>
      </c>
      <c r="D392" s="1362">
        <f>354.96588*0.95*(12+2-2)/12*0.0725/4</f>
        <v>6.1120687462499994</v>
      </c>
      <c r="E392" s="1362">
        <f>354.96588*0.95*(12+3-2)/12*0.0725/4</f>
        <v>6.6214078084374988</v>
      </c>
      <c r="F392" s="1362">
        <f>354.96588*0.95*(12+4-2)/12*0.0725/4</f>
        <v>7.1307468706249999</v>
      </c>
      <c r="G392" s="1363">
        <f>C392+D392+E392+F392</f>
        <v>25.466953109374998</v>
      </c>
      <c r="H392" s="1374"/>
      <c r="I392" s="1374"/>
    </row>
    <row r="393" spans="1:14">
      <c r="A393" s="1360" t="s">
        <v>21</v>
      </c>
      <c r="B393" s="1360" t="s">
        <v>1029</v>
      </c>
      <c r="C393" s="1361">
        <f>354.96588*0.95*(12+1-3)/12*0.0725/4</f>
        <v>5.0933906218749998</v>
      </c>
      <c r="D393" s="1362">
        <f>354.96588*0.95*(12+2-3)/12*0.0725/4</f>
        <v>5.6027296840625</v>
      </c>
      <c r="E393" s="1362">
        <f>354.96588*0.95*(12+3-3)/12*0.0725/4</f>
        <v>6.1120687462499994</v>
      </c>
      <c r="F393" s="1362">
        <f>354.96588*0.95*(12+4-3)/12*0.0725/4</f>
        <v>6.6214078084374988</v>
      </c>
      <c r="G393" s="1363">
        <f>C393+D393+E393+F393</f>
        <v>23.429596860625001</v>
      </c>
      <c r="H393" s="1374"/>
      <c r="I393" s="1374"/>
    </row>
    <row r="394" spans="1:14">
      <c r="A394" s="1360" t="s">
        <v>23</v>
      </c>
      <c r="B394" s="1360" t="s">
        <v>1030</v>
      </c>
      <c r="C394" s="1361">
        <f>354.96588*0.95*(12+1-4)/12*0.0725/4</f>
        <v>4.5840515596874987</v>
      </c>
      <c r="D394" s="1362">
        <f>354.96588*0.95*(12+2-4)/12*0.0725/4</f>
        <v>5.0933906218749998</v>
      </c>
      <c r="E394" s="1362">
        <f>354.96588*0.95*(12+3-4)/12*0.0725/4</f>
        <v>5.6027296840625</v>
      </c>
      <c r="F394" s="1362">
        <f>354.96588*0.95*(12+4-4)/12*0.0725/4</f>
        <v>6.1120687462499994</v>
      </c>
      <c r="G394" s="1363">
        <f>C394+D394+E394+F394</f>
        <v>21.392240611874996</v>
      </c>
      <c r="H394" s="1374"/>
      <c r="I394" s="1374"/>
    </row>
    <row r="395" spans="1:14">
      <c r="A395" s="1360" t="s">
        <v>135</v>
      </c>
      <c r="B395" s="1365" t="s">
        <v>1104</v>
      </c>
      <c r="C395" s="1355">
        <f>C396+C397+C398+C399</f>
        <v>13.242815616874998</v>
      </c>
      <c r="D395" s="1356">
        <f>D396+D397+D398+D399</f>
        <v>15.280171865624997</v>
      </c>
      <c r="E395" s="1356">
        <f>E396+E397+E398+E399</f>
        <v>17.317528114374994</v>
      </c>
      <c r="F395" s="1356">
        <f>F396+F397+F398+F399</f>
        <v>19.354884363124999</v>
      </c>
      <c r="G395" s="1357">
        <f>G396+G397+G398+G399</f>
        <v>65.195399959999975</v>
      </c>
      <c r="H395" s="1375"/>
      <c r="I395" s="1375"/>
      <c r="J395" s="1375"/>
      <c r="K395" s="1375"/>
      <c r="L395" s="1375"/>
      <c r="M395" s="1375"/>
    </row>
    <row r="396" spans="1:14">
      <c r="A396" s="1360" t="s">
        <v>167</v>
      </c>
      <c r="B396" s="1360" t="s">
        <v>1032</v>
      </c>
      <c r="C396" s="1361">
        <f>354.96588*0.95*(12+1-5)/12*0.0725/4</f>
        <v>4.0747124974999993</v>
      </c>
      <c r="D396" s="1362">
        <f>354.96588*0.95*(12+2-5)/12*0.0725/4</f>
        <v>4.5840515596874987</v>
      </c>
      <c r="E396" s="1362">
        <f>354.96588*0.95*(12+3-5)/12*0.0725/4</f>
        <v>5.0933906218749998</v>
      </c>
      <c r="F396" s="1362">
        <f>354.96588*0.95*(12+4-5)/12*0.0725/4</f>
        <v>5.6027296840625</v>
      </c>
      <c r="G396" s="1363">
        <f>C396+D396+E396+F396</f>
        <v>19.354884363124995</v>
      </c>
      <c r="H396" s="1375"/>
      <c r="I396" s="1375"/>
      <c r="J396" s="1375"/>
      <c r="K396" s="1375"/>
      <c r="L396" s="1375"/>
      <c r="M396" s="1375"/>
    </row>
    <row r="397" spans="1:14">
      <c r="A397" s="1360" t="s">
        <v>173</v>
      </c>
      <c r="B397" s="1360" t="s">
        <v>1033</v>
      </c>
      <c r="C397" s="1361">
        <f>354.96588*0.95*(12+1-6)/12*0.0725/4</f>
        <v>3.5653734353125</v>
      </c>
      <c r="D397" s="1362">
        <f>354.96588*0.95*(12+2-6)/12*0.0725/4</f>
        <v>4.0747124974999993</v>
      </c>
      <c r="E397" s="1362">
        <f>354.96588*0.95*(12+3-6)/12*0.0725/4</f>
        <v>4.5840515596874987</v>
      </c>
      <c r="F397" s="1362">
        <f>354.96588*0.95*(12+4-6)/12*0.0725/4</f>
        <v>5.0933906218749998</v>
      </c>
      <c r="G397" s="1363">
        <f>C397+D397+E397+F397</f>
        <v>17.317528114374998</v>
      </c>
      <c r="H397" s="1375"/>
      <c r="I397" s="1375"/>
      <c r="J397" s="1375"/>
      <c r="K397" s="1375"/>
      <c r="L397" s="1375"/>
      <c r="M397" s="1375"/>
    </row>
    <row r="398" spans="1:14">
      <c r="A398" s="1360" t="s">
        <v>180</v>
      </c>
      <c r="B398" s="1360" t="s">
        <v>1034</v>
      </c>
      <c r="C398" s="1361">
        <f>354.96588*0.95*(12+1-7)/12*0.0725/4</f>
        <v>3.0560343731249997</v>
      </c>
      <c r="D398" s="1362">
        <f>354.96588*0.95*(12+2-7)/12*0.0725/4</f>
        <v>3.5653734353125</v>
      </c>
      <c r="E398" s="1362">
        <f>354.96588*0.95*(12+3-7)/12*0.0725/4</f>
        <v>4.0747124974999993</v>
      </c>
      <c r="F398" s="1362">
        <f>354.96588*0.95*(12+4-7)/12*0.0725/4</f>
        <v>4.5840515596874987</v>
      </c>
      <c r="G398" s="1363">
        <f>C398+D398+E398+F398</f>
        <v>15.280171865624997</v>
      </c>
      <c r="H398" s="1375"/>
      <c r="I398" s="1375"/>
      <c r="J398" s="1375"/>
      <c r="K398" s="1375"/>
      <c r="L398" s="1375"/>
      <c r="M398" s="1375"/>
    </row>
    <row r="399" spans="1:14">
      <c r="A399" s="1360" t="s">
        <v>182</v>
      </c>
      <c r="B399" s="1360" t="s">
        <v>1035</v>
      </c>
      <c r="C399" s="1361">
        <f>354.96588*0.95*(12+1-8)/12*0.0725/4</f>
        <v>2.5466953109374999</v>
      </c>
      <c r="D399" s="1362">
        <f>354.96588*0.95*(12+2-8)/12*0.0725/4</f>
        <v>3.0560343731249997</v>
      </c>
      <c r="E399" s="1362">
        <f>354.96588*0.95*(12+3-8)/12*0.0725/4</f>
        <v>3.5653734353125</v>
      </c>
      <c r="F399" s="1362">
        <f>354.96588*0.95*(12+4-8)/12*0.0725/4</f>
        <v>4.0747124974999993</v>
      </c>
      <c r="G399" s="1363">
        <f>C399+D399+E399+F399</f>
        <v>13.242815616874999</v>
      </c>
      <c r="H399" s="1375"/>
      <c r="I399" s="1375"/>
      <c r="J399" s="1375"/>
      <c r="K399" s="1375"/>
      <c r="L399" s="1375"/>
      <c r="M399" s="1375"/>
    </row>
    <row r="400" spans="1:14">
      <c r="A400" s="1360" t="s">
        <v>191</v>
      </c>
      <c r="B400" s="1365" t="s">
        <v>1105</v>
      </c>
      <c r="C400" s="1355">
        <f>C401+C402+C403+C404</f>
        <v>5.0933906218749998</v>
      </c>
      <c r="D400" s="1356">
        <f>D401+D402+D403+D404</f>
        <v>7.130746870624999</v>
      </c>
      <c r="E400" s="1356">
        <f>E401+E402+E403+E404</f>
        <v>9.1681031193749973</v>
      </c>
      <c r="F400" s="1356">
        <f>F401+F402+F403+F404</f>
        <v>11.205459368124998</v>
      </c>
      <c r="G400" s="1357">
        <f>G401+G402+G403+G404</f>
        <v>32.597699979999987</v>
      </c>
      <c r="H400" s="1375"/>
      <c r="I400" s="1375"/>
      <c r="J400" s="1375"/>
      <c r="K400" s="1375"/>
      <c r="L400" s="1375"/>
      <c r="M400" s="1375"/>
    </row>
    <row r="401" spans="1:13">
      <c r="A401" s="1360" t="s">
        <v>192</v>
      </c>
      <c r="B401" s="1360" t="s">
        <v>1037</v>
      </c>
      <c r="C401" s="1361">
        <f>354.96588*0.95*(12+1-9)/12*0.0725/4</f>
        <v>2.0373562487499997</v>
      </c>
      <c r="D401" s="1362">
        <f>354.96588*0.95*(12+2-9)/12*0.0725/4</f>
        <v>2.5466953109374999</v>
      </c>
      <c r="E401" s="1362">
        <f>354.96588*0.95*(12+3-9)/12*0.0725/4</f>
        <v>3.0560343731249997</v>
      </c>
      <c r="F401" s="1362">
        <f>354.96588*0.95*(12+4-9)/12*0.0725/4</f>
        <v>3.5653734353125</v>
      </c>
      <c r="G401" s="1363">
        <f>C401+D401+E401+F401</f>
        <v>11.205459368124998</v>
      </c>
      <c r="H401" s="1375"/>
      <c r="I401" s="1375"/>
      <c r="J401" s="1375"/>
      <c r="K401" s="1375"/>
      <c r="L401" s="1375"/>
      <c r="M401" s="1375"/>
    </row>
    <row r="402" spans="1:13">
      <c r="A402" s="1360" t="s">
        <v>195</v>
      </c>
      <c r="B402" s="1360" t="s">
        <v>1038</v>
      </c>
      <c r="C402" s="1361">
        <f>354.96588*0.95*(12+1-10)/12*0.0725/4</f>
        <v>1.5280171865624999</v>
      </c>
      <c r="D402" s="1362">
        <f>354.96588*0.95*(12+2-10)/12*0.0725/4</f>
        <v>2.0373562487499997</v>
      </c>
      <c r="E402" s="1362">
        <f>354.96588*0.95*(12+3-10)/12*0.0725/4</f>
        <v>2.5466953109374999</v>
      </c>
      <c r="F402" s="1362">
        <f>354.96588*0.95*(12+4-10)/12*0.0725/4</f>
        <v>3.0560343731249997</v>
      </c>
      <c r="G402" s="1363">
        <f>C402+D402+E402+F402</f>
        <v>9.1681031193749991</v>
      </c>
      <c r="H402" s="1375"/>
      <c r="I402" s="1375"/>
      <c r="J402" s="1375"/>
      <c r="K402" s="1375"/>
      <c r="L402" s="1375"/>
      <c r="M402" s="1375"/>
    </row>
    <row r="403" spans="1:13">
      <c r="A403" s="1360" t="s">
        <v>631</v>
      </c>
      <c r="B403" s="1360" t="s">
        <v>1039</v>
      </c>
      <c r="C403" s="1361">
        <f>354.96588*0.95*(12+1-11)/12*0.0725/4</f>
        <v>1.0186781243749998</v>
      </c>
      <c r="D403" s="1362">
        <f>354.96588*0.95*(12+2-11)/12*0.0725/4</f>
        <v>1.5280171865624999</v>
      </c>
      <c r="E403" s="1362">
        <f>354.96588*0.95*(12+3-11)/12*0.0725/4</f>
        <v>2.0373562487499997</v>
      </c>
      <c r="F403" s="1362">
        <f>354.96588*0.95*(12+4-11)/12*0.0725/4</f>
        <v>2.5466953109374999</v>
      </c>
      <c r="G403" s="1363">
        <f>C403+D403+E403+F403</f>
        <v>7.1307468706249981</v>
      </c>
      <c r="H403" s="1375"/>
      <c r="I403" s="1375"/>
      <c r="J403" s="1375"/>
      <c r="K403" s="1375"/>
      <c r="L403" s="1375"/>
      <c r="M403" s="1375"/>
    </row>
    <row r="404" spans="1:13" ht="13.5" thickBot="1">
      <c r="A404" s="1360" t="s">
        <v>1040</v>
      </c>
      <c r="B404" s="1360" t="s">
        <v>1041</v>
      </c>
      <c r="C404" s="1361">
        <f>354.96588*0.95*(12+1-12)/12*0.0725/4</f>
        <v>0.50933906218749991</v>
      </c>
      <c r="D404" s="1362">
        <f>354.96588*0.95*(12+2-12)/12*0.0725/4</f>
        <v>1.0186781243749998</v>
      </c>
      <c r="E404" s="1362">
        <f>354.96588*0.95*(12+3-12)/12*0.0725/4</f>
        <v>1.5280171865624999</v>
      </c>
      <c r="F404" s="1362">
        <f>354.96588*0.95*(12+4-12)/12*0.0725/4</f>
        <v>2.0373562487499997</v>
      </c>
      <c r="G404" s="1363">
        <f>C404+D404+E404+F404</f>
        <v>5.0933906218749989</v>
      </c>
      <c r="H404" s="1375"/>
      <c r="I404" s="1375"/>
      <c r="J404" s="1375"/>
      <c r="K404" s="1375"/>
      <c r="L404" s="1375"/>
      <c r="M404" s="1375"/>
    </row>
    <row r="405" spans="1:13" ht="13.5" thickBot="1">
      <c r="A405" s="1367" t="s">
        <v>198</v>
      </c>
      <c r="B405" s="1368" t="s">
        <v>201</v>
      </c>
      <c r="C405" s="1369">
        <f>C390+C395+C400</f>
        <v>39.728446850624998</v>
      </c>
      <c r="D405" s="1369">
        <f>D390+D395+D400</f>
        <v>45.840515596874987</v>
      </c>
      <c r="E405" s="1369">
        <f>E390+E395+E400</f>
        <v>51.95258434312499</v>
      </c>
      <c r="F405" s="1369">
        <f>F390+F395+F400</f>
        <v>58.064653089374993</v>
      </c>
      <c r="G405" s="1369">
        <f>G390+G395+G400</f>
        <v>195.58619987999995</v>
      </c>
      <c r="H405" s="1375"/>
      <c r="I405" s="1375">
        <f>G405/1.18</f>
        <v>165.75101684745761</v>
      </c>
      <c r="J405" s="1375">
        <f>G390/1.18</f>
        <v>82.875508423728803</v>
      </c>
      <c r="K405" s="1375">
        <f>G395/1.18</f>
        <v>55.250338949152521</v>
      </c>
      <c r="L405" s="1375">
        <f>G400/1.18</f>
        <v>27.625169474576261</v>
      </c>
      <c r="M405" s="1375"/>
    </row>
    <row r="406" spans="1:13">
      <c r="H406" s="1375"/>
      <c r="I406" s="1375"/>
      <c r="J406" s="1375"/>
      <c r="K406" s="1375"/>
      <c r="L406" s="1375"/>
      <c r="M406" s="1375"/>
    </row>
    <row r="407" spans="1:13">
      <c r="H407" s="1375"/>
      <c r="I407" s="1375"/>
      <c r="J407" s="1375"/>
      <c r="K407" s="1375"/>
      <c r="L407" s="1375"/>
      <c r="M407" s="1375"/>
    </row>
    <row r="408" spans="1:13" ht="26.25" thickBot="1">
      <c r="B408" s="1341" t="s">
        <v>1106</v>
      </c>
      <c r="C408" s="1342" t="s">
        <v>1107</v>
      </c>
      <c r="D408" s="1342"/>
      <c r="E408" s="1342"/>
      <c r="F408" s="1390" t="s">
        <v>1108</v>
      </c>
      <c r="H408" s="1375"/>
      <c r="I408" s="1375"/>
      <c r="J408" s="1375"/>
      <c r="K408" s="1375"/>
      <c r="L408" s="1375"/>
      <c r="M408" s="1375"/>
    </row>
    <row r="409" spans="1:13" ht="30.75" customHeight="1" thickBot="1">
      <c r="A409" s="1343" t="s">
        <v>1018</v>
      </c>
      <c r="B409" s="1344" t="s">
        <v>1019</v>
      </c>
      <c r="C409" s="1345" t="s">
        <v>1020</v>
      </c>
      <c r="D409" s="1346"/>
      <c r="E409" s="1346"/>
      <c r="F409" s="1346"/>
      <c r="G409" s="1347"/>
      <c r="H409" s="1375"/>
      <c r="I409" s="1375"/>
      <c r="J409" s="1375"/>
      <c r="K409" s="1375"/>
      <c r="L409" s="1375"/>
      <c r="M409" s="1375"/>
    </row>
    <row r="410" spans="1:13" ht="64.5" thickBot="1">
      <c r="A410" s="1348"/>
      <c r="B410" s="1349"/>
      <c r="C410" s="1350" t="s">
        <v>1021</v>
      </c>
      <c r="D410" s="1351" t="s">
        <v>1022</v>
      </c>
      <c r="E410" s="1351" t="s">
        <v>1023</v>
      </c>
      <c r="F410" s="1351" t="s">
        <v>1024</v>
      </c>
      <c r="G410" s="1313" t="s">
        <v>1025</v>
      </c>
      <c r="H410" s="1375"/>
      <c r="I410" s="1375"/>
      <c r="J410" s="1375"/>
      <c r="K410" s="1375"/>
      <c r="L410" s="1375"/>
      <c r="M410" s="1375"/>
    </row>
    <row r="411" spans="1:13">
      <c r="A411" s="1353" t="s">
        <v>14</v>
      </c>
      <c r="B411" s="1354" t="s">
        <v>1099</v>
      </c>
      <c r="C411" s="1378">
        <f>C415</f>
        <v>21.085279717187497</v>
      </c>
      <c r="D411" s="1379">
        <f>D415</f>
        <v>22.842386360286458</v>
      </c>
      <c r="E411" s="1379">
        <f>E415</f>
        <v>24.599493003385415</v>
      </c>
      <c r="F411" s="1379">
        <f>F415</f>
        <v>26.356599646484373</v>
      </c>
      <c r="G411" s="1357">
        <f>G412+G413+G414+G415</f>
        <v>94.883758727343746</v>
      </c>
      <c r="H411" s="1375"/>
      <c r="I411" s="1375"/>
      <c r="J411" s="1375"/>
      <c r="K411" s="1375"/>
      <c r="L411" s="1375"/>
      <c r="M411" s="1375"/>
    </row>
    <row r="412" spans="1:13">
      <c r="A412" s="1359" t="s">
        <v>381</v>
      </c>
      <c r="B412" s="1360"/>
      <c r="C412" s="1380"/>
      <c r="D412" s="1381"/>
      <c r="E412" s="1381"/>
      <c r="F412" s="1381"/>
      <c r="G412" s="1382"/>
      <c r="H412" s="1375"/>
      <c r="I412" s="1375"/>
      <c r="J412" s="1375"/>
      <c r="K412" s="1375"/>
      <c r="L412" s="1375"/>
      <c r="M412" s="1375"/>
    </row>
    <row r="413" spans="1:13">
      <c r="A413" s="1360" t="s">
        <v>393</v>
      </c>
      <c r="B413" s="1360"/>
      <c r="C413" s="1380"/>
      <c r="D413" s="1381"/>
      <c r="E413" s="1381"/>
      <c r="F413" s="1381"/>
      <c r="G413" s="1382"/>
      <c r="H413" s="1375"/>
      <c r="I413" s="1375"/>
      <c r="J413" s="1375"/>
      <c r="K413" s="1375"/>
      <c r="L413" s="1375"/>
      <c r="M413" s="1375"/>
    </row>
    <row r="414" spans="1:13">
      <c r="A414" s="1360" t="s">
        <v>21</v>
      </c>
      <c r="B414" s="1360"/>
      <c r="C414" s="1380"/>
      <c r="D414" s="1381"/>
      <c r="E414" s="1381"/>
      <c r="F414" s="1381"/>
      <c r="G414" s="1382"/>
      <c r="H414" s="1375"/>
      <c r="I414" s="1375"/>
      <c r="J414" s="1375"/>
      <c r="K414" s="1375"/>
      <c r="L414" s="1375"/>
      <c r="M414" s="1375"/>
    </row>
    <row r="415" spans="1:13">
      <c r="A415" s="1360" t="s">
        <v>23</v>
      </c>
      <c r="B415" s="1360" t="s">
        <v>1027</v>
      </c>
      <c r="C415" s="1361">
        <f>1224.55345*0.95*(12+1-1)/12*0.0725/4</f>
        <v>21.085279717187497</v>
      </c>
      <c r="D415" s="1362">
        <f>1224.55345*0.95*(12+2-1)/12*0.0725/4</f>
        <v>22.842386360286458</v>
      </c>
      <c r="E415" s="1362">
        <f>1224.55345*0.95*(12+3-1)/12*0.0725/4</f>
        <v>24.599493003385415</v>
      </c>
      <c r="F415" s="1362">
        <f>1224.55345*0.95*(12+4-1)/12*0.0725/4</f>
        <v>26.356599646484373</v>
      </c>
      <c r="G415" s="1363">
        <f>C415+D415+E415+F415</f>
        <v>94.883758727343746</v>
      </c>
      <c r="H415" s="1375"/>
      <c r="I415" s="1375"/>
      <c r="J415" s="1375"/>
      <c r="K415" s="1375"/>
      <c r="L415" s="1375"/>
      <c r="M415" s="1375"/>
    </row>
    <row r="416" spans="1:13">
      <c r="A416" s="1360" t="s">
        <v>135</v>
      </c>
      <c r="B416" s="1365" t="s">
        <v>1090</v>
      </c>
      <c r="C416" s="1355">
        <f>C417+C418+C419+C420</f>
        <v>66.770052437760413</v>
      </c>
      <c r="D416" s="1356">
        <f>D417+D418+D419+D420</f>
        <v>73.798479010156242</v>
      </c>
      <c r="E416" s="1356">
        <f>E417+E418+E419+E420</f>
        <v>80.826905582552087</v>
      </c>
      <c r="F416" s="1356">
        <f>F417+F418+F419+F420</f>
        <v>87.855332154947916</v>
      </c>
      <c r="G416" s="1357">
        <f>G417+G418+G419+G420</f>
        <v>309.25076918541663</v>
      </c>
      <c r="H416" s="1375"/>
      <c r="I416" s="1375"/>
      <c r="J416" s="1375"/>
      <c r="K416" s="1375"/>
      <c r="L416" s="1375"/>
      <c r="M416" s="1375"/>
    </row>
    <row r="417" spans="1:13">
      <c r="A417" s="1360" t="s">
        <v>167</v>
      </c>
      <c r="B417" s="1360" t="s">
        <v>1028</v>
      </c>
      <c r="C417" s="1361">
        <f>1224.55345*0.95*(12+1-2)/12*0.0725/4</f>
        <v>19.328173074088539</v>
      </c>
      <c r="D417" s="1362">
        <f>1224.55345*0.95*(12+2-2)/12*0.0725/4</f>
        <v>21.085279717187497</v>
      </c>
      <c r="E417" s="1362">
        <f>1224.55345*0.95*(12+3-2)/12*0.0725/4</f>
        <v>22.842386360286458</v>
      </c>
      <c r="F417" s="1362">
        <f>1224.55345*0.95*(12+4-2)/12*0.0725/4</f>
        <v>24.599493003385415</v>
      </c>
      <c r="G417" s="1363">
        <f>C417+D417+E417+F417</f>
        <v>87.855332154947916</v>
      </c>
      <c r="H417" s="1375"/>
      <c r="I417" s="1375"/>
      <c r="J417" s="1375"/>
      <c r="K417" s="1375"/>
      <c r="L417" s="1375"/>
      <c r="M417" s="1375"/>
    </row>
    <row r="418" spans="1:13">
      <c r="A418" s="1360" t="s">
        <v>173</v>
      </c>
      <c r="B418" s="1360" t="s">
        <v>1029</v>
      </c>
      <c r="C418" s="1361">
        <f>1224.55345*0.95*(12+1-3)/12*0.0725/4</f>
        <v>17.571066430989582</v>
      </c>
      <c r="D418" s="1362">
        <f>1224.55345*0.95*(12+2-3)/12*0.0725/4</f>
        <v>19.328173074088539</v>
      </c>
      <c r="E418" s="1362">
        <f>1224.55345*0.95*(12+3-3)/12*0.0725/4</f>
        <v>21.085279717187497</v>
      </c>
      <c r="F418" s="1362">
        <f>1224.55345*0.95*(12+4-3)/12*0.0725/4</f>
        <v>22.842386360286458</v>
      </c>
      <c r="G418" s="1363">
        <f>C418+D418+E418+F418</f>
        <v>80.826905582552072</v>
      </c>
      <c r="H418" s="1375"/>
      <c r="I418" s="1375"/>
      <c r="J418" s="1375"/>
      <c r="K418" s="1375"/>
      <c r="L418" s="1375"/>
      <c r="M418" s="1375"/>
    </row>
    <row r="419" spans="1:13">
      <c r="A419" s="1360" t="s">
        <v>180</v>
      </c>
      <c r="B419" s="1360" t="s">
        <v>1030</v>
      </c>
      <c r="C419" s="1361">
        <f>1224.55345*0.95*(12+1-4)/12*0.0725/4</f>
        <v>15.813959787890624</v>
      </c>
      <c r="D419" s="1362">
        <f>1224.55345*0.95*(12+2-4)/12*0.0725/4</f>
        <v>17.571066430989582</v>
      </c>
      <c r="E419" s="1362">
        <f>1224.55345*0.95*(12+3-4)/12*0.0725/4</f>
        <v>19.328173074088539</v>
      </c>
      <c r="F419" s="1362">
        <f>1224.55345*0.95*(12+4-4)/12*0.0725/4</f>
        <v>21.085279717187497</v>
      </c>
      <c r="G419" s="1363">
        <f>C419+D419+E419+F419</f>
        <v>73.798479010156242</v>
      </c>
      <c r="H419" s="1375"/>
      <c r="I419" s="1375"/>
      <c r="J419" s="1375"/>
      <c r="K419" s="1375"/>
      <c r="L419" s="1375"/>
      <c r="M419" s="1375"/>
    </row>
    <row r="420" spans="1:13">
      <c r="A420" s="1360" t="s">
        <v>182</v>
      </c>
      <c r="B420" s="1360" t="s">
        <v>1032</v>
      </c>
      <c r="C420" s="1361">
        <f>1224.55345*0.95*(12+1-5)/12*0.0725/4</f>
        <v>14.056853144791665</v>
      </c>
      <c r="D420" s="1362">
        <f>1224.55345*0.95*(12+2-5)/12*0.0725/4</f>
        <v>15.813959787890624</v>
      </c>
      <c r="E420" s="1362">
        <f>1224.55345*0.95*(12+3-5)/12*0.0725/4</f>
        <v>17.571066430989582</v>
      </c>
      <c r="F420" s="1362">
        <f>1224.55345*0.95*(12+4-5)/12*0.0725/4</f>
        <v>19.328173074088539</v>
      </c>
      <c r="G420" s="1363">
        <f>C420+D420+E420+F420</f>
        <v>66.770052437760413</v>
      </c>
      <c r="H420" s="1375"/>
      <c r="I420" s="1375"/>
      <c r="J420" s="1375"/>
      <c r="K420" s="1375"/>
      <c r="L420" s="1375"/>
      <c r="M420" s="1375"/>
    </row>
    <row r="421" spans="1:13">
      <c r="A421" s="1360" t="s">
        <v>191</v>
      </c>
      <c r="B421" s="1365" t="s">
        <v>1091</v>
      </c>
      <c r="C421" s="1355">
        <f>C422+C423+C424+C425</f>
        <v>38.656346148177079</v>
      </c>
      <c r="D421" s="1356">
        <f>D422+D423+D424+D425</f>
        <v>45.684772720572909</v>
      </c>
      <c r="E421" s="1356">
        <f>E422+E423+E424+E425</f>
        <v>52.713199292968753</v>
      </c>
      <c r="F421" s="1356">
        <f>F422+F423+F424+F425</f>
        <v>59.741625865364583</v>
      </c>
      <c r="G421" s="1357">
        <f>G422+G423+G424+G425</f>
        <v>196.79594402708332</v>
      </c>
      <c r="H421" s="1375"/>
      <c r="I421" s="1375"/>
      <c r="J421" s="1375"/>
      <c r="K421" s="1375"/>
      <c r="L421" s="1375"/>
      <c r="M421" s="1375"/>
    </row>
    <row r="422" spans="1:13">
      <c r="A422" s="1360" t="s">
        <v>192</v>
      </c>
      <c r="B422" s="1360" t="s">
        <v>1033</v>
      </c>
      <c r="C422" s="1361">
        <f>1224.55345*0.95*(12+1-6)/12*0.0725/4</f>
        <v>12.299746501692708</v>
      </c>
      <c r="D422" s="1362">
        <f>1224.55345*0.95*(12+2-6)/12*0.0725/4</f>
        <v>14.056853144791665</v>
      </c>
      <c r="E422" s="1362">
        <f>1224.55345*0.95*(12+3-6)/12*0.0725/4</f>
        <v>15.813959787890624</v>
      </c>
      <c r="F422" s="1362">
        <f>1224.55345*0.95*(12+4-6)/12*0.0725/4</f>
        <v>17.571066430989582</v>
      </c>
      <c r="G422" s="1363">
        <f>C422+D422+E422+F422</f>
        <v>59.741625865364576</v>
      </c>
      <c r="H422" s="1375"/>
      <c r="I422" s="1375"/>
      <c r="J422" s="1375"/>
      <c r="K422" s="1375"/>
      <c r="L422" s="1375"/>
      <c r="M422" s="1375"/>
    </row>
    <row r="423" spans="1:13">
      <c r="A423" s="1360" t="s">
        <v>195</v>
      </c>
      <c r="B423" s="1360" t="s">
        <v>1034</v>
      </c>
      <c r="C423" s="1361">
        <f>1224.55345*0.95*(12+1-7)/12*0.0725/4</f>
        <v>10.542639858593748</v>
      </c>
      <c r="D423" s="1362">
        <f>1224.55345*0.95*(12+2-7)/12*0.0725/4</f>
        <v>12.299746501692708</v>
      </c>
      <c r="E423" s="1362">
        <f>1224.55345*0.95*(12+3-7)/12*0.0725/4</f>
        <v>14.056853144791665</v>
      </c>
      <c r="F423" s="1362">
        <f>1224.55345*0.95*(12+4-7)/12*0.0725/4</f>
        <v>15.813959787890624</v>
      </c>
      <c r="G423" s="1363">
        <f>C423+D423+E423+F423</f>
        <v>52.713199292968746</v>
      </c>
      <c r="H423" s="1375"/>
      <c r="I423" s="1375"/>
      <c r="J423" s="1375"/>
      <c r="K423" s="1375"/>
      <c r="L423" s="1375"/>
      <c r="M423" s="1375"/>
    </row>
    <row r="424" spans="1:13">
      <c r="A424" s="1360" t="s">
        <v>631</v>
      </c>
      <c r="B424" s="1360" t="s">
        <v>1035</v>
      </c>
      <c r="C424" s="1361">
        <f>1224.55345*0.95*(12+1-8)/12*0.0725/4</f>
        <v>8.7855332154947909</v>
      </c>
      <c r="D424" s="1362">
        <f>1224.55345*0.95*(12+2-8)/12*0.0725/4</f>
        <v>10.542639858593748</v>
      </c>
      <c r="E424" s="1362">
        <f>1224.55345*0.95*(12+3-8)/12*0.0725/4</f>
        <v>12.299746501692708</v>
      </c>
      <c r="F424" s="1362">
        <f>1224.55345*0.95*(12+4-8)/12*0.0725/4</f>
        <v>14.056853144791665</v>
      </c>
      <c r="G424" s="1363">
        <f>C424+D424+E424+F424</f>
        <v>45.684772720572916</v>
      </c>
      <c r="H424" s="1375"/>
      <c r="I424" s="1375"/>
      <c r="J424" s="1375"/>
      <c r="K424" s="1375"/>
      <c r="L424" s="1375"/>
      <c r="M424" s="1375"/>
    </row>
    <row r="425" spans="1:13">
      <c r="A425" s="1360" t="s">
        <v>1040</v>
      </c>
      <c r="B425" s="1360" t="s">
        <v>1037</v>
      </c>
      <c r="C425" s="1361">
        <f>1224.55345*0.95*(12+1-9)/12*0.0725/4</f>
        <v>7.0284265723958326</v>
      </c>
      <c r="D425" s="1362">
        <f>1224.55345*0.95*(12+2-9)/12*0.0725/4</f>
        <v>8.7855332154947909</v>
      </c>
      <c r="E425" s="1362">
        <f>1224.55345*0.95*(12+3-9)/12*0.0725/4</f>
        <v>10.542639858593748</v>
      </c>
      <c r="F425" s="1362">
        <f>1224.55345*0.95*(12+4-9)/12*0.0725/4</f>
        <v>12.299746501692708</v>
      </c>
      <c r="G425" s="1363">
        <f>C425+D425+E425+F425</f>
        <v>38.656346148177079</v>
      </c>
      <c r="H425" s="1375"/>
      <c r="I425" s="1375"/>
      <c r="J425" s="1375"/>
      <c r="K425" s="1375"/>
      <c r="L425" s="1375"/>
      <c r="M425" s="1375"/>
    </row>
    <row r="426" spans="1:13">
      <c r="A426" s="1360" t="s">
        <v>198</v>
      </c>
      <c r="B426" s="1365" t="s">
        <v>1095</v>
      </c>
      <c r="C426" s="1355">
        <f>C427+C428+C429+C430</f>
        <v>10.542639858593748</v>
      </c>
      <c r="D426" s="1356">
        <f>D427+D428+D429+D430</f>
        <v>15.813959787890623</v>
      </c>
      <c r="E426" s="1356">
        <f>E427+E428+E429+E430</f>
        <v>21.085279717187497</v>
      </c>
      <c r="F426" s="1356">
        <f>F427+F428+F429+F430</f>
        <v>26.356599646484373</v>
      </c>
      <c r="G426" s="1357">
        <f>G427+G428+G429+G430</f>
        <v>73.798479010156242</v>
      </c>
      <c r="H426" s="1375"/>
      <c r="I426" s="1375"/>
      <c r="J426" s="1375"/>
      <c r="K426" s="1375"/>
      <c r="L426" s="1375"/>
      <c r="M426" s="1375"/>
    </row>
    <row r="427" spans="1:13">
      <c r="A427" s="1360" t="s">
        <v>199</v>
      </c>
      <c r="B427" s="1360" t="s">
        <v>1038</v>
      </c>
      <c r="C427" s="1361">
        <f>1224.55345*0.95*(12+1-10)/12*0.0725/4</f>
        <v>5.2713199292968742</v>
      </c>
      <c r="D427" s="1362">
        <f>1224.55345*0.95*(12+2-10)/12*0.0725/4</f>
        <v>7.0284265723958326</v>
      </c>
      <c r="E427" s="1362">
        <f>1224.55345*0.95*(12+3-10)/12*0.0725/4</f>
        <v>8.7855332154947909</v>
      </c>
      <c r="F427" s="1362">
        <f>1224.55345*0.95*(12+4-10)/12*0.0725/4</f>
        <v>10.542639858593748</v>
      </c>
      <c r="G427" s="1363">
        <f>C427+D427+E427+F427</f>
        <v>31.627919575781245</v>
      </c>
      <c r="H427" s="1375"/>
      <c r="I427" s="1375"/>
      <c r="J427" s="1375"/>
      <c r="K427" s="1375"/>
      <c r="L427" s="1375"/>
      <c r="M427" s="1375"/>
    </row>
    <row r="428" spans="1:13">
      <c r="A428" s="1360" t="s">
        <v>637</v>
      </c>
      <c r="B428" s="1360" t="s">
        <v>1039</v>
      </c>
      <c r="C428" s="1361">
        <f>1224.55345*0.95*(12+1-11)/12*0.0725/4</f>
        <v>3.5142132861979163</v>
      </c>
      <c r="D428" s="1362">
        <f>1224.55345*0.95*(12+2-11)/12*0.0725/4</f>
        <v>5.2713199292968742</v>
      </c>
      <c r="E428" s="1362">
        <f>1224.55345*0.95*(12+3-11)/12*0.0725/4</f>
        <v>7.0284265723958326</v>
      </c>
      <c r="F428" s="1362">
        <f>1224.55345*0.95*(12+4-11)/12*0.0725/4</f>
        <v>8.7855332154947909</v>
      </c>
      <c r="G428" s="1363">
        <f>C428+D428+E428+F428</f>
        <v>24.599493003385415</v>
      </c>
      <c r="H428" s="1375"/>
      <c r="I428" s="1375"/>
      <c r="J428" s="1375"/>
      <c r="K428" s="1375"/>
      <c r="L428" s="1375"/>
      <c r="M428" s="1375"/>
    </row>
    <row r="429" spans="1:13">
      <c r="A429" s="1360" t="s">
        <v>1050</v>
      </c>
      <c r="B429" s="1360" t="s">
        <v>1041</v>
      </c>
      <c r="C429" s="1361">
        <f>1224.55345*0.95*(12+1-12)/12*0.0725/4</f>
        <v>1.7571066430989581</v>
      </c>
      <c r="D429" s="1362">
        <f>1224.55345*0.95*(12+2-12)/12*0.0725/4</f>
        <v>3.5142132861979163</v>
      </c>
      <c r="E429" s="1362">
        <f>1224.55345*0.95*(12+3-12)/12*0.0725/4</f>
        <v>5.2713199292968742</v>
      </c>
      <c r="F429" s="1362">
        <f>1224.55345*0.95*(12+4-12)/12*0.0725/4</f>
        <v>7.0284265723958326</v>
      </c>
      <c r="G429" s="1363">
        <f>C429+D429+E429+F429</f>
        <v>17.571066430989582</v>
      </c>
      <c r="H429" s="1375"/>
      <c r="I429" s="1375"/>
      <c r="J429" s="1375"/>
      <c r="K429" s="1375"/>
      <c r="L429" s="1375"/>
      <c r="M429" s="1375"/>
    </row>
    <row r="430" spans="1:13" ht="13.5" thickBot="1">
      <c r="A430" s="1360" t="s">
        <v>1051</v>
      </c>
      <c r="B430" s="1360"/>
      <c r="C430" s="1361"/>
      <c r="D430" s="1362"/>
      <c r="E430" s="1362"/>
      <c r="F430" s="1362"/>
      <c r="G430" s="1363">
        <f>C430+D430+E430+F430</f>
        <v>0</v>
      </c>
      <c r="H430" s="1375"/>
      <c r="I430" s="1375"/>
      <c r="J430" s="1375"/>
      <c r="K430" s="1375"/>
      <c r="L430" s="1375"/>
      <c r="M430" s="1375"/>
    </row>
    <row r="431" spans="1:13" ht="13.5" thickBot="1">
      <c r="A431" s="1367" t="s">
        <v>351</v>
      </c>
      <c r="B431" s="1368" t="s">
        <v>201</v>
      </c>
      <c r="C431" s="1369">
        <f>C411+C416+C421+C426</f>
        <v>137.05431816171875</v>
      </c>
      <c r="D431" s="1370">
        <f>D411+D416+D421+D426</f>
        <v>158.13959787890622</v>
      </c>
      <c r="E431" s="1370">
        <f>E411+E416+E421+E426</f>
        <v>179.22487759609376</v>
      </c>
      <c r="F431" s="1370">
        <f>F411+F416+F421+F426</f>
        <v>200.31015731328125</v>
      </c>
      <c r="G431" s="1371">
        <f>G411+G416+G421+G426</f>
        <v>674.72895095000001</v>
      </c>
      <c r="H431" s="1375"/>
      <c r="I431" s="1375">
        <f>G431/1.18</f>
        <v>571.80419572033907</v>
      </c>
      <c r="J431" s="1375">
        <f>G416/1.18</f>
        <v>262.0769230384887</v>
      </c>
      <c r="K431" s="1375">
        <f>G421/1.18</f>
        <v>166.77622375176554</v>
      </c>
      <c r="L431" s="1375">
        <f>G426/1.18</f>
        <v>62.541083906912071</v>
      </c>
      <c r="M431" s="1375"/>
    </row>
    <row r="432" spans="1:13">
      <c r="H432" s="1375"/>
      <c r="I432" s="1375"/>
      <c r="J432" s="1375"/>
      <c r="K432" s="1375"/>
      <c r="L432" s="1375"/>
      <c r="M432" s="1375"/>
    </row>
    <row r="433" spans="1:13">
      <c r="H433" s="1375"/>
      <c r="I433" s="1375"/>
      <c r="J433" s="1375"/>
      <c r="K433" s="1375"/>
      <c r="L433" s="1375"/>
      <c r="M433" s="1375"/>
    </row>
    <row r="434" spans="1:13" ht="26.25" thickBot="1">
      <c r="B434" s="1341" t="s">
        <v>1109</v>
      </c>
      <c r="C434" s="1342" t="s">
        <v>1110</v>
      </c>
      <c r="D434" s="1342"/>
      <c r="E434" s="1342"/>
      <c r="F434" s="1390" t="s">
        <v>1111</v>
      </c>
      <c r="H434" s="1375"/>
      <c r="I434" s="1375"/>
      <c r="J434" s="1375"/>
      <c r="K434" s="1375"/>
      <c r="L434" s="1375"/>
      <c r="M434" s="1375"/>
    </row>
    <row r="435" spans="1:13" ht="33" customHeight="1" thickBot="1">
      <c r="A435" s="1343" t="s">
        <v>1018</v>
      </c>
      <c r="B435" s="1344" t="s">
        <v>1019</v>
      </c>
      <c r="C435" s="1345" t="s">
        <v>1020</v>
      </c>
      <c r="D435" s="1346"/>
      <c r="E435" s="1346"/>
      <c r="F435" s="1346"/>
      <c r="G435" s="1347"/>
      <c r="H435" s="1375"/>
      <c r="I435" s="1375"/>
      <c r="J435" s="1375"/>
      <c r="K435" s="1375"/>
      <c r="L435" s="1375"/>
      <c r="M435" s="1375"/>
    </row>
    <row r="436" spans="1:13" ht="64.5" thickBot="1">
      <c r="A436" s="1348"/>
      <c r="B436" s="1349"/>
      <c r="C436" s="1350" t="s">
        <v>1021</v>
      </c>
      <c r="D436" s="1351" t="s">
        <v>1022</v>
      </c>
      <c r="E436" s="1351" t="s">
        <v>1023</v>
      </c>
      <c r="F436" s="1351" t="s">
        <v>1024</v>
      </c>
      <c r="G436" s="1313" t="s">
        <v>1025</v>
      </c>
      <c r="H436" s="1375"/>
      <c r="I436" s="1375"/>
      <c r="J436" s="1375"/>
      <c r="K436" s="1375"/>
      <c r="L436" s="1375"/>
      <c r="M436" s="1375"/>
    </row>
    <row r="437" spans="1:13">
      <c r="A437" s="1353" t="s">
        <v>14</v>
      </c>
      <c r="B437" s="1365" t="s">
        <v>1089</v>
      </c>
      <c r="C437" s="1355">
        <f>C439+C440+C441</f>
        <v>15.922107040260414</v>
      </c>
      <c r="D437" s="1355">
        <f>D439+D440+D441</f>
        <v>17.306638087239584</v>
      </c>
      <c r="E437" s="1355">
        <f>E439+E440+E441</f>
        <v>18.691169134218747</v>
      </c>
      <c r="F437" s="1355">
        <f>F439+F440+F441</f>
        <v>20.075700181197913</v>
      </c>
      <c r="G437" s="1357">
        <f>G439+G440+G441</f>
        <v>71.995614442916661</v>
      </c>
      <c r="H437" s="1374"/>
      <c r="I437" s="1374"/>
    </row>
    <row r="438" spans="1:13">
      <c r="A438" s="1360" t="s">
        <v>381</v>
      </c>
      <c r="B438" s="1365"/>
      <c r="C438" s="1361"/>
      <c r="D438" s="1362"/>
      <c r="E438" s="1362"/>
      <c r="F438" s="1362"/>
      <c r="G438" s="1363"/>
      <c r="H438" s="1374"/>
      <c r="I438" s="1374"/>
    </row>
    <row r="439" spans="1:13">
      <c r="A439" s="1360" t="s">
        <v>393</v>
      </c>
      <c r="B439" s="1365"/>
      <c r="C439" s="1361"/>
      <c r="D439" s="1362"/>
      <c r="E439" s="1362"/>
      <c r="F439" s="1362"/>
      <c r="G439" s="1363"/>
      <c r="H439" s="1374"/>
      <c r="I439" s="1374"/>
    </row>
    <row r="440" spans="1:13">
      <c r="A440" s="1360" t="s">
        <v>21</v>
      </c>
      <c r="B440" s="1360" t="s">
        <v>1027</v>
      </c>
      <c r="C440" s="1361">
        <f>482.45002*0.95*(12+1-1)/12*0.0725/4</f>
        <v>8.3071862818749995</v>
      </c>
      <c r="D440" s="1362">
        <f>482.45002*0.95*(12+2-1)/12*0.0725/4</f>
        <v>8.9994518053645827</v>
      </c>
      <c r="E440" s="1362">
        <f>482.45002*0.95*(12+3-1)/12*0.0725/4</f>
        <v>9.6917173288541658</v>
      </c>
      <c r="F440" s="1362">
        <f>482.45002*0.95*(12+4-1)/12*0.0725/4</f>
        <v>10.383982852343747</v>
      </c>
      <c r="G440" s="1363">
        <f>C440+D440+E440+F440</f>
        <v>37.382338268437501</v>
      </c>
      <c r="H440" s="1374"/>
      <c r="I440" s="1374"/>
    </row>
    <row r="441" spans="1:13">
      <c r="A441" s="1360" t="s">
        <v>23</v>
      </c>
      <c r="B441" s="1360" t="s">
        <v>1028</v>
      </c>
      <c r="C441" s="1361">
        <f>482.45002*0.95*(12+1-2)/12*0.0725/4</f>
        <v>7.6149207583854155</v>
      </c>
      <c r="D441" s="1362">
        <f>482.45002*0.95*(12+2-2)/12*0.0725/4</f>
        <v>8.3071862818749995</v>
      </c>
      <c r="E441" s="1362">
        <f>482.45002*0.95*(12+3-2)/12*0.0725/4</f>
        <v>8.9994518053645827</v>
      </c>
      <c r="F441" s="1362">
        <f>482.45002*0.95*(12+4-2)/12*0.0725/4</f>
        <v>9.6917173288541658</v>
      </c>
      <c r="G441" s="1363">
        <f>C441+D441+E441+F441</f>
        <v>34.613276174479161</v>
      </c>
      <c r="H441" s="1374"/>
      <c r="I441" s="1374"/>
    </row>
    <row r="442" spans="1:13">
      <c r="A442" s="1360" t="s">
        <v>135</v>
      </c>
      <c r="B442" s="1365" t="s">
        <v>1090</v>
      </c>
      <c r="C442" s="1355">
        <f>C443+C444+C445+C446</f>
        <v>23.537027798645834</v>
      </c>
      <c r="D442" s="1356">
        <f>D443+D444+D445+D446</f>
        <v>26.306089892604163</v>
      </c>
      <c r="E442" s="1356">
        <f>E443+E444+E445+E446</f>
        <v>29.075151986562499</v>
      </c>
      <c r="F442" s="1356">
        <f>F443+F444+F445+F446</f>
        <v>31.844214080520835</v>
      </c>
      <c r="G442" s="1357">
        <f>G443+G444+G445+G446</f>
        <v>110.76248375833333</v>
      </c>
      <c r="H442" s="1374"/>
      <c r="I442" s="1374"/>
    </row>
    <row r="443" spans="1:13">
      <c r="A443" s="1360" t="s">
        <v>167</v>
      </c>
      <c r="B443" s="1360" t="s">
        <v>1029</v>
      </c>
      <c r="C443" s="1361">
        <f>482.45002*0.95*(12+1-3)/12*0.0725/4</f>
        <v>6.9226552348958332</v>
      </c>
      <c r="D443" s="1362">
        <f>482.45002*0.95*(12+2-3)/12*0.0725/4</f>
        <v>7.6149207583854155</v>
      </c>
      <c r="E443" s="1362">
        <f>482.45002*0.95*(12+3-3)/12*0.0725/4</f>
        <v>8.3071862818749995</v>
      </c>
      <c r="F443" s="1362">
        <f>482.45002*0.95*(12+4-3)/12*0.0725/4</f>
        <v>8.9994518053645827</v>
      </c>
      <c r="G443" s="1363">
        <f>C443+D443+E443+F443</f>
        <v>31.844214080520832</v>
      </c>
      <c r="H443" s="1374"/>
      <c r="I443" s="1374"/>
    </row>
    <row r="444" spans="1:13">
      <c r="A444" s="1360" t="s">
        <v>173</v>
      </c>
      <c r="B444" s="1360" t="s">
        <v>1030</v>
      </c>
      <c r="C444" s="1361">
        <f>482.45002*0.95*(12+1-4)/12*0.0725/4</f>
        <v>6.2303897114062501</v>
      </c>
      <c r="D444" s="1362">
        <f>482.45002*0.95*(12+2-4)/12*0.0725/4</f>
        <v>6.9226552348958332</v>
      </c>
      <c r="E444" s="1362">
        <f>482.45002*0.95*(12+3-4)/12*0.0725/4</f>
        <v>7.6149207583854155</v>
      </c>
      <c r="F444" s="1362">
        <f>482.45002*0.95*(12+4-4)/12*0.0725/4</f>
        <v>8.3071862818749995</v>
      </c>
      <c r="G444" s="1363">
        <f>C444+D444+E444+F444</f>
        <v>29.075151986562496</v>
      </c>
      <c r="H444" s="1374"/>
      <c r="I444" s="1374"/>
    </row>
    <row r="445" spans="1:13">
      <c r="A445" s="1360" t="s">
        <v>180</v>
      </c>
      <c r="B445" s="1360" t="s">
        <v>1032</v>
      </c>
      <c r="C445" s="1361">
        <f>482.45002*0.95*(12+1-5)/12*0.0725/4</f>
        <v>5.5381241879166661</v>
      </c>
      <c r="D445" s="1362">
        <f>482.45002*0.95*(12+2-5)/12*0.0725/4</f>
        <v>6.2303897114062501</v>
      </c>
      <c r="E445" s="1362">
        <f>482.45002*0.95*(12+3-5)/12*0.0725/4</f>
        <v>6.9226552348958332</v>
      </c>
      <c r="F445" s="1362">
        <f>482.45002*0.95*(12+4-5)/12*0.0725/4</f>
        <v>7.6149207583854155</v>
      </c>
      <c r="G445" s="1363">
        <f>C445+D445+E445+F445</f>
        <v>26.306089892604163</v>
      </c>
      <c r="H445" s="1374"/>
      <c r="I445" s="1374"/>
    </row>
    <row r="446" spans="1:13">
      <c r="A446" s="1360" t="s">
        <v>182</v>
      </c>
      <c r="B446" s="1360" t="s">
        <v>1033</v>
      </c>
      <c r="C446" s="1361">
        <f>482.45002*0.95*(12+1-6)/12*0.0725/4</f>
        <v>4.8458586644270829</v>
      </c>
      <c r="D446" s="1362">
        <f>482.45002*0.95*(12+2-6)/12*0.0725/4</f>
        <v>5.5381241879166661</v>
      </c>
      <c r="E446" s="1362">
        <f>482.45002*0.95*(12+3-6)/12*0.0725/4</f>
        <v>6.2303897114062501</v>
      </c>
      <c r="F446" s="1362">
        <f>482.45002*0.95*(12+4-6)/12*0.0725/4</f>
        <v>6.9226552348958332</v>
      </c>
      <c r="G446" s="1363">
        <f>C446+D446+E446+F446</f>
        <v>23.537027798645831</v>
      </c>
      <c r="H446" s="1374"/>
      <c r="I446" s="1374"/>
    </row>
    <row r="447" spans="1:13">
      <c r="A447" s="1360" t="s">
        <v>191</v>
      </c>
      <c r="B447" s="1365" t="s">
        <v>1091</v>
      </c>
      <c r="C447" s="1355">
        <f>C448+C449+C450+C451</f>
        <v>12.460779422812498</v>
      </c>
      <c r="D447" s="1356">
        <f>D448+D449+D450+D451</f>
        <v>15.229841516770833</v>
      </c>
      <c r="E447" s="1356">
        <f>E448+E449+E450+E451</f>
        <v>17.998903610729165</v>
      </c>
      <c r="F447" s="1356">
        <f>F448+F449+F450+F451</f>
        <v>20.767965704687498</v>
      </c>
      <c r="G447" s="1357">
        <f>G448+G449+G450+G451</f>
        <v>66.457490254999996</v>
      </c>
      <c r="H447" s="1374"/>
      <c r="I447" s="1374"/>
    </row>
    <row r="448" spans="1:13">
      <c r="A448" s="1360" t="s">
        <v>192</v>
      </c>
      <c r="B448" s="1360" t="s">
        <v>1034</v>
      </c>
      <c r="C448" s="1361">
        <f>482.45002*0.95*(12+1-7)/12*0.0725/4</f>
        <v>4.1535931409374998</v>
      </c>
      <c r="D448" s="1362">
        <f>482.45002*0.95*(12+2-7)/12*0.0725/4</f>
        <v>4.8458586644270829</v>
      </c>
      <c r="E448" s="1362">
        <f>482.45002*0.95*(12+3-7)/12*0.0725/4</f>
        <v>5.5381241879166661</v>
      </c>
      <c r="F448" s="1362">
        <f>482.45002*0.95*(12+4-7)/12*0.0725/4</f>
        <v>6.2303897114062501</v>
      </c>
      <c r="G448" s="1363">
        <f>C448+D448+E448+F448</f>
        <v>20.767965704687498</v>
      </c>
      <c r="H448" s="1374"/>
      <c r="I448" s="1374"/>
    </row>
    <row r="449" spans="1:12">
      <c r="A449" s="1360" t="s">
        <v>195</v>
      </c>
      <c r="B449" s="1360" t="s">
        <v>1035</v>
      </c>
      <c r="C449" s="1361">
        <f>482.45002*0.95*(12+1-8)/12*0.0725/4</f>
        <v>3.4613276174479166</v>
      </c>
      <c r="D449" s="1362">
        <f>482.45002*0.95*(12+2-8)/12*0.0725/4</f>
        <v>4.1535931409374998</v>
      </c>
      <c r="E449" s="1362">
        <f>482.45002*0.95*(12+3-8)/12*0.0725/4</f>
        <v>4.8458586644270829</v>
      </c>
      <c r="F449" s="1362">
        <f>482.45002*0.95*(12+4-8)/12*0.0725/4</f>
        <v>5.5381241879166661</v>
      </c>
      <c r="G449" s="1363">
        <f>C449+D449+E449+F449</f>
        <v>17.998903610729165</v>
      </c>
      <c r="H449" s="1374"/>
      <c r="I449" s="1374"/>
    </row>
    <row r="450" spans="1:12">
      <c r="A450" s="1360" t="s">
        <v>631</v>
      </c>
      <c r="B450" s="1360" t="s">
        <v>1037</v>
      </c>
      <c r="C450" s="1361">
        <f>482.45002*0.95*(12+1-9)/12*0.0725/4</f>
        <v>2.769062093958333</v>
      </c>
      <c r="D450" s="1362">
        <f>482.45002*0.95*(12+2-9)/12*0.0725/4</f>
        <v>3.4613276174479166</v>
      </c>
      <c r="E450" s="1362">
        <f>482.45002*0.95*(12+3-9)/12*0.0725/4</f>
        <v>4.1535931409374998</v>
      </c>
      <c r="F450" s="1362">
        <f>482.45002*0.95*(12+4-9)/12*0.0725/4</f>
        <v>4.8458586644270829</v>
      </c>
      <c r="G450" s="1363">
        <f>C450+D450+E450+F450</f>
        <v>15.229841516770833</v>
      </c>
      <c r="H450" s="1374"/>
      <c r="I450" s="1374"/>
    </row>
    <row r="451" spans="1:12">
      <c r="A451" s="1360" t="s">
        <v>1040</v>
      </c>
      <c r="B451" s="1360" t="s">
        <v>1038</v>
      </c>
      <c r="C451" s="1361">
        <f>482.45002*0.95*(12+1-10)/12*0.0725/4</f>
        <v>2.0767965704687499</v>
      </c>
      <c r="D451" s="1362">
        <f>482.45002*0.95*(12+2-10)/12*0.0725/4</f>
        <v>2.769062093958333</v>
      </c>
      <c r="E451" s="1362">
        <f>482.45002*0.95*(12+3-10)/12*0.0725/4</f>
        <v>3.4613276174479166</v>
      </c>
      <c r="F451" s="1362">
        <f>482.45002*0.95*(12+4-10)/12*0.0725/4</f>
        <v>4.1535931409374998</v>
      </c>
      <c r="G451" s="1363">
        <f>C451+D451+E451+F451</f>
        <v>12.4607794228125</v>
      </c>
      <c r="H451" s="1374"/>
      <c r="I451" s="1374"/>
      <c r="J451" s="1374"/>
      <c r="K451" s="1374"/>
      <c r="L451" s="1374"/>
    </row>
    <row r="452" spans="1:12">
      <c r="A452" s="1360" t="s">
        <v>198</v>
      </c>
      <c r="B452" s="1365" t="s">
        <v>1095</v>
      </c>
      <c r="C452" s="1355">
        <f>C453+C454+C455+C456</f>
        <v>2.0767965704687499</v>
      </c>
      <c r="D452" s="1356">
        <f>D453+D454+D455+D456</f>
        <v>3.4613276174479166</v>
      </c>
      <c r="E452" s="1356">
        <f>E453+E454+E455+E456</f>
        <v>4.8458586644270829</v>
      </c>
      <c r="F452" s="1356">
        <f>F453+F454+F455+F456</f>
        <v>6.2303897114062501</v>
      </c>
      <c r="G452" s="1357">
        <f>G453+G454+G455+G456</f>
        <v>16.614372563750003</v>
      </c>
      <c r="H452" s="1374"/>
      <c r="I452" s="1374"/>
      <c r="J452" s="1374"/>
      <c r="K452" s="1374"/>
      <c r="L452" s="1374"/>
    </row>
    <row r="453" spans="1:12">
      <c r="A453" s="1360" t="s">
        <v>199</v>
      </c>
      <c r="B453" s="1360" t="s">
        <v>1039</v>
      </c>
      <c r="C453" s="1361">
        <f>482.45002*0.95*(12+1-11)/12*0.0725/4</f>
        <v>1.3845310469791665</v>
      </c>
      <c r="D453" s="1362">
        <f>482.45002*0.95*(12+2-11)/12*0.0725/4</f>
        <v>2.0767965704687499</v>
      </c>
      <c r="E453" s="1362">
        <f>482.45002*0.95*(12+3-11)/12*0.0725/4</f>
        <v>2.769062093958333</v>
      </c>
      <c r="F453" s="1362">
        <f>482.45002*0.95*(12+4-11)/12*0.0725/4</f>
        <v>3.4613276174479166</v>
      </c>
      <c r="G453" s="1363">
        <f>C453+D453+E453+F453</f>
        <v>9.6917173288541676</v>
      </c>
      <c r="H453" s="1374"/>
      <c r="I453" s="1374"/>
      <c r="J453" s="1374"/>
      <c r="K453" s="1374"/>
      <c r="L453" s="1374"/>
    </row>
    <row r="454" spans="1:12">
      <c r="A454" s="1360" t="s">
        <v>637</v>
      </c>
      <c r="B454" s="1360" t="s">
        <v>1041</v>
      </c>
      <c r="C454" s="1361">
        <f>482.45002*0.95*(12+1-12)/12*0.0725/4</f>
        <v>0.69226552348958326</v>
      </c>
      <c r="D454" s="1362">
        <f>482.45002*0.95*(12+2-12)/12*0.0725/4</f>
        <v>1.3845310469791665</v>
      </c>
      <c r="E454" s="1362">
        <f>482.45002*0.95*(12+3-12)/12*0.0725/4</f>
        <v>2.0767965704687499</v>
      </c>
      <c r="F454" s="1362">
        <f>482.45002*0.95*(12+4-12)/12*0.0725/4</f>
        <v>2.769062093958333</v>
      </c>
      <c r="G454" s="1363">
        <f>C454+D454+E454+F454</f>
        <v>6.9226552348958332</v>
      </c>
      <c r="H454" s="1374"/>
      <c r="I454" s="1374"/>
      <c r="J454" s="1374"/>
      <c r="K454" s="1374"/>
      <c r="L454" s="1374"/>
    </row>
    <row r="455" spans="1:12">
      <c r="A455" s="1360" t="s">
        <v>1050</v>
      </c>
      <c r="B455" s="1360"/>
      <c r="C455" s="1361"/>
      <c r="D455" s="1362"/>
      <c r="E455" s="1362"/>
      <c r="F455" s="1362"/>
      <c r="G455" s="1363">
        <f>C455+D455+E455+F455</f>
        <v>0</v>
      </c>
      <c r="H455" s="1374"/>
      <c r="I455" s="1374"/>
      <c r="J455" s="1374"/>
      <c r="K455" s="1374"/>
      <c r="L455" s="1374"/>
    </row>
    <row r="456" spans="1:12" ht="13.5" thickBot="1">
      <c r="A456" s="1360" t="s">
        <v>1051</v>
      </c>
      <c r="B456" s="1385"/>
      <c r="C456" s="1386"/>
      <c r="D456" s="1387"/>
      <c r="E456" s="1387"/>
      <c r="F456" s="1387"/>
      <c r="G456" s="1388">
        <f>C456+D456+E456+F456</f>
        <v>0</v>
      </c>
      <c r="H456" s="1374"/>
      <c r="I456" s="1374"/>
      <c r="J456" s="1374"/>
      <c r="K456" s="1374"/>
      <c r="L456" s="1374"/>
    </row>
    <row r="457" spans="1:12" ht="13.5" thickBot="1">
      <c r="A457" s="1367" t="s">
        <v>351</v>
      </c>
      <c r="B457" s="1368" t="s">
        <v>201</v>
      </c>
      <c r="C457" s="1369">
        <f>C437+C442+C447+C452</f>
        <v>53.996710832187503</v>
      </c>
      <c r="D457" s="1369">
        <f>D437+D442+D447+D452</f>
        <v>62.303897114062494</v>
      </c>
      <c r="E457" s="1369">
        <f>E437+E442+E447+E452</f>
        <v>70.611083395937499</v>
      </c>
      <c r="F457" s="1369">
        <f>F437+F442+F447+F452</f>
        <v>78.918269677812489</v>
      </c>
      <c r="G457" s="1369">
        <f>G437+G442+G447+G452</f>
        <v>265.82996101999998</v>
      </c>
      <c r="H457" s="1374"/>
      <c r="I457" s="1374">
        <f>G457/1.18</f>
        <v>225.27962798305086</v>
      </c>
      <c r="J457" s="1374">
        <f>G442/1.18</f>
        <v>93.866511659604527</v>
      </c>
      <c r="K457" s="1374">
        <f>G447/1.18</f>
        <v>56.319906995762715</v>
      </c>
      <c r="L457" s="1374">
        <f>G452/1.18</f>
        <v>14.07997674894068</v>
      </c>
    </row>
    <row r="458" spans="1:12">
      <c r="H458" s="1374"/>
      <c r="I458" s="1374"/>
      <c r="J458" s="1374"/>
      <c r="K458" s="1374"/>
      <c r="L458" s="1374"/>
    </row>
    <row r="459" spans="1:12">
      <c r="H459" s="1374"/>
      <c r="I459" s="1374">
        <f>SUM(I158:I457)</f>
        <v>3169.1460726998589</v>
      </c>
      <c r="J459" s="1374">
        <f>SUM(J158:J457)</f>
        <v>1005.5184273591102</v>
      </c>
      <c r="K459" s="1374">
        <f>SUM(K158:K457)</f>
        <v>495.73650857675671</v>
      </c>
      <c r="L459" s="1374">
        <f>SUM(L158:L457)</f>
        <v>138.11553487380826</v>
      </c>
    </row>
    <row r="460" spans="1:12">
      <c r="B460" s="1383" t="s">
        <v>1112</v>
      </c>
      <c r="D460" s="1391">
        <f>I459</f>
        <v>3169.1460726998589</v>
      </c>
      <c r="E460" s="1392" t="s">
        <v>16</v>
      </c>
      <c r="H460" s="1374"/>
      <c r="I460" s="1374"/>
      <c r="J460" s="1374"/>
      <c r="K460" s="1374"/>
      <c r="L460" s="1374"/>
    </row>
    <row r="461" spans="1:12">
      <c r="B461" s="1383"/>
      <c r="D461" s="1391"/>
      <c r="E461" s="1392"/>
      <c r="H461" s="1374"/>
      <c r="I461" s="1374"/>
      <c r="J461" s="1374"/>
      <c r="K461" s="1374"/>
      <c r="L461" s="1374"/>
    </row>
    <row r="462" spans="1:12">
      <c r="B462" s="1383" t="s">
        <v>1113</v>
      </c>
      <c r="D462" s="1391">
        <f>J459</f>
        <v>1005.5184273591102</v>
      </c>
      <c r="E462" s="1392" t="s">
        <v>16</v>
      </c>
      <c r="H462" s="1374"/>
      <c r="I462" s="1374"/>
      <c r="J462" s="1374"/>
      <c r="K462" s="1374"/>
      <c r="L462" s="1374"/>
    </row>
    <row r="463" spans="1:12">
      <c r="B463" s="1383" t="s">
        <v>1114</v>
      </c>
      <c r="D463" s="1391">
        <f>K459</f>
        <v>495.73650857675671</v>
      </c>
      <c r="E463" s="1392" t="s">
        <v>16</v>
      </c>
      <c r="H463" s="1374"/>
      <c r="I463" s="1374"/>
      <c r="J463" s="1374"/>
      <c r="K463" s="1374"/>
      <c r="L463" s="1374"/>
    </row>
    <row r="464" spans="1:12">
      <c r="B464" s="1383" t="s">
        <v>1115</v>
      </c>
      <c r="D464" s="1391">
        <f>L459</f>
        <v>138.11553487380826</v>
      </c>
      <c r="E464" s="1392" t="s">
        <v>16</v>
      </c>
      <c r="H464" s="1374"/>
      <c r="I464" s="1374"/>
      <c r="J464" s="1374"/>
      <c r="K464" s="1374"/>
      <c r="L464" s="1374"/>
    </row>
    <row r="465" spans="1:9">
      <c r="B465" s="1383"/>
      <c r="D465" s="1391"/>
      <c r="E465" s="1392"/>
      <c r="H465" s="1374"/>
      <c r="I465" s="1374"/>
    </row>
    <row r="466" spans="1:9">
      <c r="H466" s="1374"/>
      <c r="I466" s="1374"/>
    </row>
    <row r="467" spans="1:9">
      <c r="H467" s="1374"/>
      <c r="I467" s="1374"/>
    </row>
    <row r="468" spans="1:9" ht="15">
      <c r="A468" s="1393"/>
      <c r="B468" s="1393" t="s">
        <v>1116</v>
      </c>
      <c r="C468" s="1393"/>
      <c r="D468" s="1393"/>
      <c r="E468" s="1393"/>
      <c r="F468" s="1394" t="s">
        <v>1117</v>
      </c>
      <c r="G468" s="1393"/>
      <c r="H468" s="1374"/>
      <c r="I468" s="1374"/>
    </row>
    <row r="469" spans="1:9">
      <c r="H469" s="1374"/>
      <c r="I469" s="1374"/>
    </row>
    <row r="470" spans="1:9">
      <c r="H470" s="1374"/>
      <c r="I470" s="1374"/>
    </row>
    <row r="471" spans="1:9">
      <c r="A471" s="717"/>
      <c r="B471" s="1289" t="s">
        <v>1118</v>
      </c>
      <c r="C471" s="1395"/>
      <c r="D471" s="1395"/>
      <c r="E471" s="1395"/>
      <c r="F471" s="717"/>
      <c r="G471" s="1396"/>
      <c r="H471" s="1374"/>
      <c r="I471" s="1374"/>
    </row>
    <row r="472" spans="1:9">
      <c r="A472" s="717"/>
      <c r="B472" s="1397" t="s">
        <v>1119</v>
      </c>
      <c r="C472" s="1398"/>
      <c r="D472" s="1395"/>
      <c r="E472" s="1395"/>
      <c r="F472" s="717"/>
      <c r="G472" s="1396"/>
      <c r="H472" s="1374"/>
      <c r="I472" s="1374"/>
    </row>
    <row r="473" spans="1:9">
      <c r="A473" s="1399"/>
      <c r="B473" s="1400" t="s">
        <v>1120</v>
      </c>
      <c r="C473" s="1401"/>
      <c r="D473" s="1402"/>
      <c r="E473" s="1402"/>
      <c r="F473" s="1399"/>
      <c r="G473" s="1403"/>
      <c r="H473" s="1374"/>
      <c r="I473" s="1374"/>
    </row>
    <row r="475" spans="1:9">
      <c r="H475" s="1404">
        <f>G183/1.18</f>
        <v>247.96908421186444</v>
      </c>
      <c r="I475" s="1405" t="s">
        <v>1042</v>
      </c>
    </row>
    <row r="477" spans="1:9" s="1406" customFormat="1">
      <c r="A477" s="215"/>
      <c r="B477" s="215"/>
      <c r="C477" s="215"/>
      <c r="D477" s="215"/>
      <c r="E477" s="215"/>
      <c r="F477" s="215"/>
      <c r="G477" s="215"/>
    </row>
    <row r="478" spans="1:9">
      <c r="H478" s="1407">
        <f>H34+H60+H87+H114+H475</f>
        <v>1038.0651318058792</v>
      </c>
    </row>
    <row r="479" spans="1:9">
      <c r="H479" s="1407"/>
    </row>
    <row r="481" spans="1:11" s="1393" customFormat="1" ht="15">
      <c r="A481" s="215"/>
      <c r="B481" s="215"/>
      <c r="C481" s="215"/>
      <c r="D481" s="215"/>
      <c r="E481" s="215"/>
      <c r="F481" s="215"/>
      <c r="G481" s="215"/>
    </row>
    <row r="484" spans="1:11" s="717" customFormat="1">
      <c r="A484" s="215"/>
      <c r="B484" s="215"/>
      <c r="C484" s="215"/>
      <c r="D484" s="215"/>
      <c r="E484" s="215"/>
      <c r="F484" s="215"/>
      <c r="G484" s="215"/>
      <c r="H484" s="1396"/>
      <c r="I484" s="1396"/>
      <c r="J484" s="1396"/>
      <c r="K484" s="1396"/>
    </row>
    <row r="485" spans="1:11" s="717" customFormat="1">
      <c r="A485" s="215"/>
      <c r="B485" s="215"/>
      <c r="C485" s="215"/>
      <c r="D485" s="215"/>
      <c r="E485" s="215"/>
      <c r="F485" s="215"/>
      <c r="G485" s="215"/>
      <c r="H485" s="1396"/>
      <c r="I485" s="1396"/>
      <c r="J485" s="1396"/>
      <c r="K485" s="1396"/>
    </row>
    <row r="486" spans="1:11" s="1399" customFormat="1">
      <c r="A486" s="215"/>
      <c r="B486" s="215"/>
      <c r="C486" s="215"/>
      <c r="D486" s="215"/>
      <c r="E486" s="215"/>
      <c r="F486" s="215"/>
      <c r="G486" s="215"/>
      <c r="H486" s="1403"/>
      <c r="I486" s="1403"/>
      <c r="J486" s="1403"/>
      <c r="K486" s="1403"/>
    </row>
  </sheetData>
  <mergeCells count="81">
    <mergeCell ref="C434:E434"/>
    <mergeCell ref="A435:A436"/>
    <mergeCell ref="B435:B436"/>
    <mergeCell ref="C435:G435"/>
    <mergeCell ref="C387:E387"/>
    <mergeCell ref="A388:A389"/>
    <mergeCell ref="B388:B389"/>
    <mergeCell ref="C388:G388"/>
    <mergeCell ref="C408:E408"/>
    <mergeCell ref="A409:A410"/>
    <mergeCell ref="B409:B410"/>
    <mergeCell ref="C409:G409"/>
    <mergeCell ref="C335:E335"/>
    <mergeCell ref="A336:A337"/>
    <mergeCell ref="B336:B337"/>
    <mergeCell ref="C336:G336"/>
    <mergeCell ref="C361:E361"/>
    <mergeCell ref="A362:A363"/>
    <mergeCell ref="B362:B363"/>
    <mergeCell ref="C362:G362"/>
    <mergeCell ref="C288:E288"/>
    <mergeCell ref="A289:A290"/>
    <mergeCell ref="B289:B290"/>
    <mergeCell ref="C289:G289"/>
    <mergeCell ref="C314:E314"/>
    <mergeCell ref="A315:A316"/>
    <mergeCell ref="B315:B316"/>
    <mergeCell ref="C315:G315"/>
    <mergeCell ref="C236:E236"/>
    <mergeCell ref="A237:A238"/>
    <mergeCell ref="B237:B238"/>
    <mergeCell ref="C237:G237"/>
    <mergeCell ref="C262:E262"/>
    <mergeCell ref="A263:A264"/>
    <mergeCell ref="B263:B264"/>
    <mergeCell ref="C263:G263"/>
    <mergeCell ref="C185:E185"/>
    <mergeCell ref="A186:A187"/>
    <mergeCell ref="B186:B187"/>
    <mergeCell ref="C186:G186"/>
    <mergeCell ref="C211:E211"/>
    <mergeCell ref="A212:A213"/>
    <mergeCell ref="B212:B213"/>
    <mergeCell ref="C212:G212"/>
    <mergeCell ref="C135:E135"/>
    <mergeCell ref="A136:A137"/>
    <mergeCell ref="B136:B137"/>
    <mergeCell ref="C136:G136"/>
    <mergeCell ref="C160:E160"/>
    <mergeCell ref="A161:A162"/>
    <mergeCell ref="B161:B162"/>
    <mergeCell ref="C161:G161"/>
    <mergeCell ref="C91:E91"/>
    <mergeCell ref="A92:A93"/>
    <mergeCell ref="B92:B93"/>
    <mergeCell ref="C92:G92"/>
    <mergeCell ref="C113:E113"/>
    <mergeCell ref="A114:A115"/>
    <mergeCell ref="B114:B115"/>
    <mergeCell ref="C114:G114"/>
    <mergeCell ref="C37:E37"/>
    <mergeCell ref="A38:A39"/>
    <mergeCell ref="B38:B39"/>
    <mergeCell ref="C38:G38"/>
    <mergeCell ref="C64:E64"/>
    <mergeCell ref="A65:A66"/>
    <mergeCell ref="B65:B66"/>
    <mergeCell ref="C65:G65"/>
    <mergeCell ref="A13:G13"/>
    <mergeCell ref="C16:E16"/>
    <mergeCell ref="A17:A18"/>
    <mergeCell ref="B17:B18"/>
    <mergeCell ref="C17:G17"/>
    <mergeCell ref="J19:O19"/>
    <mergeCell ref="A3:Q3"/>
    <mergeCell ref="A5:Q5"/>
    <mergeCell ref="A8:A9"/>
    <mergeCell ref="B8:B9"/>
    <mergeCell ref="C8:G8"/>
    <mergeCell ref="H8:L8"/>
    <mergeCell ref="M8:Q8"/>
  </mergeCells>
  <printOptions horizontalCentered="1"/>
  <pageMargins left="0.55118110236220474" right="0.55118110236220474" top="0.51181102362204722" bottom="0.39370078740157483" header="0.51181102362204722" footer="0.51181102362204722"/>
  <pageSetup paperSize="9" scale="65" fitToHeight="0" orientation="landscape" r:id="rId1"/>
  <headerFooter alignWithMargins="0"/>
  <rowBreaks count="5" manualBreakCount="5">
    <brk id="35" max="16" man="1"/>
    <brk id="87" max="16" man="1"/>
    <brk id="134" max="16" man="1"/>
    <brk id="334" max="16" man="1"/>
    <brk id="433" max="16"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0"/>
  <sheetViews>
    <sheetView view="pageBreakPreview" topLeftCell="A112" zoomScale="90" zoomScaleNormal="60" zoomScaleSheetLayoutView="90" workbookViewId="0">
      <selection activeCell="C15" sqref="C15"/>
    </sheetView>
  </sheetViews>
  <sheetFormatPr defaultRowHeight="12.75" outlineLevelRow="1"/>
  <cols>
    <col min="1" max="1" width="9.140625" style="215"/>
    <col min="2" max="2" width="53.7109375" style="215" customWidth="1"/>
    <col min="3" max="3" width="17.5703125" style="215" customWidth="1"/>
    <col min="4" max="4" width="17.28515625" style="215" customWidth="1"/>
    <col min="5" max="5" width="16.5703125" style="215" customWidth="1"/>
    <col min="6" max="6" width="14" style="215" customWidth="1"/>
    <col min="7" max="7" width="16.140625" style="215" customWidth="1"/>
    <col min="8" max="8" width="14.5703125" style="215" customWidth="1"/>
    <col min="9" max="9" width="16.5703125" style="215" customWidth="1"/>
    <col min="10" max="10" width="14" style="215" customWidth="1"/>
    <col min="11" max="11" width="17.85546875" style="215" customWidth="1"/>
    <col min="12" max="12" width="9.140625" style="215"/>
    <col min="13" max="13" width="12.28515625" style="215" bestFit="1" customWidth="1"/>
    <col min="14" max="257" width="9.140625" style="215"/>
    <col min="258" max="258" width="53.7109375" style="215" customWidth="1"/>
    <col min="259" max="259" width="17.5703125" style="215" customWidth="1"/>
    <col min="260" max="260" width="17.28515625" style="215" customWidth="1"/>
    <col min="261" max="261" width="16.5703125" style="215" customWidth="1"/>
    <col min="262" max="262" width="14" style="215" customWidth="1"/>
    <col min="263" max="263" width="16.140625" style="215" customWidth="1"/>
    <col min="264" max="264" width="14.5703125" style="215" customWidth="1"/>
    <col min="265" max="265" width="16.5703125" style="215" customWidth="1"/>
    <col min="266" max="266" width="14" style="215" customWidth="1"/>
    <col min="267" max="267" width="17.85546875" style="215" customWidth="1"/>
    <col min="268" max="268" width="9.140625" style="215"/>
    <col min="269" max="269" width="12.28515625" style="215" bestFit="1" customWidth="1"/>
    <col min="270" max="513" width="9.140625" style="215"/>
    <col min="514" max="514" width="53.7109375" style="215" customWidth="1"/>
    <col min="515" max="515" width="17.5703125" style="215" customWidth="1"/>
    <col min="516" max="516" width="17.28515625" style="215" customWidth="1"/>
    <col min="517" max="517" width="16.5703125" style="215" customWidth="1"/>
    <col min="518" max="518" width="14" style="215" customWidth="1"/>
    <col min="519" max="519" width="16.140625" style="215" customWidth="1"/>
    <col min="520" max="520" width="14.5703125" style="215" customWidth="1"/>
    <col min="521" max="521" width="16.5703125" style="215" customWidth="1"/>
    <col min="522" max="522" width="14" style="215" customWidth="1"/>
    <col min="523" max="523" width="17.85546875" style="215" customWidth="1"/>
    <col min="524" max="524" width="9.140625" style="215"/>
    <col min="525" max="525" width="12.28515625" style="215" bestFit="1" customWidth="1"/>
    <col min="526" max="769" width="9.140625" style="215"/>
    <col min="770" max="770" width="53.7109375" style="215" customWidth="1"/>
    <col min="771" max="771" width="17.5703125" style="215" customWidth="1"/>
    <col min="772" max="772" width="17.28515625" style="215" customWidth="1"/>
    <col min="773" max="773" width="16.5703125" style="215" customWidth="1"/>
    <col min="774" max="774" width="14" style="215" customWidth="1"/>
    <col min="775" max="775" width="16.140625" style="215" customWidth="1"/>
    <col min="776" max="776" width="14.5703125" style="215" customWidth="1"/>
    <col min="777" max="777" width="16.5703125" style="215" customWidth="1"/>
    <col min="778" max="778" width="14" style="215" customWidth="1"/>
    <col min="779" max="779" width="17.85546875" style="215" customWidth="1"/>
    <col min="780" max="780" width="9.140625" style="215"/>
    <col min="781" max="781" width="12.28515625" style="215" bestFit="1" customWidth="1"/>
    <col min="782" max="1025" width="9.140625" style="215"/>
    <col min="1026" max="1026" width="53.7109375" style="215" customWidth="1"/>
    <col min="1027" max="1027" width="17.5703125" style="215" customWidth="1"/>
    <col min="1028" max="1028" width="17.28515625" style="215" customWidth="1"/>
    <col min="1029" max="1029" width="16.5703125" style="215" customWidth="1"/>
    <col min="1030" max="1030" width="14" style="215" customWidth="1"/>
    <col min="1031" max="1031" width="16.140625" style="215" customWidth="1"/>
    <col min="1032" max="1032" width="14.5703125" style="215" customWidth="1"/>
    <col min="1033" max="1033" width="16.5703125" style="215" customWidth="1"/>
    <col min="1034" max="1034" width="14" style="215" customWidth="1"/>
    <col min="1035" max="1035" width="17.85546875" style="215" customWidth="1"/>
    <col min="1036" max="1036" width="9.140625" style="215"/>
    <col min="1037" max="1037" width="12.28515625" style="215" bestFit="1" customWidth="1"/>
    <col min="1038" max="1281" width="9.140625" style="215"/>
    <col min="1282" max="1282" width="53.7109375" style="215" customWidth="1"/>
    <col min="1283" max="1283" width="17.5703125" style="215" customWidth="1"/>
    <col min="1284" max="1284" width="17.28515625" style="215" customWidth="1"/>
    <col min="1285" max="1285" width="16.5703125" style="215" customWidth="1"/>
    <col min="1286" max="1286" width="14" style="215" customWidth="1"/>
    <col min="1287" max="1287" width="16.140625" style="215" customWidth="1"/>
    <col min="1288" max="1288" width="14.5703125" style="215" customWidth="1"/>
    <col min="1289" max="1289" width="16.5703125" style="215" customWidth="1"/>
    <col min="1290" max="1290" width="14" style="215" customWidth="1"/>
    <col min="1291" max="1291" width="17.85546875" style="215" customWidth="1"/>
    <col min="1292" max="1292" width="9.140625" style="215"/>
    <col min="1293" max="1293" width="12.28515625" style="215" bestFit="1" customWidth="1"/>
    <col min="1294" max="1537" width="9.140625" style="215"/>
    <col min="1538" max="1538" width="53.7109375" style="215" customWidth="1"/>
    <col min="1539" max="1539" width="17.5703125" style="215" customWidth="1"/>
    <col min="1540" max="1540" width="17.28515625" style="215" customWidth="1"/>
    <col min="1541" max="1541" width="16.5703125" style="215" customWidth="1"/>
    <col min="1542" max="1542" width="14" style="215" customWidth="1"/>
    <col min="1543" max="1543" width="16.140625" style="215" customWidth="1"/>
    <col min="1544" max="1544" width="14.5703125" style="215" customWidth="1"/>
    <col min="1545" max="1545" width="16.5703125" style="215" customWidth="1"/>
    <col min="1546" max="1546" width="14" style="215" customWidth="1"/>
    <col min="1547" max="1547" width="17.85546875" style="215" customWidth="1"/>
    <col min="1548" max="1548" width="9.140625" style="215"/>
    <col min="1549" max="1549" width="12.28515625" style="215" bestFit="1" customWidth="1"/>
    <col min="1550" max="1793" width="9.140625" style="215"/>
    <col min="1794" max="1794" width="53.7109375" style="215" customWidth="1"/>
    <col min="1795" max="1795" width="17.5703125" style="215" customWidth="1"/>
    <col min="1796" max="1796" width="17.28515625" style="215" customWidth="1"/>
    <col min="1797" max="1797" width="16.5703125" style="215" customWidth="1"/>
    <col min="1798" max="1798" width="14" style="215" customWidth="1"/>
    <col min="1799" max="1799" width="16.140625" style="215" customWidth="1"/>
    <col min="1800" max="1800" width="14.5703125" style="215" customWidth="1"/>
    <col min="1801" max="1801" width="16.5703125" style="215" customWidth="1"/>
    <col min="1802" max="1802" width="14" style="215" customWidth="1"/>
    <col min="1803" max="1803" width="17.85546875" style="215" customWidth="1"/>
    <col min="1804" max="1804" width="9.140625" style="215"/>
    <col min="1805" max="1805" width="12.28515625" style="215" bestFit="1" customWidth="1"/>
    <col min="1806" max="2049" width="9.140625" style="215"/>
    <col min="2050" max="2050" width="53.7109375" style="215" customWidth="1"/>
    <col min="2051" max="2051" width="17.5703125" style="215" customWidth="1"/>
    <col min="2052" max="2052" width="17.28515625" style="215" customWidth="1"/>
    <col min="2053" max="2053" width="16.5703125" style="215" customWidth="1"/>
    <col min="2054" max="2054" width="14" style="215" customWidth="1"/>
    <col min="2055" max="2055" width="16.140625" style="215" customWidth="1"/>
    <col min="2056" max="2056" width="14.5703125" style="215" customWidth="1"/>
    <col min="2057" max="2057" width="16.5703125" style="215" customWidth="1"/>
    <col min="2058" max="2058" width="14" style="215" customWidth="1"/>
    <col min="2059" max="2059" width="17.85546875" style="215" customWidth="1"/>
    <col min="2060" max="2060" width="9.140625" style="215"/>
    <col min="2061" max="2061" width="12.28515625" style="215" bestFit="1" customWidth="1"/>
    <col min="2062" max="2305" width="9.140625" style="215"/>
    <col min="2306" max="2306" width="53.7109375" style="215" customWidth="1"/>
    <col min="2307" max="2307" width="17.5703125" style="215" customWidth="1"/>
    <col min="2308" max="2308" width="17.28515625" style="215" customWidth="1"/>
    <col min="2309" max="2309" width="16.5703125" style="215" customWidth="1"/>
    <col min="2310" max="2310" width="14" style="215" customWidth="1"/>
    <col min="2311" max="2311" width="16.140625" style="215" customWidth="1"/>
    <col min="2312" max="2312" width="14.5703125" style="215" customWidth="1"/>
    <col min="2313" max="2313" width="16.5703125" style="215" customWidth="1"/>
    <col min="2314" max="2314" width="14" style="215" customWidth="1"/>
    <col min="2315" max="2315" width="17.85546875" style="215" customWidth="1"/>
    <col min="2316" max="2316" width="9.140625" style="215"/>
    <col min="2317" max="2317" width="12.28515625" style="215" bestFit="1" customWidth="1"/>
    <col min="2318" max="2561" width="9.140625" style="215"/>
    <col min="2562" max="2562" width="53.7109375" style="215" customWidth="1"/>
    <col min="2563" max="2563" width="17.5703125" style="215" customWidth="1"/>
    <col min="2564" max="2564" width="17.28515625" style="215" customWidth="1"/>
    <col min="2565" max="2565" width="16.5703125" style="215" customWidth="1"/>
    <col min="2566" max="2566" width="14" style="215" customWidth="1"/>
    <col min="2567" max="2567" width="16.140625" style="215" customWidth="1"/>
    <col min="2568" max="2568" width="14.5703125" style="215" customWidth="1"/>
    <col min="2569" max="2569" width="16.5703125" style="215" customWidth="1"/>
    <col min="2570" max="2570" width="14" style="215" customWidth="1"/>
    <col min="2571" max="2571" width="17.85546875" style="215" customWidth="1"/>
    <col min="2572" max="2572" width="9.140625" style="215"/>
    <col min="2573" max="2573" width="12.28515625" style="215" bestFit="1" customWidth="1"/>
    <col min="2574" max="2817" width="9.140625" style="215"/>
    <col min="2818" max="2818" width="53.7109375" style="215" customWidth="1"/>
    <col min="2819" max="2819" width="17.5703125" style="215" customWidth="1"/>
    <col min="2820" max="2820" width="17.28515625" style="215" customWidth="1"/>
    <col min="2821" max="2821" width="16.5703125" style="215" customWidth="1"/>
    <col min="2822" max="2822" width="14" style="215" customWidth="1"/>
    <col min="2823" max="2823" width="16.140625" style="215" customWidth="1"/>
    <col min="2824" max="2824" width="14.5703125" style="215" customWidth="1"/>
    <col min="2825" max="2825" width="16.5703125" style="215" customWidth="1"/>
    <col min="2826" max="2826" width="14" style="215" customWidth="1"/>
    <col min="2827" max="2827" width="17.85546875" style="215" customWidth="1"/>
    <col min="2828" max="2828" width="9.140625" style="215"/>
    <col min="2829" max="2829" width="12.28515625" style="215" bestFit="1" customWidth="1"/>
    <col min="2830" max="3073" width="9.140625" style="215"/>
    <col min="3074" max="3074" width="53.7109375" style="215" customWidth="1"/>
    <col min="3075" max="3075" width="17.5703125" style="215" customWidth="1"/>
    <col min="3076" max="3076" width="17.28515625" style="215" customWidth="1"/>
    <col min="3077" max="3077" width="16.5703125" style="215" customWidth="1"/>
    <col min="3078" max="3078" width="14" style="215" customWidth="1"/>
    <col min="3079" max="3079" width="16.140625" style="215" customWidth="1"/>
    <col min="3080" max="3080" width="14.5703125" style="215" customWidth="1"/>
    <col min="3081" max="3081" width="16.5703125" style="215" customWidth="1"/>
    <col min="3082" max="3082" width="14" style="215" customWidth="1"/>
    <col min="3083" max="3083" width="17.85546875" style="215" customWidth="1"/>
    <col min="3084" max="3084" width="9.140625" style="215"/>
    <col min="3085" max="3085" width="12.28515625" style="215" bestFit="1" customWidth="1"/>
    <col min="3086" max="3329" width="9.140625" style="215"/>
    <col min="3330" max="3330" width="53.7109375" style="215" customWidth="1"/>
    <col min="3331" max="3331" width="17.5703125" style="215" customWidth="1"/>
    <col min="3332" max="3332" width="17.28515625" style="215" customWidth="1"/>
    <col min="3333" max="3333" width="16.5703125" style="215" customWidth="1"/>
    <col min="3334" max="3334" width="14" style="215" customWidth="1"/>
    <col min="3335" max="3335" width="16.140625" style="215" customWidth="1"/>
    <col min="3336" max="3336" width="14.5703125" style="215" customWidth="1"/>
    <col min="3337" max="3337" width="16.5703125" style="215" customWidth="1"/>
    <col min="3338" max="3338" width="14" style="215" customWidth="1"/>
    <col min="3339" max="3339" width="17.85546875" style="215" customWidth="1"/>
    <col min="3340" max="3340" width="9.140625" style="215"/>
    <col min="3341" max="3341" width="12.28515625" style="215" bestFit="1" customWidth="1"/>
    <col min="3342" max="3585" width="9.140625" style="215"/>
    <col min="3586" max="3586" width="53.7109375" style="215" customWidth="1"/>
    <col min="3587" max="3587" width="17.5703125" style="215" customWidth="1"/>
    <col min="3588" max="3588" width="17.28515625" style="215" customWidth="1"/>
    <col min="3589" max="3589" width="16.5703125" style="215" customWidth="1"/>
    <col min="3590" max="3590" width="14" style="215" customWidth="1"/>
    <col min="3591" max="3591" width="16.140625" style="215" customWidth="1"/>
    <col min="3592" max="3592" width="14.5703125" style="215" customWidth="1"/>
    <col min="3593" max="3593" width="16.5703125" style="215" customWidth="1"/>
    <col min="3594" max="3594" width="14" style="215" customWidth="1"/>
    <col min="3595" max="3595" width="17.85546875" style="215" customWidth="1"/>
    <col min="3596" max="3596" width="9.140625" style="215"/>
    <col min="3597" max="3597" width="12.28515625" style="215" bestFit="1" customWidth="1"/>
    <col min="3598" max="3841" width="9.140625" style="215"/>
    <col min="3842" max="3842" width="53.7109375" style="215" customWidth="1"/>
    <col min="3843" max="3843" width="17.5703125" style="215" customWidth="1"/>
    <col min="3844" max="3844" width="17.28515625" style="215" customWidth="1"/>
    <col min="3845" max="3845" width="16.5703125" style="215" customWidth="1"/>
    <col min="3846" max="3846" width="14" style="215" customWidth="1"/>
    <col min="3847" max="3847" width="16.140625" style="215" customWidth="1"/>
    <col min="3848" max="3848" width="14.5703125" style="215" customWidth="1"/>
    <col min="3849" max="3849" width="16.5703125" style="215" customWidth="1"/>
    <col min="3850" max="3850" width="14" style="215" customWidth="1"/>
    <col min="3851" max="3851" width="17.85546875" style="215" customWidth="1"/>
    <col min="3852" max="3852" width="9.140625" style="215"/>
    <col min="3853" max="3853" width="12.28515625" style="215" bestFit="1" customWidth="1"/>
    <col min="3854" max="4097" width="9.140625" style="215"/>
    <col min="4098" max="4098" width="53.7109375" style="215" customWidth="1"/>
    <col min="4099" max="4099" width="17.5703125" style="215" customWidth="1"/>
    <col min="4100" max="4100" width="17.28515625" style="215" customWidth="1"/>
    <col min="4101" max="4101" width="16.5703125" style="215" customWidth="1"/>
    <col min="4102" max="4102" width="14" style="215" customWidth="1"/>
    <col min="4103" max="4103" width="16.140625" style="215" customWidth="1"/>
    <col min="4104" max="4104" width="14.5703125" style="215" customWidth="1"/>
    <col min="4105" max="4105" width="16.5703125" style="215" customWidth="1"/>
    <col min="4106" max="4106" width="14" style="215" customWidth="1"/>
    <col min="4107" max="4107" width="17.85546875" style="215" customWidth="1"/>
    <col min="4108" max="4108" width="9.140625" style="215"/>
    <col min="4109" max="4109" width="12.28515625" style="215" bestFit="1" customWidth="1"/>
    <col min="4110" max="4353" width="9.140625" style="215"/>
    <col min="4354" max="4354" width="53.7109375" style="215" customWidth="1"/>
    <col min="4355" max="4355" width="17.5703125" style="215" customWidth="1"/>
    <col min="4356" max="4356" width="17.28515625" style="215" customWidth="1"/>
    <col min="4357" max="4357" width="16.5703125" style="215" customWidth="1"/>
    <col min="4358" max="4358" width="14" style="215" customWidth="1"/>
    <col min="4359" max="4359" width="16.140625" style="215" customWidth="1"/>
    <col min="4360" max="4360" width="14.5703125" style="215" customWidth="1"/>
    <col min="4361" max="4361" width="16.5703125" style="215" customWidth="1"/>
    <col min="4362" max="4362" width="14" style="215" customWidth="1"/>
    <col min="4363" max="4363" width="17.85546875" style="215" customWidth="1"/>
    <col min="4364" max="4364" width="9.140625" style="215"/>
    <col min="4365" max="4365" width="12.28515625" style="215" bestFit="1" customWidth="1"/>
    <col min="4366" max="4609" width="9.140625" style="215"/>
    <col min="4610" max="4610" width="53.7109375" style="215" customWidth="1"/>
    <col min="4611" max="4611" width="17.5703125" style="215" customWidth="1"/>
    <col min="4612" max="4612" width="17.28515625" style="215" customWidth="1"/>
    <col min="4613" max="4613" width="16.5703125" style="215" customWidth="1"/>
    <col min="4614" max="4614" width="14" style="215" customWidth="1"/>
    <col min="4615" max="4615" width="16.140625" style="215" customWidth="1"/>
    <col min="4616" max="4616" width="14.5703125" style="215" customWidth="1"/>
    <col min="4617" max="4617" width="16.5703125" style="215" customWidth="1"/>
    <col min="4618" max="4618" width="14" style="215" customWidth="1"/>
    <col min="4619" max="4619" width="17.85546875" style="215" customWidth="1"/>
    <col min="4620" max="4620" width="9.140625" style="215"/>
    <col min="4621" max="4621" width="12.28515625" style="215" bestFit="1" customWidth="1"/>
    <col min="4622" max="4865" width="9.140625" style="215"/>
    <col min="4866" max="4866" width="53.7109375" style="215" customWidth="1"/>
    <col min="4867" max="4867" width="17.5703125" style="215" customWidth="1"/>
    <col min="4868" max="4868" width="17.28515625" style="215" customWidth="1"/>
    <col min="4869" max="4869" width="16.5703125" style="215" customWidth="1"/>
    <col min="4870" max="4870" width="14" style="215" customWidth="1"/>
    <col min="4871" max="4871" width="16.140625" style="215" customWidth="1"/>
    <col min="4872" max="4872" width="14.5703125" style="215" customWidth="1"/>
    <col min="4873" max="4873" width="16.5703125" style="215" customWidth="1"/>
    <col min="4874" max="4874" width="14" style="215" customWidth="1"/>
    <col min="4875" max="4875" width="17.85546875" style="215" customWidth="1"/>
    <col min="4876" max="4876" width="9.140625" style="215"/>
    <col min="4877" max="4877" width="12.28515625" style="215" bestFit="1" customWidth="1"/>
    <col min="4878" max="5121" width="9.140625" style="215"/>
    <col min="5122" max="5122" width="53.7109375" style="215" customWidth="1"/>
    <col min="5123" max="5123" width="17.5703125" style="215" customWidth="1"/>
    <col min="5124" max="5124" width="17.28515625" style="215" customWidth="1"/>
    <col min="5125" max="5125" width="16.5703125" style="215" customWidth="1"/>
    <col min="5126" max="5126" width="14" style="215" customWidth="1"/>
    <col min="5127" max="5127" width="16.140625" style="215" customWidth="1"/>
    <col min="5128" max="5128" width="14.5703125" style="215" customWidth="1"/>
    <col min="5129" max="5129" width="16.5703125" style="215" customWidth="1"/>
    <col min="5130" max="5130" width="14" style="215" customWidth="1"/>
    <col min="5131" max="5131" width="17.85546875" style="215" customWidth="1"/>
    <col min="5132" max="5132" width="9.140625" style="215"/>
    <col min="5133" max="5133" width="12.28515625" style="215" bestFit="1" customWidth="1"/>
    <col min="5134" max="5377" width="9.140625" style="215"/>
    <col min="5378" max="5378" width="53.7109375" style="215" customWidth="1"/>
    <col min="5379" max="5379" width="17.5703125" style="215" customWidth="1"/>
    <col min="5380" max="5380" width="17.28515625" style="215" customWidth="1"/>
    <col min="5381" max="5381" width="16.5703125" style="215" customWidth="1"/>
    <col min="5382" max="5382" width="14" style="215" customWidth="1"/>
    <col min="5383" max="5383" width="16.140625" style="215" customWidth="1"/>
    <col min="5384" max="5384" width="14.5703125" style="215" customWidth="1"/>
    <col min="5385" max="5385" width="16.5703125" style="215" customWidth="1"/>
    <col min="5386" max="5386" width="14" style="215" customWidth="1"/>
    <col min="5387" max="5387" width="17.85546875" style="215" customWidth="1"/>
    <col min="5388" max="5388" width="9.140625" style="215"/>
    <col min="5389" max="5389" width="12.28515625" style="215" bestFit="1" customWidth="1"/>
    <col min="5390" max="5633" width="9.140625" style="215"/>
    <col min="5634" max="5634" width="53.7109375" style="215" customWidth="1"/>
    <col min="5635" max="5635" width="17.5703125" style="215" customWidth="1"/>
    <col min="5636" max="5636" width="17.28515625" style="215" customWidth="1"/>
    <col min="5637" max="5637" width="16.5703125" style="215" customWidth="1"/>
    <col min="5638" max="5638" width="14" style="215" customWidth="1"/>
    <col min="5639" max="5639" width="16.140625" style="215" customWidth="1"/>
    <col min="5640" max="5640" width="14.5703125" style="215" customWidth="1"/>
    <col min="5641" max="5641" width="16.5703125" style="215" customWidth="1"/>
    <col min="5642" max="5642" width="14" style="215" customWidth="1"/>
    <col min="5643" max="5643" width="17.85546875" style="215" customWidth="1"/>
    <col min="5644" max="5644" width="9.140625" style="215"/>
    <col min="5645" max="5645" width="12.28515625" style="215" bestFit="1" customWidth="1"/>
    <col min="5646" max="5889" width="9.140625" style="215"/>
    <col min="5890" max="5890" width="53.7109375" style="215" customWidth="1"/>
    <col min="5891" max="5891" width="17.5703125" style="215" customWidth="1"/>
    <col min="5892" max="5892" width="17.28515625" style="215" customWidth="1"/>
    <col min="5893" max="5893" width="16.5703125" style="215" customWidth="1"/>
    <col min="5894" max="5894" width="14" style="215" customWidth="1"/>
    <col min="5895" max="5895" width="16.140625" style="215" customWidth="1"/>
    <col min="5896" max="5896" width="14.5703125" style="215" customWidth="1"/>
    <col min="5897" max="5897" width="16.5703125" style="215" customWidth="1"/>
    <col min="5898" max="5898" width="14" style="215" customWidth="1"/>
    <col min="5899" max="5899" width="17.85546875" style="215" customWidth="1"/>
    <col min="5900" max="5900" width="9.140625" style="215"/>
    <col min="5901" max="5901" width="12.28515625" style="215" bestFit="1" customWidth="1"/>
    <col min="5902" max="6145" width="9.140625" style="215"/>
    <col min="6146" max="6146" width="53.7109375" style="215" customWidth="1"/>
    <col min="6147" max="6147" width="17.5703125" style="215" customWidth="1"/>
    <col min="6148" max="6148" width="17.28515625" style="215" customWidth="1"/>
    <col min="6149" max="6149" width="16.5703125" style="215" customWidth="1"/>
    <col min="6150" max="6150" width="14" style="215" customWidth="1"/>
    <col min="6151" max="6151" width="16.140625" style="215" customWidth="1"/>
    <col min="6152" max="6152" width="14.5703125" style="215" customWidth="1"/>
    <col min="6153" max="6153" width="16.5703125" style="215" customWidth="1"/>
    <col min="6154" max="6154" width="14" style="215" customWidth="1"/>
    <col min="6155" max="6155" width="17.85546875" style="215" customWidth="1"/>
    <col min="6156" max="6156" width="9.140625" style="215"/>
    <col min="6157" max="6157" width="12.28515625" style="215" bestFit="1" customWidth="1"/>
    <col min="6158" max="6401" width="9.140625" style="215"/>
    <col min="6402" max="6402" width="53.7109375" style="215" customWidth="1"/>
    <col min="6403" max="6403" width="17.5703125" style="215" customWidth="1"/>
    <col min="6404" max="6404" width="17.28515625" style="215" customWidth="1"/>
    <col min="6405" max="6405" width="16.5703125" style="215" customWidth="1"/>
    <col min="6406" max="6406" width="14" style="215" customWidth="1"/>
    <col min="6407" max="6407" width="16.140625" style="215" customWidth="1"/>
    <col min="6408" max="6408" width="14.5703125" style="215" customWidth="1"/>
    <col min="6409" max="6409" width="16.5703125" style="215" customWidth="1"/>
    <col min="6410" max="6410" width="14" style="215" customWidth="1"/>
    <col min="6411" max="6411" width="17.85546875" style="215" customWidth="1"/>
    <col min="6412" max="6412" width="9.140625" style="215"/>
    <col min="6413" max="6413" width="12.28515625" style="215" bestFit="1" customWidth="1"/>
    <col min="6414" max="6657" width="9.140625" style="215"/>
    <col min="6658" max="6658" width="53.7109375" style="215" customWidth="1"/>
    <col min="6659" max="6659" width="17.5703125" style="215" customWidth="1"/>
    <col min="6660" max="6660" width="17.28515625" style="215" customWidth="1"/>
    <col min="6661" max="6661" width="16.5703125" style="215" customWidth="1"/>
    <col min="6662" max="6662" width="14" style="215" customWidth="1"/>
    <col min="6663" max="6663" width="16.140625" style="215" customWidth="1"/>
    <col min="6664" max="6664" width="14.5703125" style="215" customWidth="1"/>
    <col min="6665" max="6665" width="16.5703125" style="215" customWidth="1"/>
    <col min="6666" max="6666" width="14" style="215" customWidth="1"/>
    <col min="6667" max="6667" width="17.85546875" style="215" customWidth="1"/>
    <col min="6668" max="6668" width="9.140625" style="215"/>
    <col min="6669" max="6669" width="12.28515625" style="215" bestFit="1" customWidth="1"/>
    <col min="6670" max="6913" width="9.140625" style="215"/>
    <col min="6914" max="6914" width="53.7109375" style="215" customWidth="1"/>
    <col min="6915" max="6915" width="17.5703125" style="215" customWidth="1"/>
    <col min="6916" max="6916" width="17.28515625" style="215" customWidth="1"/>
    <col min="6917" max="6917" width="16.5703125" style="215" customWidth="1"/>
    <col min="6918" max="6918" width="14" style="215" customWidth="1"/>
    <col min="6919" max="6919" width="16.140625" style="215" customWidth="1"/>
    <col min="6920" max="6920" width="14.5703125" style="215" customWidth="1"/>
    <col min="6921" max="6921" width="16.5703125" style="215" customWidth="1"/>
    <col min="6922" max="6922" width="14" style="215" customWidth="1"/>
    <col min="6923" max="6923" width="17.85546875" style="215" customWidth="1"/>
    <col min="6924" max="6924" width="9.140625" style="215"/>
    <col min="6925" max="6925" width="12.28515625" style="215" bestFit="1" customWidth="1"/>
    <col min="6926" max="7169" width="9.140625" style="215"/>
    <col min="7170" max="7170" width="53.7109375" style="215" customWidth="1"/>
    <col min="7171" max="7171" width="17.5703125" style="215" customWidth="1"/>
    <col min="7172" max="7172" width="17.28515625" style="215" customWidth="1"/>
    <col min="7173" max="7173" width="16.5703125" style="215" customWidth="1"/>
    <col min="7174" max="7174" width="14" style="215" customWidth="1"/>
    <col min="7175" max="7175" width="16.140625" style="215" customWidth="1"/>
    <col min="7176" max="7176" width="14.5703125" style="215" customWidth="1"/>
    <col min="7177" max="7177" width="16.5703125" style="215" customWidth="1"/>
    <col min="7178" max="7178" width="14" style="215" customWidth="1"/>
    <col min="7179" max="7179" width="17.85546875" style="215" customWidth="1"/>
    <col min="7180" max="7180" width="9.140625" style="215"/>
    <col min="7181" max="7181" width="12.28515625" style="215" bestFit="1" customWidth="1"/>
    <col min="7182" max="7425" width="9.140625" style="215"/>
    <col min="7426" max="7426" width="53.7109375" style="215" customWidth="1"/>
    <col min="7427" max="7427" width="17.5703125" style="215" customWidth="1"/>
    <col min="7428" max="7428" width="17.28515625" style="215" customWidth="1"/>
    <col min="7429" max="7429" width="16.5703125" style="215" customWidth="1"/>
    <col min="7430" max="7430" width="14" style="215" customWidth="1"/>
    <col min="7431" max="7431" width="16.140625" style="215" customWidth="1"/>
    <col min="7432" max="7432" width="14.5703125" style="215" customWidth="1"/>
    <col min="7433" max="7433" width="16.5703125" style="215" customWidth="1"/>
    <col min="7434" max="7434" width="14" style="215" customWidth="1"/>
    <col min="7435" max="7435" width="17.85546875" style="215" customWidth="1"/>
    <col min="7436" max="7436" width="9.140625" style="215"/>
    <col min="7437" max="7437" width="12.28515625" style="215" bestFit="1" customWidth="1"/>
    <col min="7438" max="7681" width="9.140625" style="215"/>
    <col min="7682" max="7682" width="53.7109375" style="215" customWidth="1"/>
    <col min="7683" max="7683" width="17.5703125" style="215" customWidth="1"/>
    <col min="7684" max="7684" width="17.28515625" style="215" customWidth="1"/>
    <col min="7685" max="7685" width="16.5703125" style="215" customWidth="1"/>
    <col min="7686" max="7686" width="14" style="215" customWidth="1"/>
    <col min="7687" max="7687" width="16.140625" style="215" customWidth="1"/>
    <col min="7688" max="7688" width="14.5703125" style="215" customWidth="1"/>
    <col min="7689" max="7689" width="16.5703125" style="215" customWidth="1"/>
    <col min="7690" max="7690" width="14" style="215" customWidth="1"/>
    <col min="7691" max="7691" width="17.85546875" style="215" customWidth="1"/>
    <col min="7692" max="7692" width="9.140625" style="215"/>
    <col min="7693" max="7693" width="12.28515625" style="215" bestFit="1" customWidth="1"/>
    <col min="7694" max="7937" width="9.140625" style="215"/>
    <col min="7938" max="7938" width="53.7109375" style="215" customWidth="1"/>
    <col min="7939" max="7939" width="17.5703125" style="215" customWidth="1"/>
    <col min="7940" max="7940" width="17.28515625" style="215" customWidth="1"/>
    <col min="7941" max="7941" width="16.5703125" style="215" customWidth="1"/>
    <col min="7942" max="7942" width="14" style="215" customWidth="1"/>
    <col min="7943" max="7943" width="16.140625" style="215" customWidth="1"/>
    <col min="7944" max="7944" width="14.5703125" style="215" customWidth="1"/>
    <col min="7945" max="7945" width="16.5703125" style="215" customWidth="1"/>
    <col min="7946" max="7946" width="14" style="215" customWidth="1"/>
    <col min="7947" max="7947" width="17.85546875" style="215" customWidth="1"/>
    <col min="7948" max="7948" width="9.140625" style="215"/>
    <col min="7949" max="7949" width="12.28515625" style="215" bestFit="1" customWidth="1"/>
    <col min="7950" max="8193" width="9.140625" style="215"/>
    <col min="8194" max="8194" width="53.7109375" style="215" customWidth="1"/>
    <col min="8195" max="8195" width="17.5703125" style="215" customWidth="1"/>
    <col min="8196" max="8196" width="17.28515625" style="215" customWidth="1"/>
    <col min="8197" max="8197" width="16.5703125" style="215" customWidth="1"/>
    <col min="8198" max="8198" width="14" style="215" customWidth="1"/>
    <col min="8199" max="8199" width="16.140625" style="215" customWidth="1"/>
    <col min="8200" max="8200" width="14.5703125" style="215" customWidth="1"/>
    <col min="8201" max="8201" width="16.5703125" style="215" customWidth="1"/>
    <col min="8202" max="8202" width="14" style="215" customWidth="1"/>
    <col min="8203" max="8203" width="17.85546875" style="215" customWidth="1"/>
    <col min="8204" max="8204" width="9.140625" style="215"/>
    <col min="8205" max="8205" width="12.28515625" style="215" bestFit="1" customWidth="1"/>
    <col min="8206" max="8449" width="9.140625" style="215"/>
    <col min="8450" max="8450" width="53.7109375" style="215" customWidth="1"/>
    <col min="8451" max="8451" width="17.5703125" style="215" customWidth="1"/>
    <col min="8452" max="8452" width="17.28515625" style="215" customWidth="1"/>
    <col min="8453" max="8453" width="16.5703125" style="215" customWidth="1"/>
    <col min="8454" max="8454" width="14" style="215" customWidth="1"/>
    <col min="8455" max="8455" width="16.140625" style="215" customWidth="1"/>
    <col min="8456" max="8456" width="14.5703125" style="215" customWidth="1"/>
    <col min="8457" max="8457" width="16.5703125" style="215" customWidth="1"/>
    <col min="8458" max="8458" width="14" style="215" customWidth="1"/>
    <col min="8459" max="8459" width="17.85546875" style="215" customWidth="1"/>
    <col min="8460" max="8460" width="9.140625" style="215"/>
    <col min="8461" max="8461" width="12.28515625" style="215" bestFit="1" customWidth="1"/>
    <col min="8462" max="8705" width="9.140625" style="215"/>
    <col min="8706" max="8706" width="53.7109375" style="215" customWidth="1"/>
    <col min="8707" max="8707" width="17.5703125" style="215" customWidth="1"/>
    <col min="8708" max="8708" width="17.28515625" style="215" customWidth="1"/>
    <col min="8709" max="8709" width="16.5703125" style="215" customWidth="1"/>
    <col min="8710" max="8710" width="14" style="215" customWidth="1"/>
    <col min="8711" max="8711" width="16.140625" style="215" customWidth="1"/>
    <col min="8712" max="8712" width="14.5703125" style="215" customWidth="1"/>
    <col min="8713" max="8713" width="16.5703125" style="215" customWidth="1"/>
    <col min="8714" max="8714" width="14" style="215" customWidth="1"/>
    <col min="8715" max="8715" width="17.85546875" style="215" customWidth="1"/>
    <col min="8716" max="8716" width="9.140625" style="215"/>
    <col min="8717" max="8717" width="12.28515625" style="215" bestFit="1" customWidth="1"/>
    <col min="8718" max="8961" width="9.140625" style="215"/>
    <col min="8962" max="8962" width="53.7109375" style="215" customWidth="1"/>
    <col min="8963" max="8963" width="17.5703125" style="215" customWidth="1"/>
    <col min="8964" max="8964" width="17.28515625" style="215" customWidth="1"/>
    <col min="8965" max="8965" width="16.5703125" style="215" customWidth="1"/>
    <col min="8966" max="8966" width="14" style="215" customWidth="1"/>
    <col min="8967" max="8967" width="16.140625" style="215" customWidth="1"/>
    <col min="8968" max="8968" width="14.5703125" style="215" customWidth="1"/>
    <col min="8969" max="8969" width="16.5703125" style="215" customWidth="1"/>
    <col min="8970" max="8970" width="14" style="215" customWidth="1"/>
    <col min="8971" max="8971" width="17.85546875" style="215" customWidth="1"/>
    <col min="8972" max="8972" width="9.140625" style="215"/>
    <col min="8973" max="8973" width="12.28515625" style="215" bestFit="1" customWidth="1"/>
    <col min="8974" max="9217" width="9.140625" style="215"/>
    <col min="9218" max="9218" width="53.7109375" style="215" customWidth="1"/>
    <col min="9219" max="9219" width="17.5703125" style="215" customWidth="1"/>
    <col min="9220" max="9220" width="17.28515625" style="215" customWidth="1"/>
    <col min="9221" max="9221" width="16.5703125" style="215" customWidth="1"/>
    <col min="9222" max="9222" width="14" style="215" customWidth="1"/>
    <col min="9223" max="9223" width="16.140625" style="215" customWidth="1"/>
    <col min="9224" max="9224" width="14.5703125" style="215" customWidth="1"/>
    <col min="9225" max="9225" width="16.5703125" style="215" customWidth="1"/>
    <col min="9226" max="9226" width="14" style="215" customWidth="1"/>
    <col min="9227" max="9227" width="17.85546875" style="215" customWidth="1"/>
    <col min="9228" max="9228" width="9.140625" style="215"/>
    <col min="9229" max="9229" width="12.28515625" style="215" bestFit="1" customWidth="1"/>
    <col min="9230" max="9473" width="9.140625" style="215"/>
    <col min="9474" max="9474" width="53.7109375" style="215" customWidth="1"/>
    <col min="9475" max="9475" width="17.5703125" style="215" customWidth="1"/>
    <col min="9476" max="9476" width="17.28515625" style="215" customWidth="1"/>
    <col min="9477" max="9477" width="16.5703125" style="215" customWidth="1"/>
    <col min="9478" max="9478" width="14" style="215" customWidth="1"/>
    <col min="9479" max="9479" width="16.140625" style="215" customWidth="1"/>
    <col min="9480" max="9480" width="14.5703125" style="215" customWidth="1"/>
    <col min="9481" max="9481" width="16.5703125" style="215" customWidth="1"/>
    <col min="9482" max="9482" width="14" style="215" customWidth="1"/>
    <col min="9483" max="9483" width="17.85546875" style="215" customWidth="1"/>
    <col min="9484" max="9484" width="9.140625" style="215"/>
    <col min="9485" max="9485" width="12.28515625" style="215" bestFit="1" customWidth="1"/>
    <col min="9486" max="9729" width="9.140625" style="215"/>
    <col min="9730" max="9730" width="53.7109375" style="215" customWidth="1"/>
    <col min="9731" max="9731" width="17.5703125" style="215" customWidth="1"/>
    <col min="9732" max="9732" width="17.28515625" style="215" customWidth="1"/>
    <col min="9733" max="9733" width="16.5703125" style="215" customWidth="1"/>
    <col min="9734" max="9734" width="14" style="215" customWidth="1"/>
    <col min="9735" max="9735" width="16.140625" style="215" customWidth="1"/>
    <col min="9736" max="9736" width="14.5703125" style="215" customWidth="1"/>
    <col min="9737" max="9737" width="16.5703125" style="215" customWidth="1"/>
    <col min="9738" max="9738" width="14" style="215" customWidth="1"/>
    <col min="9739" max="9739" width="17.85546875" style="215" customWidth="1"/>
    <col min="9740" max="9740" width="9.140625" style="215"/>
    <col min="9741" max="9741" width="12.28515625" style="215" bestFit="1" customWidth="1"/>
    <col min="9742" max="9985" width="9.140625" style="215"/>
    <col min="9986" max="9986" width="53.7109375" style="215" customWidth="1"/>
    <col min="9987" max="9987" width="17.5703125" style="215" customWidth="1"/>
    <col min="9988" max="9988" width="17.28515625" style="215" customWidth="1"/>
    <col min="9989" max="9989" width="16.5703125" style="215" customWidth="1"/>
    <col min="9990" max="9990" width="14" style="215" customWidth="1"/>
    <col min="9991" max="9991" width="16.140625" style="215" customWidth="1"/>
    <col min="9992" max="9992" width="14.5703125" style="215" customWidth="1"/>
    <col min="9993" max="9993" width="16.5703125" style="215" customWidth="1"/>
    <col min="9994" max="9994" width="14" style="215" customWidth="1"/>
    <col min="9995" max="9995" width="17.85546875" style="215" customWidth="1"/>
    <col min="9996" max="9996" width="9.140625" style="215"/>
    <col min="9997" max="9997" width="12.28515625" style="215" bestFit="1" customWidth="1"/>
    <col min="9998" max="10241" width="9.140625" style="215"/>
    <col min="10242" max="10242" width="53.7109375" style="215" customWidth="1"/>
    <col min="10243" max="10243" width="17.5703125" style="215" customWidth="1"/>
    <col min="10244" max="10244" width="17.28515625" style="215" customWidth="1"/>
    <col min="10245" max="10245" width="16.5703125" style="215" customWidth="1"/>
    <col min="10246" max="10246" width="14" style="215" customWidth="1"/>
    <col min="10247" max="10247" width="16.140625" style="215" customWidth="1"/>
    <col min="10248" max="10248" width="14.5703125" style="215" customWidth="1"/>
    <col min="10249" max="10249" width="16.5703125" style="215" customWidth="1"/>
    <col min="10250" max="10250" width="14" style="215" customWidth="1"/>
    <col min="10251" max="10251" width="17.85546875" style="215" customWidth="1"/>
    <col min="10252" max="10252" width="9.140625" style="215"/>
    <col min="10253" max="10253" width="12.28515625" style="215" bestFit="1" customWidth="1"/>
    <col min="10254" max="10497" width="9.140625" style="215"/>
    <col min="10498" max="10498" width="53.7109375" style="215" customWidth="1"/>
    <col min="10499" max="10499" width="17.5703125" style="215" customWidth="1"/>
    <col min="10500" max="10500" width="17.28515625" style="215" customWidth="1"/>
    <col min="10501" max="10501" width="16.5703125" style="215" customWidth="1"/>
    <col min="10502" max="10502" width="14" style="215" customWidth="1"/>
    <col min="10503" max="10503" width="16.140625" style="215" customWidth="1"/>
    <col min="10504" max="10504" width="14.5703125" style="215" customWidth="1"/>
    <col min="10505" max="10505" width="16.5703125" style="215" customWidth="1"/>
    <col min="10506" max="10506" width="14" style="215" customWidth="1"/>
    <col min="10507" max="10507" width="17.85546875" style="215" customWidth="1"/>
    <col min="10508" max="10508" width="9.140625" style="215"/>
    <col min="10509" max="10509" width="12.28515625" style="215" bestFit="1" customWidth="1"/>
    <col min="10510" max="10753" width="9.140625" style="215"/>
    <col min="10754" max="10754" width="53.7109375" style="215" customWidth="1"/>
    <col min="10755" max="10755" width="17.5703125" style="215" customWidth="1"/>
    <col min="10756" max="10756" width="17.28515625" style="215" customWidth="1"/>
    <col min="10757" max="10757" width="16.5703125" style="215" customWidth="1"/>
    <col min="10758" max="10758" width="14" style="215" customWidth="1"/>
    <col min="10759" max="10759" width="16.140625" style="215" customWidth="1"/>
    <col min="10760" max="10760" width="14.5703125" style="215" customWidth="1"/>
    <col min="10761" max="10761" width="16.5703125" style="215" customWidth="1"/>
    <col min="10762" max="10762" width="14" style="215" customWidth="1"/>
    <col min="10763" max="10763" width="17.85546875" style="215" customWidth="1"/>
    <col min="10764" max="10764" width="9.140625" style="215"/>
    <col min="10765" max="10765" width="12.28515625" style="215" bestFit="1" customWidth="1"/>
    <col min="10766" max="11009" width="9.140625" style="215"/>
    <col min="11010" max="11010" width="53.7109375" style="215" customWidth="1"/>
    <col min="11011" max="11011" width="17.5703125" style="215" customWidth="1"/>
    <col min="11012" max="11012" width="17.28515625" style="215" customWidth="1"/>
    <col min="11013" max="11013" width="16.5703125" style="215" customWidth="1"/>
    <col min="11014" max="11014" width="14" style="215" customWidth="1"/>
    <col min="11015" max="11015" width="16.140625" style="215" customWidth="1"/>
    <col min="11016" max="11016" width="14.5703125" style="215" customWidth="1"/>
    <col min="11017" max="11017" width="16.5703125" style="215" customWidth="1"/>
    <col min="11018" max="11018" width="14" style="215" customWidth="1"/>
    <col min="11019" max="11019" width="17.85546875" style="215" customWidth="1"/>
    <col min="11020" max="11020" width="9.140625" style="215"/>
    <col min="11021" max="11021" width="12.28515625" style="215" bestFit="1" customWidth="1"/>
    <col min="11022" max="11265" width="9.140625" style="215"/>
    <col min="11266" max="11266" width="53.7109375" style="215" customWidth="1"/>
    <col min="11267" max="11267" width="17.5703125" style="215" customWidth="1"/>
    <col min="11268" max="11268" width="17.28515625" style="215" customWidth="1"/>
    <col min="11269" max="11269" width="16.5703125" style="215" customWidth="1"/>
    <col min="11270" max="11270" width="14" style="215" customWidth="1"/>
    <col min="11271" max="11271" width="16.140625" style="215" customWidth="1"/>
    <col min="11272" max="11272" width="14.5703125" style="215" customWidth="1"/>
    <col min="11273" max="11273" width="16.5703125" style="215" customWidth="1"/>
    <col min="11274" max="11274" width="14" style="215" customWidth="1"/>
    <col min="11275" max="11275" width="17.85546875" style="215" customWidth="1"/>
    <col min="11276" max="11276" width="9.140625" style="215"/>
    <col min="11277" max="11277" width="12.28515625" style="215" bestFit="1" customWidth="1"/>
    <col min="11278" max="11521" width="9.140625" style="215"/>
    <col min="11522" max="11522" width="53.7109375" style="215" customWidth="1"/>
    <col min="11523" max="11523" width="17.5703125" style="215" customWidth="1"/>
    <col min="11524" max="11524" width="17.28515625" style="215" customWidth="1"/>
    <col min="11525" max="11525" width="16.5703125" style="215" customWidth="1"/>
    <col min="11526" max="11526" width="14" style="215" customWidth="1"/>
    <col min="11527" max="11527" width="16.140625" style="215" customWidth="1"/>
    <col min="11528" max="11528" width="14.5703125" style="215" customWidth="1"/>
    <col min="11529" max="11529" width="16.5703125" style="215" customWidth="1"/>
    <col min="11530" max="11530" width="14" style="215" customWidth="1"/>
    <col min="11531" max="11531" width="17.85546875" style="215" customWidth="1"/>
    <col min="11532" max="11532" width="9.140625" style="215"/>
    <col min="11533" max="11533" width="12.28515625" style="215" bestFit="1" customWidth="1"/>
    <col min="11534" max="11777" width="9.140625" style="215"/>
    <col min="11778" max="11778" width="53.7109375" style="215" customWidth="1"/>
    <col min="11779" max="11779" width="17.5703125" style="215" customWidth="1"/>
    <col min="11780" max="11780" width="17.28515625" style="215" customWidth="1"/>
    <col min="11781" max="11781" width="16.5703125" style="215" customWidth="1"/>
    <col min="11782" max="11782" width="14" style="215" customWidth="1"/>
    <col min="11783" max="11783" width="16.140625" style="215" customWidth="1"/>
    <col min="11784" max="11784" width="14.5703125" style="215" customWidth="1"/>
    <col min="11785" max="11785" width="16.5703125" style="215" customWidth="1"/>
    <col min="11786" max="11786" width="14" style="215" customWidth="1"/>
    <col min="11787" max="11787" width="17.85546875" style="215" customWidth="1"/>
    <col min="11788" max="11788" width="9.140625" style="215"/>
    <col min="11789" max="11789" width="12.28515625" style="215" bestFit="1" customWidth="1"/>
    <col min="11790" max="12033" width="9.140625" style="215"/>
    <col min="12034" max="12034" width="53.7109375" style="215" customWidth="1"/>
    <col min="12035" max="12035" width="17.5703125" style="215" customWidth="1"/>
    <col min="12036" max="12036" width="17.28515625" style="215" customWidth="1"/>
    <col min="12037" max="12037" width="16.5703125" style="215" customWidth="1"/>
    <col min="12038" max="12038" width="14" style="215" customWidth="1"/>
    <col min="12039" max="12039" width="16.140625" style="215" customWidth="1"/>
    <col min="12040" max="12040" width="14.5703125" style="215" customWidth="1"/>
    <col min="12041" max="12041" width="16.5703125" style="215" customWidth="1"/>
    <col min="12042" max="12042" width="14" style="215" customWidth="1"/>
    <col min="12043" max="12043" width="17.85546875" style="215" customWidth="1"/>
    <col min="12044" max="12044" width="9.140625" style="215"/>
    <col min="12045" max="12045" width="12.28515625" style="215" bestFit="1" customWidth="1"/>
    <col min="12046" max="12289" width="9.140625" style="215"/>
    <col min="12290" max="12290" width="53.7109375" style="215" customWidth="1"/>
    <col min="12291" max="12291" width="17.5703125" style="215" customWidth="1"/>
    <col min="12292" max="12292" width="17.28515625" style="215" customWidth="1"/>
    <col min="12293" max="12293" width="16.5703125" style="215" customWidth="1"/>
    <col min="12294" max="12294" width="14" style="215" customWidth="1"/>
    <col min="12295" max="12295" width="16.140625" style="215" customWidth="1"/>
    <col min="12296" max="12296" width="14.5703125" style="215" customWidth="1"/>
    <col min="12297" max="12297" width="16.5703125" style="215" customWidth="1"/>
    <col min="12298" max="12298" width="14" style="215" customWidth="1"/>
    <col min="12299" max="12299" width="17.85546875" style="215" customWidth="1"/>
    <col min="12300" max="12300" width="9.140625" style="215"/>
    <col min="12301" max="12301" width="12.28515625" style="215" bestFit="1" customWidth="1"/>
    <col min="12302" max="12545" width="9.140625" style="215"/>
    <col min="12546" max="12546" width="53.7109375" style="215" customWidth="1"/>
    <col min="12547" max="12547" width="17.5703125" style="215" customWidth="1"/>
    <col min="12548" max="12548" width="17.28515625" style="215" customWidth="1"/>
    <col min="12549" max="12549" width="16.5703125" style="215" customWidth="1"/>
    <col min="12550" max="12550" width="14" style="215" customWidth="1"/>
    <col min="12551" max="12551" width="16.140625" style="215" customWidth="1"/>
    <col min="12552" max="12552" width="14.5703125" style="215" customWidth="1"/>
    <col min="12553" max="12553" width="16.5703125" style="215" customWidth="1"/>
    <col min="12554" max="12554" width="14" style="215" customWidth="1"/>
    <col min="12555" max="12555" width="17.85546875" style="215" customWidth="1"/>
    <col min="12556" max="12556" width="9.140625" style="215"/>
    <col min="12557" max="12557" width="12.28515625" style="215" bestFit="1" customWidth="1"/>
    <col min="12558" max="12801" width="9.140625" style="215"/>
    <col min="12802" max="12802" width="53.7109375" style="215" customWidth="1"/>
    <col min="12803" max="12803" width="17.5703125" style="215" customWidth="1"/>
    <col min="12804" max="12804" width="17.28515625" style="215" customWidth="1"/>
    <col min="12805" max="12805" width="16.5703125" style="215" customWidth="1"/>
    <col min="12806" max="12806" width="14" style="215" customWidth="1"/>
    <col min="12807" max="12807" width="16.140625" style="215" customWidth="1"/>
    <col min="12808" max="12808" width="14.5703125" style="215" customWidth="1"/>
    <col min="12809" max="12809" width="16.5703125" style="215" customWidth="1"/>
    <col min="12810" max="12810" width="14" style="215" customWidth="1"/>
    <col min="12811" max="12811" width="17.85546875" style="215" customWidth="1"/>
    <col min="12812" max="12812" width="9.140625" style="215"/>
    <col min="12813" max="12813" width="12.28515625" style="215" bestFit="1" customWidth="1"/>
    <col min="12814" max="13057" width="9.140625" style="215"/>
    <col min="13058" max="13058" width="53.7109375" style="215" customWidth="1"/>
    <col min="13059" max="13059" width="17.5703125" style="215" customWidth="1"/>
    <col min="13060" max="13060" width="17.28515625" style="215" customWidth="1"/>
    <col min="13061" max="13061" width="16.5703125" style="215" customWidth="1"/>
    <col min="13062" max="13062" width="14" style="215" customWidth="1"/>
    <col min="13063" max="13063" width="16.140625" style="215" customWidth="1"/>
    <col min="13064" max="13064" width="14.5703125" style="215" customWidth="1"/>
    <col min="13065" max="13065" width="16.5703125" style="215" customWidth="1"/>
    <col min="13066" max="13066" width="14" style="215" customWidth="1"/>
    <col min="13067" max="13067" width="17.85546875" style="215" customWidth="1"/>
    <col min="13068" max="13068" width="9.140625" style="215"/>
    <col min="13069" max="13069" width="12.28515625" style="215" bestFit="1" customWidth="1"/>
    <col min="13070" max="13313" width="9.140625" style="215"/>
    <col min="13314" max="13314" width="53.7109375" style="215" customWidth="1"/>
    <col min="13315" max="13315" width="17.5703125" style="215" customWidth="1"/>
    <col min="13316" max="13316" width="17.28515625" style="215" customWidth="1"/>
    <col min="13317" max="13317" width="16.5703125" style="215" customWidth="1"/>
    <col min="13318" max="13318" width="14" style="215" customWidth="1"/>
    <col min="13319" max="13319" width="16.140625" style="215" customWidth="1"/>
    <col min="13320" max="13320" width="14.5703125" style="215" customWidth="1"/>
    <col min="13321" max="13321" width="16.5703125" style="215" customWidth="1"/>
    <col min="13322" max="13322" width="14" style="215" customWidth="1"/>
    <col min="13323" max="13323" width="17.85546875" style="215" customWidth="1"/>
    <col min="13324" max="13324" width="9.140625" style="215"/>
    <col min="13325" max="13325" width="12.28515625" style="215" bestFit="1" customWidth="1"/>
    <col min="13326" max="13569" width="9.140625" style="215"/>
    <col min="13570" max="13570" width="53.7109375" style="215" customWidth="1"/>
    <col min="13571" max="13571" width="17.5703125" style="215" customWidth="1"/>
    <col min="13572" max="13572" width="17.28515625" style="215" customWidth="1"/>
    <col min="13573" max="13573" width="16.5703125" style="215" customWidth="1"/>
    <col min="13574" max="13574" width="14" style="215" customWidth="1"/>
    <col min="13575" max="13575" width="16.140625" style="215" customWidth="1"/>
    <col min="13576" max="13576" width="14.5703125" style="215" customWidth="1"/>
    <col min="13577" max="13577" width="16.5703125" style="215" customWidth="1"/>
    <col min="13578" max="13578" width="14" style="215" customWidth="1"/>
    <col min="13579" max="13579" width="17.85546875" style="215" customWidth="1"/>
    <col min="13580" max="13580" width="9.140625" style="215"/>
    <col min="13581" max="13581" width="12.28515625" style="215" bestFit="1" customWidth="1"/>
    <col min="13582" max="13825" width="9.140625" style="215"/>
    <col min="13826" max="13826" width="53.7109375" style="215" customWidth="1"/>
    <col min="13827" max="13827" width="17.5703125" style="215" customWidth="1"/>
    <col min="13828" max="13828" width="17.28515625" style="215" customWidth="1"/>
    <col min="13829" max="13829" width="16.5703125" style="215" customWidth="1"/>
    <col min="13830" max="13830" width="14" style="215" customWidth="1"/>
    <col min="13831" max="13831" width="16.140625" style="215" customWidth="1"/>
    <col min="13832" max="13832" width="14.5703125" style="215" customWidth="1"/>
    <col min="13833" max="13833" width="16.5703125" style="215" customWidth="1"/>
    <col min="13834" max="13834" width="14" style="215" customWidth="1"/>
    <col min="13835" max="13835" width="17.85546875" style="215" customWidth="1"/>
    <col min="13836" max="13836" width="9.140625" style="215"/>
    <col min="13837" max="13837" width="12.28515625" style="215" bestFit="1" customWidth="1"/>
    <col min="13838" max="14081" width="9.140625" style="215"/>
    <col min="14082" max="14082" width="53.7109375" style="215" customWidth="1"/>
    <col min="14083" max="14083" width="17.5703125" style="215" customWidth="1"/>
    <col min="14084" max="14084" width="17.28515625" style="215" customWidth="1"/>
    <col min="14085" max="14085" width="16.5703125" style="215" customWidth="1"/>
    <col min="14086" max="14086" width="14" style="215" customWidth="1"/>
    <col min="14087" max="14087" width="16.140625" style="215" customWidth="1"/>
    <col min="14088" max="14088" width="14.5703125" style="215" customWidth="1"/>
    <col min="14089" max="14089" width="16.5703125" style="215" customWidth="1"/>
    <col min="14090" max="14090" width="14" style="215" customWidth="1"/>
    <col min="14091" max="14091" width="17.85546875" style="215" customWidth="1"/>
    <col min="14092" max="14092" width="9.140625" style="215"/>
    <col min="14093" max="14093" width="12.28515625" style="215" bestFit="1" customWidth="1"/>
    <col min="14094" max="14337" width="9.140625" style="215"/>
    <col min="14338" max="14338" width="53.7109375" style="215" customWidth="1"/>
    <col min="14339" max="14339" width="17.5703125" style="215" customWidth="1"/>
    <col min="14340" max="14340" width="17.28515625" style="215" customWidth="1"/>
    <col min="14341" max="14341" width="16.5703125" style="215" customWidth="1"/>
    <col min="14342" max="14342" width="14" style="215" customWidth="1"/>
    <col min="14343" max="14343" width="16.140625" style="215" customWidth="1"/>
    <col min="14344" max="14344" width="14.5703125" style="215" customWidth="1"/>
    <col min="14345" max="14345" width="16.5703125" style="215" customWidth="1"/>
    <col min="14346" max="14346" width="14" style="215" customWidth="1"/>
    <col min="14347" max="14347" width="17.85546875" style="215" customWidth="1"/>
    <col min="14348" max="14348" width="9.140625" style="215"/>
    <col min="14349" max="14349" width="12.28515625" style="215" bestFit="1" customWidth="1"/>
    <col min="14350" max="14593" width="9.140625" style="215"/>
    <col min="14594" max="14594" width="53.7109375" style="215" customWidth="1"/>
    <col min="14595" max="14595" width="17.5703125" style="215" customWidth="1"/>
    <col min="14596" max="14596" width="17.28515625" style="215" customWidth="1"/>
    <col min="14597" max="14597" width="16.5703125" style="215" customWidth="1"/>
    <col min="14598" max="14598" width="14" style="215" customWidth="1"/>
    <col min="14599" max="14599" width="16.140625" style="215" customWidth="1"/>
    <col min="14600" max="14600" width="14.5703125" style="215" customWidth="1"/>
    <col min="14601" max="14601" width="16.5703125" style="215" customWidth="1"/>
    <col min="14602" max="14602" width="14" style="215" customWidth="1"/>
    <col min="14603" max="14603" width="17.85546875" style="215" customWidth="1"/>
    <col min="14604" max="14604" width="9.140625" style="215"/>
    <col min="14605" max="14605" width="12.28515625" style="215" bestFit="1" customWidth="1"/>
    <col min="14606" max="14849" width="9.140625" style="215"/>
    <col min="14850" max="14850" width="53.7109375" style="215" customWidth="1"/>
    <col min="14851" max="14851" width="17.5703125" style="215" customWidth="1"/>
    <col min="14852" max="14852" width="17.28515625" style="215" customWidth="1"/>
    <col min="14853" max="14853" width="16.5703125" style="215" customWidth="1"/>
    <col min="14854" max="14854" width="14" style="215" customWidth="1"/>
    <col min="14855" max="14855" width="16.140625" style="215" customWidth="1"/>
    <col min="14856" max="14856" width="14.5703125" style="215" customWidth="1"/>
    <col min="14857" max="14857" width="16.5703125" style="215" customWidth="1"/>
    <col min="14858" max="14858" width="14" style="215" customWidth="1"/>
    <col min="14859" max="14859" width="17.85546875" style="215" customWidth="1"/>
    <col min="14860" max="14860" width="9.140625" style="215"/>
    <col min="14861" max="14861" width="12.28515625" style="215" bestFit="1" customWidth="1"/>
    <col min="14862" max="15105" width="9.140625" style="215"/>
    <col min="15106" max="15106" width="53.7109375" style="215" customWidth="1"/>
    <col min="15107" max="15107" width="17.5703125" style="215" customWidth="1"/>
    <col min="15108" max="15108" width="17.28515625" style="215" customWidth="1"/>
    <col min="15109" max="15109" width="16.5703125" style="215" customWidth="1"/>
    <col min="15110" max="15110" width="14" style="215" customWidth="1"/>
    <col min="15111" max="15111" width="16.140625" style="215" customWidth="1"/>
    <col min="15112" max="15112" width="14.5703125" style="215" customWidth="1"/>
    <col min="15113" max="15113" width="16.5703125" style="215" customWidth="1"/>
    <col min="15114" max="15114" width="14" style="215" customWidth="1"/>
    <col min="15115" max="15115" width="17.85546875" style="215" customWidth="1"/>
    <col min="15116" max="15116" width="9.140625" style="215"/>
    <col min="15117" max="15117" width="12.28515625" style="215" bestFit="1" customWidth="1"/>
    <col min="15118" max="15361" width="9.140625" style="215"/>
    <col min="15362" max="15362" width="53.7109375" style="215" customWidth="1"/>
    <col min="15363" max="15363" width="17.5703125" style="215" customWidth="1"/>
    <col min="15364" max="15364" width="17.28515625" style="215" customWidth="1"/>
    <col min="15365" max="15365" width="16.5703125" style="215" customWidth="1"/>
    <col min="15366" max="15366" width="14" style="215" customWidth="1"/>
    <col min="15367" max="15367" width="16.140625" style="215" customWidth="1"/>
    <col min="15368" max="15368" width="14.5703125" style="215" customWidth="1"/>
    <col min="15369" max="15369" width="16.5703125" style="215" customWidth="1"/>
    <col min="15370" max="15370" width="14" style="215" customWidth="1"/>
    <col min="15371" max="15371" width="17.85546875" style="215" customWidth="1"/>
    <col min="15372" max="15372" width="9.140625" style="215"/>
    <col min="15373" max="15373" width="12.28515625" style="215" bestFit="1" customWidth="1"/>
    <col min="15374" max="15617" width="9.140625" style="215"/>
    <col min="15618" max="15618" width="53.7109375" style="215" customWidth="1"/>
    <col min="15619" max="15619" width="17.5703125" style="215" customWidth="1"/>
    <col min="15620" max="15620" width="17.28515625" style="215" customWidth="1"/>
    <col min="15621" max="15621" width="16.5703125" style="215" customWidth="1"/>
    <col min="15622" max="15622" width="14" style="215" customWidth="1"/>
    <col min="15623" max="15623" width="16.140625" style="215" customWidth="1"/>
    <col min="15624" max="15624" width="14.5703125" style="215" customWidth="1"/>
    <col min="15625" max="15625" width="16.5703125" style="215" customWidth="1"/>
    <col min="15626" max="15626" width="14" style="215" customWidth="1"/>
    <col min="15627" max="15627" width="17.85546875" style="215" customWidth="1"/>
    <col min="15628" max="15628" width="9.140625" style="215"/>
    <col min="15629" max="15629" width="12.28515625" style="215" bestFit="1" customWidth="1"/>
    <col min="15630" max="15873" width="9.140625" style="215"/>
    <col min="15874" max="15874" width="53.7109375" style="215" customWidth="1"/>
    <col min="15875" max="15875" width="17.5703125" style="215" customWidth="1"/>
    <col min="15876" max="15876" width="17.28515625" style="215" customWidth="1"/>
    <col min="15877" max="15877" width="16.5703125" style="215" customWidth="1"/>
    <col min="15878" max="15878" width="14" style="215" customWidth="1"/>
    <col min="15879" max="15879" width="16.140625" style="215" customWidth="1"/>
    <col min="15880" max="15880" width="14.5703125" style="215" customWidth="1"/>
    <col min="15881" max="15881" width="16.5703125" style="215" customWidth="1"/>
    <col min="15882" max="15882" width="14" style="215" customWidth="1"/>
    <col min="15883" max="15883" width="17.85546875" style="215" customWidth="1"/>
    <col min="15884" max="15884" width="9.140625" style="215"/>
    <col min="15885" max="15885" width="12.28515625" style="215" bestFit="1" customWidth="1"/>
    <col min="15886" max="16129" width="9.140625" style="215"/>
    <col min="16130" max="16130" width="53.7109375" style="215" customWidth="1"/>
    <col min="16131" max="16131" width="17.5703125" style="215" customWidth="1"/>
    <col min="16132" max="16132" width="17.28515625" style="215" customWidth="1"/>
    <col min="16133" max="16133" width="16.5703125" style="215" customWidth="1"/>
    <col min="16134" max="16134" width="14" style="215" customWidth="1"/>
    <col min="16135" max="16135" width="16.140625" style="215" customWidth="1"/>
    <col min="16136" max="16136" width="14.5703125" style="215" customWidth="1"/>
    <col min="16137" max="16137" width="16.5703125" style="215" customWidth="1"/>
    <col min="16138" max="16138" width="14" style="215" customWidth="1"/>
    <col min="16139" max="16139" width="17.85546875" style="215" customWidth="1"/>
    <col min="16140" max="16140" width="9.140625" style="215"/>
    <col min="16141" max="16141" width="12.28515625" style="215" bestFit="1" customWidth="1"/>
    <col min="16142" max="16384" width="9.140625" style="215"/>
  </cols>
  <sheetData>
    <row r="1" spans="1:13" s="1410" customFormat="1" ht="15.75">
      <c r="A1" s="1408"/>
      <c r="B1" s="1408"/>
      <c r="C1" s="1408"/>
      <c r="D1" s="1408"/>
      <c r="E1" s="1408"/>
      <c r="F1" s="1408"/>
      <c r="G1" s="1408"/>
      <c r="H1" s="1408"/>
      <c r="I1" s="1408"/>
      <c r="J1" s="1408"/>
      <c r="K1" s="1409" t="s">
        <v>1121</v>
      </c>
    </row>
    <row r="2" spans="1:13" s="1410" customFormat="1" ht="15.75">
      <c r="A2" s="1411" t="s">
        <v>1122</v>
      </c>
      <c r="B2" s="1411"/>
      <c r="C2" s="1411"/>
      <c r="D2" s="1411"/>
      <c r="E2" s="1411"/>
      <c r="F2" s="1411"/>
      <c r="G2" s="1411"/>
      <c r="H2" s="1411"/>
      <c r="I2" s="1411"/>
      <c r="J2" s="1411"/>
      <c r="K2" s="1411"/>
    </row>
    <row r="3" spans="1:13" s="1410" customFormat="1" ht="15.75">
      <c r="A3" s="1411" t="s">
        <v>1123</v>
      </c>
      <c r="B3" s="1411"/>
      <c r="C3" s="1411"/>
      <c r="D3" s="1411"/>
      <c r="E3" s="1411"/>
      <c r="F3" s="1411"/>
      <c r="G3" s="1411"/>
      <c r="H3" s="1411"/>
      <c r="I3" s="1411"/>
      <c r="J3" s="1411"/>
      <c r="K3" s="1411"/>
    </row>
    <row r="4" spans="1:13" s="1410" customFormat="1" ht="15.75">
      <c r="A4" s="1411" t="s">
        <v>1124</v>
      </c>
      <c r="B4" s="1411"/>
      <c r="C4" s="1411"/>
      <c r="D4" s="1411"/>
      <c r="E4" s="1411"/>
      <c r="F4" s="1411"/>
      <c r="G4" s="1411"/>
      <c r="H4" s="1411"/>
      <c r="I4" s="1411"/>
      <c r="J4" s="1411"/>
      <c r="K4" s="1411"/>
    </row>
    <row r="5" spans="1:13" s="1410" customFormat="1" ht="15.75">
      <c r="A5" s="1411" t="s">
        <v>1125</v>
      </c>
      <c r="B5" s="1411"/>
      <c r="C5" s="1411"/>
      <c r="D5" s="1411"/>
      <c r="E5" s="1411"/>
      <c r="F5" s="1411"/>
      <c r="G5" s="1411"/>
      <c r="H5" s="1411"/>
      <c r="I5" s="1411"/>
      <c r="J5" s="1411"/>
      <c r="K5" s="1411"/>
    </row>
    <row r="6" spans="1:13" s="1410" customFormat="1" ht="15.75">
      <c r="A6" s="1411" t="s">
        <v>1126</v>
      </c>
      <c r="B6" s="1411"/>
      <c r="C6" s="1411"/>
      <c r="D6" s="1411"/>
      <c r="E6" s="1411"/>
      <c r="F6" s="1411"/>
      <c r="G6" s="1411"/>
      <c r="H6" s="1411"/>
      <c r="I6" s="1411"/>
      <c r="J6" s="1411"/>
      <c r="K6" s="1411"/>
    </row>
    <row r="7" spans="1:13" s="1410" customFormat="1" ht="15.75">
      <c r="A7" s="1411" t="s">
        <v>1127</v>
      </c>
      <c r="B7" s="1411"/>
      <c r="C7" s="1411"/>
      <c r="D7" s="1411"/>
      <c r="E7" s="1411"/>
      <c r="F7" s="1411"/>
      <c r="G7" s="1411"/>
      <c r="H7" s="1411"/>
      <c r="I7" s="1411"/>
      <c r="J7" s="1411"/>
      <c r="K7" s="1411"/>
    </row>
    <row r="8" spans="1:13" ht="13.5" thickBot="1"/>
    <row r="9" spans="1:13" ht="48" customHeight="1" thickBot="1">
      <c r="A9" s="1412" t="s">
        <v>597</v>
      </c>
      <c r="B9" s="1412" t="s">
        <v>9</v>
      </c>
      <c r="C9" s="1413" t="s">
        <v>1144</v>
      </c>
      <c r="D9" s="1414"/>
      <c r="E9" s="1415"/>
      <c r="F9" s="1413" t="s">
        <v>1128</v>
      </c>
      <c r="G9" s="1414"/>
      <c r="H9" s="1415"/>
      <c r="I9" s="1413" t="s">
        <v>1145</v>
      </c>
      <c r="J9" s="1414"/>
      <c r="K9" s="1415"/>
    </row>
    <row r="10" spans="1:13" ht="128.25" customHeight="1" thickBot="1">
      <c r="A10" s="1416"/>
      <c r="B10" s="1416"/>
      <c r="C10" s="1417" t="s">
        <v>1129</v>
      </c>
      <c r="D10" s="1417" t="s">
        <v>867</v>
      </c>
      <c r="E10" s="1417" t="s">
        <v>1130</v>
      </c>
      <c r="F10" s="1417" t="s">
        <v>1131</v>
      </c>
      <c r="G10" s="1417" t="s">
        <v>867</v>
      </c>
      <c r="H10" s="1417" t="s">
        <v>870</v>
      </c>
      <c r="I10" s="1417" t="s">
        <v>1132</v>
      </c>
      <c r="J10" s="1417" t="s">
        <v>867</v>
      </c>
      <c r="K10" s="1417" t="s">
        <v>870</v>
      </c>
    </row>
    <row r="11" spans="1:13" ht="15.75" thickBot="1">
      <c r="A11" s="1418">
        <v>1</v>
      </c>
      <c r="B11" s="1417">
        <v>2</v>
      </c>
      <c r="C11" s="1417">
        <v>3</v>
      </c>
      <c r="D11" s="1417">
        <v>4</v>
      </c>
      <c r="E11" s="1417">
        <v>5</v>
      </c>
      <c r="F11" s="1417">
        <v>6</v>
      </c>
      <c r="G11" s="1417">
        <v>7</v>
      </c>
      <c r="H11" s="1417">
        <v>8</v>
      </c>
      <c r="I11" s="1417">
        <v>9</v>
      </c>
      <c r="J11" s="1417">
        <v>10</v>
      </c>
      <c r="K11" s="1417">
        <v>11</v>
      </c>
    </row>
    <row r="12" spans="1:13" ht="57" customHeight="1" thickBot="1">
      <c r="A12" s="1205" t="s">
        <v>14</v>
      </c>
      <c r="B12" s="1206" t="s">
        <v>879</v>
      </c>
      <c r="C12" s="1207"/>
      <c r="D12" s="1208"/>
      <c r="E12" s="1208">
        <f>36076.5</f>
        <v>36076.5</v>
      </c>
      <c r="F12" s="1207"/>
      <c r="G12" s="1208"/>
      <c r="H12" s="1208">
        <f>H13+H31+H56+H62+H76+H82+H87+H92+H98+H110</f>
        <v>20089.791318468197</v>
      </c>
      <c r="I12" s="1207"/>
      <c r="J12" s="1208"/>
      <c r="K12" s="1208">
        <f>K13+K31+K56+K62+K76+K82+K87+K92+K98+K110</f>
        <v>50133.889310899998</v>
      </c>
    </row>
    <row r="13" spans="1:13" ht="39.75" customHeight="1" thickBot="1">
      <c r="A13" s="1209" t="s">
        <v>880</v>
      </c>
      <c r="B13" s="1210" t="s">
        <v>881</v>
      </c>
      <c r="C13" s="1211">
        <f>E13/D13*1000</f>
        <v>1325903.7037037038</v>
      </c>
      <c r="D13" s="1211">
        <f>SUM(D14,D21,D27,D28,D29,D30)</f>
        <v>0.54</v>
      </c>
      <c r="E13" s="1211">
        <f>SUM(E14,E21,E27,E28,E29,E30)</f>
        <v>715.98800000000006</v>
      </c>
      <c r="F13" s="1211"/>
      <c r="G13" s="1211">
        <f>D13</f>
        <v>0.54</v>
      </c>
      <c r="H13" s="1211">
        <f>SUM(H14,H21,H27,H28,H29,H30)</f>
        <v>935.74375848</v>
      </c>
      <c r="I13" s="1211"/>
      <c r="J13" s="1211">
        <f>SUM(J14,J21,J27,J28,J29,J30)</f>
        <v>0.59000000000000008</v>
      </c>
      <c r="K13" s="1211">
        <f>SUM(K14,K21,K27,K28,K29,K30)</f>
        <v>281.31707399999999</v>
      </c>
      <c r="M13" s="1279"/>
    </row>
    <row r="14" spans="1:13" ht="16.5" thickBot="1">
      <c r="A14" s="1209"/>
      <c r="B14" s="1213" t="s">
        <v>882</v>
      </c>
      <c r="C14" s="1214"/>
      <c r="D14" s="1214">
        <f>SUM(D15:D20)</f>
        <v>0</v>
      </c>
      <c r="E14" s="1214">
        <f>SUM(E15:E20)</f>
        <v>0</v>
      </c>
      <c r="F14" s="1214"/>
      <c r="G14" s="1214">
        <f t="shared" ref="G14:G77" si="0">D14</f>
        <v>0</v>
      </c>
      <c r="H14" s="1214">
        <f>SUM(H15:H20)</f>
        <v>0</v>
      </c>
      <c r="I14" s="1214"/>
      <c r="J14" s="1214">
        <f>SUM(J15:J20)</f>
        <v>0</v>
      </c>
      <c r="K14" s="1214">
        <f>SUM(K15:K20)</f>
        <v>0</v>
      </c>
    </row>
    <row r="15" spans="1:13" ht="15.75">
      <c r="A15" s="1212"/>
      <c r="B15" s="1216" t="s">
        <v>883</v>
      </c>
      <c r="C15" s="1217"/>
      <c r="D15" s="1217">
        <v>0</v>
      </c>
      <c r="E15" s="1217">
        <v>0</v>
      </c>
      <c r="F15" s="1218">
        <v>1103085.702</v>
      </c>
      <c r="G15" s="1218">
        <f t="shared" si="0"/>
        <v>0</v>
      </c>
      <c r="H15" s="1218">
        <f t="shared" ref="H15:H20" si="1">F15*G15/1000</f>
        <v>0</v>
      </c>
      <c r="I15" s="1219">
        <v>1921956.05</v>
      </c>
      <c r="J15" s="1219">
        <v>0</v>
      </c>
      <c r="K15" s="1219">
        <f t="shared" ref="K15:K20" si="2">I15*J15/1000</f>
        <v>0</v>
      </c>
    </row>
    <row r="16" spans="1:13" ht="15.75">
      <c r="A16" s="1215"/>
      <c r="B16" s="1220" t="s">
        <v>884</v>
      </c>
      <c r="C16" s="1217"/>
      <c r="D16" s="1217">
        <v>0</v>
      </c>
      <c r="E16" s="1217">
        <v>0</v>
      </c>
      <c r="F16" s="1218">
        <f>320899.78*5.4</f>
        <v>1732858.8120000002</v>
      </c>
      <c r="G16" s="1218">
        <f t="shared" si="0"/>
        <v>0</v>
      </c>
      <c r="H16" s="1218">
        <f t="shared" si="1"/>
        <v>0</v>
      </c>
      <c r="I16" s="1219">
        <v>2095992</v>
      </c>
      <c r="J16" s="1219">
        <v>0</v>
      </c>
      <c r="K16" s="1219">
        <f t="shared" si="2"/>
        <v>0</v>
      </c>
    </row>
    <row r="17" spans="1:13" ht="15.75">
      <c r="A17" s="1215"/>
      <c r="B17" s="1221" t="s">
        <v>885</v>
      </c>
      <c r="C17" s="1217"/>
      <c r="D17" s="1217">
        <v>0</v>
      </c>
      <c r="E17" s="1217">
        <v>0</v>
      </c>
      <c r="F17" s="1218">
        <f>320899.78*5.4</f>
        <v>1732858.8120000002</v>
      </c>
      <c r="G17" s="1218">
        <f t="shared" si="0"/>
        <v>0</v>
      </c>
      <c r="H17" s="1218">
        <f t="shared" si="1"/>
        <v>0</v>
      </c>
      <c r="I17" s="1219">
        <v>2095992</v>
      </c>
      <c r="J17" s="1219">
        <v>0</v>
      </c>
      <c r="K17" s="1219">
        <f t="shared" si="2"/>
        <v>0</v>
      </c>
    </row>
    <row r="18" spans="1:13" ht="15.75">
      <c r="A18" s="1215"/>
      <c r="B18" s="1221" t="s">
        <v>886</v>
      </c>
      <c r="C18" s="1217"/>
      <c r="D18" s="1217">
        <v>0</v>
      </c>
      <c r="E18" s="1217">
        <v>0</v>
      </c>
      <c r="F18" s="1218"/>
      <c r="G18" s="1218">
        <f t="shared" si="0"/>
        <v>0</v>
      </c>
      <c r="H18" s="1218">
        <f t="shared" si="1"/>
        <v>0</v>
      </c>
      <c r="I18" s="1219">
        <v>1724670.37</v>
      </c>
      <c r="J18" s="1219">
        <v>0</v>
      </c>
      <c r="K18" s="1219">
        <f t="shared" si="2"/>
        <v>0</v>
      </c>
    </row>
    <row r="19" spans="1:13" ht="15.75">
      <c r="A19" s="1215"/>
      <c r="B19" s="1216" t="s">
        <v>887</v>
      </c>
      <c r="C19" s="1217"/>
      <c r="D19" s="1217">
        <v>0</v>
      </c>
      <c r="E19" s="1217">
        <v>0</v>
      </c>
      <c r="F19" s="1218">
        <f>320899.78*5.4</f>
        <v>1732858.8120000002</v>
      </c>
      <c r="G19" s="1218">
        <f t="shared" si="0"/>
        <v>0</v>
      </c>
      <c r="H19" s="1218">
        <f t="shared" si="1"/>
        <v>0</v>
      </c>
      <c r="I19" s="1219">
        <v>1724670.37</v>
      </c>
      <c r="J19" s="1219">
        <v>0</v>
      </c>
      <c r="K19" s="1219">
        <f t="shared" si="2"/>
        <v>0</v>
      </c>
    </row>
    <row r="20" spans="1:13" ht="16.5" thickBot="1">
      <c r="A20" s="1248"/>
      <c r="B20" s="1216" t="s">
        <v>888</v>
      </c>
      <c r="C20" s="1217"/>
      <c r="D20" s="1217">
        <v>0</v>
      </c>
      <c r="E20" s="1217">
        <v>0</v>
      </c>
      <c r="F20" s="1218">
        <v>0</v>
      </c>
      <c r="G20" s="1218">
        <f t="shared" si="0"/>
        <v>0</v>
      </c>
      <c r="H20" s="1218">
        <f t="shared" si="1"/>
        <v>0</v>
      </c>
      <c r="I20" s="1219">
        <v>2298518.2000000002</v>
      </c>
      <c r="J20" s="1219">
        <v>0</v>
      </c>
      <c r="K20" s="1219">
        <f t="shared" si="2"/>
        <v>0</v>
      </c>
    </row>
    <row r="21" spans="1:13" ht="22.5" customHeight="1" thickBot="1">
      <c r="A21" s="1209"/>
      <c r="B21" s="1213" t="s">
        <v>889</v>
      </c>
      <c r="C21" s="1214">
        <f>E21/D21*1000</f>
        <v>1325903.7037037038</v>
      </c>
      <c r="D21" s="1214">
        <f>SUM(D22:D26)</f>
        <v>0.54</v>
      </c>
      <c r="E21" s="1214">
        <f>SUM(E22:E26)</f>
        <v>715.98800000000006</v>
      </c>
      <c r="F21" s="1214"/>
      <c r="G21" s="1214">
        <f t="shared" si="0"/>
        <v>0.54</v>
      </c>
      <c r="H21" s="1214">
        <f>SUM(H22:H26)</f>
        <v>935.74375848</v>
      </c>
      <c r="I21" s="1214"/>
      <c r="J21" s="1214">
        <f>SUM(J22:J26)</f>
        <v>0.59000000000000008</v>
      </c>
      <c r="K21" s="1214">
        <f>SUM(K22:K26)</f>
        <v>281.31707399999999</v>
      </c>
    </row>
    <row r="22" spans="1:13" ht="15.75">
      <c r="A22" s="1212"/>
      <c r="B22" s="1216" t="s">
        <v>890</v>
      </c>
      <c r="C22" s="1217">
        <f>E22/D22*1000</f>
        <v>2245337.931034483</v>
      </c>
      <c r="D22" s="1217">
        <v>0.28999999999999998</v>
      </c>
      <c r="E22" s="1217">
        <v>651.14800000000002</v>
      </c>
      <c r="F22" s="1218">
        <v>1732858.8120000002</v>
      </c>
      <c r="G22" s="1218">
        <f t="shared" si="0"/>
        <v>0.28999999999999998</v>
      </c>
      <c r="H22" s="1218">
        <f t="shared" ref="H22:H30" si="3">F22*G22/1000</f>
        <v>502.52905547999995</v>
      </c>
      <c r="I22" s="1219">
        <v>476808.6</v>
      </c>
      <c r="J22" s="1219">
        <v>0.34</v>
      </c>
      <c r="K22" s="1219">
        <f t="shared" ref="K22:K30" si="4">I22*J22/1000</f>
        <v>162.114924</v>
      </c>
    </row>
    <row r="23" spans="1:13" ht="15.75">
      <c r="A23" s="1215"/>
      <c r="B23" s="1220" t="s">
        <v>891</v>
      </c>
      <c r="C23" s="1217">
        <f>E23/D23*1000</f>
        <v>259360</v>
      </c>
      <c r="D23" s="1217">
        <v>0.25</v>
      </c>
      <c r="E23" s="1217">
        <v>64.84</v>
      </c>
      <c r="F23" s="1218">
        <v>1732858.8120000002</v>
      </c>
      <c r="G23" s="1218">
        <f t="shared" si="0"/>
        <v>0.25</v>
      </c>
      <c r="H23" s="1218">
        <f t="shared" si="3"/>
        <v>433.21470300000004</v>
      </c>
      <c r="I23" s="1219">
        <v>476808.6</v>
      </c>
      <c r="J23" s="1219">
        <v>0.25</v>
      </c>
      <c r="K23" s="1219">
        <f t="shared" si="4"/>
        <v>119.20214999999999</v>
      </c>
    </row>
    <row r="24" spans="1:13" ht="15.75">
      <c r="A24" s="1215"/>
      <c r="B24" s="1221" t="s">
        <v>892</v>
      </c>
      <c r="C24" s="1225"/>
      <c r="D24" s="1225">
        <v>0</v>
      </c>
      <c r="E24" s="1217">
        <v>0</v>
      </c>
      <c r="F24" s="1226">
        <v>0</v>
      </c>
      <c r="G24" s="1226">
        <f t="shared" si="0"/>
        <v>0</v>
      </c>
      <c r="H24" s="1218">
        <f t="shared" si="3"/>
        <v>0</v>
      </c>
      <c r="I24" s="1227">
        <v>476808.6</v>
      </c>
      <c r="J24" s="1227">
        <v>0</v>
      </c>
      <c r="K24" s="1219">
        <f t="shared" si="4"/>
        <v>0</v>
      </c>
    </row>
    <row r="25" spans="1:13" ht="15.75">
      <c r="A25" s="1215"/>
      <c r="B25" s="1221" t="s">
        <v>893</v>
      </c>
      <c r="C25" s="1217"/>
      <c r="D25" s="1217">
        <v>0</v>
      </c>
      <c r="E25" s="1217">
        <v>0</v>
      </c>
      <c r="F25" s="1218">
        <v>0</v>
      </c>
      <c r="G25" s="1218">
        <f t="shared" si="0"/>
        <v>0</v>
      </c>
      <c r="H25" s="1218">
        <f t="shared" si="3"/>
        <v>0</v>
      </c>
      <c r="I25" s="1219">
        <v>1005806.14</v>
      </c>
      <c r="J25" s="1219">
        <v>0</v>
      </c>
      <c r="K25" s="1219">
        <f t="shared" si="4"/>
        <v>0</v>
      </c>
    </row>
    <row r="26" spans="1:13" ht="16.5" thickBot="1">
      <c r="A26" s="1215"/>
      <c r="B26" s="1216" t="s">
        <v>894</v>
      </c>
      <c r="C26" s="1217"/>
      <c r="D26" s="1217">
        <v>0</v>
      </c>
      <c r="E26" s="1217">
        <v>0</v>
      </c>
      <c r="F26" s="1218">
        <v>0</v>
      </c>
      <c r="G26" s="1218">
        <f t="shared" si="0"/>
        <v>0</v>
      </c>
      <c r="H26" s="1218">
        <f t="shared" si="3"/>
        <v>0</v>
      </c>
      <c r="I26" s="1219">
        <v>2536800.61</v>
      </c>
      <c r="J26" s="1219">
        <v>0</v>
      </c>
      <c r="K26" s="1219">
        <f t="shared" si="4"/>
        <v>0</v>
      </c>
    </row>
    <row r="27" spans="1:13" ht="16.5" thickBot="1">
      <c r="A27" s="1215"/>
      <c r="B27" s="1228" t="s">
        <v>895</v>
      </c>
      <c r="C27" s="1229"/>
      <c r="D27" s="1229">
        <v>0</v>
      </c>
      <c r="E27" s="1229">
        <v>0</v>
      </c>
      <c r="F27" s="1214">
        <v>0</v>
      </c>
      <c r="G27" s="1229">
        <f t="shared" si="0"/>
        <v>0</v>
      </c>
      <c r="H27" s="1229">
        <f t="shared" si="3"/>
        <v>0</v>
      </c>
      <c r="I27" s="1229"/>
      <c r="J27" s="1229">
        <v>0</v>
      </c>
      <c r="K27" s="1229">
        <f t="shared" si="4"/>
        <v>0</v>
      </c>
    </row>
    <row r="28" spans="1:13" ht="17.25" thickTop="1" thickBot="1">
      <c r="A28" s="1215"/>
      <c r="B28" s="1230" t="s">
        <v>896</v>
      </c>
      <c r="C28" s="1231"/>
      <c r="D28" s="1231">
        <v>0</v>
      </c>
      <c r="E28" s="1231">
        <v>0</v>
      </c>
      <c r="F28" s="1214">
        <v>0</v>
      </c>
      <c r="G28" s="1231">
        <f t="shared" si="0"/>
        <v>0</v>
      </c>
      <c r="H28" s="1231">
        <f t="shared" si="3"/>
        <v>0</v>
      </c>
      <c r="I28" s="1231"/>
      <c r="J28" s="1231">
        <v>0</v>
      </c>
      <c r="K28" s="1231">
        <f t="shared" si="4"/>
        <v>0</v>
      </c>
    </row>
    <row r="29" spans="1:13" ht="42" customHeight="1" thickTop="1" thickBot="1">
      <c r="A29" s="1215"/>
      <c r="B29" s="1230" t="s">
        <v>897</v>
      </c>
      <c r="C29" s="1231"/>
      <c r="D29" s="1231">
        <v>0</v>
      </c>
      <c r="E29" s="1231">
        <v>0</v>
      </c>
      <c r="F29" s="1231">
        <v>0</v>
      </c>
      <c r="G29" s="1231">
        <f t="shared" si="0"/>
        <v>0</v>
      </c>
      <c r="H29" s="1231">
        <f t="shared" si="3"/>
        <v>0</v>
      </c>
      <c r="I29" s="1231"/>
      <c r="J29" s="1231">
        <v>0</v>
      </c>
      <c r="K29" s="1231">
        <f t="shared" si="4"/>
        <v>0</v>
      </c>
    </row>
    <row r="30" spans="1:13" ht="40.5" customHeight="1" thickTop="1" thickBot="1">
      <c r="A30" s="1248"/>
      <c r="B30" s="1233" t="s">
        <v>898</v>
      </c>
      <c r="C30" s="1234"/>
      <c r="D30" s="1234">
        <v>0</v>
      </c>
      <c r="E30" s="1234">
        <v>0</v>
      </c>
      <c r="F30" s="1234">
        <v>0</v>
      </c>
      <c r="G30" s="1234">
        <f t="shared" si="0"/>
        <v>0</v>
      </c>
      <c r="H30" s="1234">
        <f t="shared" si="3"/>
        <v>0</v>
      </c>
      <c r="I30" s="1234"/>
      <c r="J30" s="1234">
        <v>0</v>
      </c>
      <c r="K30" s="1234">
        <f t="shared" si="4"/>
        <v>0</v>
      </c>
    </row>
    <row r="31" spans="1:13" ht="42" customHeight="1" thickBot="1">
      <c r="A31" s="1209" t="s">
        <v>880</v>
      </c>
      <c r="B31" s="1210" t="s">
        <v>899</v>
      </c>
      <c r="C31" s="1211">
        <f>E31/D31*1000</f>
        <v>1839737.2400756145</v>
      </c>
      <c r="D31" s="1211">
        <f>SUM(D32,D40,D48,D51,D54,D55)</f>
        <v>14.811999999999998</v>
      </c>
      <c r="E31" s="1211">
        <f>SUM(E32,E40,E48,E51,E54,E55)</f>
        <v>27250.187999999998</v>
      </c>
      <c r="F31" s="1211"/>
      <c r="G31" s="1211">
        <f t="shared" si="0"/>
        <v>14.811999999999998</v>
      </c>
      <c r="H31" s="1211">
        <f>SUM(H32,H40,H48,H51,H54,H55)</f>
        <v>12122.728473688199</v>
      </c>
      <c r="I31" s="1211"/>
      <c r="J31" s="1211">
        <f>SUM(J32,J40,J48,J51,J54,J55)</f>
        <v>3.08</v>
      </c>
      <c r="K31" s="1211">
        <f>SUM(K32,K40,K48,K51,K54,K55)</f>
        <v>25772.344196900001</v>
      </c>
      <c r="M31" s="1279"/>
    </row>
    <row r="32" spans="1:13" ht="16.5" thickBot="1">
      <c r="A32" s="1212"/>
      <c r="B32" s="1213" t="s">
        <v>900</v>
      </c>
      <c r="C32" s="1214">
        <f>E32/D32*1000</f>
        <v>1905380.0904977378</v>
      </c>
      <c r="D32" s="1214">
        <f>SUM(D33:D39)</f>
        <v>2.21</v>
      </c>
      <c r="E32" s="1214">
        <f>SUM(E33:E39)</f>
        <v>4210.8900000000003</v>
      </c>
      <c r="F32" s="1214"/>
      <c r="G32" s="1214">
        <f t="shared" si="0"/>
        <v>2.21</v>
      </c>
      <c r="H32" s="1214">
        <f>SUM(H33:H39)</f>
        <v>1450.7697777809999</v>
      </c>
      <c r="I32" s="1214"/>
      <c r="J32" s="1214">
        <f>SUM(J33:J39)</f>
        <v>3.08</v>
      </c>
      <c r="K32" s="1214">
        <f>SUM(K33:K39)</f>
        <v>1992.3075700000004</v>
      </c>
    </row>
    <row r="33" spans="1:11" ht="16.5" thickTop="1">
      <c r="A33" s="1215"/>
      <c r="B33" s="1237" t="s">
        <v>901</v>
      </c>
      <c r="C33" s="1217"/>
      <c r="D33" s="1217">
        <v>0</v>
      </c>
      <c r="E33" s="1217">
        <v>0</v>
      </c>
      <c r="F33" s="1218">
        <v>0</v>
      </c>
      <c r="G33" s="1218">
        <f t="shared" si="0"/>
        <v>0</v>
      </c>
      <c r="H33" s="1218">
        <f t="shared" ref="H33:H39" si="5">F33*G33/1000</f>
        <v>0</v>
      </c>
      <c r="I33" s="1219">
        <v>1496667.7</v>
      </c>
      <c r="J33" s="1219">
        <v>0</v>
      </c>
      <c r="K33" s="1219">
        <f t="shared" ref="K33:K39" si="6">I33*J33/1000</f>
        <v>0</v>
      </c>
    </row>
    <row r="34" spans="1:11" ht="15.75">
      <c r="A34" s="1215"/>
      <c r="B34" s="1216" t="s">
        <v>902</v>
      </c>
      <c r="C34" s="1217"/>
      <c r="D34" s="1217">
        <v>0</v>
      </c>
      <c r="E34" s="1217">
        <v>0</v>
      </c>
      <c r="F34" s="1218">
        <f>176008.39*4.71</f>
        <v>828999.51690000005</v>
      </c>
      <c r="G34" s="1218">
        <f t="shared" si="0"/>
        <v>0</v>
      </c>
      <c r="H34" s="1218">
        <f t="shared" si="5"/>
        <v>0</v>
      </c>
      <c r="I34" s="1219">
        <v>1496667.7</v>
      </c>
      <c r="J34" s="1219">
        <v>0</v>
      </c>
      <c r="K34" s="1219">
        <f t="shared" si="6"/>
        <v>0</v>
      </c>
    </row>
    <row r="35" spans="1:11" ht="15.75">
      <c r="A35" s="1215"/>
      <c r="B35" s="1216" t="s">
        <v>903</v>
      </c>
      <c r="C35" s="1217"/>
      <c r="D35" s="1217">
        <v>0</v>
      </c>
      <c r="E35" s="1217">
        <v>0</v>
      </c>
      <c r="F35" s="1218">
        <f>151486.36*4.71</f>
        <v>713500.75559999992</v>
      </c>
      <c r="G35" s="1218">
        <f t="shared" si="0"/>
        <v>0</v>
      </c>
      <c r="H35" s="1218">
        <f t="shared" si="5"/>
        <v>0</v>
      </c>
      <c r="I35" s="1219">
        <v>607081.15</v>
      </c>
      <c r="J35" s="1219">
        <v>0</v>
      </c>
      <c r="K35" s="1219">
        <f t="shared" si="6"/>
        <v>0</v>
      </c>
    </row>
    <row r="36" spans="1:11" ht="15.75">
      <c r="A36" s="1215"/>
      <c r="B36" s="1216" t="s">
        <v>904</v>
      </c>
      <c r="C36" s="1217">
        <f>E36/D36*1000</f>
        <v>1836502.3529411764</v>
      </c>
      <c r="D36" s="1217">
        <v>1.7</v>
      </c>
      <c r="E36" s="1217">
        <v>3122.0540000000001</v>
      </c>
      <c r="F36" s="1218">
        <f>117457.66*4.71</f>
        <v>553225.57860000001</v>
      </c>
      <c r="G36" s="1218">
        <f t="shared" si="0"/>
        <v>1.7</v>
      </c>
      <c r="H36" s="1218">
        <f t="shared" si="5"/>
        <v>940.4834836199999</v>
      </c>
      <c r="I36" s="1219">
        <v>607081.15</v>
      </c>
      <c r="J36" s="1219">
        <v>2.2000000000000002</v>
      </c>
      <c r="K36" s="1219">
        <f t="shared" si="6"/>
        <v>1335.5785300000002</v>
      </c>
    </row>
    <row r="37" spans="1:11" ht="15.75">
      <c r="A37" s="1215"/>
      <c r="B37" s="1216" t="s">
        <v>905</v>
      </c>
      <c r="C37" s="1217">
        <f>E37/D37*1000</f>
        <v>2134972.5490196077</v>
      </c>
      <c r="D37" s="1217">
        <v>0.51</v>
      </c>
      <c r="E37" s="1217">
        <v>1088.836</v>
      </c>
      <c r="F37" s="1218">
        <f>212433.41*4.71</f>
        <v>1000561.3611</v>
      </c>
      <c r="G37" s="1218">
        <f t="shared" si="0"/>
        <v>0.51</v>
      </c>
      <c r="H37" s="1218">
        <f t="shared" si="5"/>
        <v>510.286294161</v>
      </c>
      <c r="I37" s="1219">
        <v>746283</v>
      </c>
      <c r="J37" s="1219">
        <v>0.88</v>
      </c>
      <c r="K37" s="1219">
        <f t="shared" si="6"/>
        <v>656.72904000000005</v>
      </c>
    </row>
    <row r="38" spans="1:11" ht="15.75">
      <c r="A38" s="1215"/>
      <c r="B38" s="1221" t="s">
        <v>906</v>
      </c>
      <c r="C38" s="1225"/>
      <c r="D38" s="1225">
        <v>0</v>
      </c>
      <c r="E38" s="1225">
        <v>0</v>
      </c>
      <c r="F38" s="1226">
        <f>267271.45*4.71</f>
        <v>1258848.5294999999</v>
      </c>
      <c r="G38" s="1226">
        <f t="shared" si="0"/>
        <v>0</v>
      </c>
      <c r="H38" s="1226">
        <f t="shared" si="5"/>
        <v>0</v>
      </c>
      <c r="I38" s="1227">
        <v>746283</v>
      </c>
      <c r="J38" s="1227">
        <v>0</v>
      </c>
      <c r="K38" s="1227">
        <f t="shared" si="6"/>
        <v>0</v>
      </c>
    </row>
    <row r="39" spans="1:11" ht="16.5" thickBot="1">
      <c r="A39" s="1215"/>
      <c r="B39" s="1221" t="s">
        <v>907</v>
      </c>
      <c r="C39" s="1217"/>
      <c r="D39" s="1217">
        <v>0</v>
      </c>
      <c r="E39" s="1217">
        <v>0</v>
      </c>
      <c r="F39" s="1218">
        <f>141596.4*4.71</f>
        <v>666919.04399999999</v>
      </c>
      <c r="G39" s="1218">
        <f t="shared" si="0"/>
        <v>0</v>
      </c>
      <c r="H39" s="1218">
        <f t="shared" si="5"/>
        <v>0</v>
      </c>
      <c r="I39" s="1219">
        <v>1129183.26</v>
      </c>
      <c r="J39" s="1219">
        <v>0</v>
      </c>
      <c r="K39" s="1219">
        <f t="shared" si="6"/>
        <v>0</v>
      </c>
    </row>
    <row r="40" spans="1:11" ht="16.5" thickBot="1">
      <c r="A40" s="1215"/>
      <c r="B40" s="1213" t="s">
        <v>908</v>
      </c>
      <c r="C40" s="1214">
        <f>E40/D40*1000</f>
        <v>1828225.5197587686</v>
      </c>
      <c r="D40" s="1214">
        <f>SUM(D41:D47)</f>
        <v>12.601999999999999</v>
      </c>
      <c r="E40" s="1214">
        <f>SUM(E41:E47)</f>
        <v>23039.297999999999</v>
      </c>
      <c r="F40" s="1214"/>
      <c r="G40" s="1214">
        <f t="shared" si="0"/>
        <v>12.601999999999999</v>
      </c>
      <c r="H40" s="1214">
        <f>SUM(H41:H47)</f>
        <v>10671.9586959072</v>
      </c>
      <c r="I40" s="1214"/>
      <c r="J40" s="1214"/>
      <c r="K40" s="1214">
        <f>SUM(K41:K47)</f>
        <v>23780.036626900001</v>
      </c>
    </row>
    <row r="41" spans="1:11" ht="16.5" thickTop="1">
      <c r="A41" s="1215"/>
      <c r="B41" s="1237" t="s">
        <v>909</v>
      </c>
      <c r="C41" s="1217"/>
      <c r="D41" s="1217">
        <v>0</v>
      </c>
      <c r="E41" s="1217">
        <v>0</v>
      </c>
      <c r="F41" s="1218">
        <f>199438.08*4.71</f>
        <v>939353.35679999995</v>
      </c>
      <c r="G41" s="1218">
        <f t="shared" si="0"/>
        <v>0</v>
      </c>
      <c r="H41" s="1218">
        <f t="shared" ref="H41:H47" si="7">F41*G41/1000</f>
        <v>0</v>
      </c>
      <c r="I41" s="1219">
        <v>1624055.45</v>
      </c>
      <c r="J41" s="1219">
        <v>0</v>
      </c>
      <c r="K41" s="1219">
        <f t="shared" ref="K41:K47" si="8">I41*J41/1000</f>
        <v>0</v>
      </c>
    </row>
    <row r="42" spans="1:11" ht="15.75">
      <c r="A42" s="1215"/>
      <c r="B42" s="1216" t="s">
        <v>910</v>
      </c>
      <c r="C42" s="1217">
        <f>E42/D42*1000</f>
        <v>1749958.4541062801</v>
      </c>
      <c r="D42" s="1217">
        <v>10.35</v>
      </c>
      <c r="E42" s="1217">
        <v>18112.07</v>
      </c>
      <c r="F42" s="1218">
        <f>174166.82*4.71</f>
        <v>820325.72220000008</v>
      </c>
      <c r="G42" s="1218">
        <f t="shared" si="0"/>
        <v>10.35</v>
      </c>
      <c r="H42" s="1218">
        <f t="shared" si="7"/>
        <v>8490.3712247700005</v>
      </c>
      <c r="I42" s="1219">
        <v>1549620.15</v>
      </c>
      <c r="J42" s="1219">
        <v>12.3</v>
      </c>
      <c r="K42" s="1219">
        <f t="shared" si="8"/>
        <v>19060.327845</v>
      </c>
    </row>
    <row r="43" spans="1:11" ht="15.75">
      <c r="A43" s="1215"/>
      <c r="B43" s="1216" t="s">
        <v>911</v>
      </c>
      <c r="C43" s="1217"/>
      <c r="D43" s="1217">
        <v>0</v>
      </c>
      <c r="E43" s="1217">
        <v>0</v>
      </c>
      <c r="F43" s="1218">
        <f>157393*4.71</f>
        <v>741321.03</v>
      </c>
      <c r="G43" s="1218">
        <f t="shared" si="0"/>
        <v>0</v>
      </c>
      <c r="H43" s="1218">
        <f t="shared" si="7"/>
        <v>0</v>
      </c>
      <c r="I43" s="1219">
        <v>1549620.15</v>
      </c>
      <c r="J43" s="1219">
        <v>0</v>
      </c>
      <c r="K43" s="1219">
        <f t="shared" si="8"/>
        <v>0</v>
      </c>
    </row>
    <row r="44" spans="1:11" ht="15.75">
      <c r="A44" s="1215"/>
      <c r="B44" s="1216" t="s">
        <v>912</v>
      </c>
      <c r="C44" s="1217"/>
      <c r="D44" s="1217">
        <v>0</v>
      </c>
      <c r="E44" s="1217">
        <v>0</v>
      </c>
      <c r="F44" s="1218">
        <f>196536.22*4.71</f>
        <v>925685.59620000003</v>
      </c>
      <c r="G44" s="1218">
        <f t="shared" si="0"/>
        <v>0</v>
      </c>
      <c r="H44" s="1218">
        <f t="shared" si="7"/>
        <v>0</v>
      </c>
      <c r="I44" s="1219">
        <v>1549620.15</v>
      </c>
      <c r="J44" s="1219">
        <v>0</v>
      </c>
      <c r="K44" s="1219">
        <f t="shared" si="8"/>
        <v>0</v>
      </c>
    </row>
    <row r="45" spans="1:11" ht="15.75">
      <c r="A45" s="1215"/>
      <c r="B45" s="1216" t="s">
        <v>913</v>
      </c>
      <c r="C45" s="1217">
        <f>E45/D45*1000</f>
        <v>2178085.0678733033</v>
      </c>
      <c r="D45" s="1217">
        <v>2.21</v>
      </c>
      <c r="E45" s="1217">
        <v>4813.5680000000002</v>
      </c>
      <c r="F45" s="1218">
        <f>205620.38*4.71</f>
        <v>968471.98979999998</v>
      </c>
      <c r="G45" s="1218">
        <f t="shared" si="0"/>
        <v>2.21</v>
      </c>
      <c r="H45" s="1218">
        <f t="shared" si="7"/>
        <v>2140.3230974579997</v>
      </c>
      <c r="I45" s="1219">
        <v>1603913.09</v>
      </c>
      <c r="J45" s="1219">
        <v>2.84</v>
      </c>
      <c r="K45" s="1219">
        <f t="shared" si="8"/>
        <v>4555.1131755999995</v>
      </c>
    </row>
    <row r="46" spans="1:11" ht="15.75">
      <c r="A46" s="1215"/>
      <c r="B46" s="1221" t="s">
        <v>914</v>
      </c>
      <c r="C46" s="1225">
        <f>E46/D46*1000</f>
        <v>2706190.4761904762</v>
      </c>
      <c r="D46" s="1225">
        <v>4.2000000000000003E-2</v>
      </c>
      <c r="E46" s="1225">
        <v>113.66</v>
      </c>
      <c r="F46" s="1226">
        <f>208595.56*4.71</f>
        <v>982485.08759999997</v>
      </c>
      <c r="G46" s="1226">
        <f t="shared" si="0"/>
        <v>4.2000000000000003E-2</v>
      </c>
      <c r="H46" s="1226">
        <f t="shared" si="7"/>
        <v>41.264373679199998</v>
      </c>
      <c r="I46" s="1227">
        <v>1828840.07</v>
      </c>
      <c r="J46" s="1227">
        <v>0.09</v>
      </c>
      <c r="K46" s="1227">
        <f t="shared" si="8"/>
        <v>164.59560630000001</v>
      </c>
    </row>
    <row r="47" spans="1:11" ht="16.5" thickBot="1">
      <c r="A47" s="1215"/>
      <c r="B47" s="1221" t="s">
        <v>915</v>
      </c>
      <c r="C47" s="1217"/>
      <c r="D47" s="1217">
        <v>0</v>
      </c>
      <c r="E47" s="1217">
        <v>0</v>
      </c>
      <c r="F47" s="1218">
        <f>464390.24*4.71</f>
        <v>2187278.0304</v>
      </c>
      <c r="G47" s="1218">
        <f t="shared" si="0"/>
        <v>0</v>
      </c>
      <c r="H47" s="1218">
        <f t="shared" si="7"/>
        <v>0</v>
      </c>
      <c r="I47" s="1219">
        <v>1828840.07</v>
      </c>
      <c r="J47" s="1219">
        <v>0</v>
      </c>
      <c r="K47" s="1219">
        <f t="shared" si="8"/>
        <v>0</v>
      </c>
    </row>
    <row r="48" spans="1:11" ht="16.5" thickBot="1">
      <c r="A48" s="1215"/>
      <c r="B48" s="1213" t="s">
        <v>916</v>
      </c>
      <c r="C48" s="1214"/>
      <c r="D48" s="1214">
        <f>SUM(D49:D50)</f>
        <v>0</v>
      </c>
      <c r="E48" s="1214">
        <f>SUM(E49:E50)</f>
        <v>0</v>
      </c>
      <c r="F48" s="1214"/>
      <c r="G48" s="1214">
        <f t="shared" si="0"/>
        <v>0</v>
      </c>
      <c r="H48" s="1214">
        <f>SUM(H49:H50)</f>
        <v>0</v>
      </c>
      <c r="I48" s="1214"/>
      <c r="J48" s="1214">
        <v>0</v>
      </c>
      <c r="K48" s="1214">
        <f>SUM(K49:K50)</f>
        <v>0</v>
      </c>
    </row>
    <row r="49" spans="1:13" ht="16.5" thickTop="1">
      <c r="A49" s="1215"/>
      <c r="B49" s="1237" t="s">
        <v>917</v>
      </c>
      <c r="C49" s="1217"/>
      <c r="D49" s="1217">
        <v>0</v>
      </c>
      <c r="E49" s="1217">
        <v>0</v>
      </c>
      <c r="F49" s="1218">
        <f>966459*4.71</f>
        <v>4552021.8899999997</v>
      </c>
      <c r="G49" s="1218">
        <f t="shared" si="0"/>
        <v>0</v>
      </c>
      <c r="H49" s="1218">
        <f>F49*G49/1000</f>
        <v>0</v>
      </c>
      <c r="I49" s="1219">
        <v>8836730</v>
      </c>
      <c r="J49" s="1219">
        <v>0</v>
      </c>
      <c r="K49" s="1219">
        <f>I49*J49/1000</f>
        <v>0</v>
      </c>
    </row>
    <row r="50" spans="1:13" ht="16.5" thickBot="1">
      <c r="A50" s="1215"/>
      <c r="B50" s="1216" t="s">
        <v>918</v>
      </c>
      <c r="C50" s="1217"/>
      <c r="D50" s="1217">
        <v>0</v>
      </c>
      <c r="E50" s="1217">
        <v>0</v>
      </c>
      <c r="F50" s="1218">
        <v>0</v>
      </c>
      <c r="G50" s="1218">
        <f t="shared" si="0"/>
        <v>0</v>
      </c>
      <c r="H50" s="1218">
        <f>F50*G50/1000</f>
        <v>0</v>
      </c>
      <c r="I50" s="1219">
        <v>8836730</v>
      </c>
      <c r="J50" s="1219">
        <v>0</v>
      </c>
      <c r="K50" s="1219">
        <f>I50*J50/1000</f>
        <v>0</v>
      </c>
    </row>
    <row r="51" spans="1:13" ht="16.5" thickBot="1">
      <c r="A51" s="1215"/>
      <c r="B51" s="1213" t="s">
        <v>919</v>
      </c>
      <c r="C51" s="1214"/>
      <c r="D51" s="1214">
        <f>SUM(D52:D53)</f>
        <v>0</v>
      </c>
      <c r="E51" s="1214">
        <f>SUM(E52:E53)</f>
        <v>0</v>
      </c>
      <c r="F51" s="1214"/>
      <c r="G51" s="1214">
        <f t="shared" si="0"/>
        <v>0</v>
      </c>
      <c r="H51" s="1214">
        <f>SUM(H52:H53)</f>
        <v>0</v>
      </c>
      <c r="I51" s="1214"/>
      <c r="J51" s="1214">
        <v>0</v>
      </c>
      <c r="K51" s="1214">
        <f>SUM(K52:K53)</f>
        <v>0</v>
      </c>
    </row>
    <row r="52" spans="1:13" ht="16.5" thickTop="1">
      <c r="A52" s="1215"/>
      <c r="B52" s="1237" t="s">
        <v>920</v>
      </c>
      <c r="C52" s="1217"/>
      <c r="D52" s="1217">
        <v>0</v>
      </c>
      <c r="E52" s="1217">
        <v>0</v>
      </c>
      <c r="F52" s="1218">
        <v>0</v>
      </c>
      <c r="G52" s="1218">
        <f t="shared" si="0"/>
        <v>0</v>
      </c>
      <c r="H52" s="1218">
        <f>F52*G52/1000</f>
        <v>0</v>
      </c>
      <c r="I52" s="1219">
        <v>0</v>
      </c>
      <c r="J52" s="1219">
        <v>0</v>
      </c>
      <c r="K52" s="1219">
        <f>I52*J52/1000</f>
        <v>0</v>
      </c>
    </row>
    <row r="53" spans="1:13" ht="16.5" thickBot="1">
      <c r="A53" s="1215"/>
      <c r="B53" s="1216" t="s">
        <v>921</v>
      </c>
      <c r="C53" s="1217"/>
      <c r="D53" s="1217">
        <v>0</v>
      </c>
      <c r="E53" s="1217">
        <v>0</v>
      </c>
      <c r="F53" s="1218">
        <f>1722734*4.71</f>
        <v>8114077.1399999997</v>
      </c>
      <c r="G53" s="1218">
        <f t="shared" si="0"/>
        <v>0</v>
      </c>
      <c r="H53" s="1218">
        <f>F53*G53/1000</f>
        <v>0</v>
      </c>
      <c r="I53" s="1219">
        <v>0</v>
      </c>
      <c r="J53" s="1219">
        <v>0</v>
      </c>
      <c r="K53" s="1219">
        <f>I53*J53/1000</f>
        <v>0</v>
      </c>
    </row>
    <row r="54" spans="1:13" ht="16.5" thickBot="1">
      <c r="A54" s="1232"/>
      <c r="B54" s="1238" t="s">
        <v>922</v>
      </c>
      <c r="C54" s="1239"/>
      <c r="D54" s="1239">
        <v>0</v>
      </c>
      <c r="E54" s="1239">
        <v>0</v>
      </c>
      <c r="F54" s="1239">
        <f>3530.48*7.61</f>
        <v>26866.952800000003</v>
      </c>
      <c r="G54" s="1239">
        <f t="shared" si="0"/>
        <v>0</v>
      </c>
      <c r="H54" s="1239">
        <f>F54*G54/1000</f>
        <v>0</v>
      </c>
      <c r="I54" s="1239"/>
      <c r="J54" s="1239">
        <v>0</v>
      </c>
      <c r="K54" s="1239">
        <f>I54*J54/1000</f>
        <v>0</v>
      </c>
    </row>
    <row r="55" spans="1:13" ht="16.5" thickBot="1">
      <c r="A55" s="1248"/>
      <c r="B55" s="1238" t="s">
        <v>923</v>
      </c>
      <c r="C55" s="1239"/>
      <c r="D55" s="1239">
        <v>0</v>
      </c>
      <c r="E55" s="1239">
        <v>0</v>
      </c>
      <c r="F55" s="1239">
        <v>0</v>
      </c>
      <c r="G55" s="1239">
        <f t="shared" si="0"/>
        <v>0</v>
      </c>
      <c r="H55" s="1239">
        <f>F55*G55/1000</f>
        <v>0</v>
      </c>
      <c r="I55" s="1239"/>
      <c r="J55" s="1239">
        <v>0</v>
      </c>
      <c r="K55" s="1239">
        <f>I55*J55/1000</f>
        <v>0</v>
      </c>
    </row>
    <row r="56" spans="1:13" ht="57" customHeight="1" thickBot="1">
      <c r="A56" s="1209" t="s">
        <v>160</v>
      </c>
      <c r="B56" s="1210" t="s">
        <v>924</v>
      </c>
      <c r="C56" s="1211">
        <f t="shared" ref="C56:C62" si="9">E56/D56*1000</f>
        <v>9550.3856332703199</v>
      </c>
      <c r="D56" s="1211">
        <f>SUM(D57:D61)</f>
        <v>529</v>
      </c>
      <c r="E56" s="1211">
        <f>SUM(E57:E61)</f>
        <v>5052.1539999999995</v>
      </c>
      <c r="F56" s="1211"/>
      <c r="G56" s="1211">
        <f t="shared" si="0"/>
        <v>529</v>
      </c>
      <c r="H56" s="1211">
        <f>SUM(H57:H61)</f>
        <v>4098.3610862000005</v>
      </c>
      <c r="I56" s="1211"/>
      <c r="J56" s="1211">
        <f>SUM(J57:J61)</f>
        <v>544</v>
      </c>
      <c r="K56" s="1211">
        <f>SUM(K57:K61)</f>
        <v>6669.4630199999992</v>
      </c>
      <c r="M56" s="1279"/>
    </row>
    <row r="57" spans="1:13" ht="15.75">
      <c r="A57" s="1212"/>
      <c r="B57" s="1240" t="s">
        <v>925</v>
      </c>
      <c r="C57" s="1217">
        <f t="shared" si="9"/>
        <v>16275.585714285715</v>
      </c>
      <c r="D57" s="1217">
        <v>70</v>
      </c>
      <c r="E57" s="1217">
        <v>1139.2909999999999</v>
      </c>
      <c r="F57" s="1218">
        <f>2391.87*7.61</f>
        <v>18202.130700000002</v>
      </c>
      <c r="G57" s="1218">
        <f t="shared" si="0"/>
        <v>70</v>
      </c>
      <c r="H57" s="1218">
        <f>F57*G57/1000</f>
        <v>1274.1491490000003</v>
      </c>
      <c r="I57" s="1219">
        <v>19618.509999999998</v>
      </c>
      <c r="J57" s="1219">
        <v>70</v>
      </c>
      <c r="K57" s="1219">
        <f>I57*J57/1000</f>
        <v>1373.2956999999999</v>
      </c>
    </row>
    <row r="58" spans="1:13" ht="15.75">
      <c r="A58" s="1215"/>
      <c r="B58" s="1221" t="s">
        <v>926</v>
      </c>
      <c r="C58" s="1217">
        <f t="shared" si="9"/>
        <v>14585.457142857143</v>
      </c>
      <c r="D58" s="1217">
        <v>70</v>
      </c>
      <c r="E58" s="1217">
        <v>1020.982</v>
      </c>
      <c r="F58" s="1218">
        <f>1392.11*7.61</f>
        <v>10593.9571</v>
      </c>
      <c r="G58" s="1218">
        <f t="shared" si="0"/>
        <v>70</v>
      </c>
      <c r="H58" s="1218">
        <f>F58*G58/1000</f>
        <v>741.57699700000001</v>
      </c>
      <c r="I58" s="1219">
        <v>14769.33</v>
      </c>
      <c r="J58" s="1219">
        <v>90</v>
      </c>
      <c r="K58" s="1219">
        <f>I58*J58/1000</f>
        <v>1329.2396999999999</v>
      </c>
    </row>
    <row r="59" spans="1:13" ht="15.75">
      <c r="A59" s="1215"/>
      <c r="B59" s="1221" t="s">
        <v>927</v>
      </c>
      <c r="C59" s="1217">
        <f t="shared" si="9"/>
        <v>14626.759999999998</v>
      </c>
      <c r="D59" s="1217">
        <v>50</v>
      </c>
      <c r="E59" s="1217">
        <v>731.33799999999997</v>
      </c>
      <c r="F59" s="1218">
        <f>1019.3*7.61</f>
        <v>7756.8729999999996</v>
      </c>
      <c r="G59" s="1218">
        <f t="shared" si="0"/>
        <v>50</v>
      </c>
      <c r="H59" s="1218">
        <f>F59*G59/1000</f>
        <v>387.84364999999997</v>
      </c>
      <c r="I59" s="1219">
        <v>14769.33</v>
      </c>
      <c r="J59" s="1219">
        <v>68</v>
      </c>
      <c r="K59" s="1219">
        <f>I59*J59/1000</f>
        <v>1004.31444</v>
      </c>
    </row>
    <row r="60" spans="1:13" ht="15.75">
      <c r="A60" s="1215"/>
      <c r="B60" s="1216" t="s">
        <v>928</v>
      </c>
      <c r="C60" s="1217">
        <f t="shared" si="9"/>
        <v>6727.3837837837846</v>
      </c>
      <c r="D60" s="1217">
        <v>185</v>
      </c>
      <c r="E60" s="1217">
        <v>1244.566</v>
      </c>
      <c r="F60" s="1218">
        <f>846.76*7.61</f>
        <v>6443.8436000000002</v>
      </c>
      <c r="G60" s="1218">
        <f t="shared" si="0"/>
        <v>185</v>
      </c>
      <c r="H60" s="1218">
        <f>F60*G60/1000</f>
        <v>1192.1110660000002</v>
      </c>
      <c r="I60" s="1219">
        <v>14769.33</v>
      </c>
      <c r="J60" s="1219">
        <v>162</v>
      </c>
      <c r="K60" s="1219">
        <f>I60*J60/1000</f>
        <v>2392.6314600000001</v>
      </c>
    </row>
    <row r="61" spans="1:13" ht="16.5" thickBot="1">
      <c r="A61" s="1248"/>
      <c r="B61" s="1240" t="s">
        <v>929</v>
      </c>
      <c r="C61" s="1241">
        <f t="shared" si="9"/>
        <v>5947.9025974025981</v>
      </c>
      <c r="D61" s="1241">
        <v>154</v>
      </c>
      <c r="E61" s="1241">
        <v>915.97699999999998</v>
      </c>
      <c r="F61" s="1242">
        <f>428.93*7.61</f>
        <v>3264.1573000000003</v>
      </c>
      <c r="G61" s="1242">
        <f t="shared" si="0"/>
        <v>154</v>
      </c>
      <c r="H61" s="1242">
        <f>F61*G61/1000</f>
        <v>502.68022420000005</v>
      </c>
      <c r="I61" s="1243">
        <v>3701.18</v>
      </c>
      <c r="J61" s="1243">
        <v>154</v>
      </c>
      <c r="K61" s="1243">
        <f>I61*J61/1000</f>
        <v>569.98172</v>
      </c>
    </row>
    <row r="62" spans="1:13" ht="55.5" customHeight="1" thickBot="1">
      <c r="A62" s="1209" t="s">
        <v>160</v>
      </c>
      <c r="B62" s="1210" t="s">
        <v>930</v>
      </c>
      <c r="C62" s="1211">
        <f t="shared" si="9"/>
        <v>4683.2664624808567</v>
      </c>
      <c r="D62" s="1211">
        <f>SUM(D63:D75)</f>
        <v>653</v>
      </c>
      <c r="E62" s="1211">
        <f>SUM(E63:E75)</f>
        <v>3058.1729999999998</v>
      </c>
      <c r="F62" s="1211"/>
      <c r="G62" s="1211">
        <f t="shared" si="0"/>
        <v>653</v>
      </c>
      <c r="H62" s="1211">
        <f>SUM(H63:H75)</f>
        <v>2932.9580001000004</v>
      </c>
      <c r="I62" s="1211"/>
      <c r="J62" s="1211">
        <f>SUM(J63:J75)</f>
        <v>846</v>
      </c>
      <c r="K62" s="1211">
        <f>SUM(K63:K75)</f>
        <v>17410.765019999999</v>
      </c>
    </row>
    <row r="63" spans="1:13" ht="15.75">
      <c r="A63" s="1212"/>
      <c r="B63" s="1240" t="s">
        <v>928</v>
      </c>
      <c r="C63" s="1217"/>
      <c r="D63" s="1217">
        <v>0</v>
      </c>
      <c r="E63" s="1217">
        <v>0</v>
      </c>
      <c r="F63" s="1218">
        <f>989.62*7.61</f>
        <v>7531.0082000000002</v>
      </c>
      <c r="G63" s="1218">
        <f t="shared" si="0"/>
        <v>0</v>
      </c>
      <c r="H63" s="1218">
        <f t="shared" ref="H63:H75" si="10">F63*G63/1000</f>
        <v>0</v>
      </c>
      <c r="I63" s="1219">
        <v>14261.06</v>
      </c>
      <c r="J63" s="1219">
        <v>120</v>
      </c>
      <c r="K63" s="1219">
        <f t="shared" ref="K63:K75" si="11">I63*J63/1000</f>
        <v>1711.3271999999999</v>
      </c>
    </row>
    <row r="64" spans="1:13" ht="15.75">
      <c r="A64" s="1215"/>
      <c r="B64" s="1221" t="s">
        <v>931</v>
      </c>
      <c r="C64" s="1217">
        <f>E64/D64*1000</f>
        <v>6862.5555555555547</v>
      </c>
      <c r="D64" s="1217">
        <v>162</v>
      </c>
      <c r="E64" s="1217">
        <v>1111.7339999999999</v>
      </c>
      <c r="F64" s="1218">
        <f>676.84*7.61</f>
        <v>5150.7524000000003</v>
      </c>
      <c r="G64" s="1218">
        <f t="shared" si="0"/>
        <v>162</v>
      </c>
      <c r="H64" s="1218">
        <f t="shared" si="10"/>
        <v>834.42188880000003</v>
      </c>
      <c r="I64" s="1219">
        <v>21624.57</v>
      </c>
      <c r="J64" s="1219">
        <v>180</v>
      </c>
      <c r="K64" s="1219">
        <f t="shared" si="11"/>
        <v>3892.4225999999999</v>
      </c>
    </row>
    <row r="65" spans="1:11" ht="15.75">
      <c r="A65" s="1215"/>
      <c r="B65" s="1221" t="s">
        <v>932</v>
      </c>
      <c r="C65" s="1217">
        <f>E65/D65*1000</f>
        <v>3964.2342158859474</v>
      </c>
      <c r="D65" s="1217">
        <v>491</v>
      </c>
      <c r="E65" s="1217">
        <v>1946.4390000000001</v>
      </c>
      <c r="F65" s="1218">
        <f>561.63*7.61</f>
        <v>4274.0043000000005</v>
      </c>
      <c r="G65" s="1218">
        <f t="shared" si="0"/>
        <v>491</v>
      </c>
      <c r="H65" s="1218">
        <f t="shared" si="10"/>
        <v>2098.5361113000004</v>
      </c>
      <c r="I65" s="1219">
        <v>21624.57</v>
      </c>
      <c r="J65" s="1219">
        <v>546</v>
      </c>
      <c r="K65" s="1219">
        <f t="shared" si="11"/>
        <v>11807.015220000001</v>
      </c>
    </row>
    <row r="66" spans="1:11" ht="15.75">
      <c r="A66" s="1215"/>
      <c r="B66" s="1216" t="s">
        <v>933</v>
      </c>
      <c r="C66" s="1217"/>
      <c r="D66" s="1217">
        <v>0</v>
      </c>
      <c r="E66" s="1217">
        <v>0</v>
      </c>
      <c r="F66" s="1218">
        <f>361.06*7.61</f>
        <v>2747.6666</v>
      </c>
      <c r="G66" s="1218">
        <f t="shared" si="0"/>
        <v>0</v>
      </c>
      <c r="H66" s="1218">
        <f t="shared" si="10"/>
        <v>0</v>
      </c>
      <c r="I66" s="1219">
        <v>4320.97</v>
      </c>
      <c r="J66" s="1219">
        <v>0</v>
      </c>
      <c r="K66" s="1219">
        <f t="shared" si="11"/>
        <v>0</v>
      </c>
    </row>
    <row r="67" spans="1:11" ht="15.75">
      <c r="A67" s="1215"/>
      <c r="B67" s="1221" t="s">
        <v>934</v>
      </c>
      <c r="C67" s="1217"/>
      <c r="D67" s="1217">
        <v>0</v>
      </c>
      <c r="E67" s="1217">
        <v>0</v>
      </c>
      <c r="F67" s="1218">
        <f>291.77*7.61</f>
        <v>2220.3696999999997</v>
      </c>
      <c r="G67" s="1218">
        <f t="shared" si="0"/>
        <v>0</v>
      </c>
      <c r="H67" s="1218">
        <f t="shared" si="10"/>
        <v>0</v>
      </c>
      <c r="I67" s="1219">
        <v>3766.54</v>
      </c>
      <c r="J67" s="1219">
        <v>0</v>
      </c>
      <c r="K67" s="1219">
        <f t="shared" si="11"/>
        <v>0</v>
      </c>
    </row>
    <row r="68" spans="1:11" ht="15.75">
      <c r="A68" s="1215"/>
      <c r="B68" s="1240" t="s">
        <v>935</v>
      </c>
      <c r="C68" s="1217"/>
      <c r="D68" s="1217">
        <v>0</v>
      </c>
      <c r="E68" s="1217">
        <v>0</v>
      </c>
      <c r="F68" s="1218">
        <f>244.24*7.61</f>
        <v>1858.6664000000001</v>
      </c>
      <c r="G68" s="1218">
        <f t="shared" si="0"/>
        <v>0</v>
      </c>
      <c r="H68" s="1218">
        <f t="shared" si="10"/>
        <v>0</v>
      </c>
      <c r="I68" s="1219">
        <v>0</v>
      </c>
      <c r="J68" s="1219">
        <v>0</v>
      </c>
      <c r="K68" s="1219">
        <f t="shared" si="11"/>
        <v>0</v>
      </c>
    </row>
    <row r="69" spans="1:11" ht="15.75">
      <c r="A69" s="1215"/>
      <c r="B69" s="1221" t="s">
        <v>936</v>
      </c>
      <c r="C69" s="1217"/>
      <c r="D69" s="1217">
        <v>0</v>
      </c>
      <c r="E69" s="1217">
        <v>0</v>
      </c>
      <c r="F69" s="1218">
        <f>738.59*7.61</f>
        <v>5620.6699000000008</v>
      </c>
      <c r="G69" s="1218">
        <f t="shared" si="0"/>
        <v>0</v>
      </c>
      <c r="H69" s="1218">
        <f t="shared" si="10"/>
        <v>0</v>
      </c>
      <c r="I69" s="1219">
        <v>21168.86</v>
      </c>
      <c r="J69" s="1219">
        <v>0</v>
      </c>
      <c r="K69" s="1219">
        <f t="shared" si="11"/>
        <v>0</v>
      </c>
    </row>
    <row r="70" spans="1:11" ht="15.75">
      <c r="A70" s="1215"/>
      <c r="B70" s="1221" t="s">
        <v>937</v>
      </c>
      <c r="C70" s="1217"/>
      <c r="D70" s="1217">
        <v>0</v>
      </c>
      <c r="E70" s="1217">
        <v>0</v>
      </c>
      <c r="F70" s="1218">
        <f>561.26*7.61</f>
        <v>4271.1886000000004</v>
      </c>
      <c r="G70" s="1218">
        <f t="shared" si="0"/>
        <v>0</v>
      </c>
      <c r="H70" s="1218">
        <f t="shared" si="10"/>
        <v>0</v>
      </c>
      <c r="I70" s="1219">
        <v>21168.86</v>
      </c>
      <c r="J70" s="1219">
        <v>0</v>
      </c>
      <c r="K70" s="1219">
        <f t="shared" si="11"/>
        <v>0</v>
      </c>
    </row>
    <row r="71" spans="1:11" ht="15.75">
      <c r="A71" s="1215"/>
      <c r="B71" s="1216" t="s">
        <v>938</v>
      </c>
      <c r="C71" s="1217"/>
      <c r="D71" s="1217">
        <v>0</v>
      </c>
      <c r="E71" s="1217">
        <v>0</v>
      </c>
      <c r="F71" s="1218">
        <f>398.11*7.61</f>
        <v>3029.6171000000004</v>
      </c>
      <c r="G71" s="1218">
        <f t="shared" si="0"/>
        <v>0</v>
      </c>
      <c r="H71" s="1218">
        <f t="shared" si="10"/>
        <v>0</v>
      </c>
      <c r="I71" s="1219">
        <v>0</v>
      </c>
      <c r="J71" s="1219">
        <v>0</v>
      </c>
      <c r="K71" s="1219">
        <f t="shared" si="11"/>
        <v>0</v>
      </c>
    </row>
    <row r="72" spans="1:11" ht="15.75">
      <c r="A72" s="1215"/>
      <c r="B72" s="1221" t="s">
        <v>939</v>
      </c>
      <c r="C72" s="1217"/>
      <c r="D72" s="1217">
        <v>0</v>
      </c>
      <c r="E72" s="1217">
        <v>0</v>
      </c>
      <c r="F72" s="1218">
        <f>315.66*7.61</f>
        <v>2402.1726000000003</v>
      </c>
      <c r="G72" s="1218">
        <f t="shared" si="0"/>
        <v>0</v>
      </c>
      <c r="H72" s="1218">
        <f t="shared" si="10"/>
        <v>0</v>
      </c>
      <c r="I72" s="1219">
        <v>8704.08</v>
      </c>
      <c r="J72" s="1219">
        <v>0</v>
      </c>
      <c r="K72" s="1219">
        <f t="shared" si="11"/>
        <v>0</v>
      </c>
    </row>
    <row r="73" spans="1:11" ht="15.75">
      <c r="A73" s="1215"/>
      <c r="B73" s="1216" t="s">
        <v>940</v>
      </c>
      <c r="C73" s="1217"/>
      <c r="D73" s="1217">
        <v>0</v>
      </c>
      <c r="E73" s="1217">
        <v>0</v>
      </c>
      <c r="F73" s="1218">
        <f>306.86*7.61</f>
        <v>2335.2046</v>
      </c>
      <c r="G73" s="1218">
        <f t="shared" si="0"/>
        <v>0</v>
      </c>
      <c r="H73" s="1218">
        <f t="shared" si="10"/>
        <v>0</v>
      </c>
      <c r="I73" s="1219">
        <v>15058.5</v>
      </c>
      <c r="J73" s="1219">
        <v>0</v>
      </c>
      <c r="K73" s="1219">
        <f t="shared" si="11"/>
        <v>0</v>
      </c>
    </row>
    <row r="74" spans="1:11" ht="15.75">
      <c r="A74" s="1215"/>
      <c r="B74" s="1216" t="s">
        <v>927</v>
      </c>
      <c r="C74" s="1217"/>
      <c r="D74" s="1217">
        <v>0</v>
      </c>
      <c r="E74" s="1217">
        <v>0</v>
      </c>
      <c r="F74" s="1218">
        <f>1416.42*7.61</f>
        <v>10778.956200000001</v>
      </c>
      <c r="G74" s="1218">
        <f t="shared" si="0"/>
        <v>0</v>
      </c>
      <c r="H74" s="1218">
        <f t="shared" si="10"/>
        <v>0</v>
      </c>
      <c r="I74" s="1219">
        <v>14261.06</v>
      </c>
      <c r="J74" s="1219">
        <v>0</v>
      </c>
      <c r="K74" s="1219">
        <f t="shared" si="11"/>
        <v>0</v>
      </c>
    </row>
    <row r="75" spans="1:11" ht="16.5" thickBot="1">
      <c r="A75" s="1248"/>
      <c r="B75" s="1221" t="s">
        <v>941</v>
      </c>
      <c r="C75" s="1241"/>
      <c r="D75" s="1241">
        <v>0</v>
      </c>
      <c r="E75" s="1241">
        <v>0</v>
      </c>
      <c r="F75" s="1242">
        <f>264.68*7.61</f>
        <v>2014.2148000000002</v>
      </c>
      <c r="G75" s="1242">
        <f t="shared" si="0"/>
        <v>0</v>
      </c>
      <c r="H75" s="1242">
        <f t="shared" si="10"/>
        <v>0</v>
      </c>
      <c r="I75" s="1243">
        <v>15058.5</v>
      </c>
      <c r="J75" s="1243">
        <v>0</v>
      </c>
      <c r="K75" s="1243">
        <f t="shared" si="11"/>
        <v>0</v>
      </c>
    </row>
    <row r="76" spans="1:11" ht="55.5" customHeight="1" thickBot="1">
      <c r="A76" s="1209" t="s">
        <v>160</v>
      </c>
      <c r="B76" s="1210" t="s">
        <v>942</v>
      </c>
      <c r="C76" s="1211"/>
      <c r="D76" s="1211">
        <f>SUM(D77:D81)</f>
        <v>0</v>
      </c>
      <c r="E76" s="1211">
        <f>SUM(E77:E81)</f>
        <v>0</v>
      </c>
      <c r="F76" s="1211"/>
      <c r="G76" s="1211">
        <f t="shared" si="0"/>
        <v>0</v>
      </c>
      <c r="H76" s="1211">
        <f>SUM(H77:H81)</f>
        <v>0</v>
      </c>
      <c r="I76" s="1211"/>
      <c r="J76" s="1211">
        <f>SUM(J77:J81)</f>
        <v>0</v>
      </c>
      <c r="K76" s="1211">
        <f>SUM(K77:K81)</f>
        <v>0</v>
      </c>
    </row>
    <row r="77" spans="1:11" ht="15.75">
      <c r="A77" s="1212"/>
      <c r="B77" s="1244" t="s">
        <v>939</v>
      </c>
      <c r="C77" s="1217"/>
      <c r="D77" s="1217">
        <v>0</v>
      </c>
      <c r="E77" s="1217">
        <v>0</v>
      </c>
      <c r="F77" s="1218">
        <f>1054.84*7.61</f>
        <v>8027.3323999999993</v>
      </c>
      <c r="G77" s="1218">
        <f t="shared" si="0"/>
        <v>0</v>
      </c>
      <c r="H77" s="1218">
        <f>F77*G77/1000</f>
        <v>0</v>
      </c>
      <c r="I77" s="1219">
        <v>4851.8900000000003</v>
      </c>
      <c r="J77" s="1219">
        <v>0</v>
      </c>
      <c r="K77" s="1219">
        <f>I77*J77/1000</f>
        <v>0</v>
      </c>
    </row>
    <row r="78" spans="1:11" ht="15.75">
      <c r="A78" s="1215"/>
      <c r="B78" s="1221" t="s">
        <v>940</v>
      </c>
      <c r="C78" s="1217"/>
      <c r="D78" s="1217">
        <v>0</v>
      </c>
      <c r="E78" s="1217">
        <v>0</v>
      </c>
      <c r="F78" s="1218">
        <f>863.21*7.61</f>
        <v>6569.0281000000004</v>
      </c>
      <c r="G78" s="1218">
        <f t="shared" ref="G78:G113" si="12">D78</f>
        <v>0</v>
      </c>
      <c r="H78" s="1218">
        <f>F78*G78/1000</f>
        <v>0</v>
      </c>
      <c r="I78" s="1219">
        <v>9293.5300000000007</v>
      </c>
      <c r="J78" s="1219">
        <v>0</v>
      </c>
      <c r="K78" s="1219">
        <f>I78*J78/1000</f>
        <v>0</v>
      </c>
    </row>
    <row r="79" spans="1:11" ht="15.75">
      <c r="A79" s="1215"/>
      <c r="B79" s="1221" t="s">
        <v>941</v>
      </c>
      <c r="C79" s="1217"/>
      <c r="D79" s="1217">
        <v>0</v>
      </c>
      <c r="E79" s="1217">
        <v>0</v>
      </c>
      <c r="F79" s="1218">
        <f>890.5*7.61</f>
        <v>6776.7049999999999</v>
      </c>
      <c r="G79" s="1218">
        <f t="shared" si="12"/>
        <v>0</v>
      </c>
      <c r="H79" s="1218">
        <f>F79*G79/1000</f>
        <v>0</v>
      </c>
      <c r="I79" s="1219">
        <v>9293.5300000000007</v>
      </c>
      <c r="J79" s="1219">
        <v>0</v>
      </c>
      <c r="K79" s="1219">
        <f>I79*J79/1000</f>
        <v>0</v>
      </c>
    </row>
    <row r="80" spans="1:11" ht="15.75">
      <c r="A80" s="1215"/>
      <c r="B80" s="1221" t="s">
        <v>943</v>
      </c>
      <c r="C80" s="1217"/>
      <c r="D80" s="1217">
        <v>0</v>
      </c>
      <c r="E80" s="1217">
        <v>0</v>
      </c>
      <c r="F80" s="1218">
        <f>761.3*7.61</f>
        <v>5793.4929999999995</v>
      </c>
      <c r="G80" s="1218">
        <f t="shared" si="12"/>
        <v>0</v>
      </c>
      <c r="H80" s="1218">
        <f>F80*G80/1000</f>
        <v>0</v>
      </c>
      <c r="I80" s="1219">
        <v>9293.5300000000007</v>
      </c>
      <c r="J80" s="1219">
        <v>0</v>
      </c>
      <c r="K80" s="1219">
        <f>I80*J80/1000</f>
        <v>0</v>
      </c>
    </row>
    <row r="81" spans="1:11" ht="16.5" thickBot="1">
      <c r="A81" s="1248"/>
      <c r="B81" s="1221" t="s">
        <v>944</v>
      </c>
      <c r="C81" s="1217"/>
      <c r="D81" s="1217">
        <v>0</v>
      </c>
      <c r="E81" s="1217">
        <v>0</v>
      </c>
      <c r="F81" s="1218">
        <f>539.09*7.61</f>
        <v>4102.4749000000002</v>
      </c>
      <c r="G81" s="1218">
        <f t="shared" si="12"/>
        <v>0</v>
      </c>
      <c r="H81" s="1218">
        <f>F81*G81/1000</f>
        <v>0</v>
      </c>
      <c r="I81" s="1219">
        <v>9293.5300000000007</v>
      </c>
      <c r="J81" s="1219">
        <v>0</v>
      </c>
      <c r="K81" s="1219">
        <f>I81*J81/1000</f>
        <v>0</v>
      </c>
    </row>
    <row r="82" spans="1:11" ht="39.75" customHeight="1" thickBot="1">
      <c r="A82" s="1209" t="s">
        <v>160</v>
      </c>
      <c r="B82" s="1210" t="s">
        <v>945</v>
      </c>
      <c r="C82" s="1211"/>
      <c r="D82" s="1211">
        <f>SUM(D83:D86)</f>
        <v>0</v>
      </c>
      <c r="E82" s="1211">
        <f>SUM(E83:E86)</f>
        <v>0</v>
      </c>
      <c r="F82" s="1211"/>
      <c r="G82" s="1211">
        <f t="shared" si="12"/>
        <v>0</v>
      </c>
      <c r="H82" s="1211">
        <f>SUM(H83:H86)</f>
        <v>0</v>
      </c>
      <c r="I82" s="1211"/>
      <c r="J82" s="1211">
        <f>SUM(J83:J86)</f>
        <v>0</v>
      </c>
      <c r="K82" s="1211">
        <f>SUM(K83:K86)</f>
        <v>0</v>
      </c>
    </row>
    <row r="83" spans="1:11" ht="15.75">
      <c r="A83" s="1212"/>
      <c r="B83" s="1245" t="s">
        <v>939</v>
      </c>
      <c r="C83" s="1217"/>
      <c r="D83" s="1217">
        <v>0</v>
      </c>
      <c r="E83" s="1217">
        <v>0</v>
      </c>
      <c r="F83" s="1218">
        <f>1926.48*7.61</f>
        <v>14660.5128</v>
      </c>
      <c r="G83" s="1218">
        <f t="shared" si="12"/>
        <v>0</v>
      </c>
      <c r="H83" s="1218">
        <f>F83*G83/1000</f>
        <v>0</v>
      </c>
      <c r="I83" s="1219">
        <v>62049.69</v>
      </c>
      <c r="J83" s="1219">
        <v>0</v>
      </c>
      <c r="K83" s="1219">
        <f>I83*J83/1000</f>
        <v>0</v>
      </c>
    </row>
    <row r="84" spans="1:11" ht="15.75">
      <c r="A84" s="1215"/>
      <c r="B84" s="1221" t="s">
        <v>940</v>
      </c>
      <c r="C84" s="1217"/>
      <c r="D84" s="1217">
        <v>0</v>
      </c>
      <c r="E84" s="1217">
        <v>0</v>
      </c>
      <c r="F84" s="1218">
        <f>1739.92*7.61</f>
        <v>13240.791200000001</v>
      </c>
      <c r="G84" s="1218">
        <f t="shared" si="12"/>
        <v>0</v>
      </c>
      <c r="H84" s="1218">
        <f>F84*G84/1000</f>
        <v>0</v>
      </c>
      <c r="I84" s="1219">
        <v>62049.69</v>
      </c>
      <c r="J84" s="1219">
        <v>0</v>
      </c>
      <c r="K84" s="1219">
        <f>I84*J84/1000</f>
        <v>0</v>
      </c>
    </row>
    <row r="85" spans="1:11" ht="15.75">
      <c r="A85" s="1215"/>
      <c r="B85" s="1221" t="s">
        <v>938</v>
      </c>
      <c r="C85" s="1217"/>
      <c r="D85" s="1217">
        <v>0</v>
      </c>
      <c r="E85" s="1217">
        <v>0</v>
      </c>
      <c r="F85" s="1218">
        <v>0</v>
      </c>
      <c r="G85" s="1218">
        <f t="shared" si="12"/>
        <v>0</v>
      </c>
      <c r="H85" s="1218">
        <f>F85*G85/1000</f>
        <v>0</v>
      </c>
      <c r="I85" s="1219">
        <v>35797.1</v>
      </c>
      <c r="J85" s="1219">
        <v>0</v>
      </c>
      <c r="K85" s="1219">
        <f>I85*J85/1000</f>
        <v>0</v>
      </c>
    </row>
    <row r="86" spans="1:11" ht="16.5" thickBot="1">
      <c r="A86" s="1248"/>
      <c r="B86" s="1246" t="s">
        <v>946</v>
      </c>
      <c r="C86" s="1241"/>
      <c r="D86" s="1241">
        <v>0</v>
      </c>
      <c r="E86" s="1241">
        <v>0</v>
      </c>
      <c r="F86" s="1242">
        <v>0</v>
      </c>
      <c r="G86" s="1242">
        <f t="shared" si="12"/>
        <v>0</v>
      </c>
      <c r="H86" s="1242">
        <f>F86*G86/1000</f>
        <v>0</v>
      </c>
      <c r="I86" s="1243">
        <v>32230</v>
      </c>
      <c r="J86" s="1243">
        <v>0</v>
      </c>
      <c r="K86" s="1243">
        <f>I86*J86/1000</f>
        <v>0</v>
      </c>
    </row>
    <row r="87" spans="1:11" ht="51.75" customHeight="1" thickBot="1">
      <c r="A87" s="1209" t="s">
        <v>160</v>
      </c>
      <c r="B87" s="1210" t="s">
        <v>947</v>
      </c>
      <c r="C87" s="1211"/>
      <c r="D87" s="1211">
        <f>SUM(D88:D91)</f>
        <v>0</v>
      </c>
      <c r="E87" s="1211">
        <f>SUM(E88:E91)</f>
        <v>0</v>
      </c>
      <c r="F87" s="1211"/>
      <c r="G87" s="1211">
        <f t="shared" si="12"/>
        <v>0</v>
      </c>
      <c r="H87" s="1211">
        <f>SUM(H88:H91)</f>
        <v>0</v>
      </c>
      <c r="I87" s="1211"/>
      <c r="J87" s="1211">
        <v>0</v>
      </c>
      <c r="K87" s="1211">
        <f>SUM(K88:K91)</f>
        <v>0</v>
      </c>
    </row>
    <row r="88" spans="1:11" ht="15.75">
      <c r="A88" s="1212"/>
      <c r="B88" s="1245" t="s">
        <v>928</v>
      </c>
      <c r="C88" s="1217"/>
      <c r="D88" s="1217">
        <v>0</v>
      </c>
      <c r="E88" s="1217">
        <v>0</v>
      </c>
      <c r="F88" s="1218"/>
      <c r="G88" s="1218">
        <f t="shared" si="12"/>
        <v>0</v>
      </c>
      <c r="H88" s="1218">
        <f>F88*G88/1000</f>
        <v>0</v>
      </c>
      <c r="I88" s="1219">
        <v>32230</v>
      </c>
      <c r="J88" s="1219">
        <v>0</v>
      </c>
      <c r="K88" s="1219">
        <f>I88*J88/1000</f>
        <v>0</v>
      </c>
    </row>
    <row r="89" spans="1:11" ht="15.75">
      <c r="A89" s="1215"/>
      <c r="B89" s="1221" t="s">
        <v>932</v>
      </c>
      <c r="C89" s="1217"/>
      <c r="D89" s="1217">
        <v>0</v>
      </c>
      <c r="E89" s="1217">
        <v>0</v>
      </c>
      <c r="F89" s="1218"/>
      <c r="G89" s="1218">
        <f t="shared" si="12"/>
        <v>0</v>
      </c>
      <c r="H89" s="1218">
        <f>F89*G89/1000</f>
        <v>0</v>
      </c>
      <c r="I89" s="1219">
        <v>32230</v>
      </c>
      <c r="J89" s="1219">
        <v>0</v>
      </c>
      <c r="K89" s="1219">
        <f>I89*J89/1000</f>
        <v>0</v>
      </c>
    </row>
    <row r="90" spans="1:11" ht="15.75">
      <c r="A90" s="1215"/>
      <c r="B90" s="1221" t="s">
        <v>933</v>
      </c>
      <c r="C90" s="1217"/>
      <c r="D90" s="1217">
        <v>0</v>
      </c>
      <c r="E90" s="1217">
        <v>0</v>
      </c>
      <c r="F90" s="1218"/>
      <c r="G90" s="1218">
        <f t="shared" si="12"/>
        <v>0</v>
      </c>
      <c r="H90" s="1218">
        <f>F90*G90/1000</f>
        <v>0</v>
      </c>
      <c r="I90" s="1219">
        <v>4865.18</v>
      </c>
      <c r="J90" s="1219">
        <v>0</v>
      </c>
      <c r="K90" s="1219">
        <f>I90*J90/1000</f>
        <v>0</v>
      </c>
    </row>
    <row r="91" spans="1:11" ht="16.5" thickBot="1">
      <c r="A91" s="1248"/>
      <c r="B91" s="1246" t="s">
        <v>934</v>
      </c>
      <c r="C91" s="1217"/>
      <c r="D91" s="1217">
        <v>0</v>
      </c>
      <c r="E91" s="1217">
        <v>0</v>
      </c>
      <c r="F91" s="1218"/>
      <c r="G91" s="1218">
        <f t="shared" si="12"/>
        <v>0</v>
      </c>
      <c r="H91" s="1218">
        <f>F91*G91/1000</f>
        <v>0</v>
      </c>
      <c r="I91" s="1219">
        <v>0</v>
      </c>
      <c r="J91" s="1219">
        <v>0</v>
      </c>
      <c r="K91" s="1219">
        <f>I91*J91/1000</f>
        <v>0</v>
      </c>
    </row>
    <row r="92" spans="1:11" ht="32.25" thickBot="1">
      <c r="A92" s="1209"/>
      <c r="B92" s="1210" t="s">
        <v>948</v>
      </c>
      <c r="C92" s="1211"/>
      <c r="D92" s="1211">
        <f>D93</f>
        <v>0</v>
      </c>
      <c r="E92" s="1211">
        <f>E93</f>
        <v>0</v>
      </c>
      <c r="F92" s="1211"/>
      <c r="G92" s="1211">
        <f t="shared" si="12"/>
        <v>0</v>
      </c>
      <c r="H92" s="1211">
        <f>H93</f>
        <v>0</v>
      </c>
      <c r="I92" s="1211"/>
      <c r="J92" s="1211">
        <f>J93</f>
        <v>0</v>
      </c>
      <c r="K92" s="1211">
        <f>K93</f>
        <v>0</v>
      </c>
    </row>
    <row r="93" spans="1:11" ht="81" customHeight="1" thickBot="1">
      <c r="A93" s="1209"/>
      <c r="B93" s="1213" t="s">
        <v>949</v>
      </c>
      <c r="C93" s="1214"/>
      <c r="D93" s="1214">
        <f>SUM(D94:D97)</f>
        <v>0</v>
      </c>
      <c r="E93" s="1214">
        <f>SUM(E94:E97)</f>
        <v>0</v>
      </c>
      <c r="F93" s="1214"/>
      <c r="G93" s="1214">
        <f t="shared" si="12"/>
        <v>0</v>
      </c>
      <c r="H93" s="1214">
        <f>SUM(H94:H97)</f>
        <v>0</v>
      </c>
      <c r="I93" s="1214"/>
      <c r="J93" s="1214">
        <f>SUM(J94:J97)</f>
        <v>0</v>
      </c>
      <c r="K93" s="1214">
        <f>SUM(K94:K97)</f>
        <v>0</v>
      </c>
    </row>
    <row r="94" spans="1:11" ht="15.75">
      <c r="A94" s="1212"/>
      <c r="B94" s="1245" t="s">
        <v>950</v>
      </c>
      <c r="C94" s="1217"/>
      <c r="D94" s="1217">
        <v>0</v>
      </c>
      <c r="E94" s="1217">
        <v>0</v>
      </c>
      <c r="F94" s="1218"/>
      <c r="G94" s="1218">
        <f t="shared" si="12"/>
        <v>0</v>
      </c>
      <c r="H94" s="1218">
        <f>F94*G94/1000</f>
        <v>0</v>
      </c>
      <c r="I94" s="1219">
        <v>62049.69</v>
      </c>
      <c r="J94" s="1219">
        <v>0</v>
      </c>
      <c r="K94" s="1219">
        <f>I94*J94/1000</f>
        <v>0</v>
      </c>
    </row>
    <row r="95" spans="1:11" ht="15.75">
      <c r="A95" s="1215"/>
      <c r="B95" s="1221" t="s">
        <v>951</v>
      </c>
      <c r="C95" s="1217"/>
      <c r="D95" s="1217">
        <v>0</v>
      </c>
      <c r="E95" s="1217">
        <v>0</v>
      </c>
      <c r="F95" s="1218"/>
      <c r="G95" s="1218">
        <f t="shared" si="12"/>
        <v>0</v>
      </c>
      <c r="H95" s="1218">
        <f>F95*G95/1000</f>
        <v>0</v>
      </c>
      <c r="I95" s="1219">
        <v>62049.69</v>
      </c>
      <c r="J95" s="1219">
        <v>0</v>
      </c>
      <c r="K95" s="1219">
        <f>I95*J95/1000</f>
        <v>0</v>
      </c>
    </row>
    <row r="96" spans="1:11" ht="15.75">
      <c r="A96" s="1215"/>
      <c r="B96" s="1221" t="s">
        <v>952</v>
      </c>
      <c r="C96" s="1217"/>
      <c r="D96" s="1217">
        <v>0</v>
      </c>
      <c r="E96" s="1217">
        <v>0</v>
      </c>
      <c r="F96" s="1218"/>
      <c r="G96" s="1218">
        <f t="shared" si="12"/>
        <v>0</v>
      </c>
      <c r="H96" s="1218">
        <f>F96*G96/1000</f>
        <v>0</v>
      </c>
      <c r="I96" s="1219">
        <v>62049.69</v>
      </c>
      <c r="J96" s="1219">
        <v>0</v>
      </c>
      <c r="K96" s="1219">
        <f>I96*J96/1000</f>
        <v>0</v>
      </c>
    </row>
    <row r="97" spans="1:11" ht="16.5" thickBot="1">
      <c r="A97" s="1248"/>
      <c r="B97" s="1246" t="s">
        <v>953</v>
      </c>
      <c r="C97" s="1241"/>
      <c r="D97" s="1241">
        <v>0</v>
      </c>
      <c r="E97" s="1241">
        <v>0</v>
      </c>
      <c r="F97" s="1242"/>
      <c r="G97" s="1242">
        <f t="shared" si="12"/>
        <v>0</v>
      </c>
      <c r="H97" s="1242">
        <f>F97*G97/1000</f>
        <v>0</v>
      </c>
      <c r="I97" s="1243">
        <v>62049.69</v>
      </c>
      <c r="J97" s="1243">
        <v>0</v>
      </c>
      <c r="K97" s="1243">
        <f>I97*J97/1000</f>
        <v>0</v>
      </c>
    </row>
    <row r="98" spans="1:11" ht="32.25" thickBot="1">
      <c r="A98" s="1209"/>
      <c r="B98" s="1210" t="s">
        <v>954</v>
      </c>
      <c r="C98" s="1211"/>
      <c r="D98" s="1211">
        <f>SUM(D99,D105)</f>
        <v>0</v>
      </c>
      <c r="E98" s="1211">
        <f>SUM(E99,E105)</f>
        <v>0</v>
      </c>
      <c r="F98" s="1211"/>
      <c r="G98" s="1211">
        <f t="shared" si="12"/>
        <v>0</v>
      </c>
      <c r="H98" s="1211">
        <f>SUM(H99,H105)</f>
        <v>0</v>
      </c>
      <c r="I98" s="1211"/>
      <c r="J98" s="1211">
        <f>J99+J105</f>
        <v>0</v>
      </c>
      <c r="K98" s="1211">
        <f>K99+K105</f>
        <v>0</v>
      </c>
    </row>
    <row r="99" spans="1:11" ht="57" customHeight="1" thickBot="1">
      <c r="A99" s="1209"/>
      <c r="B99" s="1213" t="s">
        <v>955</v>
      </c>
      <c r="C99" s="1214"/>
      <c r="D99" s="1214">
        <f>SUM(D100:D104)</f>
        <v>0</v>
      </c>
      <c r="E99" s="1214">
        <f>SUM(E100:E104)</f>
        <v>0</v>
      </c>
      <c r="F99" s="1214"/>
      <c r="G99" s="1214">
        <f t="shared" si="12"/>
        <v>0</v>
      </c>
      <c r="H99" s="1214">
        <f>SUM(H100:H104)</f>
        <v>0</v>
      </c>
      <c r="I99" s="1214"/>
      <c r="J99" s="1214">
        <f>SUM(J100:J104)</f>
        <v>0</v>
      </c>
      <c r="K99" s="1214">
        <f>SUM(K100:K104)</f>
        <v>0</v>
      </c>
    </row>
    <row r="100" spans="1:11" ht="15.75">
      <c r="A100" s="1212"/>
      <c r="B100" s="1245" t="s">
        <v>956</v>
      </c>
      <c r="C100" s="1217"/>
      <c r="D100" s="1217">
        <v>0</v>
      </c>
      <c r="E100" s="1217">
        <v>0</v>
      </c>
      <c r="F100" s="1218"/>
      <c r="G100" s="1218">
        <f t="shared" si="12"/>
        <v>0</v>
      </c>
      <c r="H100" s="1218">
        <f>F100*G100/1000</f>
        <v>0</v>
      </c>
      <c r="I100" s="1219">
        <v>6344.98</v>
      </c>
      <c r="J100" s="1219">
        <v>0</v>
      </c>
      <c r="K100" s="1219">
        <f>I100*J100/1000</f>
        <v>0</v>
      </c>
    </row>
    <row r="101" spans="1:11" ht="15.75">
      <c r="A101" s="1215"/>
      <c r="B101" s="1221" t="s">
        <v>957</v>
      </c>
      <c r="C101" s="1217"/>
      <c r="D101" s="1217">
        <v>0</v>
      </c>
      <c r="E101" s="1217">
        <v>0</v>
      </c>
      <c r="F101" s="1218"/>
      <c r="G101" s="1218">
        <f t="shared" si="12"/>
        <v>0</v>
      </c>
      <c r="H101" s="1218">
        <f>F101*G101/1000</f>
        <v>0</v>
      </c>
      <c r="I101" s="1219">
        <v>6344.98</v>
      </c>
      <c r="J101" s="1219">
        <v>0</v>
      </c>
      <c r="K101" s="1219">
        <f>I101*J101/1000</f>
        <v>0</v>
      </c>
    </row>
    <row r="102" spans="1:11" ht="15.75">
      <c r="A102" s="1215"/>
      <c r="B102" s="1221" t="s">
        <v>958</v>
      </c>
      <c r="C102" s="1217"/>
      <c r="D102" s="1217">
        <v>0</v>
      </c>
      <c r="E102" s="1217">
        <v>0</v>
      </c>
      <c r="F102" s="1218"/>
      <c r="G102" s="1218">
        <f t="shared" si="12"/>
        <v>0</v>
      </c>
      <c r="H102" s="1218">
        <f>F102*G102/1000</f>
        <v>0</v>
      </c>
      <c r="I102" s="1219">
        <v>6344.98</v>
      </c>
      <c r="J102" s="1219">
        <v>0</v>
      </c>
      <c r="K102" s="1219">
        <f>I102*J102/1000</f>
        <v>0</v>
      </c>
    </row>
    <row r="103" spans="1:11" ht="15.75">
      <c r="A103" s="1215"/>
      <c r="B103" s="1221" t="s">
        <v>959</v>
      </c>
      <c r="C103" s="1217"/>
      <c r="D103" s="1217">
        <v>0</v>
      </c>
      <c r="E103" s="1217">
        <v>0</v>
      </c>
      <c r="F103" s="1218"/>
      <c r="G103" s="1218">
        <f t="shared" si="12"/>
        <v>0</v>
      </c>
      <c r="H103" s="1218">
        <f>F103*G103/1000</f>
        <v>0</v>
      </c>
      <c r="I103" s="1219">
        <v>6344.98</v>
      </c>
      <c r="J103" s="1219">
        <v>0</v>
      </c>
      <c r="K103" s="1219">
        <f>I103*J103/1000</f>
        <v>0</v>
      </c>
    </row>
    <row r="104" spans="1:11" ht="16.5" thickBot="1">
      <c r="A104" s="1248"/>
      <c r="B104" s="1221" t="s">
        <v>960</v>
      </c>
      <c r="C104" s="1217"/>
      <c r="D104" s="1217">
        <v>0</v>
      </c>
      <c r="E104" s="1217">
        <v>0</v>
      </c>
      <c r="F104" s="1218"/>
      <c r="G104" s="1218">
        <f t="shared" si="12"/>
        <v>0</v>
      </c>
      <c r="H104" s="1218">
        <f>F104*G104/1000</f>
        <v>0</v>
      </c>
      <c r="I104" s="1219">
        <v>6344.98</v>
      </c>
      <c r="J104" s="1219">
        <v>0</v>
      </c>
      <c r="K104" s="1219">
        <f>I104*J104/1000</f>
        <v>0</v>
      </c>
    </row>
    <row r="105" spans="1:11" ht="107.25" customHeight="1" thickBot="1">
      <c r="A105" s="1209"/>
      <c r="B105" s="1213" t="s">
        <v>961</v>
      </c>
      <c r="C105" s="1214"/>
      <c r="D105" s="1214">
        <f>SUM(D106:D109)</f>
        <v>0</v>
      </c>
      <c r="E105" s="1214">
        <f>SUM(E106:E109)</f>
        <v>0</v>
      </c>
      <c r="F105" s="1214"/>
      <c r="G105" s="1214">
        <f t="shared" si="12"/>
        <v>0</v>
      </c>
      <c r="H105" s="1214">
        <f>SUM(H106:H109)</f>
        <v>0</v>
      </c>
      <c r="I105" s="1214"/>
      <c r="J105" s="1214">
        <f>SUM(J106:J109)</f>
        <v>0</v>
      </c>
      <c r="K105" s="1214">
        <f>SUM(K106:K109)</f>
        <v>0</v>
      </c>
    </row>
    <row r="106" spans="1:11" ht="15.75">
      <c r="A106" s="1212"/>
      <c r="B106" s="1245" t="s">
        <v>952</v>
      </c>
      <c r="C106" s="1217"/>
      <c r="D106" s="1217">
        <v>0</v>
      </c>
      <c r="E106" s="1217">
        <v>0</v>
      </c>
      <c r="F106" s="1218"/>
      <c r="G106" s="1218">
        <f t="shared" si="12"/>
        <v>0</v>
      </c>
      <c r="H106" s="1218">
        <f>F106*G106/1000</f>
        <v>0</v>
      </c>
      <c r="I106" s="1219">
        <v>6344.98</v>
      </c>
      <c r="J106" s="1219">
        <v>0</v>
      </c>
      <c r="K106" s="1219">
        <f>I106*J106/1000</f>
        <v>0</v>
      </c>
    </row>
    <row r="107" spans="1:11" ht="15.75">
      <c r="A107" s="1215"/>
      <c r="B107" s="1221" t="s">
        <v>962</v>
      </c>
      <c r="C107" s="1217"/>
      <c r="D107" s="1217">
        <v>0</v>
      </c>
      <c r="E107" s="1217">
        <v>0</v>
      </c>
      <c r="F107" s="1218"/>
      <c r="G107" s="1218">
        <f t="shared" si="12"/>
        <v>0</v>
      </c>
      <c r="H107" s="1218">
        <f>F107*G107/1000</f>
        <v>0</v>
      </c>
      <c r="I107" s="1219">
        <v>6344.98</v>
      </c>
      <c r="J107" s="1219">
        <v>0</v>
      </c>
      <c r="K107" s="1219">
        <f>I107*J107/1000</f>
        <v>0</v>
      </c>
    </row>
    <row r="108" spans="1:11" ht="15.75">
      <c r="A108" s="1215"/>
      <c r="B108" s="1221" t="s">
        <v>963</v>
      </c>
      <c r="C108" s="1217"/>
      <c r="D108" s="1217">
        <v>0</v>
      </c>
      <c r="E108" s="1217">
        <v>0</v>
      </c>
      <c r="F108" s="1218"/>
      <c r="G108" s="1218">
        <f t="shared" si="12"/>
        <v>0</v>
      </c>
      <c r="H108" s="1218">
        <f>F108*G108/1000</f>
        <v>0</v>
      </c>
      <c r="I108" s="1219">
        <v>6344.98</v>
      </c>
      <c r="J108" s="1219">
        <v>0</v>
      </c>
      <c r="K108" s="1219">
        <f>I108*J108/1000</f>
        <v>0</v>
      </c>
    </row>
    <row r="109" spans="1:11" ht="16.5" thickBot="1">
      <c r="A109" s="1248"/>
      <c r="B109" s="1240" t="s">
        <v>964</v>
      </c>
      <c r="C109" s="1241"/>
      <c r="D109" s="1241">
        <v>0</v>
      </c>
      <c r="E109" s="1241">
        <v>0</v>
      </c>
      <c r="F109" s="1242"/>
      <c r="G109" s="1242">
        <f t="shared" si="12"/>
        <v>0</v>
      </c>
      <c r="H109" s="1242">
        <f>F109*G109/1000</f>
        <v>0</v>
      </c>
      <c r="I109" s="1243">
        <v>6344.98</v>
      </c>
      <c r="J109" s="1243">
        <v>0</v>
      </c>
      <c r="K109" s="1243">
        <f>I109*J109/1000</f>
        <v>0</v>
      </c>
    </row>
    <row r="110" spans="1:11" ht="32.25" thickBot="1">
      <c r="A110" s="1209"/>
      <c r="B110" s="1210" t="s">
        <v>965</v>
      </c>
      <c r="C110" s="1211"/>
      <c r="D110" s="1211">
        <v>0</v>
      </c>
      <c r="E110" s="1211">
        <f>SUM(E111:E113)</f>
        <v>0</v>
      </c>
      <c r="F110" s="1211"/>
      <c r="G110" s="1211">
        <f t="shared" si="12"/>
        <v>0</v>
      </c>
      <c r="H110" s="1211">
        <f>SUM(H111:H113)</f>
        <v>0</v>
      </c>
      <c r="I110" s="1211"/>
      <c r="J110" s="1211">
        <f>SUM(J111:J113)</f>
        <v>0</v>
      </c>
      <c r="K110" s="1211">
        <f>SUM(K111:K113)</f>
        <v>0</v>
      </c>
    </row>
    <row r="111" spans="1:11" ht="15.75">
      <c r="A111" s="1212"/>
      <c r="B111" s="1419" t="s">
        <v>1133</v>
      </c>
      <c r="C111" s="1217"/>
      <c r="D111" s="1217">
        <v>0</v>
      </c>
      <c r="E111" s="1217">
        <v>0</v>
      </c>
      <c r="F111" s="1218">
        <f>1083.44*7.61</f>
        <v>8244.9784</v>
      </c>
      <c r="G111" s="1218">
        <f t="shared" si="12"/>
        <v>0</v>
      </c>
      <c r="H111" s="1218">
        <f>F111*G111/1000</f>
        <v>0</v>
      </c>
      <c r="I111" s="1219">
        <v>45814169.090000004</v>
      </c>
      <c r="J111" s="1219">
        <v>0</v>
      </c>
      <c r="K111" s="1219">
        <f>I111*J111/1000</f>
        <v>0</v>
      </c>
    </row>
    <row r="112" spans="1:11" ht="15.75">
      <c r="A112" s="1215"/>
      <c r="B112" s="1419" t="s">
        <v>1134</v>
      </c>
      <c r="C112" s="1217"/>
      <c r="D112" s="1217">
        <v>0</v>
      </c>
      <c r="E112" s="1217">
        <v>0</v>
      </c>
      <c r="F112" s="1218">
        <f>1300.13*7.61</f>
        <v>9893.9893000000011</v>
      </c>
      <c r="G112" s="1218">
        <f t="shared" si="12"/>
        <v>0</v>
      </c>
      <c r="H112" s="1218">
        <f>F112*G112/1000</f>
        <v>0</v>
      </c>
      <c r="I112" s="1219">
        <v>45814169.090000004</v>
      </c>
      <c r="J112" s="1219">
        <v>0</v>
      </c>
      <c r="K112" s="1219">
        <f>I112*J112/1000</f>
        <v>0</v>
      </c>
    </row>
    <row r="113" spans="1:11" ht="16.5" thickBot="1">
      <c r="A113" s="1248"/>
      <c r="B113" s="1419" t="s">
        <v>1135</v>
      </c>
      <c r="C113" s="1217"/>
      <c r="D113" s="1217">
        <v>0</v>
      </c>
      <c r="E113" s="1217">
        <v>0</v>
      </c>
      <c r="F113" s="1218">
        <f>1857.33*7.61</f>
        <v>14134.281300000001</v>
      </c>
      <c r="G113" s="1218">
        <f t="shared" si="12"/>
        <v>0</v>
      </c>
      <c r="H113" s="1218">
        <f>F113*G113/1000</f>
        <v>0</v>
      </c>
      <c r="I113" s="1219">
        <v>45814169.090000004</v>
      </c>
      <c r="J113" s="1219">
        <v>0</v>
      </c>
      <c r="K113" s="1219">
        <f>I113*J113/1000</f>
        <v>0</v>
      </c>
    </row>
    <row r="114" spans="1:11" ht="10.5" customHeight="1" thickBot="1">
      <c r="A114" s="1209"/>
      <c r="B114" s="1249"/>
      <c r="C114" s="1250"/>
      <c r="D114" s="1251"/>
      <c r="E114" s="1251"/>
      <c r="F114" s="1250"/>
      <c r="G114" s="1251"/>
      <c r="H114" s="1251"/>
      <c r="I114" s="1250"/>
      <c r="J114" s="1251"/>
      <c r="K114" s="1251"/>
    </row>
    <row r="115" spans="1:11" ht="10.5" customHeight="1" thickBot="1">
      <c r="A115" s="1187"/>
      <c r="B115" s="1420"/>
      <c r="C115" s="1421"/>
      <c r="D115" s="1422"/>
      <c r="E115" s="1422"/>
      <c r="F115" s="1255"/>
      <c r="G115" s="1423"/>
      <c r="H115" s="1424"/>
      <c r="I115" s="1424"/>
      <c r="J115" s="1422"/>
      <c r="K115" s="1424"/>
    </row>
    <row r="116" spans="1:11" s="1196" customFormat="1" ht="51.75" customHeight="1" thickBot="1">
      <c r="A116" s="1425" t="s">
        <v>135</v>
      </c>
      <c r="B116" s="1426" t="s">
        <v>1136</v>
      </c>
      <c r="C116" s="1427" t="s">
        <v>1137</v>
      </c>
      <c r="D116" s="1427" t="s">
        <v>1137</v>
      </c>
      <c r="E116" s="1428">
        <f>(E117+E135+E160+E166+E180+E186+E191+E196+E202+E214)*0</f>
        <v>0</v>
      </c>
      <c r="F116" s="1259"/>
      <c r="G116" s="1427" t="s">
        <v>1137</v>
      </c>
      <c r="H116" s="1428">
        <f>(H117+H135+H160+H166+H180+H186+H191+H196+H202+H214)*0</f>
        <v>0</v>
      </c>
      <c r="I116" s="1427" t="s">
        <v>1137</v>
      </c>
      <c r="J116" s="1427" t="s">
        <v>1137</v>
      </c>
      <c r="K116" s="1428">
        <f>(K117+K135+K160+K166+K180+K186+K191+K196+K202+K214)*0</f>
        <v>0</v>
      </c>
    </row>
    <row r="117" spans="1:11" ht="21" hidden="1" customHeight="1" outlineLevel="1" thickBot="1">
      <c r="A117" s="1209" t="s">
        <v>880</v>
      </c>
      <c r="B117" s="1210" t="s">
        <v>881</v>
      </c>
      <c r="C117" s="1427"/>
      <c r="D117" s="1427"/>
      <c r="E117" s="1427">
        <f>SUM(E118,E125,E131,E132,E133,E134)</f>
        <v>715.98800000000006</v>
      </c>
      <c r="F117" s="1265"/>
      <c r="G117" s="1427"/>
      <c r="H117" s="1427">
        <f>SUM(H118,H125,H131,H132,H133,H134)</f>
        <v>935.74375848</v>
      </c>
      <c r="I117" s="1427"/>
      <c r="J117" s="1427"/>
      <c r="K117" s="1427">
        <f>SUM(K118,K125,K131,K132,K133,K134)</f>
        <v>281.31707399999999</v>
      </c>
    </row>
    <row r="118" spans="1:11" ht="16.5" hidden="1" outlineLevel="1" thickBot="1">
      <c r="A118" s="1209"/>
      <c r="B118" s="1213" t="s">
        <v>882</v>
      </c>
      <c r="C118" s="1214">
        <f>C15*0</f>
        <v>0</v>
      </c>
      <c r="D118" s="1214">
        <f>D14</f>
        <v>0</v>
      </c>
      <c r="E118" s="1214">
        <f>E14</f>
        <v>0</v>
      </c>
      <c r="F118" s="1201"/>
      <c r="G118" s="1214">
        <f>G14</f>
        <v>0</v>
      </c>
      <c r="H118" s="1214">
        <f>H14</f>
        <v>0</v>
      </c>
      <c r="I118" s="1214"/>
      <c r="J118" s="1214">
        <f>J14</f>
        <v>0</v>
      </c>
      <c r="K118" s="1214">
        <f>K14</f>
        <v>0</v>
      </c>
    </row>
    <row r="119" spans="1:11" ht="16.5" hidden="1" outlineLevel="1" thickBot="1">
      <c r="A119" s="1209"/>
      <c r="B119" s="1216" t="s">
        <v>883</v>
      </c>
      <c r="C119" s="1217">
        <f t="shared" ref="C119:K134" si="13">C15</f>
        <v>0</v>
      </c>
      <c r="D119" s="1217">
        <f t="shared" si="13"/>
        <v>0</v>
      </c>
      <c r="E119" s="1217">
        <f t="shared" si="13"/>
        <v>0</v>
      </c>
      <c r="F119" s="1194"/>
      <c r="G119" s="1218">
        <f t="shared" si="13"/>
        <v>0</v>
      </c>
      <c r="H119" s="1218">
        <f t="shared" si="13"/>
        <v>0</v>
      </c>
      <c r="I119" s="1219">
        <f t="shared" si="13"/>
        <v>1921956.05</v>
      </c>
      <c r="J119" s="1219">
        <f t="shared" si="13"/>
        <v>0</v>
      </c>
      <c r="K119" s="1219">
        <f t="shared" si="13"/>
        <v>0</v>
      </c>
    </row>
    <row r="120" spans="1:11" ht="16.5" hidden="1" outlineLevel="1" thickBot="1">
      <c r="A120" s="1209"/>
      <c r="B120" s="1220" t="s">
        <v>884</v>
      </c>
      <c r="C120" s="1217">
        <f t="shared" si="13"/>
        <v>0</v>
      </c>
      <c r="D120" s="1217">
        <f t="shared" si="13"/>
        <v>0</v>
      </c>
      <c r="E120" s="1217">
        <f t="shared" si="13"/>
        <v>0</v>
      </c>
      <c r="F120" s="1218">
        <f t="shared" si="13"/>
        <v>1732858.8120000002</v>
      </c>
      <c r="G120" s="1218">
        <f t="shared" si="13"/>
        <v>0</v>
      </c>
      <c r="H120" s="1218">
        <f t="shared" si="13"/>
        <v>0</v>
      </c>
      <c r="I120" s="1219">
        <f t="shared" si="13"/>
        <v>2095992</v>
      </c>
      <c r="J120" s="1219">
        <f t="shared" si="13"/>
        <v>0</v>
      </c>
      <c r="K120" s="1219">
        <f t="shared" si="13"/>
        <v>0</v>
      </c>
    </row>
    <row r="121" spans="1:11" ht="16.5" hidden="1" outlineLevel="1" thickBot="1">
      <c r="A121" s="1209"/>
      <c r="B121" s="1221" t="s">
        <v>885</v>
      </c>
      <c r="C121" s="1217">
        <f t="shared" si="13"/>
        <v>0</v>
      </c>
      <c r="D121" s="1217">
        <f t="shared" si="13"/>
        <v>0</v>
      </c>
      <c r="E121" s="1217">
        <f t="shared" si="13"/>
        <v>0</v>
      </c>
      <c r="F121" s="1218">
        <f t="shared" si="13"/>
        <v>1732858.8120000002</v>
      </c>
      <c r="G121" s="1218">
        <f t="shared" si="13"/>
        <v>0</v>
      </c>
      <c r="H121" s="1218">
        <f t="shared" si="13"/>
        <v>0</v>
      </c>
      <c r="I121" s="1219">
        <f t="shared" si="13"/>
        <v>2095992</v>
      </c>
      <c r="J121" s="1219">
        <f t="shared" si="13"/>
        <v>0</v>
      </c>
      <c r="K121" s="1219">
        <f t="shared" si="13"/>
        <v>0</v>
      </c>
    </row>
    <row r="122" spans="1:11" ht="16.5" hidden="1" outlineLevel="1" thickBot="1">
      <c r="A122" s="1209"/>
      <c r="B122" s="1221" t="s">
        <v>886</v>
      </c>
      <c r="C122" s="1217">
        <f t="shared" si="13"/>
        <v>0</v>
      </c>
      <c r="D122" s="1217">
        <f t="shared" si="13"/>
        <v>0</v>
      </c>
      <c r="E122" s="1217">
        <f t="shared" si="13"/>
        <v>0</v>
      </c>
      <c r="F122" s="1218">
        <f t="shared" si="13"/>
        <v>0</v>
      </c>
      <c r="G122" s="1218">
        <f t="shared" si="13"/>
        <v>0</v>
      </c>
      <c r="H122" s="1218">
        <f t="shared" si="13"/>
        <v>0</v>
      </c>
      <c r="I122" s="1219">
        <f t="shared" si="13"/>
        <v>1724670.37</v>
      </c>
      <c r="J122" s="1219">
        <f t="shared" si="13"/>
        <v>0</v>
      </c>
      <c r="K122" s="1219">
        <f t="shared" si="13"/>
        <v>0</v>
      </c>
    </row>
    <row r="123" spans="1:11" ht="16.5" hidden="1" outlineLevel="1" thickBot="1">
      <c r="A123" s="1209"/>
      <c r="B123" s="1216" t="s">
        <v>887</v>
      </c>
      <c r="C123" s="1217">
        <f t="shared" si="13"/>
        <v>0</v>
      </c>
      <c r="D123" s="1217">
        <f t="shared" si="13"/>
        <v>0</v>
      </c>
      <c r="E123" s="1217">
        <f t="shared" si="13"/>
        <v>0</v>
      </c>
      <c r="F123" s="1218">
        <f t="shared" si="13"/>
        <v>1732858.8120000002</v>
      </c>
      <c r="G123" s="1218">
        <f t="shared" si="13"/>
        <v>0</v>
      </c>
      <c r="H123" s="1218">
        <f t="shared" si="13"/>
        <v>0</v>
      </c>
      <c r="I123" s="1219">
        <f t="shared" si="13"/>
        <v>1724670.37</v>
      </c>
      <c r="J123" s="1219">
        <f t="shared" si="13"/>
        <v>0</v>
      </c>
      <c r="K123" s="1219">
        <f t="shared" si="13"/>
        <v>0</v>
      </c>
    </row>
    <row r="124" spans="1:11" ht="16.5" hidden="1" outlineLevel="1" thickBot="1">
      <c r="A124" s="1209"/>
      <c r="B124" s="1216" t="s">
        <v>888</v>
      </c>
      <c r="C124" s="1217">
        <f t="shared" si="13"/>
        <v>0</v>
      </c>
      <c r="D124" s="1217">
        <f t="shared" si="13"/>
        <v>0</v>
      </c>
      <c r="E124" s="1217">
        <f t="shared" si="13"/>
        <v>0</v>
      </c>
      <c r="F124" s="1218">
        <f t="shared" si="13"/>
        <v>0</v>
      </c>
      <c r="G124" s="1218">
        <f t="shared" si="13"/>
        <v>0</v>
      </c>
      <c r="H124" s="1218">
        <f t="shared" si="13"/>
        <v>0</v>
      </c>
      <c r="I124" s="1219">
        <f t="shared" si="13"/>
        <v>2298518.2000000002</v>
      </c>
      <c r="J124" s="1219">
        <f t="shared" si="13"/>
        <v>0</v>
      </c>
      <c r="K124" s="1219">
        <f t="shared" si="13"/>
        <v>0</v>
      </c>
    </row>
    <row r="125" spans="1:11" ht="16.5" hidden="1" outlineLevel="1" thickBot="1">
      <c r="A125" s="1209"/>
      <c r="B125" s="1213" t="s">
        <v>889</v>
      </c>
      <c r="C125" s="1214">
        <f t="shared" si="13"/>
        <v>1325903.7037037038</v>
      </c>
      <c r="D125" s="1214">
        <f t="shared" si="13"/>
        <v>0.54</v>
      </c>
      <c r="E125" s="1214">
        <f t="shared" si="13"/>
        <v>715.98800000000006</v>
      </c>
      <c r="F125" s="1214">
        <f t="shared" si="13"/>
        <v>0</v>
      </c>
      <c r="G125" s="1214">
        <f t="shared" si="13"/>
        <v>0.54</v>
      </c>
      <c r="H125" s="1214">
        <f t="shared" si="13"/>
        <v>935.74375848</v>
      </c>
      <c r="I125" s="1214">
        <f t="shared" si="13"/>
        <v>0</v>
      </c>
      <c r="J125" s="1214">
        <f t="shared" si="13"/>
        <v>0.59000000000000008</v>
      </c>
      <c r="K125" s="1214">
        <f t="shared" si="13"/>
        <v>281.31707399999999</v>
      </c>
    </row>
    <row r="126" spans="1:11" ht="16.5" hidden="1" outlineLevel="1" thickBot="1">
      <c r="A126" s="1209"/>
      <c r="B126" s="1216" t="s">
        <v>890</v>
      </c>
      <c r="C126" s="1217">
        <f t="shared" si="13"/>
        <v>2245337.931034483</v>
      </c>
      <c r="D126" s="1217">
        <f t="shared" si="13"/>
        <v>0.28999999999999998</v>
      </c>
      <c r="E126" s="1217">
        <f t="shared" si="13"/>
        <v>651.14800000000002</v>
      </c>
      <c r="F126" s="1218">
        <f t="shared" si="13"/>
        <v>1732858.8120000002</v>
      </c>
      <c r="G126" s="1218">
        <f t="shared" si="13"/>
        <v>0.28999999999999998</v>
      </c>
      <c r="H126" s="1218">
        <f t="shared" si="13"/>
        <v>502.52905547999995</v>
      </c>
      <c r="I126" s="1219">
        <f t="shared" si="13"/>
        <v>476808.6</v>
      </c>
      <c r="J126" s="1219">
        <f t="shared" si="13"/>
        <v>0.34</v>
      </c>
      <c r="K126" s="1219">
        <f t="shared" si="13"/>
        <v>162.114924</v>
      </c>
    </row>
    <row r="127" spans="1:11" ht="16.5" hidden="1" outlineLevel="1" thickBot="1">
      <c r="A127" s="1209"/>
      <c r="B127" s="1220" t="s">
        <v>891</v>
      </c>
      <c r="C127" s="1217">
        <f t="shared" si="13"/>
        <v>259360</v>
      </c>
      <c r="D127" s="1217">
        <f t="shared" si="13"/>
        <v>0.25</v>
      </c>
      <c r="E127" s="1217">
        <f t="shared" si="13"/>
        <v>64.84</v>
      </c>
      <c r="F127" s="1218">
        <f t="shared" si="13"/>
        <v>1732858.8120000002</v>
      </c>
      <c r="G127" s="1218">
        <f t="shared" si="13"/>
        <v>0.25</v>
      </c>
      <c r="H127" s="1218">
        <f t="shared" si="13"/>
        <v>433.21470300000004</v>
      </c>
      <c r="I127" s="1219">
        <f t="shared" si="13"/>
        <v>476808.6</v>
      </c>
      <c r="J127" s="1219">
        <f t="shared" si="13"/>
        <v>0.25</v>
      </c>
      <c r="K127" s="1219">
        <f t="shared" si="13"/>
        <v>119.20214999999999</v>
      </c>
    </row>
    <row r="128" spans="1:11" ht="16.5" hidden="1" outlineLevel="1" thickBot="1">
      <c r="A128" s="1209"/>
      <c r="B128" s="1221" t="s">
        <v>892</v>
      </c>
      <c r="C128" s="1225">
        <f t="shared" si="13"/>
        <v>0</v>
      </c>
      <c r="D128" s="1225">
        <f t="shared" si="13"/>
        <v>0</v>
      </c>
      <c r="E128" s="1217">
        <f t="shared" si="13"/>
        <v>0</v>
      </c>
      <c r="F128" s="1226">
        <f t="shared" si="13"/>
        <v>0</v>
      </c>
      <c r="G128" s="1226">
        <f t="shared" si="13"/>
        <v>0</v>
      </c>
      <c r="H128" s="1218">
        <f t="shared" si="13"/>
        <v>0</v>
      </c>
      <c r="I128" s="1227">
        <f t="shared" si="13"/>
        <v>476808.6</v>
      </c>
      <c r="J128" s="1227">
        <f t="shared" si="13"/>
        <v>0</v>
      </c>
      <c r="K128" s="1219">
        <f t="shared" si="13"/>
        <v>0</v>
      </c>
    </row>
    <row r="129" spans="1:11" ht="16.5" hidden="1" outlineLevel="1" thickBot="1">
      <c r="A129" s="1209"/>
      <c r="B129" s="1221" t="s">
        <v>893</v>
      </c>
      <c r="C129" s="1217">
        <f t="shared" si="13"/>
        <v>0</v>
      </c>
      <c r="D129" s="1217">
        <f t="shared" si="13"/>
        <v>0</v>
      </c>
      <c r="E129" s="1217">
        <f t="shared" si="13"/>
        <v>0</v>
      </c>
      <c r="F129" s="1218">
        <f t="shared" si="13"/>
        <v>0</v>
      </c>
      <c r="G129" s="1218">
        <f t="shared" si="13"/>
        <v>0</v>
      </c>
      <c r="H129" s="1218">
        <f t="shared" si="13"/>
        <v>0</v>
      </c>
      <c r="I129" s="1219">
        <f t="shared" si="13"/>
        <v>1005806.14</v>
      </c>
      <c r="J129" s="1219">
        <f t="shared" si="13"/>
        <v>0</v>
      </c>
      <c r="K129" s="1219">
        <f t="shared" si="13"/>
        <v>0</v>
      </c>
    </row>
    <row r="130" spans="1:11" ht="16.5" hidden="1" outlineLevel="1" thickBot="1">
      <c r="A130" s="1209"/>
      <c r="B130" s="1216" t="s">
        <v>894</v>
      </c>
      <c r="C130" s="1217">
        <f t="shared" si="13"/>
        <v>0</v>
      </c>
      <c r="D130" s="1217">
        <f t="shared" si="13"/>
        <v>0</v>
      </c>
      <c r="E130" s="1217">
        <f t="shared" si="13"/>
        <v>0</v>
      </c>
      <c r="F130" s="1218">
        <f t="shared" si="13"/>
        <v>0</v>
      </c>
      <c r="G130" s="1218">
        <f t="shared" si="13"/>
        <v>0</v>
      </c>
      <c r="H130" s="1218">
        <f t="shared" si="13"/>
        <v>0</v>
      </c>
      <c r="I130" s="1219">
        <f t="shared" si="13"/>
        <v>2536800.61</v>
      </c>
      <c r="J130" s="1219">
        <f t="shared" si="13"/>
        <v>0</v>
      </c>
      <c r="K130" s="1219">
        <f t="shared" si="13"/>
        <v>0</v>
      </c>
    </row>
    <row r="131" spans="1:11" ht="16.5" hidden="1" outlineLevel="1" thickBot="1">
      <c r="A131" s="1209"/>
      <c r="B131" s="1228" t="s">
        <v>895</v>
      </c>
      <c r="C131" s="1229">
        <f t="shared" si="13"/>
        <v>0</v>
      </c>
      <c r="D131" s="1229">
        <f t="shared" si="13"/>
        <v>0</v>
      </c>
      <c r="E131" s="1229">
        <f t="shared" si="13"/>
        <v>0</v>
      </c>
      <c r="F131" s="1214">
        <f t="shared" si="13"/>
        <v>0</v>
      </c>
      <c r="G131" s="1229">
        <f t="shared" si="13"/>
        <v>0</v>
      </c>
      <c r="H131" s="1229">
        <f t="shared" si="13"/>
        <v>0</v>
      </c>
      <c r="I131" s="1229">
        <f t="shared" si="13"/>
        <v>0</v>
      </c>
      <c r="J131" s="1229">
        <f t="shared" si="13"/>
        <v>0</v>
      </c>
      <c r="K131" s="1229">
        <f t="shared" si="13"/>
        <v>0</v>
      </c>
    </row>
    <row r="132" spans="1:11" ht="17.25" hidden="1" outlineLevel="1" thickTop="1" thickBot="1">
      <c r="A132" s="1209"/>
      <c r="B132" s="1230" t="s">
        <v>896</v>
      </c>
      <c r="C132" s="1231">
        <f t="shared" si="13"/>
        <v>0</v>
      </c>
      <c r="D132" s="1231">
        <f t="shared" si="13"/>
        <v>0</v>
      </c>
      <c r="E132" s="1231">
        <f t="shared" si="13"/>
        <v>0</v>
      </c>
      <c r="F132" s="1214">
        <f t="shared" si="13"/>
        <v>0</v>
      </c>
      <c r="G132" s="1231">
        <f t="shared" si="13"/>
        <v>0</v>
      </c>
      <c r="H132" s="1231">
        <f t="shared" si="13"/>
        <v>0</v>
      </c>
      <c r="I132" s="1231">
        <f t="shared" si="13"/>
        <v>0</v>
      </c>
      <c r="J132" s="1231">
        <f t="shared" si="13"/>
        <v>0</v>
      </c>
      <c r="K132" s="1231">
        <f t="shared" si="13"/>
        <v>0</v>
      </c>
    </row>
    <row r="133" spans="1:11" ht="33" hidden="1" outlineLevel="1" thickTop="1" thickBot="1">
      <c r="A133" s="1209"/>
      <c r="B133" s="1230" t="s">
        <v>897</v>
      </c>
      <c r="C133" s="1231">
        <f t="shared" si="13"/>
        <v>0</v>
      </c>
      <c r="D133" s="1231">
        <f t="shared" si="13"/>
        <v>0</v>
      </c>
      <c r="E133" s="1231">
        <f t="shared" si="13"/>
        <v>0</v>
      </c>
      <c r="F133" s="1231">
        <f t="shared" si="13"/>
        <v>0</v>
      </c>
      <c r="G133" s="1231">
        <f t="shared" si="13"/>
        <v>0</v>
      </c>
      <c r="H133" s="1231">
        <f t="shared" si="13"/>
        <v>0</v>
      </c>
      <c r="I133" s="1231">
        <f t="shared" si="13"/>
        <v>0</v>
      </c>
      <c r="J133" s="1231">
        <f t="shared" si="13"/>
        <v>0</v>
      </c>
      <c r="K133" s="1231">
        <f t="shared" si="13"/>
        <v>0</v>
      </c>
    </row>
    <row r="134" spans="1:11" ht="32.25" hidden="1" outlineLevel="1" thickBot="1">
      <c r="A134" s="1209"/>
      <c r="B134" s="1233" t="s">
        <v>898</v>
      </c>
      <c r="C134" s="1234">
        <f t="shared" si="13"/>
        <v>0</v>
      </c>
      <c r="D134" s="1234">
        <f t="shared" si="13"/>
        <v>0</v>
      </c>
      <c r="E134" s="1234">
        <f t="shared" si="13"/>
        <v>0</v>
      </c>
      <c r="F134" s="1234">
        <f t="shared" si="13"/>
        <v>0</v>
      </c>
      <c r="G134" s="1234">
        <f t="shared" si="13"/>
        <v>0</v>
      </c>
      <c r="H134" s="1234">
        <f t="shared" si="13"/>
        <v>0</v>
      </c>
      <c r="I134" s="1234">
        <f t="shared" si="13"/>
        <v>0</v>
      </c>
      <c r="J134" s="1234">
        <f t="shared" si="13"/>
        <v>0</v>
      </c>
      <c r="K134" s="1234">
        <f t="shared" si="13"/>
        <v>0</v>
      </c>
    </row>
    <row r="135" spans="1:11" ht="32.25" hidden="1" outlineLevel="1" thickBot="1">
      <c r="A135" s="1209" t="s">
        <v>880</v>
      </c>
      <c r="B135" s="1210" t="s">
        <v>899</v>
      </c>
      <c r="C135" s="1211">
        <f t="shared" ref="C135:K150" si="14">C31</f>
        <v>1839737.2400756145</v>
      </c>
      <c r="D135" s="1211">
        <f t="shared" si="14"/>
        <v>14.811999999999998</v>
      </c>
      <c r="E135" s="1211">
        <f t="shared" si="14"/>
        <v>27250.187999999998</v>
      </c>
      <c r="F135" s="1211">
        <f t="shared" si="14"/>
        <v>0</v>
      </c>
      <c r="G135" s="1211">
        <f t="shared" si="14"/>
        <v>14.811999999999998</v>
      </c>
      <c r="H135" s="1211">
        <f t="shared" si="14"/>
        <v>12122.728473688199</v>
      </c>
      <c r="I135" s="1211">
        <f t="shared" si="14"/>
        <v>0</v>
      </c>
      <c r="J135" s="1211">
        <f t="shared" si="14"/>
        <v>3.08</v>
      </c>
      <c r="K135" s="1211">
        <f t="shared" si="14"/>
        <v>25772.344196900001</v>
      </c>
    </row>
    <row r="136" spans="1:11" ht="16.5" hidden="1" outlineLevel="1" thickBot="1">
      <c r="A136" s="1209"/>
      <c r="B136" s="1213" t="s">
        <v>900</v>
      </c>
      <c r="C136" s="1214">
        <f t="shared" si="14"/>
        <v>1905380.0904977378</v>
      </c>
      <c r="D136" s="1214">
        <f t="shared" si="14"/>
        <v>2.21</v>
      </c>
      <c r="E136" s="1214">
        <f t="shared" si="14"/>
        <v>4210.8900000000003</v>
      </c>
      <c r="F136" s="1214">
        <f t="shared" si="14"/>
        <v>0</v>
      </c>
      <c r="G136" s="1214">
        <f t="shared" si="14"/>
        <v>2.21</v>
      </c>
      <c r="H136" s="1214">
        <f t="shared" si="14"/>
        <v>1450.7697777809999</v>
      </c>
      <c r="I136" s="1214">
        <f t="shared" si="14"/>
        <v>0</v>
      </c>
      <c r="J136" s="1214">
        <f t="shared" si="14"/>
        <v>3.08</v>
      </c>
      <c r="K136" s="1214">
        <f t="shared" si="14"/>
        <v>1992.3075700000004</v>
      </c>
    </row>
    <row r="137" spans="1:11" ht="17.25" hidden="1" outlineLevel="1" thickTop="1" thickBot="1">
      <c r="A137" s="1209"/>
      <c r="B137" s="1237" t="s">
        <v>901</v>
      </c>
      <c r="C137" s="1217">
        <f t="shared" si="14"/>
        <v>0</v>
      </c>
      <c r="D137" s="1217">
        <f t="shared" si="14"/>
        <v>0</v>
      </c>
      <c r="E137" s="1217">
        <f t="shared" si="14"/>
        <v>0</v>
      </c>
      <c r="F137" s="1218">
        <f t="shared" si="14"/>
        <v>0</v>
      </c>
      <c r="G137" s="1218">
        <f t="shared" si="14"/>
        <v>0</v>
      </c>
      <c r="H137" s="1218">
        <f t="shared" si="14"/>
        <v>0</v>
      </c>
      <c r="I137" s="1219">
        <f t="shared" si="14"/>
        <v>1496667.7</v>
      </c>
      <c r="J137" s="1219">
        <f t="shared" si="14"/>
        <v>0</v>
      </c>
      <c r="K137" s="1219">
        <f t="shared" si="14"/>
        <v>0</v>
      </c>
    </row>
    <row r="138" spans="1:11" ht="16.5" hidden="1" outlineLevel="1" thickBot="1">
      <c r="A138" s="1209"/>
      <c r="B138" s="1216" t="s">
        <v>902</v>
      </c>
      <c r="C138" s="1217">
        <f t="shared" si="14"/>
        <v>0</v>
      </c>
      <c r="D138" s="1217">
        <f t="shared" si="14"/>
        <v>0</v>
      </c>
      <c r="E138" s="1217">
        <f t="shared" si="14"/>
        <v>0</v>
      </c>
      <c r="F138" s="1218">
        <f t="shared" si="14"/>
        <v>828999.51690000005</v>
      </c>
      <c r="G138" s="1218">
        <f t="shared" si="14"/>
        <v>0</v>
      </c>
      <c r="H138" s="1218">
        <f t="shared" si="14"/>
        <v>0</v>
      </c>
      <c r="I138" s="1219">
        <f t="shared" si="14"/>
        <v>1496667.7</v>
      </c>
      <c r="J138" s="1219">
        <f t="shared" si="14"/>
        <v>0</v>
      </c>
      <c r="K138" s="1219">
        <f t="shared" si="14"/>
        <v>0</v>
      </c>
    </row>
    <row r="139" spans="1:11" ht="16.5" hidden="1" outlineLevel="1" thickBot="1">
      <c r="A139" s="1209"/>
      <c r="B139" s="1216" t="s">
        <v>903</v>
      </c>
      <c r="C139" s="1217">
        <f t="shared" si="14"/>
        <v>0</v>
      </c>
      <c r="D139" s="1217">
        <f t="shared" si="14"/>
        <v>0</v>
      </c>
      <c r="E139" s="1217">
        <f t="shared" si="14"/>
        <v>0</v>
      </c>
      <c r="F139" s="1218">
        <f t="shared" si="14"/>
        <v>713500.75559999992</v>
      </c>
      <c r="G139" s="1218">
        <f t="shared" si="14"/>
        <v>0</v>
      </c>
      <c r="H139" s="1218">
        <f t="shared" si="14"/>
        <v>0</v>
      </c>
      <c r="I139" s="1219">
        <f t="shared" si="14"/>
        <v>607081.15</v>
      </c>
      <c r="J139" s="1219">
        <f t="shared" si="14"/>
        <v>0</v>
      </c>
      <c r="K139" s="1219">
        <f t="shared" si="14"/>
        <v>0</v>
      </c>
    </row>
    <row r="140" spans="1:11" ht="16.5" hidden="1" outlineLevel="1" thickBot="1">
      <c r="A140" s="1209"/>
      <c r="B140" s="1216" t="s">
        <v>904</v>
      </c>
      <c r="C140" s="1217">
        <f t="shared" si="14"/>
        <v>1836502.3529411764</v>
      </c>
      <c r="D140" s="1217">
        <f t="shared" si="14"/>
        <v>1.7</v>
      </c>
      <c r="E140" s="1217">
        <f t="shared" si="14"/>
        <v>3122.0540000000001</v>
      </c>
      <c r="F140" s="1218">
        <f t="shared" si="14"/>
        <v>553225.57860000001</v>
      </c>
      <c r="G140" s="1218">
        <f t="shared" si="14"/>
        <v>1.7</v>
      </c>
      <c r="H140" s="1218">
        <f t="shared" si="14"/>
        <v>940.4834836199999</v>
      </c>
      <c r="I140" s="1219">
        <f t="shared" si="14"/>
        <v>607081.15</v>
      </c>
      <c r="J140" s="1219">
        <f t="shared" si="14"/>
        <v>2.2000000000000002</v>
      </c>
      <c r="K140" s="1219">
        <f t="shared" si="14"/>
        <v>1335.5785300000002</v>
      </c>
    </row>
    <row r="141" spans="1:11" ht="16.5" hidden="1" outlineLevel="1" thickBot="1">
      <c r="A141" s="1209"/>
      <c r="B141" s="1216" t="s">
        <v>905</v>
      </c>
      <c r="C141" s="1217">
        <f t="shared" si="14"/>
        <v>2134972.5490196077</v>
      </c>
      <c r="D141" s="1217">
        <f t="shared" si="14"/>
        <v>0.51</v>
      </c>
      <c r="E141" s="1217">
        <f t="shared" si="14"/>
        <v>1088.836</v>
      </c>
      <c r="F141" s="1218">
        <f t="shared" si="14"/>
        <v>1000561.3611</v>
      </c>
      <c r="G141" s="1218">
        <f t="shared" si="14"/>
        <v>0.51</v>
      </c>
      <c r="H141" s="1218">
        <f t="shared" si="14"/>
        <v>510.286294161</v>
      </c>
      <c r="I141" s="1219">
        <f t="shared" si="14"/>
        <v>746283</v>
      </c>
      <c r="J141" s="1219">
        <f t="shared" si="14"/>
        <v>0.88</v>
      </c>
      <c r="K141" s="1219">
        <f t="shared" si="14"/>
        <v>656.72904000000005</v>
      </c>
    </row>
    <row r="142" spans="1:11" ht="16.5" hidden="1" outlineLevel="1" thickBot="1">
      <c r="A142" s="1209"/>
      <c r="B142" s="1221" t="s">
        <v>906</v>
      </c>
      <c r="C142" s="1225">
        <f t="shared" si="14"/>
        <v>0</v>
      </c>
      <c r="D142" s="1225">
        <f t="shared" si="14"/>
        <v>0</v>
      </c>
      <c r="E142" s="1225">
        <f t="shared" si="14"/>
        <v>0</v>
      </c>
      <c r="F142" s="1226">
        <f t="shared" si="14"/>
        <v>1258848.5294999999</v>
      </c>
      <c r="G142" s="1226">
        <f t="shared" si="14"/>
        <v>0</v>
      </c>
      <c r="H142" s="1226">
        <f t="shared" si="14"/>
        <v>0</v>
      </c>
      <c r="I142" s="1227">
        <f t="shared" si="14"/>
        <v>746283</v>
      </c>
      <c r="J142" s="1227">
        <f t="shared" si="14"/>
        <v>0</v>
      </c>
      <c r="K142" s="1227">
        <f t="shared" si="14"/>
        <v>0</v>
      </c>
    </row>
    <row r="143" spans="1:11" ht="16.5" hidden="1" outlineLevel="1" thickBot="1">
      <c r="A143" s="1209"/>
      <c r="B143" s="1221" t="s">
        <v>907</v>
      </c>
      <c r="C143" s="1217">
        <f t="shared" si="14"/>
        <v>0</v>
      </c>
      <c r="D143" s="1217">
        <f t="shared" si="14"/>
        <v>0</v>
      </c>
      <c r="E143" s="1217">
        <f t="shared" si="14"/>
        <v>0</v>
      </c>
      <c r="F143" s="1218">
        <f t="shared" si="14"/>
        <v>666919.04399999999</v>
      </c>
      <c r="G143" s="1218">
        <f t="shared" si="14"/>
        <v>0</v>
      </c>
      <c r="H143" s="1218">
        <f t="shared" si="14"/>
        <v>0</v>
      </c>
      <c r="I143" s="1219">
        <f t="shared" si="14"/>
        <v>1129183.26</v>
      </c>
      <c r="J143" s="1219">
        <f t="shared" si="14"/>
        <v>0</v>
      </c>
      <c r="K143" s="1219">
        <f t="shared" si="14"/>
        <v>0</v>
      </c>
    </row>
    <row r="144" spans="1:11" ht="16.5" hidden="1" outlineLevel="1" thickBot="1">
      <c r="A144" s="1209"/>
      <c r="B144" s="1213" t="s">
        <v>908</v>
      </c>
      <c r="C144" s="1214">
        <f t="shared" si="14"/>
        <v>1828225.5197587686</v>
      </c>
      <c r="D144" s="1214">
        <f t="shared" si="14"/>
        <v>12.601999999999999</v>
      </c>
      <c r="E144" s="1214">
        <f t="shared" si="14"/>
        <v>23039.297999999999</v>
      </c>
      <c r="F144" s="1214">
        <f t="shared" si="14"/>
        <v>0</v>
      </c>
      <c r="G144" s="1214">
        <f t="shared" si="14"/>
        <v>12.601999999999999</v>
      </c>
      <c r="H144" s="1214">
        <f t="shared" si="14"/>
        <v>10671.9586959072</v>
      </c>
      <c r="I144" s="1214">
        <f t="shared" si="14"/>
        <v>0</v>
      </c>
      <c r="J144" s="1214">
        <f t="shared" si="14"/>
        <v>0</v>
      </c>
      <c r="K144" s="1214">
        <f t="shared" si="14"/>
        <v>23780.036626900001</v>
      </c>
    </row>
    <row r="145" spans="1:11" ht="17.25" hidden="1" outlineLevel="1" thickTop="1" thickBot="1">
      <c r="A145" s="1209"/>
      <c r="B145" s="1237" t="s">
        <v>909</v>
      </c>
      <c r="C145" s="1217">
        <f t="shared" si="14"/>
        <v>0</v>
      </c>
      <c r="D145" s="1217">
        <f t="shared" si="14"/>
        <v>0</v>
      </c>
      <c r="E145" s="1217">
        <f t="shared" si="14"/>
        <v>0</v>
      </c>
      <c r="F145" s="1218">
        <f t="shared" si="14"/>
        <v>939353.35679999995</v>
      </c>
      <c r="G145" s="1218">
        <f t="shared" si="14"/>
        <v>0</v>
      </c>
      <c r="H145" s="1218">
        <f t="shared" si="14"/>
        <v>0</v>
      </c>
      <c r="I145" s="1219">
        <f t="shared" si="14"/>
        <v>1624055.45</v>
      </c>
      <c r="J145" s="1219">
        <f t="shared" si="14"/>
        <v>0</v>
      </c>
      <c r="K145" s="1219">
        <f t="shared" si="14"/>
        <v>0</v>
      </c>
    </row>
    <row r="146" spans="1:11" ht="16.5" hidden="1" outlineLevel="1" thickBot="1">
      <c r="A146" s="1209"/>
      <c r="B146" s="1216" t="s">
        <v>910</v>
      </c>
      <c r="C146" s="1217">
        <f t="shared" si="14"/>
        <v>1749958.4541062801</v>
      </c>
      <c r="D146" s="1217">
        <f t="shared" si="14"/>
        <v>10.35</v>
      </c>
      <c r="E146" s="1217">
        <f t="shared" si="14"/>
        <v>18112.07</v>
      </c>
      <c r="F146" s="1218">
        <f t="shared" si="14"/>
        <v>820325.72220000008</v>
      </c>
      <c r="G146" s="1218">
        <f t="shared" si="14"/>
        <v>10.35</v>
      </c>
      <c r="H146" s="1218">
        <f t="shared" si="14"/>
        <v>8490.3712247700005</v>
      </c>
      <c r="I146" s="1219">
        <f t="shared" si="14"/>
        <v>1549620.15</v>
      </c>
      <c r="J146" s="1219">
        <f t="shared" si="14"/>
        <v>12.3</v>
      </c>
      <c r="K146" s="1219">
        <f t="shared" si="14"/>
        <v>19060.327845</v>
      </c>
    </row>
    <row r="147" spans="1:11" ht="16.5" hidden="1" outlineLevel="1" thickBot="1">
      <c r="A147" s="1209"/>
      <c r="B147" s="1216" t="s">
        <v>911</v>
      </c>
      <c r="C147" s="1217">
        <f t="shared" si="14"/>
        <v>0</v>
      </c>
      <c r="D147" s="1217">
        <f t="shared" si="14"/>
        <v>0</v>
      </c>
      <c r="E147" s="1217">
        <f t="shared" si="14"/>
        <v>0</v>
      </c>
      <c r="F147" s="1218">
        <f t="shared" si="14"/>
        <v>741321.03</v>
      </c>
      <c r="G147" s="1218">
        <f t="shared" si="14"/>
        <v>0</v>
      </c>
      <c r="H147" s="1218">
        <f t="shared" si="14"/>
        <v>0</v>
      </c>
      <c r="I147" s="1219">
        <f t="shared" si="14"/>
        <v>1549620.15</v>
      </c>
      <c r="J147" s="1219">
        <f t="shared" si="14"/>
        <v>0</v>
      </c>
      <c r="K147" s="1219">
        <f t="shared" si="14"/>
        <v>0</v>
      </c>
    </row>
    <row r="148" spans="1:11" ht="16.5" hidden="1" outlineLevel="1" thickBot="1">
      <c r="A148" s="1209"/>
      <c r="B148" s="1216" t="s">
        <v>912</v>
      </c>
      <c r="C148" s="1217">
        <f t="shared" si="14"/>
        <v>0</v>
      </c>
      <c r="D148" s="1217">
        <f t="shared" si="14"/>
        <v>0</v>
      </c>
      <c r="E148" s="1217">
        <f t="shared" si="14"/>
        <v>0</v>
      </c>
      <c r="F148" s="1218">
        <f t="shared" si="14"/>
        <v>925685.59620000003</v>
      </c>
      <c r="G148" s="1218">
        <f t="shared" si="14"/>
        <v>0</v>
      </c>
      <c r="H148" s="1218">
        <f t="shared" si="14"/>
        <v>0</v>
      </c>
      <c r="I148" s="1219">
        <f t="shared" si="14"/>
        <v>1549620.15</v>
      </c>
      <c r="J148" s="1219">
        <f t="shared" si="14"/>
        <v>0</v>
      </c>
      <c r="K148" s="1219">
        <f t="shared" si="14"/>
        <v>0</v>
      </c>
    </row>
    <row r="149" spans="1:11" ht="16.5" hidden="1" outlineLevel="1" thickBot="1">
      <c r="A149" s="1209"/>
      <c r="B149" s="1216" t="s">
        <v>913</v>
      </c>
      <c r="C149" s="1217">
        <f t="shared" si="14"/>
        <v>2178085.0678733033</v>
      </c>
      <c r="D149" s="1217">
        <f t="shared" si="14"/>
        <v>2.21</v>
      </c>
      <c r="E149" s="1217">
        <f t="shared" si="14"/>
        <v>4813.5680000000002</v>
      </c>
      <c r="F149" s="1218">
        <f t="shared" si="14"/>
        <v>968471.98979999998</v>
      </c>
      <c r="G149" s="1218">
        <f t="shared" si="14"/>
        <v>2.21</v>
      </c>
      <c r="H149" s="1218">
        <f t="shared" si="14"/>
        <v>2140.3230974579997</v>
      </c>
      <c r="I149" s="1219">
        <f t="shared" si="14"/>
        <v>1603913.09</v>
      </c>
      <c r="J149" s="1219">
        <f t="shared" si="14"/>
        <v>2.84</v>
      </c>
      <c r="K149" s="1219">
        <f t="shared" si="14"/>
        <v>4555.1131755999995</v>
      </c>
    </row>
    <row r="150" spans="1:11" ht="16.5" hidden="1" outlineLevel="1" thickBot="1">
      <c r="A150" s="1209"/>
      <c r="B150" s="1221" t="s">
        <v>914</v>
      </c>
      <c r="C150" s="1225">
        <f t="shared" si="14"/>
        <v>2706190.4761904762</v>
      </c>
      <c r="D150" s="1225">
        <f t="shared" si="14"/>
        <v>4.2000000000000003E-2</v>
      </c>
      <c r="E150" s="1225">
        <f t="shared" si="14"/>
        <v>113.66</v>
      </c>
      <c r="F150" s="1226">
        <f t="shared" si="14"/>
        <v>982485.08759999997</v>
      </c>
      <c r="G150" s="1226">
        <f t="shared" si="14"/>
        <v>4.2000000000000003E-2</v>
      </c>
      <c r="H150" s="1226">
        <f t="shared" si="14"/>
        <v>41.264373679199998</v>
      </c>
      <c r="I150" s="1227">
        <f t="shared" si="14"/>
        <v>1828840.07</v>
      </c>
      <c r="J150" s="1227">
        <f t="shared" si="14"/>
        <v>0.09</v>
      </c>
      <c r="K150" s="1227">
        <f t="shared" si="14"/>
        <v>164.59560630000001</v>
      </c>
    </row>
    <row r="151" spans="1:11" ht="16.5" hidden="1" outlineLevel="1" thickBot="1">
      <c r="A151" s="1209"/>
      <c r="B151" s="1221" t="s">
        <v>915</v>
      </c>
      <c r="C151" s="1217">
        <f t="shared" ref="C151:K166" si="15">C47</f>
        <v>0</v>
      </c>
      <c r="D151" s="1217">
        <f t="shared" si="15"/>
        <v>0</v>
      </c>
      <c r="E151" s="1217">
        <f t="shared" si="15"/>
        <v>0</v>
      </c>
      <c r="F151" s="1218">
        <f t="shared" si="15"/>
        <v>2187278.0304</v>
      </c>
      <c r="G151" s="1218">
        <f t="shared" si="15"/>
        <v>0</v>
      </c>
      <c r="H151" s="1218">
        <f t="shared" si="15"/>
        <v>0</v>
      </c>
      <c r="I151" s="1219">
        <f t="shared" si="15"/>
        <v>1828840.07</v>
      </c>
      <c r="J151" s="1219">
        <f t="shared" si="15"/>
        <v>0</v>
      </c>
      <c r="K151" s="1219">
        <f t="shared" si="15"/>
        <v>0</v>
      </c>
    </row>
    <row r="152" spans="1:11" ht="16.5" hidden="1" outlineLevel="1" thickBot="1">
      <c r="A152" s="1209"/>
      <c r="B152" s="1213" t="s">
        <v>916</v>
      </c>
      <c r="C152" s="1214">
        <f t="shared" si="15"/>
        <v>0</v>
      </c>
      <c r="D152" s="1214">
        <f t="shared" si="15"/>
        <v>0</v>
      </c>
      <c r="E152" s="1214">
        <f t="shared" si="15"/>
        <v>0</v>
      </c>
      <c r="F152" s="1214">
        <f t="shared" si="15"/>
        <v>0</v>
      </c>
      <c r="G152" s="1214">
        <f t="shared" si="15"/>
        <v>0</v>
      </c>
      <c r="H152" s="1214">
        <f t="shared" si="15"/>
        <v>0</v>
      </c>
      <c r="I152" s="1214">
        <f t="shared" si="15"/>
        <v>0</v>
      </c>
      <c r="J152" s="1214">
        <f t="shared" si="15"/>
        <v>0</v>
      </c>
      <c r="K152" s="1214">
        <f t="shared" si="15"/>
        <v>0</v>
      </c>
    </row>
    <row r="153" spans="1:11" ht="17.25" hidden="1" outlineLevel="1" thickTop="1" thickBot="1">
      <c r="A153" s="1209"/>
      <c r="B153" s="1237" t="s">
        <v>917</v>
      </c>
      <c r="C153" s="1217">
        <f t="shared" si="15"/>
        <v>0</v>
      </c>
      <c r="D153" s="1217">
        <f t="shared" si="15"/>
        <v>0</v>
      </c>
      <c r="E153" s="1217">
        <f t="shared" si="15"/>
        <v>0</v>
      </c>
      <c r="F153" s="1218">
        <f t="shared" si="15"/>
        <v>4552021.8899999997</v>
      </c>
      <c r="G153" s="1218">
        <f t="shared" si="15"/>
        <v>0</v>
      </c>
      <c r="H153" s="1218">
        <f t="shared" si="15"/>
        <v>0</v>
      </c>
      <c r="I153" s="1219">
        <f t="shared" si="15"/>
        <v>8836730</v>
      </c>
      <c r="J153" s="1219">
        <f t="shared" si="15"/>
        <v>0</v>
      </c>
      <c r="K153" s="1219">
        <f t="shared" si="15"/>
        <v>0</v>
      </c>
    </row>
    <row r="154" spans="1:11" ht="16.5" hidden="1" outlineLevel="1" thickBot="1">
      <c r="A154" s="1209"/>
      <c r="B154" s="1216" t="s">
        <v>918</v>
      </c>
      <c r="C154" s="1217">
        <f t="shared" si="15"/>
        <v>0</v>
      </c>
      <c r="D154" s="1217">
        <f t="shared" si="15"/>
        <v>0</v>
      </c>
      <c r="E154" s="1217">
        <f t="shared" si="15"/>
        <v>0</v>
      </c>
      <c r="F154" s="1218">
        <f t="shared" si="15"/>
        <v>0</v>
      </c>
      <c r="G154" s="1218">
        <f t="shared" si="15"/>
        <v>0</v>
      </c>
      <c r="H154" s="1218">
        <f t="shared" si="15"/>
        <v>0</v>
      </c>
      <c r="I154" s="1219">
        <f t="shared" si="15"/>
        <v>8836730</v>
      </c>
      <c r="J154" s="1219">
        <f t="shared" si="15"/>
        <v>0</v>
      </c>
      <c r="K154" s="1219">
        <f t="shared" si="15"/>
        <v>0</v>
      </c>
    </row>
    <row r="155" spans="1:11" ht="16.5" hidden="1" outlineLevel="1" thickBot="1">
      <c r="A155" s="1209"/>
      <c r="B155" s="1213" t="s">
        <v>919</v>
      </c>
      <c r="C155" s="1214">
        <f t="shared" si="15"/>
        <v>0</v>
      </c>
      <c r="D155" s="1214">
        <f t="shared" si="15"/>
        <v>0</v>
      </c>
      <c r="E155" s="1214">
        <f t="shared" si="15"/>
        <v>0</v>
      </c>
      <c r="F155" s="1214">
        <f t="shared" si="15"/>
        <v>0</v>
      </c>
      <c r="G155" s="1214">
        <f t="shared" si="15"/>
        <v>0</v>
      </c>
      <c r="H155" s="1214">
        <f t="shared" si="15"/>
        <v>0</v>
      </c>
      <c r="I155" s="1214">
        <f t="shared" si="15"/>
        <v>0</v>
      </c>
      <c r="J155" s="1214">
        <f t="shared" si="15"/>
        <v>0</v>
      </c>
      <c r="K155" s="1214">
        <f t="shared" si="15"/>
        <v>0</v>
      </c>
    </row>
    <row r="156" spans="1:11" ht="17.25" hidden="1" outlineLevel="1" thickTop="1" thickBot="1">
      <c r="A156" s="1209"/>
      <c r="B156" s="1237" t="s">
        <v>920</v>
      </c>
      <c r="C156" s="1217">
        <f t="shared" si="15"/>
        <v>0</v>
      </c>
      <c r="D156" s="1217">
        <f t="shared" si="15"/>
        <v>0</v>
      </c>
      <c r="E156" s="1217">
        <f t="shared" si="15"/>
        <v>0</v>
      </c>
      <c r="F156" s="1218">
        <f t="shared" si="15"/>
        <v>0</v>
      </c>
      <c r="G156" s="1218">
        <f t="shared" si="15"/>
        <v>0</v>
      </c>
      <c r="H156" s="1218">
        <f t="shared" si="15"/>
        <v>0</v>
      </c>
      <c r="I156" s="1219">
        <f t="shared" si="15"/>
        <v>0</v>
      </c>
      <c r="J156" s="1219">
        <f t="shared" si="15"/>
        <v>0</v>
      </c>
      <c r="K156" s="1219">
        <f t="shared" si="15"/>
        <v>0</v>
      </c>
    </row>
    <row r="157" spans="1:11" ht="16.5" hidden="1" outlineLevel="1" thickBot="1">
      <c r="A157" s="1209"/>
      <c r="B157" s="1216" t="s">
        <v>921</v>
      </c>
      <c r="C157" s="1217">
        <f t="shared" si="15"/>
        <v>0</v>
      </c>
      <c r="D157" s="1217">
        <f t="shared" si="15"/>
        <v>0</v>
      </c>
      <c r="E157" s="1217">
        <f t="shared" si="15"/>
        <v>0</v>
      </c>
      <c r="F157" s="1218">
        <f t="shared" si="15"/>
        <v>8114077.1399999997</v>
      </c>
      <c r="G157" s="1218">
        <f t="shared" si="15"/>
        <v>0</v>
      </c>
      <c r="H157" s="1218">
        <f t="shared" si="15"/>
        <v>0</v>
      </c>
      <c r="I157" s="1219">
        <f t="shared" si="15"/>
        <v>0</v>
      </c>
      <c r="J157" s="1219">
        <f t="shared" si="15"/>
        <v>0</v>
      </c>
      <c r="K157" s="1219">
        <f t="shared" si="15"/>
        <v>0</v>
      </c>
    </row>
    <row r="158" spans="1:11" ht="16.5" hidden="1" outlineLevel="1" thickBot="1">
      <c r="A158" s="1209"/>
      <c r="B158" s="1238" t="s">
        <v>922</v>
      </c>
      <c r="C158" s="1239">
        <f t="shared" si="15"/>
        <v>0</v>
      </c>
      <c r="D158" s="1239">
        <f t="shared" si="15"/>
        <v>0</v>
      </c>
      <c r="E158" s="1239">
        <f t="shared" si="15"/>
        <v>0</v>
      </c>
      <c r="F158" s="1239">
        <f t="shared" si="15"/>
        <v>26866.952800000003</v>
      </c>
      <c r="G158" s="1239">
        <f t="shared" si="15"/>
        <v>0</v>
      </c>
      <c r="H158" s="1239">
        <f t="shared" si="15"/>
        <v>0</v>
      </c>
      <c r="I158" s="1239">
        <f t="shared" si="15"/>
        <v>0</v>
      </c>
      <c r="J158" s="1239">
        <f t="shared" si="15"/>
        <v>0</v>
      </c>
      <c r="K158" s="1239">
        <f t="shared" si="15"/>
        <v>0</v>
      </c>
    </row>
    <row r="159" spans="1:11" ht="16.5" hidden="1" outlineLevel="1" thickBot="1">
      <c r="A159" s="1209"/>
      <c r="B159" s="1238" t="s">
        <v>923</v>
      </c>
      <c r="C159" s="1239">
        <f t="shared" si="15"/>
        <v>0</v>
      </c>
      <c r="D159" s="1239">
        <f t="shared" si="15"/>
        <v>0</v>
      </c>
      <c r="E159" s="1239">
        <f t="shared" si="15"/>
        <v>0</v>
      </c>
      <c r="F159" s="1239">
        <f t="shared" si="15"/>
        <v>0</v>
      </c>
      <c r="G159" s="1239">
        <f t="shared" si="15"/>
        <v>0</v>
      </c>
      <c r="H159" s="1239">
        <f t="shared" si="15"/>
        <v>0</v>
      </c>
      <c r="I159" s="1239">
        <f t="shared" si="15"/>
        <v>0</v>
      </c>
      <c r="J159" s="1239">
        <f t="shared" si="15"/>
        <v>0</v>
      </c>
      <c r="K159" s="1239">
        <f t="shared" si="15"/>
        <v>0</v>
      </c>
    </row>
    <row r="160" spans="1:11" ht="48" hidden="1" outlineLevel="1" thickBot="1">
      <c r="A160" s="1209" t="s">
        <v>160</v>
      </c>
      <c r="B160" s="1210" t="s">
        <v>924</v>
      </c>
      <c r="C160" s="1211">
        <f t="shared" si="15"/>
        <v>9550.3856332703199</v>
      </c>
      <c r="D160" s="1211">
        <f t="shared" si="15"/>
        <v>529</v>
      </c>
      <c r="E160" s="1211">
        <f t="shared" si="15"/>
        <v>5052.1539999999995</v>
      </c>
      <c r="F160" s="1211">
        <f t="shared" si="15"/>
        <v>0</v>
      </c>
      <c r="G160" s="1211">
        <f t="shared" si="15"/>
        <v>529</v>
      </c>
      <c r="H160" s="1211">
        <f t="shared" si="15"/>
        <v>4098.3610862000005</v>
      </c>
      <c r="I160" s="1211">
        <f t="shared" si="15"/>
        <v>0</v>
      </c>
      <c r="J160" s="1211">
        <f t="shared" si="15"/>
        <v>544</v>
      </c>
      <c r="K160" s="1211">
        <f t="shared" si="15"/>
        <v>6669.4630199999992</v>
      </c>
    </row>
    <row r="161" spans="1:11" ht="16.5" hidden="1" outlineLevel="1" thickBot="1">
      <c r="A161" s="1209"/>
      <c r="B161" s="1240" t="s">
        <v>925</v>
      </c>
      <c r="C161" s="1217">
        <f t="shared" si="15"/>
        <v>16275.585714285715</v>
      </c>
      <c r="D161" s="1217">
        <f t="shared" si="15"/>
        <v>70</v>
      </c>
      <c r="E161" s="1217">
        <f t="shared" si="15"/>
        <v>1139.2909999999999</v>
      </c>
      <c r="F161" s="1218">
        <f t="shared" si="15"/>
        <v>18202.130700000002</v>
      </c>
      <c r="G161" s="1218">
        <f t="shared" si="15"/>
        <v>70</v>
      </c>
      <c r="H161" s="1218">
        <f t="shared" si="15"/>
        <v>1274.1491490000003</v>
      </c>
      <c r="I161" s="1219">
        <f t="shared" si="15"/>
        <v>19618.509999999998</v>
      </c>
      <c r="J161" s="1219">
        <f t="shared" si="15"/>
        <v>70</v>
      </c>
      <c r="K161" s="1219">
        <f t="shared" si="15"/>
        <v>1373.2956999999999</v>
      </c>
    </row>
    <row r="162" spans="1:11" ht="16.5" hidden="1" outlineLevel="1" thickBot="1">
      <c r="A162" s="1209"/>
      <c r="B162" s="1221" t="s">
        <v>926</v>
      </c>
      <c r="C162" s="1217">
        <f t="shared" si="15"/>
        <v>14585.457142857143</v>
      </c>
      <c r="D162" s="1217">
        <f t="shared" si="15"/>
        <v>70</v>
      </c>
      <c r="E162" s="1217">
        <f t="shared" si="15"/>
        <v>1020.982</v>
      </c>
      <c r="F162" s="1218">
        <f t="shared" si="15"/>
        <v>10593.9571</v>
      </c>
      <c r="G162" s="1218">
        <f t="shared" si="15"/>
        <v>70</v>
      </c>
      <c r="H162" s="1218">
        <f t="shared" si="15"/>
        <v>741.57699700000001</v>
      </c>
      <c r="I162" s="1219">
        <f t="shared" si="15"/>
        <v>14769.33</v>
      </c>
      <c r="J162" s="1219">
        <f t="shared" si="15"/>
        <v>90</v>
      </c>
      <c r="K162" s="1219">
        <f t="shared" si="15"/>
        <v>1329.2396999999999</v>
      </c>
    </row>
    <row r="163" spans="1:11" ht="16.5" hidden="1" outlineLevel="1" thickBot="1">
      <c r="A163" s="1209"/>
      <c r="B163" s="1221" t="s">
        <v>927</v>
      </c>
      <c r="C163" s="1217">
        <f t="shared" si="15"/>
        <v>14626.759999999998</v>
      </c>
      <c r="D163" s="1217">
        <f t="shared" si="15"/>
        <v>50</v>
      </c>
      <c r="E163" s="1217">
        <f t="shared" si="15"/>
        <v>731.33799999999997</v>
      </c>
      <c r="F163" s="1218">
        <f t="shared" si="15"/>
        <v>7756.8729999999996</v>
      </c>
      <c r="G163" s="1218">
        <f t="shared" si="15"/>
        <v>50</v>
      </c>
      <c r="H163" s="1218">
        <f t="shared" si="15"/>
        <v>387.84364999999997</v>
      </c>
      <c r="I163" s="1219">
        <f t="shared" si="15"/>
        <v>14769.33</v>
      </c>
      <c r="J163" s="1219">
        <f t="shared" si="15"/>
        <v>68</v>
      </c>
      <c r="K163" s="1219">
        <f t="shared" si="15"/>
        <v>1004.31444</v>
      </c>
    </row>
    <row r="164" spans="1:11" ht="16.5" hidden="1" outlineLevel="1" thickBot="1">
      <c r="A164" s="1209"/>
      <c r="B164" s="1216" t="s">
        <v>928</v>
      </c>
      <c r="C164" s="1217">
        <f t="shared" si="15"/>
        <v>6727.3837837837846</v>
      </c>
      <c r="D164" s="1217">
        <f t="shared" si="15"/>
        <v>185</v>
      </c>
      <c r="E164" s="1217">
        <f t="shared" si="15"/>
        <v>1244.566</v>
      </c>
      <c r="F164" s="1218">
        <f t="shared" si="15"/>
        <v>6443.8436000000002</v>
      </c>
      <c r="G164" s="1218">
        <f t="shared" si="15"/>
        <v>185</v>
      </c>
      <c r="H164" s="1218">
        <f t="shared" si="15"/>
        <v>1192.1110660000002</v>
      </c>
      <c r="I164" s="1219">
        <f t="shared" si="15"/>
        <v>14769.33</v>
      </c>
      <c r="J164" s="1219">
        <f t="shared" si="15"/>
        <v>162</v>
      </c>
      <c r="K164" s="1219">
        <f t="shared" si="15"/>
        <v>2392.6314600000001</v>
      </c>
    </row>
    <row r="165" spans="1:11" ht="16.5" hidden="1" outlineLevel="1" thickBot="1">
      <c r="A165" s="1209"/>
      <c r="B165" s="1240" t="s">
        <v>929</v>
      </c>
      <c r="C165" s="1241">
        <f t="shared" si="15"/>
        <v>5947.9025974025981</v>
      </c>
      <c r="D165" s="1241">
        <f t="shared" si="15"/>
        <v>154</v>
      </c>
      <c r="E165" s="1241">
        <f t="shared" si="15"/>
        <v>915.97699999999998</v>
      </c>
      <c r="F165" s="1242">
        <f t="shared" si="15"/>
        <v>3264.1573000000003</v>
      </c>
      <c r="G165" s="1242">
        <f t="shared" si="15"/>
        <v>154</v>
      </c>
      <c r="H165" s="1242">
        <f t="shared" si="15"/>
        <v>502.68022420000005</v>
      </c>
      <c r="I165" s="1243">
        <f t="shared" si="15"/>
        <v>3701.18</v>
      </c>
      <c r="J165" s="1243">
        <f t="shared" si="15"/>
        <v>154</v>
      </c>
      <c r="K165" s="1243">
        <f t="shared" si="15"/>
        <v>569.98172</v>
      </c>
    </row>
    <row r="166" spans="1:11" ht="32.25" hidden="1" outlineLevel="1" thickBot="1">
      <c r="A166" s="1209" t="s">
        <v>160</v>
      </c>
      <c r="B166" s="1210" t="s">
        <v>930</v>
      </c>
      <c r="C166" s="1211">
        <f t="shared" si="15"/>
        <v>4683.2664624808567</v>
      </c>
      <c r="D166" s="1211">
        <f t="shared" si="15"/>
        <v>653</v>
      </c>
      <c r="E166" s="1211">
        <f t="shared" si="15"/>
        <v>3058.1729999999998</v>
      </c>
      <c r="F166" s="1211">
        <f t="shared" si="15"/>
        <v>0</v>
      </c>
      <c r="G166" s="1211">
        <f t="shared" si="15"/>
        <v>653</v>
      </c>
      <c r="H166" s="1211">
        <f t="shared" si="15"/>
        <v>2932.9580001000004</v>
      </c>
      <c r="I166" s="1211">
        <f t="shared" si="15"/>
        <v>0</v>
      </c>
      <c r="J166" s="1211">
        <f t="shared" si="15"/>
        <v>846</v>
      </c>
      <c r="K166" s="1211">
        <f t="shared" si="15"/>
        <v>17410.765019999999</v>
      </c>
    </row>
    <row r="167" spans="1:11" ht="16.5" hidden="1" outlineLevel="1" thickBot="1">
      <c r="A167" s="1209"/>
      <c r="B167" s="1240" t="s">
        <v>928</v>
      </c>
      <c r="C167" s="1217">
        <f t="shared" ref="C167:K182" si="16">C63</f>
        <v>0</v>
      </c>
      <c r="D167" s="1217">
        <f t="shared" si="16"/>
        <v>0</v>
      </c>
      <c r="E167" s="1217">
        <f t="shared" si="16"/>
        <v>0</v>
      </c>
      <c r="F167" s="1218">
        <f t="shared" si="16"/>
        <v>7531.0082000000002</v>
      </c>
      <c r="G167" s="1218">
        <f t="shared" si="16"/>
        <v>0</v>
      </c>
      <c r="H167" s="1218">
        <f t="shared" si="16"/>
        <v>0</v>
      </c>
      <c r="I167" s="1219">
        <f t="shared" si="16"/>
        <v>14261.06</v>
      </c>
      <c r="J167" s="1219">
        <f t="shared" si="16"/>
        <v>120</v>
      </c>
      <c r="K167" s="1219">
        <f t="shared" si="16"/>
        <v>1711.3271999999999</v>
      </c>
    </row>
    <row r="168" spans="1:11" ht="16.5" hidden="1" outlineLevel="1" thickBot="1">
      <c r="A168" s="1209"/>
      <c r="B168" s="1221" t="s">
        <v>931</v>
      </c>
      <c r="C168" s="1217">
        <f t="shared" si="16"/>
        <v>6862.5555555555547</v>
      </c>
      <c r="D168" s="1217">
        <f t="shared" si="16"/>
        <v>162</v>
      </c>
      <c r="E168" s="1217">
        <f t="shared" si="16"/>
        <v>1111.7339999999999</v>
      </c>
      <c r="F168" s="1218">
        <f t="shared" si="16"/>
        <v>5150.7524000000003</v>
      </c>
      <c r="G168" s="1218">
        <f t="shared" si="16"/>
        <v>162</v>
      </c>
      <c r="H168" s="1218">
        <f t="shared" si="16"/>
        <v>834.42188880000003</v>
      </c>
      <c r="I168" s="1219">
        <f t="shared" si="16"/>
        <v>21624.57</v>
      </c>
      <c r="J168" s="1219">
        <f t="shared" si="16"/>
        <v>180</v>
      </c>
      <c r="K168" s="1219">
        <f t="shared" si="16"/>
        <v>3892.4225999999999</v>
      </c>
    </row>
    <row r="169" spans="1:11" ht="16.5" hidden="1" outlineLevel="1" thickBot="1">
      <c r="A169" s="1209"/>
      <c r="B169" s="1221" t="s">
        <v>932</v>
      </c>
      <c r="C169" s="1217">
        <f t="shared" si="16"/>
        <v>3964.2342158859474</v>
      </c>
      <c r="D169" s="1217">
        <f t="shared" si="16"/>
        <v>491</v>
      </c>
      <c r="E169" s="1217">
        <f t="shared" si="16"/>
        <v>1946.4390000000001</v>
      </c>
      <c r="F169" s="1218">
        <f t="shared" si="16"/>
        <v>4274.0043000000005</v>
      </c>
      <c r="G169" s="1218">
        <f t="shared" si="16"/>
        <v>491</v>
      </c>
      <c r="H169" s="1218">
        <f t="shared" si="16"/>
        <v>2098.5361113000004</v>
      </c>
      <c r="I169" s="1219">
        <f t="shared" si="16"/>
        <v>21624.57</v>
      </c>
      <c r="J169" s="1219">
        <f t="shared" si="16"/>
        <v>546</v>
      </c>
      <c r="K169" s="1219">
        <f t="shared" si="16"/>
        <v>11807.015220000001</v>
      </c>
    </row>
    <row r="170" spans="1:11" ht="16.5" hidden="1" outlineLevel="1" thickBot="1">
      <c r="A170" s="1209"/>
      <c r="B170" s="1216" t="s">
        <v>933</v>
      </c>
      <c r="C170" s="1217">
        <f t="shared" si="16"/>
        <v>0</v>
      </c>
      <c r="D170" s="1217">
        <f t="shared" si="16"/>
        <v>0</v>
      </c>
      <c r="E170" s="1217">
        <f t="shared" si="16"/>
        <v>0</v>
      </c>
      <c r="F170" s="1218">
        <f t="shared" si="16"/>
        <v>2747.6666</v>
      </c>
      <c r="G170" s="1218">
        <f t="shared" si="16"/>
        <v>0</v>
      </c>
      <c r="H170" s="1218">
        <f t="shared" si="16"/>
        <v>0</v>
      </c>
      <c r="I170" s="1219">
        <f t="shared" si="16"/>
        <v>4320.97</v>
      </c>
      <c r="J170" s="1219">
        <f t="shared" si="16"/>
        <v>0</v>
      </c>
      <c r="K170" s="1219">
        <f t="shared" si="16"/>
        <v>0</v>
      </c>
    </row>
    <row r="171" spans="1:11" ht="16.5" hidden="1" outlineLevel="1" thickBot="1">
      <c r="A171" s="1209"/>
      <c r="B171" s="1221" t="s">
        <v>934</v>
      </c>
      <c r="C171" s="1217">
        <f t="shared" si="16"/>
        <v>0</v>
      </c>
      <c r="D171" s="1217">
        <f t="shared" si="16"/>
        <v>0</v>
      </c>
      <c r="E171" s="1217">
        <f t="shared" si="16"/>
        <v>0</v>
      </c>
      <c r="F171" s="1218">
        <f t="shared" si="16"/>
        <v>2220.3696999999997</v>
      </c>
      <c r="G171" s="1218">
        <f t="shared" si="16"/>
        <v>0</v>
      </c>
      <c r="H171" s="1218">
        <f t="shared" si="16"/>
        <v>0</v>
      </c>
      <c r="I171" s="1219">
        <f t="shared" si="16"/>
        <v>3766.54</v>
      </c>
      <c r="J171" s="1219">
        <f t="shared" si="16"/>
        <v>0</v>
      </c>
      <c r="K171" s="1219">
        <f t="shared" si="16"/>
        <v>0</v>
      </c>
    </row>
    <row r="172" spans="1:11" ht="16.5" hidden="1" outlineLevel="1" thickBot="1">
      <c r="A172" s="1209"/>
      <c r="B172" s="1240" t="s">
        <v>935</v>
      </c>
      <c r="C172" s="1217">
        <f t="shared" si="16"/>
        <v>0</v>
      </c>
      <c r="D172" s="1217">
        <f t="shared" si="16"/>
        <v>0</v>
      </c>
      <c r="E172" s="1217">
        <f t="shared" si="16"/>
        <v>0</v>
      </c>
      <c r="F172" s="1218">
        <f t="shared" si="16"/>
        <v>1858.6664000000001</v>
      </c>
      <c r="G172" s="1218">
        <f t="shared" si="16"/>
        <v>0</v>
      </c>
      <c r="H172" s="1218">
        <f t="shared" si="16"/>
        <v>0</v>
      </c>
      <c r="I172" s="1219">
        <f t="shared" si="16"/>
        <v>0</v>
      </c>
      <c r="J172" s="1219">
        <f t="shared" si="16"/>
        <v>0</v>
      </c>
      <c r="K172" s="1219">
        <f t="shared" si="16"/>
        <v>0</v>
      </c>
    </row>
    <row r="173" spans="1:11" ht="16.5" hidden="1" outlineLevel="1" thickBot="1">
      <c r="A173" s="1209"/>
      <c r="B173" s="1221" t="s">
        <v>936</v>
      </c>
      <c r="C173" s="1217">
        <f t="shared" si="16"/>
        <v>0</v>
      </c>
      <c r="D173" s="1217">
        <f t="shared" si="16"/>
        <v>0</v>
      </c>
      <c r="E173" s="1217">
        <f t="shared" si="16"/>
        <v>0</v>
      </c>
      <c r="F173" s="1218">
        <f t="shared" si="16"/>
        <v>5620.6699000000008</v>
      </c>
      <c r="G173" s="1218">
        <f t="shared" si="16"/>
        <v>0</v>
      </c>
      <c r="H173" s="1218">
        <f t="shared" si="16"/>
        <v>0</v>
      </c>
      <c r="I173" s="1219">
        <f t="shared" si="16"/>
        <v>21168.86</v>
      </c>
      <c r="J173" s="1219">
        <f t="shared" si="16"/>
        <v>0</v>
      </c>
      <c r="K173" s="1219">
        <f t="shared" si="16"/>
        <v>0</v>
      </c>
    </row>
    <row r="174" spans="1:11" ht="16.5" hidden="1" outlineLevel="1" thickBot="1">
      <c r="A174" s="1209"/>
      <c r="B174" s="1221" t="s">
        <v>937</v>
      </c>
      <c r="C174" s="1217">
        <f t="shared" si="16"/>
        <v>0</v>
      </c>
      <c r="D174" s="1217">
        <f t="shared" si="16"/>
        <v>0</v>
      </c>
      <c r="E174" s="1217">
        <f t="shared" si="16"/>
        <v>0</v>
      </c>
      <c r="F174" s="1218">
        <f t="shared" si="16"/>
        <v>4271.1886000000004</v>
      </c>
      <c r="G174" s="1218">
        <f t="shared" si="16"/>
        <v>0</v>
      </c>
      <c r="H174" s="1218">
        <f t="shared" si="16"/>
        <v>0</v>
      </c>
      <c r="I174" s="1219">
        <f t="shared" si="16"/>
        <v>21168.86</v>
      </c>
      <c r="J174" s="1219">
        <f t="shared" si="16"/>
        <v>0</v>
      </c>
      <c r="K174" s="1219">
        <f t="shared" si="16"/>
        <v>0</v>
      </c>
    </row>
    <row r="175" spans="1:11" ht="16.5" hidden="1" outlineLevel="1" thickBot="1">
      <c r="A175" s="1209"/>
      <c r="B175" s="1216" t="s">
        <v>938</v>
      </c>
      <c r="C175" s="1217">
        <f t="shared" si="16"/>
        <v>0</v>
      </c>
      <c r="D175" s="1217">
        <f t="shared" si="16"/>
        <v>0</v>
      </c>
      <c r="E175" s="1217">
        <f t="shared" si="16"/>
        <v>0</v>
      </c>
      <c r="F175" s="1218">
        <f t="shared" si="16"/>
        <v>3029.6171000000004</v>
      </c>
      <c r="G175" s="1218">
        <f t="shared" si="16"/>
        <v>0</v>
      </c>
      <c r="H175" s="1218">
        <f t="shared" si="16"/>
        <v>0</v>
      </c>
      <c r="I175" s="1219">
        <f t="shared" si="16"/>
        <v>0</v>
      </c>
      <c r="J175" s="1219">
        <f t="shared" si="16"/>
        <v>0</v>
      </c>
      <c r="K175" s="1219">
        <f t="shared" si="16"/>
        <v>0</v>
      </c>
    </row>
    <row r="176" spans="1:11" ht="16.5" hidden="1" outlineLevel="1" thickBot="1">
      <c r="A176" s="1209"/>
      <c r="B176" s="1221" t="s">
        <v>939</v>
      </c>
      <c r="C176" s="1217">
        <f t="shared" si="16"/>
        <v>0</v>
      </c>
      <c r="D176" s="1217">
        <f t="shared" si="16"/>
        <v>0</v>
      </c>
      <c r="E176" s="1217">
        <f t="shared" si="16"/>
        <v>0</v>
      </c>
      <c r="F176" s="1218">
        <f t="shared" si="16"/>
        <v>2402.1726000000003</v>
      </c>
      <c r="G176" s="1218">
        <f t="shared" si="16"/>
        <v>0</v>
      </c>
      <c r="H176" s="1218">
        <f t="shared" si="16"/>
        <v>0</v>
      </c>
      <c r="I176" s="1219">
        <f t="shared" si="16"/>
        <v>8704.08</v>
      </c>
      <c r="J176" s="1219">
        <f t="shared" si="16"/>
        <v>0</v>
      </c>
      <c r="K176" s="1219">
        <f t="shared" si="16"/>
        <v>0</v>
      </c>
    </row>
    <row r="177" spans="1:11" ht="16.5" hidden="1" outlineLevel="1" thickBot="1">
      <c r="A177" s="1209"/>
      <c r="B177" s="1216" t="s">
        <v>940</v>
      </c>
      <c r="C177" s="1217">
        <f t="shared" si="16"/>
        <v>0</v>
      </c>
      <c r="D177" s="1217">
        <f t="shared" si="16"/>
        <v>0</v>
      </c>
      <c r="E177" s="1217">
        <f t="shared" si="16"/>
        <v>0</v>
      </c>
      <c r="F177" s="1218">
        <f t="shared" si="16"/>
        <v>2335.2046</v>
      </c>
      <c r="G177" s="1218">
        <f t="shared" si="16"/>
        <v>0</v>
      </c>
      <c r="H177" s="1218">
        <f t="shared" si="16"/>
        <v>0</v>
      </c>
      <c r="I177" s="1219">
        <f t="shared" si="16"/>
        <v>15058.5</v>
      </c>
      <c r="J177" s="1219">
        <f t="shared" si="16"/>
        <v>0</v>
      </c>
      <c r="K177" s="1219">
        <f t="shared" si="16"/>
        <v>0</v>
      </c>
    </row>
    <row r="178" spans="1:11" ht="16.5" hidden="1" outlineLevel="1" thickBot="1">
      <c r="A178" s="1209"/>
      <c r="B178" s="1216" t="s">
        <v>927</v>
      </c>
      <c r="C178" s="1217">
        <f t="shared" si="16"/>
        <v>0</v>
      </c>
      <c r="D178" s="1217">
        <f t="shared" si="16"/>
        <v>0</v>
      </c>
      <c r="E178" s="1217">
        <f t="shared" si="16"/>
        <v>0</v>
      </c>
      <c r="F178" s="1218">
        <f t="shared" si="16"/>
        <v>10778.956200000001</v>
      </c>
      <c r="G178" s="1218">
        <f t="shared" si="16"/>
        <v>0</v>
      </c>
      <c r="H178" s="1218">
        <f t="shared" si="16"/>
        <v>0</v>
      </c>
      <c r="I178" s="1219">
        <f t="shared" si="16"/>
        <v>14261.06</v>
      </c>
      <c r="J178" s="1219">
        <f t="shared" si="16"/>
        <v>0</v>
      </c>
      <c r="K178" s="1219">
        <f t="shared" si="16"/>
        <v>0</v>
      </c>
    </row>
    <row r="179" spans="1:11" ht="16.5" hidden="1" outlineLevel="1" thickBot="1">
      <c r="A179" s="1209"/>
      <c r="B179" s="1221" t="s">
        <v>941</v>
      </c>
      <c r="C179" s="1241">
        <f t="shared" si="16"/>
        <v>0</v>
      </c>
      <c r="D179" s="1241">
        <f t="shared" si="16"/>
        <v>0</v>
      </c>
      <c r="E179" s="1241">
        <f t="shared" si="16"/>
        <v>0</v>
      </c>
      <c r="F179" s="1242">
        <f t="shared" si="16"/>
        <v>2014.2148000000002</v>
      </c>
      <c r="G179" s="1242">
        <f t="shared" si="16"/>
        <v>0</v>
      </c>
      <c r="H179" s="1242">
        <f t="shared" si="16"/>
        <v>0</v>
      </c>
      <c r="I179" s="1243">
        <f t="shared" si="16"/>
        <v>15058.5</v>
      </c>
      <c r="J179" s="1243">
        <f t="shared" si="16"/>
        <v>0</v>
      </c>
      <c r="K179" s="1243">
        <f t="shared" si="16"/>
        <v>0</v>
      </c>
    </row>
    <row r="180" spans="1:11" ht="48" hidden="1" outlineLevel="1" thickBot="1">
      <c r="A180" s="1209" t="s">
        <v>160</v>
      </c>
      <c r="B180" s="1210" t="s">
        <v>942</v>
      </c>
      <c r="C180" s="1211">
        <f t="shared" si="16"/>
        <v>0</v>
      </c>
      <c r="D180" s="1211">
        <f t="shared" si="16"/>
        <v>0</v>
      </c>
      <c r="E180" s="1211">
        <f t="shared" si="16"/>
        <v>0</v>
      </c>
      <c r="F180" s="1211">
        <f t="shared" si="16"/>
        <v>0</v>
      </c>
      <c r="G180" s="1211">
        <f t="shared" si="16"/>
        <v>0</v>
      </c>
      <c r="H180" s="1211">
        <f t="shared" si="16"/>
        <v>0</v>
      </c>
      <c r="I180" s="1211">
        <f t="shared" si="16"/>
        <v>0</v>
      </c>
      <c r="J180" s="1211">
        <f t="shared" si="16"/>
        <v>0</v>
      </c>
      <c r="K180" s="1211">
        <f t="shared" si="16"/>
        <v>0</v>
      </c>
    </row>
    <row r="181" spans="1:11" ht="16.5" hidden="1" outlineLevel="1" thickBot="1">
      <c r="A181" s="1209"/>
      <c r="B181" s="1244" t="s">
        <v>939</v>
      </c>
      <c r="C181" s="1217">
        <f t="shared" si="16"/>
        <v>0</v>
      </c>
      <c r="D181" s="1217">
        <f t="shared" si="16"/>
        <v>0</v>
      </c>
      <c r="E181" s="1217">
        <f t="shared" si="16"/>
        <v>0</v>
      </c>
      <c r="F181" s="1218">
        <f t="shared" si="16"/>
        <v>8027.3323999999993</v>
      </c>
      <c r="G181" s="1218">
        <f t="shared" si="16"/>
        <v>0</v>
      </c>
      <c r="H181" s="1218">
        <f t="shared" si="16"/>
        <v>0</v>
      </c>
      <c r="I181" s="1219">
        <f t="shared" si="16"/>
        <v>4851.8900000000003</v>
      </c>
      <c r="J181" s="1219">
        <f t="shared" si="16"/>
        <v>0</v>
      </c>
      <c r="K181" s="1219">
        <f t="shared" si="16"/>
        <v>0</v>
      </c>
    </row>
    <row r="182" spans="1:11" ht="16.5" hidden="1" outlineLevel="1" thickBot="1">
      <c r="A182" s="1209"/>
      <c r="B182" s="1221" t="s">
        <v>940</v>
      </c>
      <c r="C182" s="1217">
        <f t="shared" si="16"/>
        <v>0</v>
      </c>
      <c r="D182" s="1217">
        <f t="shared" si="16"/>
        <v>0</v>
      </c>
      <c r="E182" s="1217">
        <f t="shared" si="16"/>
        <v>0</v>
      </c>
      <c r="F182" s="1218">
        <f t="shared" si="16"/>
        <v>6569.0281000000004</v>
      </c>
      <c r="G182" s="1218">
        <f t="shared" si="16"/>
        <v>0</v>
      </c>
      <c r="H182" s="1218">
        <f t="shared" si="16"/>
        <v>0</v>
      </c>
      <c r="I182" s="1219">
        <f t="shared" si="16"/>
        <v>9293.5300000000007</v>
      </c>
      <c r="J182" s="1219">
        <f t="shared" si="16"/>
        <v>0</v>
      </c>
      <c r="K182" s="1219">
        <f t="shared" si="16"/>
        <v>0</v>
      </c>
    </row>
    <row r="183" spans="1:11" ht="16.5" hidden="1" outlineLevel="1" thickBot="1">
      <c r="A183" s="1209"/>
      <c r="B183" s="1221" t="s">
        <v>941</v>
      </c>
      <c r="C183" s="1217">
        <f t="shared" ref="C183:K198" si="17">C79</f>
        <v>0</v>
      </c>
      <c r="D183" s="1217">
        <f t="shared" si="17"/>
        <v>0</v>
      </c>
      <c r="E183" s="1217">
        <f t="shared" si="17"/>
        <v>0</v>
      </c>
      <c r="F183" s="1218">
        <f t="shared" si="17"/>
        <v>6776.7049999999999</v>
      </c>
      <c r="G183" s="1218">
        <f t="shared" si="17"/>
        <v>0</v>
      </c>
      <c r="H183" s="1218">
        <f t="shared" si="17"/>
        <v>0</v>
      </c>
      <c r="I183" s="1219">
        <f t="shared" si="17"/>
        <v>9293.5300000000007</v>
      </c>
      <c r="J183" s="1219">
        <f t="shared" si="17"/>
        <v>0</v>
      </c>
      <c r="K183" s="1219">
        <f t="shared" si="17"/>
        <v>0</v>
      </c>
    </row>
    <row r="184" spans="1:11" ht="16.5" hidden="1" outlineLevel="1" thickBot="1">
      <c r="A184" s="1209"/>
      <c r="B184" s="1221" t="s">
        <v>943</v>
      </c>
      <c r="C184" s="1217">
        <f t="shared" si="17"/>
        <v>0</v>
      </c>
      <c r="D184" s="1217">
        <f t="shared" si="17"/>
        <v>0</v>
      </c>
      <c r="E184" s="1217">
        <f t="shared" si="17"/>
        <v>0</v>
      </c>
      <c r="F184" s="1218">
        <f t="shared" si="17"/>
        <v>5793.4929999999995</v>
      </c>
      <c r="G184" s="1218">
        <f t="shared" si="17"/>
        <v>0</v>
      </c>
      <c r="H184" s="1218">
        <f t="shared" si="17"/>
        <v>0</v>
      </c>
      <c r="I184" s="1219">
        <f t="shared" si="17"/>
        <v>9293.5300000000007</v>
      </c>
      <c r="J184" s="1219">
        <f t="shared" si="17"/>
        <v>0</v>
      </c>
      <c r="K184" s="1219">
        <f t="shared" si="17"/>
        <v>0</v>
      </c>
    </row>
    <row r="185" spans="1:11" ht="16.5" hidden="1" outlineLevel="1" thickBot="1">
      <c r="A185" s="1209"/>
      <c r="B185" s="1221" t="s">
        <v>944</v>
      </c>
      <c r="C185" s="1217">
        <f t="shared" si="17"/>
        <v>0</v>
      </c>
      <c r="D185" s="1217">
        <f t="shared" si="17"/>
        <v>0</v>
      </c>
      <c r="E185" s="1217">
        <f t="shared" si="17"/>
        <v>0</v>
      </c>
      <c r="F185" s="1218">
        <f t="shared" si="17"/>
        <v>4102.4749000000002</v>
      </c>
      <c r="G185" s="1218">
        <f t="shared" si="17"/>
        <v>0</v>
      </c>
      <c r="H185" s="1218">
        <f t="shared" si="17"/>
        <v>0</v>
      </c>
      <c r="I185" s="1219">
        <f t="shared" si="17"/>
        <v>9293.5300000000007</v>
      </c>
      <c r="J185" s="1219">
        <f t="shared" si="17"/>
        <v>0</v>
      </c>
      <c r="K185" s="1219">
        <f t="shared" si="17"/>
        <v>0</v>
      </c>
    </row>
    <row r="186" spans="1:11" ht="32.25" hidden="1" outlineLevel="1" thickBot="1">
      <c r="A186" s="1209" t="s">
        <v>160</v>
      </c>
      <c r="B186" s="1210" t="s">
        <v>945</v>
      </c>
      <c r="C186" s="1211">
        <f t="shared" si="17"/>
        <v>0</v>
      </c>
      <c r="D186" s="1211">
        <f t="shared" si="17"/>
        <v>0</v>
      </c>
      <c r="E186" s="1211">
        <f t="shared" si="17"/>
        <v>0</v>
      </c>
      <c r="F186" s="1211">
        <f t="shared" si="17"/>
        <v>0</v>
      </c>
      <c r="G186" s="1211">
        <f t="shared" si="17"/>
        <v>0</v>
      </c>
      <c r="H186" s="1211">
        <f t="shared" si="17"/>
        <v>0</v>
      </c>
      <c r="I186" s="1211">
        <f t="shared" si="17"/>
        <v>0</v>
      </c>
      <c r="J186" s="1211">
        <f t="shared" si="17"/>
        <v>0</v>
      </c>
      <c r="K186" s="1211">
        <f t="shared" si="17"/>
        <v>0</v>
      </c>
    </row>
    <row r="187" spans="1:11" ht="16.5" hidden="1" outlineLevel="1" thickBot="1">
      <c r="A187" s="1209"/>
      <c r="B187" s="1245" t="s">
        <v>939</v>
      </c>
      <c r="C187" s="1217">
        <f t="shared" si="17"/>
        <v>0</v>
      </c>
      <c r="D187" s="1217">
        <f t="shared" si="17"/>
        <v>0</v>
      </c>
      <c r="E187" s="1217">
        <f t="shared" si="17"/>
        <v>0</v>
      </c>
      <c r="F187" s="1218">
        <f t="shared" si="17"/>
        <v>14660.5128</v>
      </c>
      <c r="G187" s="1218">
        <f t="shared" si="17"/>
        <v>0</v>
      </c>
      <c r="H187" s="1218">
        <f t="shared" si="17"/>
        <v>0</v>
      </c>
      <c r="I187" s="1219">
        <f t="shared" si="17"/>
        <v>62049.69</v>
      </c>
      <c r="J187" s="1219">
        <f t="shared" si="17"/>
        <v>0</v>
      </c>
      <c r="K187" s="1219">
        <f t="shared" si="17"/>
        <v>0</v>
      </c>
    </row>
    <row r="188" spans="1:11" ht="16.5" hidden="1" outlineLevel="1" thickBot="1">
      <c r="A188" s="1209"/>
      <c r="B188" s="1221" t="s">
        <v>940</v>
      </c>
      <c r="C188" s="1217">
        <f t="shared" si="17"/>
        <v>0</v>
      </c>
      <c r="D188" s="1217">
        <f t="shared" si="17"/>
        <v>0</v>
      </c>
      <c r="E188" s="1217">
        <f t="shared" si="17"/>
        <v>0</v>
      </c>
      <c r="F188" s="1218">
        <f t="shared" si="17"/>
        <v>13240.791200000001</v>
      </c>
      <c r="G188" s="1218">
        <f t="shared" si="17"/>
        <v>0</v>
      </c>
      <c r="H188" s="1218">
        <f t="shared" si="17"/>
        <v>0</v>
      </c>
      <c r="I188" s="1219">
        <f t="shared" si="17"/>
        <v>62049.69</v>
      </c>
      <c r="J188" s="1219">
        <f t="shared" si="17"/>
        <v>0</v>
      </c>
      <c r="K188" s="1219">
        <f t="shared" si="17"/>
        <v>0</v>
      </c>
    </row>
    <row r="189" spans="1:11" ht="16.5" hidden="1" outlineLevel="1" thickBot="1">
      <c r="A189" s="1209"/>
      <c r="B189" s="1221" t="s">
        <v>938</v>
      </c>
      <c r="C189" s="1217">
        <f t="shared" si="17"/>
        <v>0</v>
      </c>
      <c r="D189" s="1217">
        <f t="shared" si="17"/>
        <v>0</v>
      </c>
      <c r="E189" s="1217">
        <f t="shared" si="17"/>
        <v>0</v>
      </c>
      <c r="F189" s="1218">
        <f t="shared" si="17"/>
        <v>0</v>
      </c>
      <c r="G189" s="1218">
        <f t="shared" si="17"/>
        <v>0</v>
      </c>
      <c r="H189" s="1218">
        <f t="shared" si="17"/>
        <v>0</v>
      </c>
      <c r="I189" s="1219">
        <f t="shared" si="17"/>
        <v>35797.1</v>
      </c>
      <c r="J189" s="1219">
        <f t="shared" si="17"/>
        <v>0</v>
      </c>
      <c r="K189" s="1219">
        <f t="shared" si="17"/>
        <v>0</v>
      </c>
    </row>
    <row r="190" spans="1:11" ht="16.5" hidden="1" outlineLevel="1" thickBot="1">
      <c r="A190" s="1209"/>
      <c r="B190" s="1246" t="s">
        <v>946</v>
      </c>
      <c r="C190" s="1241">
        <f t="shared" si="17"/>
        <v>0</v>
      </c>
      <c r="D190" s="1241">
        <f t="shared" si="17"/>
        <v>0</v>
      </c>
      <c r="E190" s="1241">
        <f t="shared" si="17"/>
        <v>0</v>
      </c>
      <c r="F190" s="1242">
        <f t="shared" si="17"/>
        <v>0</v>
      </c>
      <c r="G190" s="1242">
        <f t="shared" si="17"/>
        <v>0</v>
      </c>
      <c r="H190" s="1242">
        <f t="shared" si="17"/>
        <v>0</v>
      </c>
      <c r="I190" s="1243">
        <f t="shared" si="17"/>
        <v>32230</v>
      </c>
      <c r="J190" s="1243">
        <f t="shared" si="17"/>
        <v>0</v>
      </c>
      <c r="K190" s="1243">
        <f t="shared" si="17"/>
        <v>0</v>
      </c>
    </row>
    <row r="191" spans="1:11" ht="51.75" hidden="1" customHeight="1" outlineLevel="1" thickBot="1">
      <c r="A191" s="1209" t="s">
        <v>160</v>
      </c>
      <c r="B191" s="1210" t="s">
        <v>947</v>
      </c>
      <c r="C191" s="1211">
        <f t="shared" si="17"/>
        <v>0</v>
      </c>
      <c r="D191" s="1211">
        <f t="shared" si="17"/>
        <v>0</v>
      </c>
      <c r="E191" s="1211">
        <f t="shared" si="17"/>
        <v>0</v>
      </c>
      <c r="F191" s="1211">
        <f t="shared" si="17"/>
        <v>0</v>
      </c>
      <c r="G191" s="1211">
        <f t="shared" si="17"/>
        <v>0</v>
      </c>
      <c r="H191" s="1211">
        <f t="shared" si="17"/>
        <v>0</v>
      </c>
      <c r="I191" s="1211">
        <f t="shared" si="17"/>
        <v>0</v>
      </c>
      <c r="J191" s="1211">
        <f t="shared" si="17"/>
        <v>0</v>
      </c>
      <c r="K191" s="1211">
        <f t="shared" si="17"/>
        <v>0</v>
      </c>
    </row>
    <row r="192" spans="1:11" ht="16.5" hidden="1" outlineLevel="1" thickBot="1">
      <c r="A192" s="1209"/>
      <c r="B192" s="1245" t="s">
        <v>928</v>
      </c>
      <c r="C192" s="1217">
        <f t="shared" si="17"/>
        <v>0</v>
      </c>
      <c r="D192" s="1217">
        <f t="shared" si="17"/>
        <v>0</v>
      </c>
      <c r="E192" s="1217">
        <f t="shared" si="17"/>
        <v>0</v>
      </c>
      <c r="F192" s="1218">
        <f t="shared" si="17"/>
        <v>0</v>
      </c>
      <c r="G192" s="1218">
        <f t="shared" si="17"/>
        <v>0</v>
      </c>
      <c r="H192" s="1218">
        <f t="shared" si="17"/>
        <v>0</v>
      </c>
      <c r="I192" s="1219">
        <f t="shared" si="17"/>
        <v>32230</v>
      </c>
      <c r="J192" s="1219">
        <f t="shared" si="17"/>
        <v>0</v>
      </c>
      <c r="K192" s="1219">
        <f t="shared" si="17"/>
        <v>0</v>
      </c>
    </row>
    <row r="193" spans="1:11" ht="16.5" hidden="1" outlineLevel="1" thickBot="1">
      <c r="A193" s="1209"/>
      <c r="B193" s="1221" t="s">
        <v>932</v>
      </c>
      <c r="C193" s="1217">
        <f t="shared" si="17"/>
        <v>0</v>
      </c>
      <c r="D193" s="1217">
        <f t="shared" si="17"/>
        <v>0</v>
      </c>
      <c r="E193" s="1217">
        <f t="shared" si="17"/>
        <v>0</v>
      </c>
      <c r="F193" s="1218">
        <f t="shared" si="17"/>
        <v>0</v>
      </c>
      <c r="G193" s="1218">
        <f t="shared" si="17"/>
        <v>0</v>
      </c>
      <c r="H193" s="1218">
        <f t="shared" si="17"/>
        <v>0</v>
      </c>
      <c r="I193" s="1219">
        <f t="shared" si="17"/>
        <v>32230</v>
      </c>
      <c r="J193" s="1219">
        <f t="shared" si="17"/>
        <v>0</v>
      </c>
      <c r="K193" s="1219">
        <f t="shared" si="17"/>
        <v>0</v>
      </c>
    </row>
    <row r="194" spans="1:11" ht="16.5" hidden="1" outlineLevel="1" thickBot="1">
      <c r="A194" s="1209"/>
      <c r="B194" s="1221" t="s">
        <v>933</v>
      </c>
      <c r="C194" s="1217">
        <f t="shared" si="17"/>
        <v>0</v>
      </c>
      <c r="D194" s="1217">
        <f t="shared" si="17"/>
        <v>0</v>
      </c>
      <c r="E194" s="1217">
        <f t="shared" si="17"/>
        <v>0</v>
      </c>
      <c r="F194" s="1218">
        <f t="shared" si="17"/>
        <v>0</v>
      </c>
      <c r="G194" s="1218">
        <f t="shared" si="17"/>
        <v>0</v>
      </c>
      <c r="H194" s="1218">
        <f t="shared" si="17"/>
        <v>0</v>
      </c>
      <c r="I194" s="1219">
        <f t="shared" si="17"/>
        <v>4865.18</v>
      </c>
      <c r="J194" s="1219">
        <f t="shared" si="17"/>
        <v>0</v>
      </c>
      <c r="K194" s="1219">
        <f t="shared" si="17"/>
        <v>0</v>
      </c>
    </row>
    <row r="195" spans="1:11" ht="16.5" hidden="1" outlineLevel="1" thickBot="1">
      <c r="A195" s="1209"/>
      <c r="B195" s="1246" t="s">
        <v>934</v>
      </c>
      <c r="C195" s="1217">
        <f t="shared" si="17"/>
        <v>0</v>
      </c>
      <c r="D195" s="1217">
        <f t="shared" si="17"/>
        <v>0</v>
      </c>
      <c r="E195" s="1217">
        <f t="shared" si="17"/>
        <v>0</v>
      </c>
      <c r="F195" s="1218">
        <f t="shared" si="17"/>
        <v>0</v>
      </c>
      <c r="G195" s="1218">
        <f t="shared" si="17"/>
        <v>0</v>
      </c>
      <c r="H195" s="1218">
        <f t="shared" si="17"/>
        <v>0</v>
      </c>
      <c r="I195" s="1219">
        <f t="shared" si="17"/>
        <v>0</v>
      </c>
      <c r="J195" s="1219">
        <f t="shared" si="17"/>
        <v>0</v>
      </c>
      <c r="K195" s="1219">
        <f t="shared" si="17"/>
        <v>0</v>
      </c>
    </row>
    <row r="196" spans="1:11" ht="32.25" hidden="1" outlineLevel="1" thickBot="1">
      <c r="A196" s="1209"/>
      <c r="B196" s="1210" t="s">
        <v>948</v>
      </c>
      <c r="C196" s="1211">
        <f t="shared" si="17"/>
        <v>0</v>
      </c>
      <c r="D196" s="1211">
        <f t="shared" si="17"/>
        <v>0</v>
      </c>
      <c r="E196" s="1211">
        <f t="shared" si="17"/>
        <v>0</v>
      </c>
      <c r="F196" s="1211">
        <f t="shared" si="17"/>
        <v>0</v>
      </c>
      <c r="G196" s="1211">
        <f t="shared" si="17"/>
        <v>0</v>
      </c>
      <c r="H196" s="1211">
        <f t="shared" si="17"/>
        <v>0</v>
      </c>
      <c r="I196" s="1211">
        <f t="shared" si="17"/>
        <v>0</v>
      </c>
      <c r="J196" s="1211">
        <f t="shared" si="17"/>
        <v>0</v>
      </c>
      <c r="K196" s="1211">
        <f t="shared" si="17"/>
        <v>0</v>
      </c>
    </row>
    <row r="197" spans="1:11" ht="63.75" hidden="1" outlineLevel="1" thickBot="1">
      <c r="A197" s="1209"/>
      <c r="B197" s="1213" t="s">
        <v>949</v>
      </c>
      <c r="C197" s="1214">
        <f t="shared" si="17"/>
        <v>0</v>
      </c>
      <c r="D197" s="1214">
        <f t="shared" si="17"/>
        <v>0</v>
      </c>
      <c r="E197" s="1214">
        <f t="shared" si="17"/>
        <v>0</v>
      </c>
      <c r="F197" s="1214">
        <f t="shared" si="17"/>
        <v>0</v>
      </c>
      <c r="G197" s="1214">
        <f t="shared" si="17"/>
        <v>0</v>
      </c>
      <c r="H197" s="1214">
        <f t="shared" si="17"/>
        <v>0</v>
      </c>
      <c r="I197" s="1214">
        <f t="shared" si="17"/>
        <v>0</v>
      </c>
      <c r="J197" s="1214">
        <f t="shared" si="17"/>
        <v>0</v>
      </c>
      <c r="K197" s="1214">
        <f t="shared" si="17"/>
        <v>0</v>
      </c>
    </row>
    <row r="198" spans="1:11" ht="16.5" hidden="1" outlineLevel="1" thickBot="1">
      <c r="A198" s="1209"/>
      <c r="B198" s="1245" t="s">
        <v>950</v>
      </c>
      <c r="C198" s="1217">
        <f t="shared" si="17"/>
        <v>0</v>
      </c>
      <c r="D198" s="1217">
        <f t="shared" si="17"/>
        <v>0</v>
      </c>
      <c r="E198" s="1217">
        <f t="shared" si="17"/>
        <v>0</v>
      </c>
      <c r="F198" s="1218">
        <f t="shared" si="17"/>
        <v>0</v>
      </c>
      <c r="G198" s="1218">
        <f t="shared" si="17"/>
        <v>0</v>
      </c>
      <c r="H198" s="1218">
        <f t="shared" si="17"/>
        <v>0</v>
      </c>
      <c r="I198" s="1219">
        <f t="shared" si="17"/>
        <v>62049.69</v>
      </c>
      <c r="J198" s="1219">
        <f t="shared" si="17"/>
        <v>0</v>
      </c>
      <c r="K198" s="1219">
        <f t="shared" si="17"/>
        <v>0</v>
      </c>
    </row>
    <row r="199" spans="1:11" ht="16.5" hidden="1" outlineLevel="1" thickBot="1">
      <c r="A199" s="1209"/>
      <c r="B199" s="1221" t="s">
        <v>951</v>
      </c>
      <c r="C199" s="1217">
        <f t="shared" ref="C199:K214" si="18">C95</f>
        <v>0</v>
      </c>
      <c r="D199" s="1217">
        <f t="shared" si="18"/>
        <v>0</v>
      </c>
      <c r="E199" s="1217">
        <f t="shared" si="18"/>
        <v>0</v>
      </c>
      <c r="F199" s="1218">
        <f t="shared" si="18"/>
        <v>0</v>
      </c>
      <c r="G199" s="1218">
        <f t="shared" si="18"/>
        <v>0</v>
      </c>
      <c r="H199" s="1218">
        <f t="shared" si="18"/>
        <v>0</v>
      </c>
      <c r="I199" s="1219">
        <f t="shared" si="18"/>
        <v>62049.69</v>
      </c>
      <c r="J199" s="1219">
        <f t="shared" si="18"/>
        <v>0</v>
      </c>
      <c r="K199" s="1219">
        <f t="shared" si="18"/>
        <v>0</v>
      </c>
    </row>
    <row r="200" spans="1:11" ht="16.5" hidden="1" outlineLevel="1" thickBot="1">
      <c r="A200" s="1209"/>
      <c r="B200" s="1221" t="s">
        <v>952</v>
      </c>
      <c r="C200" s="1217">
        <f t="shared" si="18"/>
        <v>0</v>
      </c>
      <c r="D200" s="1217">
        <f t="shared" si="18"/>
        <v>0</v>
      </c>
      <c r="E200" s="1217">
        <f t="shared" si="18"/>
        <v>0</v>
      </c>
      <c r="F200" s="1218">
        <f t="shared" si="18"/>
        <v>0</v>
      </c>
      <c r="G200" s="1218">
        <f t="shared" si="18"/>
        <v>0</v>
      </c>
      <c r="H200" s="1218">
        <f t="shared" si="18"/>
        <v>0</v>
      </c>
      <c r="I200" s="1219">
        <f t="shared" si="18"/>
        <v>62049.69</v>
      </c>
      <c r="J200" s="1219">
        <f t="shared" si="18"/>
        <v>0</v>
      </c>
      <c r="K200" s="1219">
        <f t="shared" si="18"/>
        <v>0</v>
      </c>
    </row>
    <row r="201" spans="1:11" ht="16.5" hidden="1" outlineLevel="1" thickBot="1">
      <c r="A201" s="1209"/>
      <c r="B201" s="1246" t="s">
        <v>953</v>
      </c>
      <c r="C201" s="1241">
        <f t="shared" si="18"/>
        <v>0</v>
      </c>
      <c r="D201" s="1241">
        <f t="shared" si="18"/>
        <v>0</v>
      </c>
      <c r="E201" s="1241">
        <f t="shared" si="18"/>
        <v>0</v>
      </c>
      <c r="F201" s="1242">
        <f t="shared" si="18"/>
        <v>0</v>
      </c>
      <c r="G201" s="1242">
        <f t="shared" si="18"/>
        <v>0</v>
      </c>
      <c r="H201" s="1242">
        <f t="shared" si="18"/>
        <v>0</v>
      </c>
      <c r="I201" s="1243">
        <f t="shared" si="18"/>
        <v>62049.69</v>
      </c>
      <c r="J201" s="1243">
        <f t="shared" si="18"/>
        <v>0</v>
      </c>
      <c r="K201" s="1243">
        <f t="shared" si="18"/>
        <v>0</v>
      </c>
    </row>
    <row r="202" spans="1:11" ht="32.25" hidden="1" outlineLevel="1" thickBot="1">
      <c r="A202" s="1209"/>
      <c r="B202" s="1210" t="s">
        <v>954</v>
      </c>
      <c r="C202" s="1211">
        <f t="shared" si="18"/>
        <v>0</v>
      </c>
      <c r="D202" s="1211">
        <f t="shared" si="18"/>
        <v>0</v>
      </c>
      <c r="E202" s="1211">
        <f t="shared" si="18"/>
        <v>0</v>
      </c>
      <c r="F202" s="1211">
        <f t="shared" si="18"/>
        <v>0</v>
      </c>
      <c r="G202" s="1211">
        <f t="shared" si="18"/>
        <v>0</v>
      </c>
      <c r="H202" s="1211">
        <f t="shared" si="18"/>
        <v>0</v>
      </c>
      <c r="I202" s="1211">
        <f t="shared" si="18"/>
        <v>0</v>
      </c>
      <c r="J202" s="1211">
        <f t="shared" si="18"/>
        <v>0</v>
      </c>
      <c r="K202" s="1211">
        <f t="shared" si="18"/>
        <v>0</v>
      </c>
    </row>
    <row r="203" spans="1:11" ht="48" hidden="1" outlineLevel="1" thickBot="1">
      <c r="A203" s="1209"/>
      <c r="B203" s="1213" t="s">
        <v>955</v>
      </c>
      <c r="C203" s="1214">
        <f t="shared" si="18"/>
        <v>0</v>
      </c>
      <c r="D203" s="1214">
        <f t="shared" si="18"/>
        <v>0</v>
      </c>
      <c r="E203" s="1214">
        <f t="shared" si="18"/>
        <v>0</v>
      </c>
      <c r="F203" s="1214">
        <f t="shared" si="18"/>
        <v>0</v>
      </c>
      <c r="G203" s="1214">
        <f t="shared" si="18"/>
        <v>0</v>
      </c>
      <c r="H203" s="1214">
        <f t="shared" si="18"/>
        <v>0</v>
      </c>
      <c r="I203" s="1214">
        <f t="shared" si="18"/>
        <v>0</v>
      </c>
      <c r="J203" s="1214">
        <f t="shared" si="18"/>
        <v>0</v>
      </c>
      <c r="K203" s="1214">
        <f t="shared" si="18"/>
        <v>0</v>
      </c>
    </row>
    <row r="204" spans="1:11" ht="16.5" hidden="1" outlineLevel="1" thickBot="1">
      <c r="A204" s="1209"/>
      <c r="B204" s="1245" t="s">
        <v>956</v>
      </c>
      <c r="C204" s="1217">
        <f t="shared" si="18"/>
        <v>0</v>
      </c>
      <c r="D204" s="1217">
        <f t="shared" si="18"/>
        <v>0</v>
      </c>
      <c r="E204" s="1217">
        <f t="shared" si="18"/>
        <v>0</v>
      </c>
      <c r="F204" s="1218">
        <f t="shared" si="18"/>
        <v>0</v>
      </c>
      <c r="G204" s="1218">
        <f t="shared" si="18"/>
        <v>0</v>
      </c>
      <c r="H204" s="1218">
        <f t="shared" si="18"/>
        <v>0</v>
      </c>
      <c r="I204" s="1219">
        <f t="shared" si="18"/>
        <v>6344.98</v>
      </c>
      <c r="J204" s="1219">
        <f t="shared" si="18"/>
        <v>0</v>
      </c>
      <c r="K204" s="1219">
        <f t="shared" si="18"/>
        <v>0</v>
      </c>
    </row>
    <row r="205" spans="1:11" ht="16.5" hidden="1" outlineLevel="1" thickBot="1">
      <c r="A205" s="1209"/>
      <c r="B205" s="1221" t="s">
        <v>957</v>
      </c>
      <c r="C205" s="1217">
        <f t="shared" si="18"/>
        <v>0</v>
      </c>
      <c r="D205" s="1217">
        <f t="shared" si="18"/>
        <v>0</v>
      </c>
      <c r="E205" s="1217">
        <f t="shared" si="18"/>
        <v>0</v>
      </c>
      <c r="F205" s="1218">
        <f t="shared" si="18"/>
        <v>0</v>
      </c>
      <c r="G205" s="1218">
        <f t="shared" si="18"/>
        <v>0</v>
      </c>
      <c r="H205" s="1218">
        <f t="shared" si="18"/>
        <v>0</v>
      </c>
      <c r="I205" s="1219">
        <f t="shared" si="18"/>
        <v>6344.98</v>
      </c>
      <c r="J205" s="1219">
        <f t="shared" si="18"/>
        <v>0</v>
      </c>
      <c r="K205" s="1219">
        <f t="shared" si="18"/>
        <v>0</v>
      </c>
    </row>
    <row r="206" spans="1:11" ht="16.5" hidden="1" outlineLevel="1" thickBot="1">
      <c r="A206" s="1209"/>
      <c r="B206" s="1221" t="s">
        <v>958</v>
      </c>
      <c r="C206" s="1217">
        <f t="shared" si="18"/>
        <v>0</v>
      </c>
      <c r="D206" s="1217">
        <f t="shared" si="18"/>
        <v>0</v>
      </c>
      <c r="E206" s="1217">
        <f t="shared" si="18"/>
        <v>0</v>
      </c>
      <c r="F206" s="1218">
        <f t="shared" si="18"/>
        <v>0</v>
      </c>
      <c r="G206" s="1218">
        <f t="shared" si="18"/>
        <v>0</v>
      </c>
      <c r="H206" s="1218">
        <f t="shared" si="18"/>
        <v>0</v>
      </c>
      <c r="I206" s="1219">
        <f t="shared" si="18"/>
        <v>6344.98</v>
      </c>
      <c r="J206" s="1219">
        <f t="shared" si="18"/>
        <v>0</v>
      </c>
      <c r="K206" s="1219">
        <f t="shared" si="18"/>
        <v>0</v>
      </c>
    </row>
    <row r="207" spans="1:11" ht="16.5" hidden="1" outlineLevel="1" thickBot="1">
      <c r="A207" s="1209"/>
      <c r="B207" s="1221" t="s">
        <v>959</v>
      </c>
      <c r="C207" s="1217">
        <f t="shared" si="18"/>
        <v>0</v>
      </c>
      <c r="D207" s="1217">
        <f t="shared" si="18"/>
        <v>0</v>
      </c>
      <c r="E207" s="1217">
        <f t="shared" si="18"/>
        <v>0</v>
      </c>
      <c r="F207" s="1218">
        <f t="shared" si="18"/>
        <v>0</v>
      </c>
      <c r="G207" s="1218">
        <f t="shared" si="18"/>
        <v>0</v>
      </c>
      <c r="H207" s="1218">
        <f t="shared" si="18"/>
        <v>0</v>
      </c>
      <c r="I207" s="1219">
        <f t="shared" si="18"/>
        <v>6344.98</v>
      </c>
      <c r="J207" s="1219">
        <f t="shared" si="18"/>
        <v>0</v>
      </c>
      <c r="K207" s="1219">
        <f t="shared" si="18"/>
        <v>0</v>
      </c>
    </row>
    <row r="208" spans="1:11" ht="16.5" hidden="1" outlineLevel="1" thickBot="1">
      <c r="A208" s="1209"/>
      <c r="B208" s="1221" t="s">
        <v>960</v>
      </c>
      <c r="C208" s="1217">
        <f t="shared" si="18"/>
        <v>0</v>
      </c>
      <c r="D208" s="1217">
        <f t="shared" si="18"/>
        <v>0</v>
      </c>
      <c r="E208" s="1217">
        <f t="shared" si="18"/>
        <v>0</v>
      </c>
      <c r="F208" s="1218">
        <f t="shared" si="18"/>
        <v>0</v>
      </c>
      <c r="G208" s="1218">
        <f t="shared" si="18"/>
        <v>0</v>
      </c>
      <c r="H208" s="1218">
        <f t="shared" si="18"/>
        <v>0</v>
      </c>
      <c r="I208" s="1219">
        <f t="shared" si="18"/>
        <v>6344.98</v>
      </c>
      <c r="J208" s="1219">
        <f t="shared" si="18"/>
        <v>0</v>
      </c>
      <c r="K208" s="1219">
        <f t="shared" si="18"/>
        <v>0</v>
      </c>
    </row>
    <row r="209" spans="1:11" ht="63" hidden="1" customHeight="1" outlineLevel="1" thickBot="1">
      <c r="A209" s="1209"/>
      <c r="B209" s="1213" t="s">
        <v>961</v>
      </c>
      <c r="C209" s="1214">
        <f t="shared" si="18"/>
        <v>0</v>
      </c>
      <c r="D209" s="1214">
        <f t="shared" si="18"/>
        <v>0</v>
      </c>
      <c r="E209" s="1214">
        <f t="shared" si="18"/>
        <v>0</v>
      </c>
      <c r="F209" s="1214">
        <f t="shared" si="18"/>
        <v>0</v>
      </c>
      <c r="G209" s="1214">
        <f t="shared" si="18"/>
        <v>0</v>
      </c>
      <c r="H209" s="1214">
        <f t="shared" si="18"/>
        <v>0</v>
      </c>
      <c r="I209" s="1214">
        <f t="shared" si="18"/>
        <v>0</v>
      </c>
      <c r="J209" s="1214">
        <f t="shared" si="18"/>
        <v>0</v>
      </c>
      <c r="K209" s="1214">
        <f t="shared" si="18"/>
        <v>0</v>
      </c>
    </row>
    <row r="210" spans="1:11" ht="16.5" hidden="1" outlineLevel="1" thickBot="1">
      <c r="A210" s="1209"/>
      <c r="B210" s="1245" t="s">
        <v>952</v>
      </c>
      <c r="C210" s="1217">
        <f t="shared" si="18"/>
        <v>0</v>
      </c>
      <c r="D210" s="1217">
        <f t="shared" si="18"/>
        <v>0</v>
      </c>
      <c r="E210" s="1217">
        <f t="shared" si="18"/>
        <v>0</v>
      </c>
      <c r="F210" s="1218">
        <f t="shared" si="18"/>
        <v>0</v>
      </c>
      <c r="G210" s="1218">
        <f t="shared" si="18"/>
        <v>0</v>
      </c>
      <c r="H210" s="1218">
        <f t="shared" si="18"/>
        <v>0</v>
      </c>
      <c r="I210" s="1219">
        <f t="shared" si="18"/>
        <v>6344.98</v>
      </c>
      <c r="J210" s="1219">
        <f t="shared" si="18"/>
        <v>0</v>
      </c>
      <c r="K210" s="1219">
        <f t="shared" si="18"/>
        <v>0</v>
      </c>
    </row>
    <row r="211" spans="1:11" ht="16.5" hidden="1" outlineLevel="1" thickBot="1">
      <c r="A211" s="1209"/>
      <c r="B211" s="1221" t="s">
        <v>962</v>
      </c>
      <c r="C211" s="1217">
        <f t="shared" si="18"/>
        <v>0</v>
      </c>
      <c r="D211" s="1217">
        <f t="shared" si="18"/>
        <v>0</v>
      </c>
      <c r="E211" s="1217">
        <f t="shared" si="18"/>
        <v>0</v>
      </c>
      <c r="F211" s="1218">
        <f t="shared" si="18"/>
        <v>0</v>
      </c>
      <c r="G211" s="1218">
        <f t="shared" si="18"/>
        <v>0</v>
      </c>
      <c r="H211" s="1218">
        <f t="shared" si="18"/>
        <v>0</v>
      </c>
      <c r="I211" s="1219">
        <f t="shared" si="18"/>
        <v>6344.98</v>
      </c>
      <c r="J211" s="1219">
        <f t="shared" si="18"/>
        <v>0</v>
      </c>
      <c r="K211" s="1219">
        <f t="shared" si="18"/>
        <v>0</v>
      </c>
    </row>
    <row r="212" spans="1:11" ht="16.5" hidden="1" outlineLevel="1" thickBot="1">
      <c r="A212" s="1209"/>
      <c r="B212" s="1221" t="s">
        <v>963</v>
      </c>
      <c r="C212" s="1217">
        <f t="shared" si="18"/>
        <v>0</v>
      </c>
      <c r="D212" s="1217">
        <f t="shared" si="18"/>
        <v>0</v>
      </c>
      <c r="E212" s="1217">
        <f t="shared" si="18"/>
        <v>0</v>
      </c>
      <c r="F212" s="1218">
        <f t="shared" si="18"/>
        <v>0</v>
      </c>
      <c r="G212" s="1218">
        <f t="shared" si="18"/>
        <v>0</v>
      </c>
      <c r="H212" s="1218">
        <f t="shared" si="18"/>
        <v>0</v>
      </c>
      <c r="I212" s="1219">
        <f t="shared" si="18"/>
        <v>6344.98</v>
      </c>
      <c r="J212" s="1219">
        <f t="shared" si="18"/>
        <v>0</v>
      </c>
      <c r="K212" s="1219">
        <f t="shared" si="18"/>
        <v>0</v>
      </c>
    </row>
    <row r="213" spans="1:11" ht="16.5" hidden="1" outlineLevel="1" thickBot="1">
      <c r="A213" s="1209"/>
      <c r="B213" s="1240" t="s">
        <v>964</v>
      </c>
      <c r="C213" s="1241">
        <f t="shared" si="18"/>
        <v>0</v>
      </c>
      <c r="D213" s="1241">
        <f t="shared" si="18"/>
        <v>0</v>
      </c>
      <c r="E213" s="1241">
        <f t="shared" si="18"/>
        <v>0</v>
      </c>
      <c r="F213" s="1242">
        <f t="shared" si="18"/>
        <v>0</v>
      </c>
      <c r="G213" s="1242">
        <f t="shared" si="18"/>
        <v>0</v>
      </c>
      <c r="H213" s="1242">
        <f t="shared" si="18"/>
        <v>0</v>
      </c>
      <c r="I213" s="1243">
        <f t="shared" si="18"/>
        <v>6344.98</v>
      </c>
      <c r="J213" s="1243">
        <f t="shared" si="18"/>
        <v>0</v>
      </c>
      <c r="K213" s="1243">
        <f t="shared" si="18"/>
        <v>0</v>
      </c>
    </row>
    <row r="214" spans="1:11" ht="32.25" hidden="1" outlineLevel="1" thickBot="1">
      <c r="A214" s="1209"/>
      <c r="B214" s="1210" t="s">
        <v>965</v>
      </c>
      <c r="C214" s="1211">
        <f t="shared" si="18"/>
        <v>0</v>
      </c>
      <c r="D214" s="1211">
        <f t="shared" si="18"/>
        <v>0</v>
      </c>
      <c r="E214" s="1211">
        <f t="shared" si="18"/>
        <v>0</v>
      </c>
      <c r="F214" s="1211">
        <f t="shared" si="18"/>
        <v>0</v>
      </c>
      <c r="G214" s="1211">
        <f t="shared" si="18"/>
        <v>0</v>
      </c>
      <c r="H214" s="1211">
        <f t="shared" si="18"/>
        <v>0</v>
      </c>
      <c r="I214" s="1211">
        <f t="shared" si="18"/>
        <v>0</v>
      </c>
      <c r="J214" s="1211">
        <f t="shared" si="18"/>
        <v>0</v>
      </c>
      <c r="K214" s="1211">
        <f t="shared" si="18"/>
        <v>0</v>
      </c>
    </row>
    <row r="215" spans="1:11" ht="16.5" hidden="1" outlineLevel="1" thickBot="1">
      <c r="A215" s="1209"/>
      <c r="B215" s="1247" t="s">
        <v>966</v>
      </c>
      <c r="C215" s="1217">
        <f t="shared" ref="C215:K217" si="19">C111</f>
        <v>0</v>
      </c>
      <c r="D215" s="1217">
        <f t="shared" si="19"/>
        <v>0</v>
      </c>
      <c r="E215" s="1217">
        <f t="shared" si="19"/>
        <v>0</v>
      </c>
      <c r="F215" s="1218">
        <f t="shared" si="19"/>
        <v>8244.9784</v>
      </c>
      <c r="G215" s="1218">
        <f t="shared" si="19"/>
        <v>0</v>
      </c>
      <c r="H215" s="1218">
        <f t="shared" si="19"/>
        <v>0</v>
      </c>
      <c r="I215" s="1219">
        <f t="shared" si="19"/>
        <v>45814169.090000004</v>
      </c>
      <c r="J215" s="1219">
        <f t="shared" si="19"/>
        <v>0</v>
      </c>
      <c r="K215" s="1219">
        <f t="shared" si="19"/>
        <v>0</v>
      </c>
    </row>
    <row r="216" spans="1:11" ht="16.5" hidden="1" outlineLevel="1" thickBot="1">
      <c r="A216" s="1209"/>
      <c r="B216" s="1247" t="s">
        <v>967</v>
      </c>
      <c r="C216" s="1217">
        <f t="shared" si="19"/>
        <v>0</v>
      </c>
      <c r="D216" s="1217">
        <f t="shared" si="19"/>
        <v>0</v>
      </c>
      <c r="E216" s="1217">
        <f t="shared" si="19"/>
        <v>0</v>
      </c>
      <c r="F216" s="1218">
        <f t="shared" si="19"/>
        <v>9893.9893000000011</v>
      </c>
      <c r="G216" s="1218">
        <f t="shared" si="19"/>
        <v>0</v>
      </c>
      <c r="H216" s="1218">
        <f t="shared" si="19"/>
        <v>0</v>
      </c>
      <c r="I216" s="1219">
        <f t="shared" si="19"/>
        <v>45814169.090000004</v>
      </c>
      <c r="J216" s="1219">
        <f t="shared" si="19"/>
        <v>0</v>
      </c>
      <c r="K216" s="1219">
        <f t="shared" si="19"/>
        <v>0</v>
      </c>
    </row>
    <row r="217" spans="1:11" ht="16.5" hidden="1" outlineLevel="1" thickBot="1">
      <c r="A217" s="1209"/>
      <c r="B217" s="1247" t="s">
        <v>968</v>
      </c>
      <c r="C217" s="1217">
        <f t="shared" si="19"/>
        <v>0</v>
      </c>
      <c r="D217" s="1217">
        <f t="shared" si="19"/>
        <v>0</v>
      </c>
      <c r="E217" s="1217">
        <f t="shared" si="19"/>
        <v>0</v>
      </c>
      <c r="F217" s="1218">
        <f t="shared" si="19"/>
        <v>14134.281300000001</v>
      </c>
      <c r="G217" s="1218">
        <f t="shared" si="19"/>
        <v>0</v>
      </c>
      <c r="H217" s="1218">
        <f t="shared" si="19"/>
        <v>0</v>
      </c>
      <c r="I217" s="1219">
        <f t="shared" si="19"/>
        <v>45814169.090000004</v>
      </c>
      <c r="J217" s="1219">
        <f t="shared" si="19"/>
        <v>0</v>
      </c>
      <c r="K217" s="1219">
        <f t="shared" si="19"/>
        <v>0</v>
      </c>
    </row>
    <row r="218" spans="1:11" ht="61.5" customHeight="1" collapsed="1" thickBot="1">
      <c r="A218" s="1209"/>
      <c r="B218" s="1429" t="s">
        <v>1138</v>
      </c>
      <c r="C218" s="1430"/>
      <c r="D218" s="1430"/>
      <c r="E218" s="1430"/>
      <c r="F218" s="1430"/>
      <c r="G218" s="1430"/>
      <c r="H218" s="1430"/>
      <c r="I218" s="1430"/>
      <c r="J218" s="1430"/>
      <c r="K218" s="1431"/>
    </row>
    <row r="219" spans="1:11" ht="15.75" customHeight="1" thickBot="1">
      <c r="A219" s="1187"/>
      <c r="B219" s="1420"/>
      <c r="C219" s="1421"/>
      <c r="D219" s="1422"/>
      <c r="E219" s="1422"/>
      <c r="F219" s="1432"/>
      <c r="G219" s="1423"/>
      <c r="H219" s="1424"/>
      <c r="I219" s="1432"/>
      <c r="J219" s="1422"/>
      <c r="K219" s="1424"/>
    </row>
    <row r="220" spans="1:11" s="1196" customFormat="1" ht="64.5" thickBot="1">
      <c r="A220" s="1425" t="s">
        <v>191</v>
      </c>
      <c r="B220" s="1426" t="s">
        <v>1139</v>
      </c>
      <c r="C220" s="1427" t="s">
        <v>1140</v>
      </c>
      <c r="D220" s="1427" t="s">
        <v>1140</v>
      </c>
      <c r="E220" s="1427">
        <f>E12-E116</f>
        <v>36076.5</v>
      </c>
      <c r="F220" s="1427" t="s">
        <v>1140</v>
      </c>
      <c r="G220" s="1427" t="s">
        <v>1140</v>
      </c>
      <c r="H220" s="1427">
        <f>H12-H116</f>
        <v>20089.791318468197</v>
      </c>
      <c r="I220" s="1427" t="s">
        <v>1140</v>
      </c>
      <c r="J220" s="1427" t="s">
        <v>1140</v>
      </c>
      <c r="K220" s="1427">
        <f>K12-K116</f>
        <v>50133.889310899998</v>
      </c>
    </row>
    <row r="222" spans="1:11" s="1433" customFormat="1" ht="36.75" customHeight="1">
      <c r="B222" s="1274" t="s">
        <v>1141</v>
      </c>
      <c r="C222" s="1274"/>
      <c r="D222" s="1274"/>
      <c r="E222" s="1274"/>
      <c r="F222" s="1274"/>
      <c r="G222" s="1274"/>
      <c r="H222" s="1274"/>
      <c r="I222" s="1274"/>
      <c r="J222" s="1274"/>
    </row>
    <row r="223" spans="1:11" s="1433" customFormat="1" ht="15">
      <c r="B223" s="1274" t="s">
        <v>1142</v>
      </c>
      <c r="C223" s="1274"/>
      <c r="D223" s="1274"/>
      <c r="E223" s="1274"/>
      <c r="F223" s="1274"/>
      <c r="G223" s="1274"/>
      <c r="H223" s="1434"/>
      <c r="I223" s="1434"/>
      <c r="J223" s="1434"/>
      <c r="K223" s="1435"/>
    </row>
    <row r="224" spans="1:11" ht="47.25" customHeight="1">
      <c r="B224" s="1276"/>
      <c r="C224" s="1276"/>
      <c r="D224" s="1276"/>
      <c r="E224" s="1276"/>
      <c r="F224" s="1276"/>
      <c r="G224" s="1276"/>
      <c r="H224" s="1276"/>
      <c r="I224" s="1276"/>
      <c r="J224" s="1276"/>
      <c r="K224" s="1276"/>
    </row>
    <row r="225" spans="2:11" s="1196" customFormat="1" ht="18.75">
      <c r="B225" s="1286" t="s">
        <v>845</v>
      </c>
      <c r="C225" s="1286"/>
      <c r="D225" s="1286"/>
      <c r="E225" s="1286"/>
      <c r="F225" s="1286"/>
      <c r="G225" s="1286"/>
      <c r="H225" s="1286"/>
      <c r="I225" s="1286"/>
      <c r="J225" s="1286" t="s">
        <v>979</v>
      </c>
      <c r="K225" s="1286"/>
    </row>
    <row r="229" spans="2:11">
      <c r="B229" s="215" t="s">
        <v>1143</v>
      </c>
    </row>
    <row r="230" spans="2:11">
      <c r="B230" s="215" t="s">
        <v>91</v>
      </c>
    </row>
  </sheetData>
  <mergeCells count="16">
    <mergeCell ref="B218:K218"/>
    <mergeCell ref="B222:G222"/>
    <mergeCell ref="H222:J222"/>
    <mergeCell ref="B223:G223"/>
    <mergeCell ref="A9:A10"/>
    <mergeCell ref="B9:B10"/>
    <mergeCell ref="C9:E9"/>
    <mergeCell ref="F9:H9"/>
    <mergeCell ref="I9:K9"/>
    <mergeCell ref="F115:F116"/>
    <mergeCell ref="A2:K2"/>
    <mergeCell ref="A3:K3"/>
    <mergeCell ref="A4:K4"/>
    <mergeCell ref="A5:K5"/>
    <mergeCell ref="A6:K6"/>
    <mergeCell ref="A7:K7"/>
  </mergeCells>
  <printOptions horizontalCentered="1"/>
  <pageMargins left="0.23622047244094491" right="0.23622047244094491" top="0.74803149606299213" bottom="0.74803149606299213" header="0.31496062992125984" footer="0.31496062992125984"/>
  <pageSetup paperSize="9" scale="16" fitToHeight="6" orientation="landscape"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23" sqref="A323:G323"/>
    </sheetView>
  </sheetViews>
  <sheetFormatPr defaultRowHeight="1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23" sqref="A323:G323"/>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34</vt:i4>
      </vt:variant>
      <vt:variant>
        <vt:lpstr>Именованные диапазоны</vt:lpstr>
      </vt:variant>
      <vt:variant>
        <vt:i4>8</vt:i4>
      </vt:variant>
    </vt:vector>
  </HeadingPairs>
  <TitlesOfParts>
    <vt:vector size="42" baseType="lpstr">
      <vt:lpstr>прил.2 стандарт</vt:lpstr>
      <vt:lpstr>прил.3 стандарт С1 2019 кВт</vt:lpstr>
      <vt:lpstr>прил.2 МУ С1 2019 1 присоед.</vt:lpstr>
      <vt:lpstr>С2, С3  км</vt:lpstr>
      <vt:lpstr>прил.4 стандарт город</vt:lpstr>
      <vt:lpstr>прил.4 стандарт село</vt:lpstr>
      <vt:lpstr>Прил.5 стандарт</vt:lpstr>
      <vt:lpstr>6 стандарт</vt:lpstr>
      <vt:lpstr>7 стандарт</vt:lpstr>
      <vt:lpstr>8 стандарт</vt:lpstr>
      <vt:lpstr>9 стандарт</vt:lpstr>
      <vt:lpstr>Приложение 3 МУ</vt:lpstr>
      <vt:lpstr>Приложение 2 МУ 2017</vt:lpstr>
      <vt:lpstr>Приложение 2 МУ 2016</vt:lpstr>
      <vt:lpstr>Приложение 2 МУ 2015</vt:lpstr>
      <vt:lpstr>УТВ ставки</vt:lpstr>
      <vt:lpstr>С1 2019 1 присоед</vt:lpstr>
      <vt:lpstr>Пр.1 город 2015</vt:lpstr>
      <vt:lpstr>Пр.1 город 2016</vt:lpstr>
      <vt:lpstr>Пр.1 город 2017</vt:lpstr>
      <vt:lpstr>Пр.1 село 2015</vt:lpstr>
      <vt:lpstr>Пр.1 село 2016</vt:lpstr>
      <vt:lpstr>Пр.1 село 2017</vt:lpstr>
      <vt:lpstr>Пр.5 город 2015</vt:lpstr>
      <vt:lpstr>Пр.5 город 2016</vt:lpstr>
      <vt:lpstr>Пр.5 город 2017</vt:lpstr>
      <vt:lpstr>Пр.5 село 2015</vt:lpstr>
      <vt:lpstr>Пр.5 село 2016</vt:lpstr>
      <vt:lpstr>Пр.5 село 2017</vt:lpstr>
      <vt:lpstr>прил.1 МУ ВД ТП</vt:lpstr>
      <vt:lpstr>прил. 2 МУ ВД ТП</vt:lpstr>
      <vt:lpstr>прил. 3 МУ ВД ТП</vt:lpstr>
      <vt:lpstr>Лист1</vt:lpstr>
      <vt:lpstr>Лист3</vt:lpstr>
      <vt:lpstr>'прил. 3 МУ ВД ТП'!Заголовки_для_печати</vt:lpstr>
      <vt:lpstr>'прил.1 МУ ВД ТП'!Заголовки_для_печати</vt:lpstr>
      <vt:lpstr>'7 стандарт'!Область_печати</vt:lpstr>
      <vt:lpstr>'прил. 2 МУ ВД ТП'!Область_печати</vt:lpstr>
      <vt:lpstr>'прил.1 МУ ВД ТП'!Область_печати</vt:lpstr>
      <vt:lpstr>'прил.4 стандарт город'!Область_печати</vt:lpstr>
      <vt:lpstr>'прил.4 стандарт село'!Область_печати</vt:lpstr>
      <vt:lpstr>'Прил.5 стандарт'!Область_печати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Стрельцова Виктория Валерьевна</dc:creator>
  <cp:lastModifiedBy>Стрельцова Виктория Валерьевна</cp:lastModifiedBy>
  <cp:lastPrinted>2018-10-05T06:42:25Z</cp:lastPrinted>
  <dcterms:created xsi:type="dcterms:W3CDTF">2017-11-06T22:27:51Z</dcterms:created>
  <dcterms:modified xsi:type="dcterms:W3CDTF">2018-10-05T06:45:46Z</dcterms:modified>
</cp:coreProperties>
</file>