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660" windowWidth="28815" windowHeight="7395"/>
  </bookViews>
  <sheets>
    <sheet name="В-4" sheetId="1" r:id="rId1"/>
    <sheet name="Усл.км по РЭСам (18.07)" sheetId="2" r:id="rId2"/>
    <sheet name="Лист3" sheetId="3" r:id="rId3"/>
  </sheets>
  <definedNames>
    <definedName name="Z_0943F56E_2267_4333_AC70_CA4FAC995AA9_.wvu.PrintArea" localSheetId="0" hidden="1">'В-4'!$A$2:$N$541</definedName>
    <definedName name="Z_0943F56E_2267_4333_AC70_CA4FAC995AA9_.wvu.Rows" localSheetId="0" hidden="1">'В-4'!#REF!,'В-4'!#REF!,'В-4'!#REF!,'В-4'!#REF!</definedName>
    <definedName name="Z_A6591927_B6A0_4F29_ACFB_86D4B856E06A_.wvu.PrintArea" localSheetId="0" hidden="1">'В-4'!$A$2:$N$541</definedName>
    <definedName name="Z_CB05DF4C_FEDB_43E3_82AB_A00D464DEBAB_.wvu.PrintArea" localSheetId="0" hidden="1">'В-4'!$A$2:$N$541</definedName>
    <definedName name="Z_D529A7A1_1933_4765_AA36_44D0FD87D7B1_.wvu.PrintArea" localSheetId="0" hidden="1">'В-4'!$A$2:$N$541</definedName>
    <definedName name="Z_D529A7A1_1933_4765_AA36_44D0FD87D7B1_.wvu.Rows" localSheetId="0" hidden="1">'В-4'!#REF!,'В-4'!#REF!,'В-4'!#REF!,'В-4'!#REF!</definedName>
    <definedName name="Z_F387C196_EB8F_4F17_8A3D_CFA67F3B2FD1_.wvu.PrintArea" localSheetId="0" hidden="1">'В-4'!$A$2:$N$541</definedName>
    <definedName name="_xlnm.Print_Area" localSheetId="0">'В-4'!$A$2:$N$527</definedName>
  </definedNames>
  <calcPr calcId="145621"/>
  <customWorkbookViews>
    <customWorkbookView name="Михайлова Анна Александровна - Личное представление" guid="{CB05DF4C-FEDB-43E3-82AB-A00D464DEBAB}" mergeInterval="0" personalView="1" maximized="1" windowWidth="1916" windowHeight="855" activeSheetId="1"/>
    <customWorkbookView name="Кузнецова Юлия Викторовна - Личное представление" guid="{0943F56E-2267-4333-AC70-CA4FAC995AA9}" mergeInterval="0" personalView="1" maximized="1" windowWidth="1916" windowHeight="735" activeSheetId="1"/>
    <customWorkbookView name="Гриневич Мария Евгеньевна - Личное представление" guid="{F387C196-EB8F-4F17-8A3D-CFA67F3B2FD1}" mergeInterval="0" personalView="1" maximized="1" windowWidth="1916" windowHeight="855" activeSheetId="1"/>
    <customWorkbookView name="Дидык Илья Сергеевич - Личное представление" guid="{A6591927-B6A0-4F29-ACFB-86D4B856E06A}" mergeInterval="0" personalView="1" maximized="1" xWindow="-8" yWindow="-8" windowWidth="1936" windowHeight="1056" activeSheetId="1"/>
    <customWorkbookView name="Кашкарова Валентина Николаевна - Личное представление" guid="{D529A7A1-1933-4765-AA36-44D0FD87D7B1}" mergeInterval="0" personalView="1" maximized="1" windowWidth="1362" windowHeight="503" activeSheetId="2"/>
  </customWorkbookViews>
</workbook>
</file>

<file path=xl/calcChain.xml><?xml version="1.0" encoding="utf-8"?>
<calcChain xmlns="http://schemas.openxmlformats.org/spreadsheetml/2006/main">
  <c r="L91" i="1" l="1"/>
  <c r="N68" i="1" l="1"/>
  <c r="L61" i="1" l="1"/>
  <c r="N85" i="1" l="1"/>
  <c r="N19" i="1" l="1"/>
  <c r="N25" i="1"/>
  <c r="N22" i="1"/>
  <c r="L163" i="1" l="1"/>
  <c r="K163" i="1"/>
  <c r="K151" i="1" l="1"/>
  <c r="L144" i="1"/>
  <c r="L142" i="1"/>
  <c r="L86" i="1"/>
  <c r="N23" i="1" l="1"/>
  <c r="D29" i="2" l="1"/>
  <c r="D28" i="2"/>
  <c r="D27" i="2"/>
  <c r="D26" i="2"/>
  <c r="D25" i="2"/>
  <c r="D24" i="2"/>
  <c r="A29" i="2"/>
  <c r="A28" i="2"/>
  <c r="A27" i="2"/>
  <c r="A26" i="2"/>
  <c r="A25" i="2"/>
  <c r="A24" i="2"/>
  <c r="D22" i="2"/>
  <c r="A22" i="2"/>
  <c r="A21" i="2"/>
  <c r="N19" i="2"/>
  <c r="N18" i="2"/>
  <c r="N17" i="2"/>
  <c r="H16" i="2"/>
  <c r="F16" i="2"/>
  <c r="N14" i="2"/>
  <c r="P13" i="2"/>
  <c r="P12" i="2"/>
  <c r="P11" i="2"/>
  <c r="P10" i="2"/>
  <c r="N9" i="2"/>
  <c r="P9" i="2"/>
  <c r="J9" i="2"/>
  <c r="I8" i="2"/>
  <c r="F8" i="2"/>
  <c r="N7" i="2"/>
  <c r="L7" i="2"/>
  <c r="J7" i="2"/>
  <c r="I7" i="2"/>
  <c r="H7" i="2"/>
  <c r="F7" i="2"/>
  <c r="N6" i="2"/>
  <c r="I6" i="2"/>
  <c r="H6" i="2"/>
  <c r="F6" i="2"/>
  <c r="D6" i="2"/>
  <c r="B79" i="2"/>
  <c r="A85" i="2"/>
  <c r="A84" i="2"/>
  <c r="A83" i="2"/>
  <c r="A82" i="2"/>
  <c r="A79" i="2"/>
  <c r="A78" i="2"/>
  <c r="A77" i="2"/>
  <c r="A76" i="2"/>
  <c r="Q66" i="2"/>
  <c r="O66" i="2"/>
  <c r="O72" i="2" s="1"/>
  <c r="Q65" i="2"/>
  <c r="D59" i="2"/>
  <c r="G53" i="2"/>
  <c r="D53" i="2"/>
  <c r="D52" i="2"/>
  <c r="P39" i="2"/>
  <c r="P48" i="2" s="1"/>
  <c r="N39" i="2"/>
  <c r="N38" i="2"/>
  <c r="P5" i="2"/>
  <c r="P33" i="2" s="1"/>
  <c r="N15" i="2"/>
  <c r="N5" i="2"/>
  <c r="Q72" i="2" l="1"/>
  <c r="N33" i="2"/>
  <c r="N48" i="2"/>
  <c r="J5" i="2" l="1"/>
  <c r="J33" i="2" s="1"/>
  <c r="L5" i="2"/>
  <c r="L33" i="2" s="1"/>
  <c r="M68" i="2"/>
  <c r="M72" i="2" s="1"/>
  <c r="L68" i="2"/>
  <c r="D68" i="2"/>
  <c r="L67" i="2"/>
  <c r="J67" i="2"/>
  <c r="J72" i="2" s="1"/>
  <c r="D67" i="2"/>
  <c r="F66" i="2"/>
  <c r="F72" i="2" s="1"/>
  <c r="D58" i="2"/>
  <c r="G54" i="2"/>
  <c r="F52" i="2"/>
  <c r="F54" i="2" s="1"/>
  <c r="M41" i="2"/>
  <c r="M48" i="2" s="1"/>
  <c r="L41" i="2"/>
  <c r="D41" i="2"/>
  <c r="D60" i="2" l="1"/>
  <c r="L72" i="2"/>
  <c r="D54" i="2"/>
  <c r="L40" i="2"/>
  <c r="L48" i="2" s="1"/>
  <c r="J40" i="2"/>
  <c r="J48" i="2" s="1"/>
  <c r="D40" i="2"/>
  <c r="H39" i="2"/>
  <c r="H48" i="2" s="1"/>
  <c r="I38" i="2"/>
  <c r="F38" i="2"/>
  <c r="F48" i="2" s="1"/>
  <c r="I5" i="2" l="1"/>
  <c r="I33" i="2" s="1"/>
  <c r="H15" i="2"/>
  <c r="H5" i="2" l="1"/>
  <c r="H33" i="2" s="1"/>
  <c r="F15" i="2"/>
  <c r="F5" i="2"/>
  <c r="D23" i="2"/>
  <c r="F79" i="2" s="1"/>
  <c r="V2" i="3"/>
  <c r="W2" i="3" s="1"/>
  <c r="R2" i="3"/>
  <c r="O2" i="3"/>
  <c r="Y1" i="3"/>
  <c r="X1" i="3"/>
  <c r="V1" i="3"/>
  <c r="T1" i="3"/>
  <c r="S1" i="3"/>
  <c r="R1" i="3" s="1"/>
  <c r="O1" i="3"/>
  <c r="L1" i="3"/>
  <c r="W1" i="3" l="1"/>
  <c r="U2" i="3"/>
  <c r="Q2" i="3" s="1"/>
  <c r="U1" i="3"/>
  <c r="Q1" i="3" s="1"/>
  <c r="F33" i="2"/>
  <c r="N139" i="1"/>
  <c r="I39" i="2" s="1"/>
  <c r="I48" i="2" s="1"/>
  <c r="N156" i="1" l="1"/>
  <c r="N155" i="1"/>
  <c r="L151" i="1" l="1"/>
  <c r="H66" i="2"/>
  <c r="H72" i="2" s="1"/>
  <c r="I66" i="2"/>
  <c r="I72" i="2" s="1"/>
  <c r="L392" i="1"/>
  <c r="J109" i="1" l="1"/>
  <c r="L97" i="1" l="1"/>
  <c r="L212" i="1" l="1"/>
  <c r="G8" i="2" l="1"/>
  <c r="G7" i="2"/>
  <c r="G16" i="2" l="1"/>
  <c r="G15" i="2"/>
  <c r="G6" i="2"/>
  <c r="G5" i="2"/>
  <c r="L287" i="1"/>
  <c r="L282" i="1"/>
  <c r="L279" i="1"/>
  <c r="L264" i="1"/>
  <c r="L262" i="1"/>
  <c r="L259" i="1"/>
  <c r="L257" i="1"/>
  <c r="L254" i="1"/>
  <c r="L250" i="1"/>
  <c r="L245" i="1"/>
  <c r="L242" i="1"/>
  <c r="L238" i="1"/>
  <c r="L236" i="1"/>
  <c r="L230" i="1"/>
  <c r="L228" i="1"/>
  <c r="L226" i="1"/>
  <c r="L223" i="1"/>
  <c r="O19" i="2" l="1"/>
  <c r="G33" i="2"/>
  <c r="K146" i="1" l="1"/>
  <c r="J135" i="1"/>
  <c r="K109" i="1"/>
  <c r="K103" i="1"/>
  <c r="J103" i="1"/>
  <c r="K91" i="1"/>
  <c r="J91" i="1"/>
  <c r="R65" i="2" l="1"/>
  <c r="L483" i="1"/>
  <c r="L169" i="1" l="1"/>
  <c r="J80" i="1" l="1"/>
  <c r="K127" i="1"/>
  <c r="J127" i="1"/>
  <c r="K117" i="1"/>
  <c r="J117" i="1"/>
  <c r="N51" i="1" l="1"/>
  <c r="Q39" i="2" l="1"/>
  <c r="Q48" i="2" s="1"/>
  <c r="N41" i="1" l="1"/>
  <c r="N39" i="1"/>
  <c r="N36" i="1"/>
  <c r="N33" i="1"/>
  <c r="N18" i="1"/>
  <c r="N54" i="1"/>
  <c r="N24" i="1"/>
  <c r="N20" i="1"/>
  <c r="N21" i="1"/>
  <c r="N50" i="1" l="1"/>
  <c r="N17" i="1"/>
  <c r="N35" i="1"/>
  <c r="N52" i="1" s="1"/>
  <c r="N53" i="1"/>
  <c r="N57" i="1"/>
  <c r="N31" i="1"/>
  <c r="N48" i="1" s="1"/>
  <c r="N32" i="1"/>
  <c r="N49" i="1" s="1"/>
  <c r="N30" i="1"/>
  <c r="N47" i="1" s="1"/>
  <c r="N38" i="1"/>
  <c r="N55" i="1" s="1"/>
  <c r="N56" i="1"/>
  <c r="R66" i="2" l="1"/>
  <c r="R72" i="2" s="1"/>
  <c r="N29" i="1"/>
  <c r="N46" i="1" s="1"/>
  <c r="B65" i="2" l="1"/>
  <c r="Q12" i="2" l="1"/>
  <c r="Q13" i="2"/>
  <c r="B12" i="2"/>
  <c r="B13" i="2" l="1"/>
  <c r="Q9" i="2"/>
  <c r="Q10" i="2" l="1"/>
  <c r="Q11" i="2" l="1"/>
  <c r="Q5" i="2"/>
  <c r="Q33" i="2" s="1"/>
  <c r="B10" i="2"/>
  <c r="B11" i="2"/>
  <c r="L370" i="1" l="1"/>
  <c r="L317" i="1" l="1"/>
  <c r="L431" i="1" l="1"/>
  <c r="L424" i="1"/>
  <c r="L410" i="1"/>
  <c r="L405" i="1"/>
  <c r="L401" i="1" l="1"/>
  <c r="L373" i="1" l="1"/>
  <c r="L362" i="1"/>
  <c r="L357" i="1"/>
  <c r="L343" i="1"/>
  <c r="L336" i="1" l="1"/>
  <c r="L334" i="1"/>
  <c r="L330" i="1"/>
  <c r="L240" i="1"/>
  <c r="L315" i="1"/>
  <c r="L308" i="1"/>
  <c r="L302" i="1"/>
  <c r="L300" i="1"/>
  <c r="L294" i="1"/>
  <c r="L479" i="1" l="1"/>
  <c r="L189" i="1"/>
  <c r="L140" i="1" l="1"/>
  <c r="N158" i="1" l="1"/>
  <c r="F132" i="1" l="1"/>
  <c r="D86" i="2" l="1"/>
  <c r="K67" i="2" l="1"/>
  <c r="K72" i="2" s="1"/>
  <c r="E41" i="2" l="1"/>
  <c r="K40" i="2"/>
  <c r="K48" i="2" s="1"/>
  <c r="E40" i="2"/>
  <c r="L207" i="1" l="1"/>
  <c r="L205" i="1"/>
  <c r="L200" i="1"/>
  <c r="L122" i="1" l="1"/>
  <c r="L197" i="1" l="1"/>
  <c r="B41" i="2" l="1"/>
  <c r="B40" i="2" l="1"/>
  <c r="L277" i="1"/>
  <c r="L275" i="1"/>
  <c r="L273" i="1"/>
  <c r="L271" i="1"/>
  <c r="L269" i="1"/>
  <c r="L267" i="1"/>
  <c r="L195" i="1"/>
  <c r="N194" i="1"/>
  <c r="L516" i="1"/>
  <c r="B78" i="2" l="1"/>
  <c r="D21" i="2"/>
  <c r="D20" i="2"/>
  <c r="E26" i="2"/>
  <c r="E25" i="2"/>
  <c r="E29" i="2"/>
  <c r="E22" i="2"/>
  <c r="E27" i="2"/>
  <c r="E24" i="2"/>
  <c r="E23" i="2"/>
  <c r="E28" i="2"/>
  <c r="L193" i="1"/>
  <c r="B26" i="2"/>
  <c r="B28" i="2"/>
  <c r="B24" i="2"/>
  <c r="B27" i="2"/>
  <c r="F78" i="2" l="1"/>
  <c r="B29" i="2"/>
  <c r="E21" i="2"/>
  <c r="E20" i="2"/>
  <c r="B22" i="2"/>
  <c r="B21" i="2"/>
  <c r="B25" i="2"/>
  <c r="B20" i="2" l="1"/>
  <c r="B23" i="2"/>
  <c r="D84" i="2"/>
  <c r="B46" i="2"/>
  <c r="L476" i="1"/>
  <c r="L474" i="1"/>
  <c r="G84" i="2" l="1"/>
  <c r="B47" i="2"/>
  <c r="D85" i="2" s="1"/>
  <c r="G85" i="2" s="1"/>
  <c r="D81" i="2" l="1"/>
  <c r="B43" i="2" l="1"/>
  <c r="G81" i="2" s="1"/>
  <c r="B71" i="2" l="1"/>
  <c r="B45" i="2"/>
  <c r="N68" i="2" l="1"/>
  <c r="N72" i="2" s="1"/>
  <c r="E68" i="2"/>
  <c r="D83" i="2"/>
  <c r="B32" i="2"/>
  <c r="G83" i="2" l="1"/>
  <c r="B68" i="2"/>
  <c r="L187" i="1"/>
  <c r="L184" i="1"/>
  <c r="E67" i="2" l="1"/>
  <c r="B67" i="2" l="1"/>
  <c r="L485" i="1" l="1"/>
  <c r="L481" i="1"/>
  <c r="B31" i="2" l="1"/>
  <c r="B44" i="2"/>
  <c r="B70" i="2" l="1"/>
  <c r="L234" i="1"/>
  <c r="L232" i="1"/>
  <c r="L220" i="1"/>
  <c r="L218" i="1"/>
  <c r="L182" i="1"/>
  <c r="L180" i="1"/>
  <c r="L177" i="1"/>
  <c r="L174" i="1"/>
  <c r="E53" i="2" l="1"/>
  <c r="E58" i="2"/>
  <c r="B59" i="2"/>
  <c r="E52" i="2"/>
  <c r="E59" i="2"/>
  <c r="E54" i="2" l="1"/>
  <c r="E60" i="2"/>
  <c r="D82" i="2"/>
  <c r="G82" i="2" s="1"/>
  <c r="B58" i="2"/>
  <c r="B60" i="2" s="1"/>
  <c r="D79" i="2"/>
  <c r="D78" i="2" l="1"/>
  <c r="B53" i="2"/>
  <c r="G79" i="2" s="1"/>
  <c r="B52" i="2"/>
  <c r="O39" i="2" l="1"/>
  <c r="B54" i="2"/>
  <c r="G78" i="2"/>
  <c r="G66" i="2"/>
  <c r="G72" i="2" s="1"/>
  <c r="L469" i="1" l="1"/>
  <c r="L462" i="1"/>
  <c r="L460" i="1"/>
  <c r="L450" i="1"/>
  <c r="L445" i="1"/>
  <c r="L443" i="1"/>
  <c r="L441" i="1"/>
  <c r="L436" i="1"/>
  <c r="L419" i="1"/>
  <c r="L397" i="1"/>
  <c r="L385" i="1"/>
  <c r="L367" i="1"/>
  <c r="L355" i="1"/>
  <c r="L327" i="1"/>
  <c r="B30" i="2" l="1"/>
  <c r="B42" i="2"/>
  <c r="D80" i="2" l="1"/>
  <c r="B69" i="2"/>
  <c r="G80" i="2" l="1"/>
  <c r="P66" i="2"/>
  <c r="P72" i="2" s="1"/>
  <c r="N159" i="1" l="1"/>
  <c r="L128" i="1"/>
  <c r="L126" i="1"/>
  <c r="L124" i="1"/>
  <c r="L89" i="1"/>
  <c r="N111" i="1"/>
  <c r="L109" i="1" s="1"/>
  <c r="N136" i="1"/>
  <c r="N147" i="1"/>
  <c r="E66" i="2" l="1"/>
  <c r="E72" i="2" s="1"/>
  <c r="L157" i="1"/>
  <c r="D66" i="2"/>
  <c r="D72" i="2" s="1"/>
  <c r="G38" i="2"/>
  <c r="G48" i="2" s="1"/>
  <c r="N105" i="1"/>
  <c r="N137" i="1"/>
  <c r="N148" i="1"/>
  <c r="N132" i="1"/>
  <c r="L130" i="1" s="1"/>
  <c r="E38" i="2" l="1"/>
  <c r="L135" i="1"/>
  <c r="D39" i="2"/>
  <c r="B66" i="2"/>
  <c r="B72" i="2" s="1"/>
  <c r="L103" i="1"/>
  <c r="D38" i="2"/>
  <c r="L146" i="1"/>
  <c r="D48" i="2" l="1"/>
  <c r="O38" i="2"/>
  <c r="O48" i="2" s="1"/>
  <c r="E39" i="2"/>
  <c r="E48" i="2" s="1"/>
  <c r="B39" i="2" l="1"/>
  <c r="O18" i="2" l="1"/>
  <c r="O14" i="2"/>
  <c r="O9" i="2"/>
  <c r="O7" i="2"/>
  <c r="O6" i="2" l="1"/>
  <c r="O5" i="2"/>
  <c r="O17" i="2"/>
  <c r="O15" i="2"/>
  <c r="K7" i="2" l="1"/>
  <c r="K5" i="2"/>
  <c r="K33" i="2" s="1"/>
  <c r="M7" i="2"/>
  <c r="M5" i="2"/>
  <c r="M33" i="2" s="1"/>
  <c r="K9" i="2"/>
  <c r="O33" i="2"/>
  <c r="B38" i="2" l="1"/>
  <c r="B48" i="2" s="1"/>
  <c r="B18" i="2"/>
  <c r="B14" i="2" l="1"/>
  <c r="B19" i="2"/>
  <c r="B17" i="2" l="1"/>
  <c r="N119" i="1" l="1"/>
  <c r="N81" i="1"/>
  <c r="E8" i="2" l="1"/>
  <c r="B77" i="2"/>
  <c r="D16" i="2"/>
  <c r="D15" i="2"/>
  <c r="E16" i="2"/>
  <c r="E15" i="2"/>
  <c r="L117" i="1"/>
  <c r="B8" i="2"/>
  <c r="N72" i="1"/>
  <c r="N82" i="1"/>
  <c r="L80" i="1" s="1"/>
  <c r="L70" i="1" l="1"/>
  <c r="E6" i="2"/>
  <c r="E5" i="2"/>
  <c r="E33" i="2" s="1"/>
  <c r="D8" i="2"/>
  <c r="F77" i="2"/>
  <c r="D7" i="2"/>
  <c r="B76" i="2"/>
  <c r="D5" i="2"/>
  <c r="E7" i="2"/>
  <c r="B9" i="2" l="1"/>
  <c r="B5" i="2"/>
  <c r="B7" i="2"/>
  <c r="F76" i="2"/>
  <c r="D33" i="2"/>
  <c r="G86" i="2" l="1"/>
  <c r="B6" i="2"/>
  <c r="D76" i="2"/>
  <c r="G76" i="2" s="1"/>
  <c r="B16" i="2"/>
  <c r="D77" i="2"/>
  <c r="B15" i="2"/>
  <c r="B33" i="2" s="1"/>
  <c r="G77" i="2" l="1"/>
  <c r="B87" i="2" l="1"/>
  <c r="G87" i="2" s="1"/>
</calcChain>
</file>

<file path=xl/comments1.xml><?xml version="1.0" encoding="utf-8"?>
<comments xmlns="http://schemas.openxmlformats.org/spreadsheetml/2006/main">
  <authors>
    <author>Автор</author>
  </authors>
  <commentList>
    <comment ref="F86" authorId="0">
      <text>
        <r>
          <rPr>
            <sz val="9"/>
            <color indexed="81"/>
            <rFont val="Tahoma"/>
            <family val="2"/>
            <charset val="204"/>
          </rPr>
          <t xml:space="preserve">
ЛЭП-110кВ НГРЭС-ЧуГРЭС №114,115   L=52 110,7 м.</t>
        </r>
      </text>
    </comment>
  </commentList>
</comments>
</file>

<file path=xl/sharedStrings.xml><?xml version="1.0" encoding="utf-8"?>
<sst xmlns="http://schemas.openxmlformats.org/spreadsheetml/2006/main" count="3791" uniqueCount="933">
  <si>
    <t>№ п/п</t>
  </si>
  <si>
    <t>Класс напр-я (кВ)</t>
  </si>
  <si>
    <t>РЭС</t>
  </si>
  <si>
    <t>СП</t>
  </si>
  <si>
    <t>Инв. номер</t>
  </si>
  <si>
    <t>Наименование объекта</t>
  </si>
  <si>
    <t>Причины включения объекта в ГПР</t>
  </si>
  <si>
    <t>Вид ремонта (К;С;Т.)</t>
  </si>
  <si>
    <t xml:space="preserve">Срок ремонта </t>
  </si>
  <si>
    <t>Перечень работ</t>
  </si>
  <si>
    <t>Ед. изм.</t>
  </si>
  <si>
    <t>Кол-во</t>
  </si>
  <si>
    <t>Нач.</t>
  </si>
  <si>
    <t>Окон-е</t>
  </si>
  <si>
    <t>Всего</t>
  </si>
  <si>
    <t>Обосн-е</t>
  </si>
  <si>
    <t>Поясн-я</t>
  </si>
  <si>
    <t>месяц</t>
  </si>
  <si>
    <t>Прочие</t>
  </si>
  <si>
    <t>Всего ремонт</t>
  </si>
  <si>
    <t>Передаточные устройства</t>
  </si>
  <si>
    <t>шт.</t>
  </si>
  <si>
    <t>хоз. сп.</t>
  </si>
  <si>
    <t>Демонтаж опор</t>
  </si>
  <si>
    <t>Монтаж опор</t>
  </si>
  <si>
    <t>Замена опор</t>
  </si>
  <si>
    <t>Установка опор</t>
  </si>
  <si>
    <t>Ручная расчистка просеки</t>
  </si>
  <si>
    <t>Монтаж провода (по трассе)</t>
  </si>
  <si>
    <t>Замена РЛНД</t>
  </si>
  <si>
    <t>Установка РЛНД</t>
  </si>
  <si>
    <t>Замена ответвлений к зданиям</t>
  </si>
  <si>
    <t>км.</t>
  </si>
  <si>
    <t>Га.</t>
  </si>
  <si>
    <t>ТУРС</t>
  </si>
  <si>
    <t>АРВС</t>
  </si>
  <si>
    <t>ВЭС НРЭС</t>
  </si>
  <si>
    <t>ТРЭС ВС</t>
  </si>
  <si>
    <t>НРЭС</t>
  </si>
  <si>
    <t>К</t>
  </si>
  <si>
    <t>110кВ.</t>
  </si>
  <si>
    <t xml:space="preserve">YA0000430 </t>
  </si>
  <si>
    <t xml:space="preserve">YA0000431 </t>
  </si>
  <si>
    <t xml:space="preserve">YA0000432 </t>
  </si>
  <si>
    <t>АРЭС</t>
  </si>
  <si>
    <t>YA0000571</t>
  </si>
  <si>
    <t>YA0000570</t>
  </si>
  <si>
    <t>ТРЭС</t>
  </si>
  <si>
    <t>35кВ.</t>
  </si>
  <si>
    <t>YA0000449</t>
  </si>
  <si>
    <t>YA0000576</t>
  </si>
  <si>
    <t>YA0000564</t>
  </si>
  <si>
    <t>YA0000577</t>
  </si>
  <si>
    <t>YA0000568</t>
  </si>
  <si>
    <t>YA0000599</t>
  </si>
  <si>
    <t>Бурение скважин и установка деревянных приставок</t>
  </si>
  <si>
    <t>6-10кВ.</t>
  </si>
  <si>
    <t>б/н</t>
  </si>
  <si>
    <t>ТРЭС ВЭС</t>
  </si>
  <si>
    <t>Транспортные средства</t>
  </si>
  <si>
    <t>СДТУ</t>
  </si>
  <si>
    <t>ПН-ДБ</t>
  </si>
  <si>
    <t>АКН-ДБ</t>
  </si>
  <si>
    <t xml:space="preserve">Оборудование подстанций </t>
  </si>
  <si>
    <t>Т</t>
  </si>
  <si>
    <t>2.4.</t>
  </si>
  <si>
    <t>2.6.</t>
  </si>
  <si>
    <t>2.7.</t>
  </si>
  <si>
    <t>2.8.</t>
  </si>
  <si>
    <t>2.9.</t>
  </si>
  <si>
    <t>2.10.</t>
  </si>
  <si>
    <t>2.11.</t>
  </si>
  <si>
    <t>2.13.</t>
  </si>
  <si>
    <t>2.14.</t>
  </si>
  <si>
    <t>2.15.</t>
  </si>
  <si>
    <t>Трансформаторные подстанции</t>
  </si>
  <si>
    <t>ЗиС</t>
  </si>
  <si>
    <t>АИИС КУЭ</t>
  </si>
  <si>
    <t>Аварийный резерв</t>
  </si>
  <si>
    <t>2.16.</t>
  </si>
  <si>
    <t>2.17.</t>
  </si>
  <si>
    <t>2.18.</t>
  </si>
  <si>
    <t>2.19.</t>
  </si>
  <si>
    <t>2.5.</t>
  </si>
  <si>
    <t>Оборудование подстанций</t>
  </si>
  <si>
    <t>Прочие (СДТУ)</t>
  </si>
  <si>
    <t>Здания и сооружения</t>
  </si>
  <si>
    <t>расчистка</t>
  </si>
  <si>
    <t>1.1.1.</t>
  </si>
  <si>
    <t>1.1.2.</t>
  </si>
  <si>
    <t>1.1.3.</t>
  </si>
  <si>
    <t>1.2.1.</t>
  </si>
  <si>
    <t>1.2.3.</t>
  </si>
  <si>
    <t>1.2.4.</t>
  </si>
  <si>
    <t>1.2.5.</t>
  </si>
  <si>
    <t>1.3.</t>
  </si>
  <si>
    <t>1.4.</t>
  </si>
  <si>
    <t>1.1.10.</t>
  </si>
  <si>
    <t>1.1.11.</t>
  </si>
  <si>
    <t>1.2.</t>
  </si>
  <si>
    <t>1.2.8.</t>
  </si>
  <si>
    <t>1.2.9.</t>
  </si>
  <si>
    <t>1.2.10.</t>
  </si>
  <si>
    <t>Автотранспорт</t>
  </si>
  <si>
    <t>6.1.</t>
  </si>
  <si>
    <t>7.1.</t>
  </si>
  <si>
    <t>ВЛ 110 кВ</t>
  </si>
  <si>
    <t>ВЛ 35 кВ</t>
  </si>
  <si>
    <t>ВЛ 6-10 кВ</t>
  </si>
  <si>
    <t>ВЛ 0,4 кВ</t>
  </si>
  <si>
    <t>К.Т</t>
  </si>
  <si>
    <t>2.22.</t>
  </si>
  <si>
    <t>2.24.</t>
  </si>
  <si>
    <t>2.29.</t>
  </si>
  <si>
    <t>2.30.</t>
  </si>
  <si>
    <t>2.31.</t>
  </si>
  <si>
    <t>2.1.</t>
  </si>
  <si>
    <t>2.2.</t>
  </si>
  <si>
    <t>2.20.</t>
  </si>
  <si>
    <t>2.21.</t>
  </si>
  <si>
    <t>2.23.</t>
  </si>
  <si>
    <t>2.25.</t>
  </si>
  <si>
    <t>2.26.</t>
  </si>
  <si>
    <t>2.27.</t>
  </si>
  <si>
    <t>2.28.</t>
  </si>
  <si>
    <t>2.32.</t>
  </si>
  <si>
    <t>1.1.4.</t>
  </si>
  <si>
    <t>1.1.9.</t>
  </si>
  <si>
    <t>YA0000572</t>
  </si>
  <si>
    <t>шт</t>
  </si>
  <si>
    <t>Замена изоляторов фарфоровых/стеклянных на полимерные</t>
  </si>
  <si>
    <t>YA0000447</t>
  </si>
  <si>
    <t>Восстановление обрешетки металлических опор</t>
  </si>
  <si>
    <t xml:space="preserve">Устройство насыпи банкетки </t>
  </si>
  <si>
    <t>Га</t>
  </si>
  <si>
    <t>YA0000440</t>
  </si>
  <si>
    <t>YA0000441</t>
  </si>
  <si>
    <t>YA0000429</t>
  </si>
  <si>
    <t>Бурение скважин и установка  деревянных приставок</t>
  </si>
  <si>
    <t>Бурение скважин и установка ж/б приставок</t>
  </si>
  <si>
    <t>март</t>
  </si>
  <si>
    <t>сентябрь</t>
  </si>
  <si>
    <t>октябрь</t>
  </si>
  <si>
    <t>май</t>
  </si>
  <si>
    <t>июнь</t>
  </si>
  <si>
    <t>февраль</t>
  </si>
  <si>
    <t>июль</t>
  </si>
  <si>
    <t>август</t>
  </si>
  <si>
    <t>YA0000561</t>
  </si>
  <si>
    <t>YA0000559</t>
  </si>
  <si>
    <t>YA0000563</t>
  </si>
  <si>
    <t>Бурение скважин и установка деревянных  приставок</t>
  </si>
  <si>
    <t>YA0000569</t>
  </si>
  <si>
    <t>YA0000596</t>
  </si>
  <si>
    <t>НЕРЭС ВЭС</t>
  </si>
  <si>
    <t>АРВЭС</t>
  </si>
  <si>
    <t>ПД 110-3</t>
  </si>
  <si>
    <t>ПД 110-3,УД 110-1</t>
  </si>
  <si>
    <t>УД 110-1</t>
  </si>
  <si>
    <t>ПД35-3, УД 110-1</t>
  </si>
  <si>
    <t>ПД35-3</t>
  </si>
  <si>
    <t>У 110-2</t>
  </si>
  <si>
    <t>УД 110-1, ПД 110-1</t>
  </si>
  <si>
    <t>ПД 35-3</t>
  </si>
  <si>
    <t>П-110-4</t>
  </si>
  <si>
    <t>П-110-2</t>
  </si>
  <si>
    <t>1.2.6.</t>
  </si>
  <si>
    <t>1.2.7.</t>
  </si>
  <si>
    <t>1.2.15.</t>
  </si>
  <si>
    <t>1.2.16.</t>
  </si>
  <si>
    <t>апрель</t>
  </si>
  <si>
    <t xml:space="preserve">Годовая программа ремонтов основных фондов филиала АО "ДРСК" _____ЮЯЭС_______ на 2018 г.                                                                                                                                                                      </t>
  </si>
  <si>
    <t>ПС 110 кВ Лебединый</t>
  </si>
  <si>
    <t>ГП</t>
  </si>
  <si>
    <t>YA0003180</t>
  </si>
  <si>
    <r>
      <t xml:space="preserve">Выключатель С-35/630 (В-210) п/с 2 инв. № YA0003180 С-35-630-10У1-35   </t>
    </r>
    <r>
      <rPr>
        <sz val="10"/>
        <color rgb="FFFF0000"/>
        <rFont val="Times New Roman"/>
        <family val="1"/>
        <charset val="204"/>
      </rPr>
      <t>В 35 Т-1</t>
    </r>
    <r>
      <rPr>
        <sz val="10"/>
        <rFont val="Times New Roman"/>
        <family val="1"/>
        <charset val="204"/>
      </rPr>
      <t xml:space="preserve">, </t>
    </r>
  </si>
  <si>
    <t>МГ</t>
  </si>
  <si>
    <t>КАП</t>
  </si>
  <si>
    <t>Июнь</t>
  </si>
  <si>
    <t>Ремонт выключателей 35 кВ.</t>
  </si>
  <si>
    <t>Ремонт разъединителя 35 кВ.</t>
  </si>
  <si>
    <t>YA0000888</t>
  </si>
  <si>
    <r>
      <t xml:space="preserve">Трансформатор ТДТН-16000/110 п/с 2 инв. № YA0000888 ТДТН-16000/110/35/6, </t>
    </r>
    <r>
      <rPr>
        <sz val="10"/>
        <color rgb="FFFF0000"/>
        <rFont val="Times New Roman"/>
        <family val="1"/>
        <charset val="204"/>
      </rPr>
      <t>Т-1</t>
    </r>
  </si>
  <si>
    <t>ТЕК</t>
  </si>
  <si>
    <t>Май</t>
  </si>
  <si>
    <t>Ремонт силового трансформатора 110 кВ.</t>
  </si>
  <si>
    <t>YA0000897</t>
  </si>
  <si>
    <r>
      <t xml:space="preserve">Трансформатор ТДТН-16000/110 п/с 2  инв. № YA0000897 ТДТН-16000/110/35/6, </t>
    </r>
    <r>
      <rPr>
        <sz val="10"/>
        <color rgb="FFFF0000"/>
        <rFont val="Times New Roman"/>
        <family val="1"/>
        <charset val="204"/>
      </rPr>
      <t>Т-2</t>
    </r>
  </si>
  <si>
    <t>Ремонт разъединителя 110 кВ.</t>
  </si>
  <si>
    <t>YA0003206</t>
  </si>
  <si>
    <r>
      <t>Трансформатор напряжения ЗНОМ-35-1с фаза  А,В,С п/с 2 инв. № YA0003206  ЗНОМ-35,</t>
    </r>
    <r>
      <rPr>
        <sz val="10"/>
        <color rgb="FFFF0000"/>
        <rFont val="Times New Roman"/>
        <family val="1"/>
        <charset val="204"/>
      </rPr>
      <t xml:space="preserve"> ТН-1 35</t>
    </r>
    <r>
      <rPr>
        <sz val="10"/>
        <rFont val="Times New Roman"/>
        <family val="1"/>
        <charset val="204"/>
      </rPr>
      <t xml:space="preserve"> (ф.А ф.В ф.С)</t>
    </r>
  </si>
  <si>
    <t>Ремонт трансформаторов напряжения 35 кВ.</t>
  </si>
  <si>
    <t>YA0003209</t>
  </si>
  <si>
    <r>
      <t xml:space="preserve">Трансформатор напряжения ЗНОМ-35-2с фаза  А,В,С п/с 2 инв. № YA0003209  ЗНОМ-35, </t>
    </r>
    <r>
      <rPr>
        <sz val="10"/>
        <color rgb="FFFF0000"/>
        <rFont val="Times New Roman"/>
        <family val="1"/>
        <charset val="204"/>
      </rPr>
      <t xml:space="preserve">ТН-2 35 </t>
    </r>
    <r>
      <rPr>
        <sz val="10"/>
        <rFont val="Times New Roman"/>
        <family val="1"/>
        <charset val="204"/>
      </rPr>
      <t>(ф.А ф.В ф.С)</t>
    </r>
  </si>
  <si>
    <t>ПС-3  35/6 кВ "Белая Гора"</t>
  </si>
  <si>
    <t>YA0000970</t>
  </si>
  <si>
    <r>
      <t xml:space="preserve">Подстанция №3 35/6кВ Б.Гора инв. № YA0000970,  К-37, </t>
    </r>
    <r>
      <rPr>
        <sz val="10"/>
        <color rgb="FFFF0000"/>
        <rFont val="Times New Roman"/>
        <family val="1"/>
        <charset val="204"/>
      </rPr>
      <t>Ячейка №1 В-6-1Т, ячейка №2 ТСН-1, ячейка №4 ТН-6 и ячейка №5 ф. РРС-9</t>
    </r>
  </si>
  <si>
    <t>Ремонт выключателей 6-10 кВ.</t>
  </si>
  <si>
    <t>Ремонт силового трансформатора 35 кВ.</t>
  </si>
  <si>
    <t>Ремонт силового трансформатора 6-10 кВ.</t>
  </si>
  <si>
    <t>Ремонт трансформаторов напряжения 6-10 кВ.</t>
  </si>
  <si>
    <t>По состоянию</t>
  </si>
  <si>
    <t>ПС-5  110/35/6 кВ "Алдан"</t>
  </si>
  <si>
    <t>YA0003366</t>
  </si>
  <si>
    <r>
      <t xml:space="preserve">Трансформатор напряжения ЗНОМ-35-1с (1ТН-35) фаза  А,В,С п/с 5 инв. № YA0003366 ЗНОМ-35-65-У1  </t>
    </r>
    <r>
      <rPr>
        <sz val="10"/>
        <color rgb="FFFF0000"/>
        <rFont val="Times New Roman"/>
        <family val="1"/>
        <charset val="204"/>
      </rPr>
      <t>ЗНОМ-35-1с</t>
    </r>
  </si>
  <si>
    <t>Июль</t>
  </si>
  <si>
    <t>YA0003384</t>
  </si>
  <si>
    <r>
      <t xml:space="preserve">Трансформатор напряжения ЗНОМ-35-2с (2ТН-35) фаза  А,В,С п/с 5  инв. № YA0003384 ЗНОМ-35-65-У1, </t>
    </r>
    <r>
      <rPr>
        <sz val="10"/>
        <color rgb="FFFF0000"/>
        <rFont val="Times New Roman"/>
        <family val="1"/>
        <charset val="204"/>
      </rPr>
      <t>ЗНОМ-35-2с</t>
    </r>
  </si>
  <si>
    <t>YA0003359</t>
  </si>
  <si>
    <t>YA0000927</t>
  </si>
  <si>
    <r>
      <t xml:space="preserve">Трансформатор силовой ТДТН-16000/110 п/с 5 инв. № YA0000927 ТДТН-16000/110/35/6, </t>
    </r>
    <r>
      <rPr>
        <sz val="10"/>
        <color rgb="FFFF0000"/>
        <rFont val="Times New Roman"/>
        <family val="1"/>
        <charset val="204"/>
      </rPr>
      <t>1Т</t>
    </r>
  </si>
  <si>
    <t>YA0000905</t>
  </si>
  <si>
    <r>
      <t xml:space="preserve">Трансформатор силовой ТДТН-16000/110  п/с 5 инв. № YA0000905 ТДТН-16000/110/35/6, </t>
    </r>
    <r>
      <rPr>
        <sz val="10"/>
        <color rgb="FFFF0000"/>
        <rFont val="Times New Roman"/>
        <family val="1"/>
        <charset val="204"/>
      </rPr>
      <t>2Т</t>
    </r>
  </si>
  <si>
    <t>Ремонт выключателей 110 кВ.</t>
  </si>
  <si>
    <t>Ремонт трансформаторов напряжения 110 кВ.</t>
  </si>
  <si>
    <t>ПС-6  35/6 кВ "Восточная"</t>
  </si>
  <si>
    <t>YA0000975</t>
  </si>
  <si>
    <t xml:space="preserve">YA0001009 </t>
  </si>
  <si>
    <r>
      <t>Трансформатор  ТМ 6300/35 инв. № YA0001009 ТМН-6300/35/6,</t>
    </r>
    <r>
      <rPr>
        <sz val="10"/>
        <color rgb="FFFF0000"/>
        <rFont val="Times New Roman"/>
        <family val="1"/>
        <charset val="204"/>
      </rPr>
      <t xml:space="preserve"> 1Т</t>
    </r>
  </si>
  <si>
    <t>YA0001027</t>
  </si>
  <si>
    <r>
      <t xml:space="preserve">Трансформатор  ТМ 6300/35, ПС-6 инв. № YA0001027 ТМН-6300/35/6, </t>
    </r>
    <r>
      <rPr>
        <sz val="10"/>
        <color rgb="FFFF0000"/>
        <rFont val="Times New Roman"/>
        <family val="1"/>
        <charset val="204"/>
      </rPr>
      <t>2Т</t>
    </r>
  </si>
  <si>
    <t>YA0000983</t>
  </si>
  <si>
    <r>
      <t>Выключатель масляный С-35 М-630 инв. № YA0000983 С-35М-630-10У1,</t>
    </r>
    <r>
      <rPr>
        <sz val="10"/>
        <color rgb="FFFF0000"/>
        <rFont val="Times New Roman"/>
        <family val="1"/>
        <charset val="204"/>
      </rPr>
      <t xml:space="preserve"> В-12</t>
    </r>
  </si>
  <si>
    <t>YA0003210</t>
  </si>
  <si>
    <r>
      <t xml:space="preserve">Трансформатор ТМ-25/6 (ТСН-1) п/с 6 инв. № YA0003210 ТМ-25/6, </t>
    </r>
    <r>
      <rPr>
        <sz val="10"/>
        <color rgb="FFFF0000"/>
        <rFont val="Times New Roman"/>
        <family val="1"/>
        <charset val="204"/>
      </rPr>
      <t>ТСН-1</t>
    </r>
  </si>
  <si>
    <t>YA000376</t>
  </si>
  <si>
    <r>
      <t xml:space="preserve">Трансформатор ТМ-25/6 (ТСН-2) п/с 6 инв. № YA000376  ТМ-25/6, </t>
    </r>
    <r>
      <rPr>
        <sz val="10"/>
        <color rgb="FFFF0000"/>
        <rFont val="Times New Roman"/>
        <family val="1"/>
        <charset val="204"/>
      </rPr>
      <t>ТСН-2</t>
    </r>
  </si>
  <si>
    <t>ПС 35 кВ МПС</t>
  </si>
  <si>
    <t>YA0000979</t>
  </si>
  <si>
    <r>
      <t xml:space="preserve">Трансформатор ТМН-4000/35 п/с 7 2Т инв. № YA0000979 ТМН-4000/35/6, </t>
    </r>
    <r>
      <rPr>
        <sz val="10"/>
        <color rgb="FFFF0000"/>
        <rFont val="Times New Roman"/>
        <family val="1"/>
        <charset val="204"/>
      </rPr>
      <t>Т-2</t>
    </r>
  </si>
  <si>
    <t>ПС-8  110/35/6 кВ "В.Куранах"</t>
  </si>
  <si>
    <t>YA0000929</t>
  </si>
  <si>
    <r>
      <t xml:space="preserve">Трансформатор силовой ТДТН-16000/110/35/6 ПС-8(Н)  инв. № YA0000929 ТДТН-16000/110/35/6 </t>
    </r>
    <r>
      <rPr>
        <sz val="10"/>
        <color rgb="FFFF0000"/>
        <rFont val="Times New Roman"/>
        <family val="1"/>
        <charset val="204"/>
      </rPr>
      <t>1Т</t>
    </r>
  </si>
  <si>
    <t>Август</t>
  </si>
  <si>
    <t>YA0000942</t>
  </si>
  <si>
    <r>
      <t xml:space="preserve">Трансформатор силовой ТДТН 10000/110/35/6 инв. № YA0000942 ТМ-10000/110-76-У1  </t>
    </r>
    <r>
      <rPr>
        <sz val="10"/>
        <color rgb="FFFF0000"/>
        <rFont val="Times New Roman"/>
        <family val="1"/>
        <charset val="204"/>
      </rPr>
      <t>2Т</t>
    </r>
  </si>
  <si>
    <t>YA0000932</t>
  </si>
  <si>
    <r>
      <t xml:space="preserve">Трансформатор напряжения НКФ-110 6шт.инв. № YA0000932 НКФ-110 </t>
    </r>
    <r>
      <rPr>
        <sz val="10"/>
        <color rgb="FFFF0000"/>
        <rFont val="Times New Roman"/>
        <family val="1"/>
        <charset val="204"/>
      </rPr>
      <t>1ТН-110</t>
    </r>
  </si>
  <si>
    <r>
      <t xml:space="preserve">Трансформатор напряжения НКФ-110 6шт.инв. № YA0000932 НКФ-110 </t>
    </r>
    <r>
      <rPr>
        <sz val="10"/>
        <color rgb="FFFF0000"/>
        <rFont val="Times New Roman"/>
        <family val="1"/>
        <charset val="204"/>
      </rPr>
      <t>2ТН-110</t>
    </r>
  </si>
  <si>
    <t>YA0003240</t>
  </si>
  <si>
    <r>
      <t xml:space="preserve">Трансформатор напряжения ЗНОМ-35 (1ТН-35) фаза  А,В,С  п/с 8.инв. № YA0003240 ЗНОМ-35-65-У1 </t>
    </r>
    <r>
      <rPr>
        <sz val="10"/>
        <color rgb="FFFF0000"/>
        <rFont val="Times New Roman"/>
        <family val="1"/>
        <charset val="204"/>
      </rPr>
      <t>1ТН-35</t>
    </r>
  </si>
  <si>
    <t>YA0003288</t>
  </si>
  <si>
    <r>
      <t xml:space="preserve">Трансформатор напряжения ЗНОМ-35 (2ТН-35) фаза  А,В,С  п/с 8 инв. № YA0003288 ЗНОМ-35-65-У1 </t>
    </r>
    <r>
      <rPr>
        <sz val="10"/>
        <color rgb="FFFF0000"/>
        <rFont val="Times New Roman"/>
        <family val="1"/>
        <charset val="204"/>
      </rPr>
      <t>2ТН-35</t>
    </r>
  </si>
  <si>
    <t>YA0000930</t>
  </si>
  <si>
    <r>
      <t xml:space="preserve">Трансформатор силовой ТМ-250/6/0,4 (1ТСН).инв. № YA0000930 ТМ-250/6/0,4 </t>
    </r>
    <r>
      <rPr>
        <sz val="10"/>
        <color rgb="FFFF0000"/>
        <rFont val="Times New Roman"/>
        <family val="1"/>
        <charset val="204"/>
      </rPr>
      <t>ТСН-1</t>
    </r>
  </si>
  <si>
    <t>YA0000931</t>
  </si>
  <si>
    <r>
      <t xml:space="preserve">Трансформатор силовой ТМ-250/6/0,4 (2ТСН) инв. № YA0000931 ТМ-250/6/0,4 </t>
    </r>
    <r>
      <rPr>
        <sz val="10"/>
        <color rgb="FFFF0000"/>
        <rFont val="Times New Roman"/>
        <family val="1"/>
        <charset val="204"/>
      </rPr>
      <t>ТСН-2</t>
    </r>
  </si>
  <si>
    <t>YA0000941</t>
  </si>
  <si>
    <r>
      <t>Ячейки КРУ высоковольтные К-26 21шт.п/с 8 инв. № YA0000941 К-26, Ячейка</t>
    </r>
    <r>
      <rPr>
        <sz val="10"/>
        <color rgb="FFFF0000"/>
        <rFont val="Times New Roman"/>
        <family val="1"/>
        <charset val="204"/>
      </rPr>
      <t xml:space="preserve"> №6 </t>
    </r>
    <r>
      <rPr>
        <sz val="10"/>
        <rFont val="Times New Roman"/>
        <family val="1"/>
        <charset val="204"/>
      </rPr>
      <t>Поселок, ячейка</t>
    </r>
    <r>
      <rPr>
        <sz val="10"/>
        <color rgb="FFFF0000"/>
        <rFont val="Times New Roman"/>
        <family val="1"/>
        <charset val="204"/>
      </rPr>
      <t xml:space="preserve"> №18 </t>
    </r>
    <r>
      <rPr>
        <sz val="10"/>
        <rFont val="Times New Roman"/>
        <family val="1"/>
        <charset val="204"/>
      </rPr>
      <t xml:space="preserve">ЛЭП-5, ячейка </t>
    </r>
    <r>
      <rPr>
        <sz val="10"/>
        <color rgb="FFFF0000"/>
        <rFont val="Times New Roman"/>
        <family val="1"/>
        <charset val="204"/>
      </rPr>
      <t>№20</t>
    </r>
    <r>
      <rPr>
        <sz val="10"/>
        <rFont val="Times New Roman"/>
        <family val="1"/>
        <charset val="204"/>
      </rPr>
      <t xml:space="preserve"> ЛЭП-3</t>
    </r>
  </si>
  <si>
    <t>ПС-10  35/6 кВ  "Водозабор"</t>
  </si>
  <si>
    <t>YA0003641</t>
  </si>
  <si>
    <r>
      <t xml:space="preserve">ПС-35/6 кВ №10 "Водозабор", ПС-10 «Водозабор»  инв. № YA0003641 ТМН-2500/35/6, </t>
    </r>
    <r>
      <rPr>
        <sz val="10"/>
        <color rgb="FFFF0000"/>
        <rFont val="Times New Roman"/>
        <family val="1"/>
        <charset val="204"/>
      </rPr>
      <t>1Т</t>
    </r>
  </si>
  <si>
    <r>
      <t xml:space="preserve">_ПС-35/6 кВ №10 "Водозаб инв. № YA0003641 ТМН-2500/35/6, </t>
    </r>
    <r>
      <rPr>
        <sz val="10"/>
        <color rgb="FFFF0000"/>
        <rFont val="Times New Roman"/>
        <family val="1"/>
        <charset val="204"/>
      </rPr>
      <t>2Т</t>
    </r>
  </si>
  <si>
    <t>ПС-14  35/6 кВ " Хатыстыр"</t>
  </si>
  <si>
    <t>YA0003301</t>
  </si>
  <si>
    <r>
      <t xml:space="preserve">Трансформатор силовой ТМ-1600/35/6 (1Т) п/с 14 инв. № YA0003301 ТМН-1600/35/6 </t>
    </r>
    <r>
      <rPr>
        <sz val="10"/>
        <color rgb="FFFF0000"/>
        <rFont val="Times New Roman"/>
        <family val="1"/>
        <charset val="204"/>
      </rPr>
      <t>1Т</t>
    </r>
  </si>
  <si>
    <t>YA0003769</t>
  </si>
  <si>
    <r>
      <t>Трансформатор силовой ТМ-1600/35/6 (2Т) п/с 14 инв. № YA0003769 ТМН-1600/35/6</t>
    </r>
    <r>
      <rPr>
        <sz val="10"/>
        <color rgb="FFFF0000"/>
        <rFont val="Times New Roman"/>
        <family val="1"/>
        <charset val="204"/>
      </rPr>
      <t xml:space="preserve">  2Т</t>
    </r>
  </si>
  <si>
    <t>Сентябрь</t>
  </si>
  <si>
    <t xml:space="preserve">YA0003370 </t>
  </si>
  <si>
    <r>
      <t xml:space="preserve"> Ячейка  (КРУН-6) количество ячеек К (4 шт.) п/с 14 инв. № YA0003370 ячейки К-12,</t>
    </r>
    <r>
      <rPr>
        <sz val="10"/>
        <color rgb="FFFF0000"/>
        <rFont val="Times New Roman"/>
        <family val="1"/>
        <charset val="204"/>
      </rPr>
      <t xml:space="preserve">Ячейка №1 Нижний поселок, ячейка №2 Верхний поселок, ячейка №3 В-6-1Т, </t>
    </r>
  </si>
  <si>
    <t>ПС-16 110/35/6 кВ "Юхта"</t>
  </si>
  <si>
    <t>YA0003357</t>
  </si>
  <si>
    <r>
      <t xml:space="preserve">Трансформатор силовой ТМТН-6300/110/35 (1Т)п/с 16  инв. № YA0003357 ТМТН-6300/110-81-У1 </t>
    </r>
    <r>
      <rPr>
        <sz val="10"/>
        <color rgb="FFFF0000"/>
        <rFont val="Times New Roman"/>
        <family val="1"/>
        <charset val="204"/>
      </rPr>
      <t>1Т</t>
    </r>
  </si>
  <si>
    <t>ПС-17  35/6 кВ "Электрокотельная"</t>
  </si>
  <si>
    <t>YA0000951</t>
  </si>
  <si>
    <r>
      <t xml:space="preserve">ОРУ-35 кВ п/ст 17  инв. № YA0000951 ТМН-4000/35/6 </t>
    </r>
    <r>
      <rPr>
        <sz val="10"/>
        <color rgb="FFFF0000"/>
        <rFont val="Times New Roman"/>
        <family val="1"/>
        <charset val="204"/>
      </rPr>
      <t>1Т</t>
    </r>
  </si>
  <si>
    <t>YA0000959</t>
  </si>
  <si>
    <r>
      <t xml:space="preserve"> Трансформатор ТМ 6300/35/6 ПС №17  Электрокотельная инв. № YA0000959 ТМ-6300/35/6</t>
    </r>
    <r>
      <rPr>
        <sz val="10"/>
        <color rgb="FFFF0000"/>
        <rFont val="Times New Roman"/>
        <family val="1"/>
        <charset val="204"/>
      </rPr>
      <t xml:space="preserve"> 2Т</t>
    </r>
  </si>
  <si>
    <t>YA0000955</t>
  </si>
  <si>
    <r>
      <t xml:space="preserve">Трансформатор тока ТФНД/35  2шт. инв. № YA0000955 ТМЗМ-110Б-У1, </t>
    </r>
    <r>
      <rPr>
        <sz val="10"/>
        <color rgb="FFFF0000"/>
        <rFont val="Times New Roman"/>
        <family val="1"/>
        <charset val="204"/>
      </rPr>
      <t>ТТЛ-12</t>
    </r>
  </si>
  <si>
    <t>Ремонт трансформаторов тока 110 кВ.</t>
  </si>
  <si>
    <t xml:space="preserve">YA0000952 </t>
  </si>
  <si>
    <r>
      <t xml:space="preserve">Трансформатор НАМИ-35 инв. № YA0000952 НАМИ-35-УХЛ1, </t>
    </r>
    <r>
      <rPr>
        <sz val="10"/>
        <color rgb="FFFF0000"/>
        <rFont val="Times New Roman"/>
        <family val="1"/>
        <charset val="204"/>
      </rPr>
      <t>НАМИ-35</t>
    </r>
  </si>
  <si>
    <t>YA0000963</t>
  </si>
  <si>
    <r>
      <t xml:space="preserve">Трансформатор  ТМ 40/10  инв. № YA0000963 ТМ-40/6, </t>
    </r>
    <r>
      <rPr>
        <sz val="10"/>
        <color rgb="FFFF0000"/>
        <rFont val="Times New Roman"/>
        <family val="1"/>
        <charset val="204"/>
      </rPr>
      <t>ТСН-1</t>
    </r>
  </si>
  <si>
    <t>YA0000967</t>
  </si>
  <si>
    <r>
      <t xml:space="preserve">Трансформатор  ТМ 40/10  инв. № YA0000967 ТМ-40/6, </t>
    </r>
    <r>
      <rPr>
        <sz val="10"/>
        <color rgb="FFFF0000"/>
        <rFont val="Times New Roman"/>
        <family val="1"/>
        <charset val="204"/>
      </rPr>
      <t>ТСН-2</t>
    </r>
  </si>
  <si>
    <t>ПС-18 110/35/6 кВ "ЗИФ"</t>
  </si>
  <si>
    <t>YA0000880</t>
  </si>
  <si>
    <r>
      <t xml:space="preserve">Трансформатор ТДТН-16000/110/6 п/с 18 инв. № YA0000880 ТДТН-16000/110/35/6 </t>
    </r>
    <r>
      <rPr>
        <sz val="10"/>
        <color rgb="FFFF0000"/>
        <rFont val="Times New Roman"/>
        <family val="1"/>
        <charset val="204"/>
      </rPr>
      <t>1Т</t>
    </r>
  </si>
  <si>
    <t>YA0000879</t>
  </si>
  <si>
    <r>
      <t xml:space="preserve">Трансформатор ТДТН-16000/110/35/6 инв. № YA0000879 ТДТН-16000/110/35/6 </t>
    </r>
    <r>
      <rPr>
        <sz val="10"/>
        <color rgb="FFFF0000"/>
        <rFont val="Times New Roman"/>
        <family val="1"/>
        <charset val="204"/>
      </rPr>
      <t>2Т</t>
    </r>
  </si>
  <si>
    <t>YA0003510</t>
  </si>
  <si>
    <r>
      <t xml:space="preserve">Трансформатор напряжения НКФ-110 (ТН-110) фаза  А,В,С п/с 18 инв. № YA0003510 НКФ-110, </t>
    </r>
    <r>
      <rPr>
        <sz val="10"/>
        <color rgb="FFFF0000"/>
        <rFont val="Times New Roman"/>
        <family val="1"/>
        <charset val="204"/>
      </rPr>
      <t>НКФ-110 фаза  А,В,С</t>
    </r>
  </si>
  <si>
    <t>YA0000887</t>
  </si>
  <si>
    <r>
      <t xml:space="preserve">Трансформатор тока ТФНД-110  4 шт. инв. № YA0000887 ТФНД-110, </t>
    </r>
    <r>
      <rPr>
        <sz val="10"/>
        <color rgb="FFFF0000"/>
        <rFont val="Times New Roman"/>
        <family val="1"/>
        <charset val="204"/>
      </rPr>
      <t>ТТ-110-1Т</t>
    </r>
  </si>
  <si>
    <t xml:space="preserve">YA0000887 </t>
  </si>
  <si>
    <r>
      <t xml:space="preserve">Трансформатор тока ТФНД-110  4 шт. инв. № YA0000887 ТФНД-110, </t>
    </r>
    <r>
      <rPr>
        <sz val="10"/>
        <color rgb="FFFF0000"/>
        <rFont val="Times New Roman"/>
        <family val="1"/>
        <charset val="204"/>
      </rPr>
      <t>ТТ-110-2Т</t>
    </r>
  </si>
  <si>
    <t>YA0003772</t>
  </si>
  <si>
    <r>
      <t xml:space="preserve">Выключатель ВМД-35/600 (В-226) п/с 18 инв. № YA0003772   ВМД-35/600, </t>
    </r>
    <r>
      <rPr>
        <sz val="10"/>
        <color rgb="FFFF0000"/>
        <rFont val="Times New Roman"/>
        <family val="1"/>
        <charset val="204"/>
      </rPr>
      <t>В-226</t>
    </r>
  </si>
  <si>
    <t xml:space="preserve">YA0003515 </t>
  </si>
  <si>
    <r>
      <t>Выключатель ВМД-35/600 (В-225) п/с 18 инв. № YA0003515  ВМД-35/600,</t>
    </r>
    <r>
      <rPr>
        <sz val="10"/>
        <color rgb="FFFF0000"/>
        <rFont val="Times New Roman"/>
        <family val="1"/>
        <charset val="204"/>
      </rPr>
      <t xml:space="preserve"> В-225</t>
    </r>
  </si>
  <si>
    <t>YA0003521</t>
  </si>
  <si>
    <r>
      <t xml:space="preserve">Выключатель ВМД-35/600 (В-228) п/с 18 инв. № YA0003521  ВМД-35/600, </t>
    </r>
    <r>
      <rPr>
        <sz val="10"/>
        <color rgb="FFFF0000"/>
        <rFont val="Times New Roman"/>
        <family val="1"/>
        <charset val="204"/>
      </rPr>
      <t>В-228</t>
    </r>
  </si>
  <si>
    <t>YA0003516</t>
  </si>
  <si>
    <r>
      <t xml:space="preserve">Разъединитель РЛНД-35/600 (8 шт.)п/с 18 инв. № YA0003516  РЛНД-35/600 </t>
    </r>
    <r>
      <rPr>
        <sz val="10"/>
        <color rgb="FFFF0000"/>
        <rFont val="Times New Roman"/>
        <family val="1"/>
        <charset val="204"/>
      </rPr>
      <t>Р-371; Р-372; РШ-374;  РШ-375; РШ-378; РШ-381.</t>
    </r>
  </si>
  <si>
    <r>
      <t xml:space="preserve">Разъединитель РЛНД-35/600 (8 шт.)п/с 18 инв. № YA0003516  РЛНД-35/600 </t>
    </r>
    <r>
      <rPr>
        <sz val="10"/>
        <color rgb="FFFF0000"/>
        <rFont val="Times New Roman"/>
        <family val="1"/>
        <charset val="204"/>
      </rPr>
      <t>РШ-373</t>
    </r>
  </si>
  <si>
    <r>
      <t>Разъединитель РЛНД-35/600 (8 шт.)п/с 18 инв. № YA0003516  РЛНД-35/600</t>
    </r>
    <r>
      <rPr>
        <sz val="10"/>
        <color rgb="FFFF0000"/>
        <rFont val="Times New Roman"/>
        <family val="1"/>
        <charset val="204"/>
      </rPr>
      <t xml:space="preserve"> РШ-376</t>
    </r>
  </si>
  <si>
    <t>ПС-36  110/6 кВ "М.Нимныр"</t>
  </si>
  <si>
    <t>YA0002037</t>
  </si>
  <si>
    <r>
      <t>Трансформатор силовой ТМН-2500/110/6.инв. № YA0002037 ТМН-2500/110-УХЛ1</t>
    </r>
    <r>
      <rPr>
        <sz val="10"/>
        <color rgb="FFFF0000"/>
        <rFont val="Times New Roman"/>
        <family val="1"/>
        <charset val="204"/>
      </rPr>
      <t xml:space="preserve"> 1Т</t>
    </r>
  </si>
  <si>
    <t>ПС-37  110/10 кВ "Б.Нимныр"</t>
  </si>
  <si>
    <t xml:space="preserve">YA0000901 </t>
  </si>
  <si>
    <r>
      <t xml:space="preserve">Трансформатор силовой ТМН-2500/110 п/с 37 инв. № YA0000901 ТМН-2500/110-80-У1 </t>
    </r>
    <r>
      <rPr>
        <sz val="10"/>
        <color rgb="FFFF0000"/>
        <rFont val="Times New Roman"/>
        <family val="1"/>
        <charset val="204"/>
      </rPr>
      <t>1Т</t>
    </r>
  </si>
  <si>
    <t>YA0003537</t>
  </si>
  <si>
    <r>
      <t xml:space="preserve">Разъединитель РНДЗ-110 (3шт) п/с 37 инв. № YA0003537 РНДЗ-1б-110/630 </t>
    </r>
    <r>
      <rPr>
        <sz val="10"/>
        <color rgb="FFFF0000"/>
        <rFont val="Times New Roman"/>
        <family val="1"/>
        <charset val="204"/>
      </rPr>
      <t>Р-110-1T</t>
    </r>
  </si>
  <si>
    <t>YA0003540</t>
  </si>
  <si>
    <t>YA0000902</t>
  </si>
  <si>
    <r>
      <t xml:space="preserve">Трансформатор силовой  ТМ-63/10 инв. № YA0000902 ТМ-63/6 </t>
    </r>
    <r>
      <rPr>
        <sz val="10"/>
        <color rgb="FFFF0000"/>
        <rFont val="Times New Roman"/>
        <family val="1"/>
        <charset val="204"/>
      </rPr>
      <t>ТСН</t>
    </r>
  </si>
  <si>
    <t>ПС-11 35/6 кВ "Аэропорт"</t>
  </si>
  <si>
    <t>YA0003375</t>
  </si>
  <si>
    <r>
      <t xml:space="preserve">Трансформатор силовой ТМ-100/6 (ТСН-1) п/с 11инв. № YA0003375   ТМ-100/6 </t>
    </r>
    <r>
      <rPr>
        <sz val="10"/>
        <color rgb="FFFF0000"/>
        <rFont val="Times New Roman"/>
        <family val="1"/>
        <charset val="204"/>
      </rPr>
      <t>ТСН-1</t>
    </r>
  </si>
  <si>
    <t>YA0003389</t>
  </si>
  <si>
    <r>
      <t xml:space="preserve">Разъединитель РНДЗ-2-35/1000 (10шт.) инв. № YA0003389  РНДЗ-2-35/ 1000 </t>
    </r>
    <r>
      <rPr>
        <b/>
        <sz val="10"/>
        <color rgb="FFFF0000"/>
        <rFont val="Times New Roman"/>
        <family val="1"/>
        <charset val="204"/>
      </rPr>
      <t>ШРС-2; РЛ-1; РЛ-2; Р-35-3Т; Р-35-2Т; Р-35-1Т; ШРС-1; РШ-35-3Т; РШ-35-2Т; РШ-35-1Т</t>
    </r>
  </si>
  <si>
    <t>YA0003393</t>
  </si>
  <si>
    <r>
      <t xml:space="preserve">Ячейка 1 КСО-172 ЗРУ-6 (17  шт) п/с 11 инв. № YA0003393 ремонт масляного выключателя  ВМГ-10/630-20 </t>
    </r>
    <r>
      <rPr>
        <b/>
        <sz val="10"/>
        <color rgb="FFFF0000"/>
        <rFont val="Times New Roman"/>
        <family val="1"/>
        <charset val="204"/>
      </rPr>
      <t xml:space="preserve">№3 </t>
    </r>
    <r>
      <rPr>
        <sz val="10"/>
        <rFont val="Times New Roman"/>
        <family val="1"/>
        <charset val="204"/>
      </rPr>
      <t>"В-6-2Т";</t>
    </r>
    <r>
      <rPr>
        <b/>
        <sz val="10"/>
        <color rgb="FFFF0000"/>
        <rFont val="Times New Roman"/>
        <family val="1"/>
        <charset val="204"/>
      </rPr>
      <t>№11</t>
    </r>
    <r>
      <rPr>
        <sz val="10"/>
        <rFont val="Times New Roman"/>
        <family val="1"/>
        <charset val="204"/>
      </rPr>
      <t xml:space="preserve"> "Насосная ЧуТЭЦ"</t>
    </r>
  </si>
  <si>
    <t>Апрель</t>
  </si>
  <si>
    <r>
      <t xml:space="preserve">Ячейка 1 КСО-172 ЗРУ-6 (17  шт) п/с 11 инв. № YA0003393 </t>
    </r>
    <r>
      <rPr>
        <sz val="10"/>
        <color rgb="FFFF0000"/>
        <rFont val="Times New Roman"/>
        <family val="1"/>
        <charset val="204"/>
      </rPr>
      <t>ремонт 2-ой секции шин</t>
    </r>
  </si>
  <si>
    <t>Ремонт секции шин 6-10 кВ.</t>
  </si>
  <si>
    <t>ПС-38 110/6 кВ "Угольная"</t>
  </si>
  <si>
    <t>YA0004023</t>
  </si>
  <si>
    <r>
      <t>Трансформатор силовой ТДН-16000/110-УХЛ1(1Т) инв. № YA0004023 ТДН-16000/110</t>
    </r>
    <r>
      <rPr>
        <sz val="10"/>
        <color rgb="FFFF0000"/>
        <rFont val="Times New Roman"/>
        <family val="1"/>
        <charset val="204"/>
      </rPr>
      <t xml:space="preserve"> 1Т</t>
    </r>
  </si>
  <si>
    <t>YA0004025</t>
  </si>
  <si>
    <r>
      <t xml:space="preserve">Трансформатор силовой ТДН-16000/110-УХЛ1(2Т) инв. № YA0004025 ТДН-16000/110 </t>
    </r>
    <r>
      <rPr>
        <sz val="10"/>
        <color rgb="FFFF0000"/>
        <rFont val="Times New Roman"/>
        <family val="1"/>
        <charset val="204"/>
      </rPr>
      <t>2Т</t>
    </r>
  </si>
  <si>
    <t>ПС-39 110/10  кВ "Хатыми"</t>
  </si>
  <si>
    <t>YA0003456</t>
  </si>
  <si>
    <t>Замена выключателей 6-10 кВ</t>
  </si>
  <si>
    <t>ПС-40 110/35/6 кВ "ОФ"</t>
  </si>
  <si>
    <t>YA0000458</t>
  </si>
  <si>
    <r>
      <t xml:space="preserve">Силовой трансформатор ТДТН 40000/110/35/6  1Т № YA0000458 </t>
    </r>
    <r>
      <rPr>
        <sz val="10"/>
        <color rgb="FFFF0000"/>
        <rFont val="Times New Roman"/>
        <family val="1"/>
        <charset val="204"/>
      </rPr>
      <t xml:space="preserve">Шинный мост 6кВ 1Т  </t>
    </r>
  </si>
  <si>
    <t>Ремонт шинного моста 6-10 кВ.</t>
  </si>
  <si>
    <t>YA0000467</t>
  </si>
  <si>
    <r>
      <t xml:space="preserve">Силовой трансформатор  ТДТН 40000/110 /35/6 2Т инв. № YA0000467  </t>
    </r>
    <r>
      <rPr>
        <sz val="10"/>
        <color rgb="FFFF0000"/>
        <rFont val="Times New Roman"/>
        <family val="1"/>
        <charset val="204"/>
      </rPr>
      <t xml:space="preserve">Шинный мост 6кВ 2Т  </t>
    </r>
  </si>
  <si>
    <t>YA0000459</t>
  </si>
  <si>
    <r>
      <t>Масляный выключатель ЗРУ-ВМПЭ 4шт.п/с 40 вводные ячейки инв. № YA0000459 ВМПЭ-10-31,5/3200-У3</t>
    </r>
    <r>
      <rPr>
        <sz val="10"/>
        <color rgb="FFFF0000"/>
        <rFont val="Times New Roman"/>
        <family val="1"/>
        <charset val="204"/>
      </rPr>
      <t xml:space="preserve"> В-6-1Т-1с; В-6-1Т-3с </t>
    </r>
  </si>
  <si>
    <t>YA0003811</t>
  </si>
  <si>
    <r>
      <t xml:space="preserve">Разрядник  РВС 35-2ТН ф. А, В, С п/с 40 инв. № YA0003811   РВС-35 </t>
    </r>
    <r>
      <rPr>
        <sz val="10"/>
        <color rgb="FFFF0000"/>
        <rFont val="Times New Roman"/>
        <family val="1"/>
        <charset val="204"/>
      </rPr>
      <t xml:space="preserve">РВС-35-2ТН ф. А.В.С. </t>
    </r>
    <r>
      <rPr>
        <sz val="10"/>
        <rFont val="Times New Roman"/>
        <family val="1"/>
        <charset val="204"/>
      </rPr>
      <t xml:space="preserve"> </t>
    </r>
  </si>
  <si>
    <t>Замена ОПН, разрядников 35 кВ.</t>
  </si>
  <si>
    <t>YA0003812</t>
  </si>
  <si>
    <r>
      <t xml:space="preserve">Выключатель масляный МКП-110М (В-116) п/с 40  инв. № YA0003812  МКП-110 </t>
    </r>
    <r>
      <rPr>
        <sz val="10"/>
        <color rgb="FFFF0000"/>
        <rFont val="Times New Roman"/>
        <family val="1"/>
        <charset val="204"/>
      </rPr>
      <t>В-116</t>
    </r>
  </si>
  <si>
    <t>YA0000463</t>
  </si>
  <si>
    <r>
      <t xml:space="preserve">Ячейки  6кВ КРУ-2-6Э - 36 шт. п/с 40 инв. № YA0000463 ВМПЭ-10-20\630-У3 - </t>
    </r>
    <r>
      <rPr>
        <sz val="10"/>
        <color rgb="FFFF0000"/>
        <rFont val="Times New Roman"/>
        <family val="1"/>
        <charset val="204"/>
      </rPr>
      <t>№1а; 2а; 2б; 5; 13; 15; 43; 45; 27; 26</t>
    </r>
  </si>
  <si>
    <r>
      <t xml:space="preserve">Силовой трансформатор  ТДТН 40000/110 /35/6 2Т инв. № YA0000467  ТДТН 40000/110 /35/6 </t>
    </r>
    <r>
      <rPr>
        <sz val="10"/>
        <color rgb="FFFF0000"/>
        <rFont val="Times New Roman"/>
        <family val="1"/>
        <charset val="204"/>
      </rPr>
      <t>2Т</t>
    </r>
    <r>
      <rPr>
        <sz val="10"/>
        <rFont val="Times New Roman"/>
        <family val="1"/>
        <charset val="204"/>
      </rPr>
      <t xml:space="preserve">  </t>
    </r>
  </si>
  <si>
    <t>YA0000462</t>
  </si>
  <si>
    <r>
      <t xml:space="preserve">Трансформатор силовой ТДТН  40000/110 /35/6 3Т инв. № YA0000462  ТДТН 40000/110 /35/6 </t>
    </r>
    <r>
      <rPr>
        <sz val="10"/>
        <color rgb="FFFF0000"/>
        <rFont val="Times New Roman"/>
        <family val="1"/>
        <charset val="204"/>
      </rPr>
      <t>3Т</t>
    </r>
    <r>
      <rPr>
        <sz val="10"/>
        <rFont val="Times New Roman"/>
        <family val="1"/>
        <charset val="204"/>
      </rPr>
      <t xml:space="preserve">  </t>
    </r>
  </si>
  <si>
    <r>
      <t xml:space="preserve">Силовой трансформатор ТДТН 40000/110/35/6  1Т инв. № YA0000458 ТДТН 40000/110 /35/6  </t>
    </r>
    <r>
      <rPr>
        <sz val="10"/>
        <color rgb="FFFF0000"/>
        <rFont val="Times New Roman"/>
        <family val="1"/>
        <charset val="204"/>
      </rPr>
      <t>1Т</t>
    </r>
  </si>
  <si>
    <t>YA0001955</t>
  </si>
  <si>
    <r>
      <t xml:space="preserve">Трансформатор тока ТОЛ-35 инв. № инв. № YA0001955 ТОЛ-35 </t>
    </r>
    <r>
      <rPr>
        <sz val="10"/>
        <color rgb="FFFF0000"/>
        <rFont val="Times New Roman"/>
        <family val="1"/>
        <charset val="204"/>
      </rPr>
      <t>ТТ-29 ф. А, С</t>
    </r>
  </si>
  <si>
    <t>Ремонт трансформаторов тока 35 кВ.</t>
  </si>
  <si>
    <t>YA0003187</t>
  </si>
  <si>
    <r>
      <t xml:space="preserve">Трансформатор тока ТОЛ-35 (ТТ-38 Фаза А,С) п/с 40 инв. № YA0003187 ТОЛ-35 </t>
    </r>
    <r>
      <rPr>
        <sz val="10"/>
        <color rgb="FFFF0000"/>
        <rFont val="Times New Roman"/>
        <family val="1"/>
        <charset val="204"/>
      </rPr>
      <t>ТТ-38 ф. А, С</t>
    </r>
  </si>
  <si>
    <t>ПС-41 110/35/10 кВ "Беркакит"</t>
  </si>
  <si>
    <t>YA0003821</t>
  </si>
  <si>
    <r>
      <t xml:space="preserve">Разрядник  РВС 110-1Т ф.А, В, С п/с 41 инв. № YA0003821 РВС-110 </t>
    </r>
    <r>
      <rPr>
        <sz val="10"/>
        <color rgb="FFFF0000"/>
        <rFont val="Times New Roman"/>
        <family val="1"/>
        <charset val="204"/>
      </rPr>
      <t>РВС 110-1Т ф. А, В, С</t>
    </r>
  </si>
  <si>
    <t>Замена ОПН, разрядников 110 кВ.</t>
  </si>
  <si>
    <t>YA0000473</t>
  </si>
  <si>
    <r>
      <t xml:space="preserve">Трансформатор ТСН-1 ТМ-160 /10/0,4  п/с 41 инв. № YA0000473 ТМ-160-10/0.4 </t>
    </r>
    <r>
      <rPr>
        <sz val="10"/>
        <color rgb="FFFF0000"/>
        <rFont val="Times New Roman"/>
        <family val="1"/>
        <charset val="204"/>
      </rPr>
      <t>ТСН-1</t>
    </r>
  </si>
  <si>
    <t>YA0000470</t>
  </si>
  <si>
    <r>
      <t xml:space="preserve">Силовой трансформатор ТМТН 10000/110 /35/10  1Т п/с 41 инв. № YA0000470  ТМТН 10000/110 /35/10  </t>
    </r>
    <r>
      <rPr>
        <sz val="10"/>
        <color rgb="FFFF0000"/>
        <rFont val="Times New Roman"/>
        <family val="1"/>
        <charset val="204"/>
      </rPr>
      <t>1Т</t>
    </r>
  </si>
  <si>
    <t>YA0000477</t>
  </si>
  <si>
    <r>
      <t xml:space="preserve">Силовой трансформатор ТМТН 10000/110 /35/10 2Т п/с 41 инв. № YA0000477  ТМТН 10000/110 /35/10  </t>
    </r>
    <r>
      <rPr>
        <sz val="10"/>
        <color rgb="FFFF0000"/>
        <rFont val="Times New Roman"/>
        <family val="1"/>
        <charset val="204"/>
      </rPr>
      <t xml:space="preserve">2Т </t>
    </r>
  </si>
  <si>
    <t>YA0003208</t>
  </si>
  <si>
    <r>
      <t>Разъединители РНДЗ-35/1000 (Р-35-1ТН) п/с 41 инв. № YA0003208  РНДЗ-35/1000</t>
    </r>
    <r>
      <rPr>
        <sz val="10"/>
        <color rgb="FFFF0000"/>
        <rFont val="Times New Roman"/>
        <family val="1"/>
        <charset val="204"/>
      </rPr>
      <t xml:space="preserve"> Р-35-1ТН</t>
    </r>
  </si>
  <si>
    <t>YA0003200</t>
  </si>
  <si>
    <r>
      <t xml:space="preserve"> Ячейка КРУ К-ХII ЗРУ-10 (20 шт) п/с  п/с №41 инв. № YA0003200 ВМПЭ-10-630-20У2  </t>
    </r>
    <r>
      <rPr>
        <sz val="10"/>
        <color rgb="FFFF0000"/>
        <rFont val="Times New Roman"/>
        <family val="1"/>
        <charset val="204"/>
      </rPr>
      <t>яч.№ 8</t>
    </r>
  </si>
  <si>
    <t>ПС-42 110/10 кВ "Городская"</t>
  </si>
  <si>
    <t xml:space="preserve">YA0003234 </t>
  </si>
  <si>
    <r>
      <t xml:space="preserve">Ячейка  КРУ 2-10Э ЗРУ-10 (32 шт) п/с 42 инв. № YA0003234 ВМПЭ-10-20\630-У3 - </t>
    </r>
    <r>
      <rPr>
        <sz val="10"/>
        <color rgb="FFFF0000"/>
        <rFont val="Times New Roman"/>
        <family val="1"/>
        <charset val="204"/>
      </rPr>
      <t>яч. 1; 2; 6; 7; 8; 13; 18; 29; 30</t>
    </r>
  </si>
  <si>
    <t>Январь</t>
  </si>
  <si>
    <t>Февраль</t>
  </si>
  <si>
    <t>YA0000483</t>
  </si>
  <si>
    <r>
      <t xml:space="preserve">Трансформатор силовой. ТДН 16000/110 /10 1Т п/с 42 инв. № YA0000483 ТДН 16000/110 /10 </t>
    </r>
    <r>
      <rPr>
        <sz val="10"/>
        <color rgb="FFFF0000"/>
        <rFont val="Times New Roman"/>
        <family val="1"/>
        <charset val="204"/>
      </rPr>
      <t>1Т</t>
    </r>
  </si>
  <si>
    <t>YA0000480</t>
  </si>
  <si>
    <r>
      <t xml:space="preserve">Трансформатор силовой ТДН 16000/110/10 2Т п/с 42 инв. № YA0000480 ТДН 16000/110 /10 </t>
    </r>
    <r>
      <rPr>
        <sz val="10"/>
        <color rgb="FFFF0000"/>
        <rFont val="Times New Roman"/>
        <family val="1"/>
        <charset val="204"/>
      </rPr>
      <t>2Т</t>
    </r>
  </si>
  <si>
    <t>YA0000507</t>
  </si>
  <si>
    <r>
      <t xml:space="preserve">Трансформатор ТСН-1  ТМ-160/10/0,4 инв. № YA0000507 ТМ-160-10/0.4 </t>
    </r>
    <r>
      <rPr>
        <sz val="10"/>
        <color rgb="FFFF0000"/>
        <rFont val="Times New Roman"/>
        <family val="1"/>
        <charset val="204"/>
      </rPr>
      <t>ТСН-1</t>
    </r>
  </si>
  <si>
    <t>ПС-43 110/6 кВ "Гранитная"</t>
  </si>
  <si>
    <t>YA0003237</t>
  </si>
  <si>
    <r>
      <t xml:space="preserve">Ячейка  К-37 КРУН-6 (9 шт) п/с 43 инв. № YA0003237 ВМПП-10\1600-20 </t>
    </r>
    <r>
      <rPr>
        <sz val="10"/>
        <color rgb="FFFF0000"/>
        <rFont val="Times New Roman"/>
        <family val="1"/>
        <charset val="204"/>
      </rPr>
      <t xml:space="preserve">яч.№ 2 </t>
    </r>
    <r>
      <rPr>
        <sz val="10"/>
        <rFont val="Times New Roman"/>
        <family val="1"/>
        <charset val="204"/>
      </rPr>
      <t>В-6-1Т</t>
    </r>
  </si>
  <si>
    <t>YA0000485</t>
  </si>
  <si>
    <r>
      <t xml:space="preserve">ОРУ -110 кВ п/с 43 инв. № YA0000485 ТМ 2500/110 /10  </t>
    </r>
    <r>
      <rPr>
        <sz val="10"/>
        <color rgb="FFFF0000"/>
        <rFont val="Times New Roman"/>
        <family val="1"/>
        <charset val="204"/>
      </rPr>
      <t>1Т</t>
    </r>
  </si>
  <si>
    <r>
      <t xml:space="preserve">ОРУ -110 кВ п/с 43 инв. № YA0000485 ТМ-63-6/0.4 </t>
    </r>
    <r>
      <rPr>
        <sz val="10"/>
        <color rgb="FFFF0000"/>
        <rFont val="Times New Roman"/>
        <family val="1"/>
        <charset val="204"/>
      </rPr>
      <t>ТСН-1</t>
    </r>
  </si>
  <si>
    <t>ПС-44 35/6 кВ "РМЗ"</t>
  </si>
  <si>
    <t>YA0003257</t>
  </si>
  <si>
    <r>
      <t>Ячейка  КРУ 2-6Э ЗРУ-6   27 шт п/с 44  инв. № YA0003257 ВМПЭ-6/3200/31.5-20</t>
    </r>
    <r>
      <rPr>
        <sz val="10"/>
        <color rgb="FFFF0000"/>
        <rFont val="Times New Roman"/>
        <family val="1"/>
        <charset val="204"/>
      </rPr>
      <t xml:space="preserve"> яч.№ 29</t>
    </r>
  </si>
  <si>
    <t>YA0000489</t>
  </si>
  <si>
    <r>
      <t xml:space="preserve">Силовой трансформатор ТДНС-16000/35/6   1Т п/с 44 инв. № YA0000489 ТДНС-16000/35/6  </t>
    </r>
    <r>
      <rPr>
        <sz val="10"/>
        <color rgb="FFFF0000"/>
        <rFont val="Times New Roman"/>
        <family val="1"/>
        <charset val="204"/>
      </rPr>
      <t>1Т</t>
    </r>
  </si>
  <si>
    <t>YA0000492</t>
  </si>
  <si>
    <r>
      <t xml:space="preserve">Силовой трансформатор ТДНС-16000/35/6  2Т   инв. № YA0000492 ТДНС-16000/35/6  </t>
    </r>
    <r>
      <rPr>
        <sz val="10"/>
        <color rgb="FFFF0000"/>
        <rFont val="Times New Roman"/>
        <family val="1"/>
        <charset val="204"/>
      </rPr>
      <t>2Т</t>
    </r>
  </si>
  <si>
    <t>ПС-45 110/35/6 кВ "Серебряный бор"</t>
  </si>
  <si>
    <t>YA0003368</t>
  </si>
  <si>
    <r>
      <t xml:space="preserve">Разъединители РНДЗ-110/1000 (6 шт) п/с 45 инв. № YA0003368 РНДЗ-110/1000  </t>
    </r>
    <r>
      <rPr>
        <sz val="10"/>
        <color rgb="FFFF0000"/>
        <rFont val="Times New Roman"/>
        <family val="1"/>
        <charset val="204"/>
      </rPr>
      <t>ШРС-1;ШРС-2</t>
    </r>
  </si>
  <si>
    <t>YA0000495</t>
  </si>
  <si>
    <r>
      <t xml:space="preserve">Ячейки К- 37   КРУН-6кВ п/ст 45 инв. № YA0000495 ВМПЭ-6\2500\31.5 </t>
    </r>
    <r>
      <rPr>
        <sz val="10"/>
        <color rgb="FFFF0000"/>
        <rFont val="Times New Roman"/>
        <family val="1"/>
        <charset val="204"/>
      </rPr>
      <t>В-6-2Т</t>
    </r>
  </si>
  <si>
    <t>YA0000504</t>
  </si>
  <si>
    <r>
      <t xml:space="preserve">Трансформатор ТДН 16000/110/6  1Т инв. № YA0000504 ТДН 16000/110/6 </t>
    </r>
    <r>
      <rPr>
        <sz val="10"/>
        <color rgb="FFFF0000"/>
        <rFont val="Times New Roman"/>
        <family val="1"/>
        <charset val="204"/>
      </rPr>
      <t xml:space="preserve">1Т </t>
    </r>
  </si>
  <si>
    <t>YA0000505</t>
  </si>
  <si>
    <r>
      <t>Трансформатор ТДН 16000/110/6  2Т инв. № YA0000505 ТДН 16000/110/6</t>
    </r>
    <r>
      <rPr>
        <sz val="10"/>
        <color rgb="FFFF0000"/>
        <rFont val="Times New Roman"/>
        <family val="1"/>
        <charset val="204"/>
      </rPr>
      <t xml:space="preserve"> 2Т </t>
    </r>
  </si>
  <si>
    <t>ПС-47 110/6 кВ "СХК"</t>
  </si>
  <si>
    <t>YA0003834</t>
  </si>
  <si>
    <r>
      <t xml:space="preserve">Выключатель масляный ВМТ-110Б(В-121) п/с 47  инв. № YA0003834  ВМТ-110Б </t>
    </r>
    <r>
      <rPr>
        <sz val="10"/>
        <color rgb="FFFF0000"/>
        <rFont val="Times New Roman"/>
        <family val="1"/>
        <charset val="204"/>
      </rPr>
      <t>В-121</t>
    </r>
  </si>
  <si>
    <t>YA0003321</t>
  </si>
  <si>
    <r>
      <t xml:space="preserve">Разъединитель РНДЗ-110/1000 (30шт) п/с 47 инв. № YA0003321 РНДЗ-110/1000 </t>
    </r>
    <r>
      <rPr>
        <sz val="10"/>
        <color rgb="FFFF0000"/>
        <rFont val="Times New Roman"/>
        <family val="1"/>
        <charset val="204"/>
      </rPr>
      <t>РШ-121; 2РШ-СМВ-110; РШ-120; РШ-130; РШ-119; 1РШ-СМВ-110; Р-2ТН-110; Р-1ТН-110</t>
    </r>
  </si>
  <si>
    <r>
      <t xml:space="preserve">Разъединитель РНДЗ-110/1000 (30шт) п/с 47 инв. № YA0003321 РНДЗ-110/1000 </t>
    </r>
    <r>
      <rPr>
        <sz val="10"/>
        <color rgb="FFFF0000"/>
        <rFont val="Times New Roman"/>
        <family val="1"/>
        <charset val="204"/>
      </rPr>
      <t>РЛ-110-Р</t>
    </r>
  </si>
  <si>
    <t>Замена опорно-стержневых изоляторов разъединителей 110 кВ</t>
  </si>
  <si>
    <t>YA0003358</t>
  </si>
  <si>
    <r>
      <t>Ячейка  КВЭ-6-13 (24 шт.) п/с 47 инв. № YA0003358 ВМП-10\1600-20-У2</t>
    </r>
    <r>
      <rPr>
        <sz val="10"/>
        <color rgb="FFFF0000"/>
        <rFont val="Times New Roman"/>
        <family val="1"/>
        <charset val="204"/>
      </rPr>
      <t xml:space="preserve"> яч. № 7; 19</t>
    </r>
  </si>
  <si>
    <r>
      <t xml:space="preserve">Ячейка  КВЭ-6-13 (24 шт.) п/с 47 инв. № YA0003358 ВМП-10\630-20-У2 </t>
    </r>
    <r>
      <rPr>
        <sz val="10"/>
        <color rgb="FFFF0000"/>
        <rFont val="Times New Roman"/>
        <family val="1"/>
        <charset val="204"/>
      </rPr>
      <t>яч.№ 27; 29; 31; 20; 22; 9; 6</t>
    </r>
  </si>
  <si>
    <t>YA0000501</t>
  </si>
  <si>
    <r>
      <t xml:space="preserve">Силовой трансформатор ТДН-16000/110 /6кВ  1Т  п/с 47 инв. № YA0000501 ТДН-16000/110 /6кВ  </t>
    </r>
    <r>
      <rPr>
        <sz val="10"/>
        <color rgb="FFFF0000"/>
        <rFont val="Times New Roman"/>
        <family val="1"/>
        <charset val="204"/>
      </rPr>
      <t>1Т</t>
    </r>
  </si>
  <si>
    <t>YA0000498</t>
  </si>
  <si>
    <r>
      <t xml:space="preserve">Силовой трансформатор ТДН-16000/110/6 кВ 2Т инв. № YA0000498  п/с 47 ТДН-16000/110 /6кВ  </t>
    </r>
    <r>
      <rPr>
        <sz val="10"/>
        <color rgb="FFFF0000"/>
        <rFont val="Times New Roman"/>
        <family val="1"/>
        <charset val="204"/>
      </rPr>
      <t>2Т</t>
    </r>
  </si>
  <si>
    <t>ПС-49 110/10 кВ "Городская-2"</t>
  </si>
  <si>
    <t>YA0000506</t>
  </si>
  <si>
    <r>
      <t>Ячейки -10кВ -28шт. инв. № YA0000506 ВМПЭ-10-20\630-У3 -</t>
    </r>
    <r>
      <rPr>
        <sz val="10"/>
        <color rgb="FFFF0000"/>
        <rFont val="Times New Roman"/>
        <family val="1"/>
        <charset val="204"/>
      </rPr>
      <t xml:space="preserve"> 1; 7; 11; 19; 12; 14; 20; 22</t>
    </r>
  </si>
  <si>
    <r>
      <t>Ячейки -10кВ -28шт. инв. № YA0000506  ВКЭ-10-20\630-У3 -</t>
    </r>
    <r>
      <rPr>
        <sz val="10"/>
        <color rgb="FFFF0000"/>
        <rFont val="Times New Roman"/>
        <family val="1"/>
        <charset val="204"/>
      </rPr>
      <t xml:space="preserve">яч. 10 </t>
    </r>
  </si>
  <si>
    <t>YA0000496</t>
  </si>
  <si>
    <r>
      <t xml:space="preserve">Силовой трансформатор ТДТН  16000/110 /10  1Т п/с 49 инв. № YA0000496 ТДТН 16000/110 /10  </t>
    </r>
    <r>
      <rPr>
        <sz val="10"/>
        <color rgb="FFFF0000"/>
        <rFont val="Times New Roman"/>
        <family val="1"/>
        <charset val="204"/>
      </rPr>
      <t>1Т</t>
    </r>
    <r>
      <rPr>
        <sz val="10"/>
        <rFont val="Times New Roman"/>
        <family val="1"/>
        <charset val="204"/>
      </rPr>
      <t xml:space="preserve">  </t>
    </r>
  </si>
  <si>
    <t>YA0000493</t>
  </si>
  <si>
    <r>
      <t xml:space="preserve">Силовой трансформатор ТДТН  16000/110 /10 2Т п/с 49 инв. № YA0000493 ТДТН 16000/110 /10  </t>
    </r>
    <r>
      <rPr>
        <sz val="10"/>
        <color rgb="FFFF0000"/>
        <rFont val="Times New Roman"/>
        <family val="1"/>
        <charset val="204"/>
      </rPr>
      <t>2Т</t>
    </r>
  </si>
  <si>
    <t>ПС-50 110/10 кВ "РМЗ-2"</t>
  </si>
  <si>
    <t>YA0000517</t>
  </si>
  <si>
    <r>
      <t xml:space="preserve">Масляный выключатель МКП-110Б-3шт  инв. № YA0000517 МКП-110 </t>
    </r>
    <r>
      <rPr>
        <sz val="10"/>
        <color rgb="FFFF0000"/>
        <rFont val="Times New Roman"/>
        <family val="1"/>
        <charset val="204"/>
      </rPr>
      <t>В-110-2Т</t>
    </r>
  </si>
  <si>
    <t>YA0000852</t>
  </si>
  <si>
    <r>
      <t xml:space="preserve">Трансформатор ТМ-250/10/04кв ПС №50  "РМЗ-2" инв. № YA0000852 ТМ-250-10/0,4 </t>
    </r>
    <r>
      <rPr>
        <sz val="10"/>
        <color rgb="FFFF0000"/>
        <rFont val="Times New Roman"/>
        <family val="1"/>
        <charset val="204"/>
      </rPr>
      <t>ТСН-1</t>
    </r>
  </si>
  <si>
    <t>YA0000520</t>
  </si>
  <si>
    <r>
      <t xml:space="preserve">ОРУ-110кв п/с 50 инв. № YA0000520 ТМ-250-10/0,4 </t>
    </r>
    <r>
      <rPr>
        <sz val="10"/>
        <color rgb="FFFF0000"/>
        <rFont val="Times New Roman"/>
        <family val="1"/>
        <charset val="204"/>
      </rPr>
      <t>ТСН-2</t>
    </r>
  </si>
  <si>
    <t>YA0000516</t>
  </si>
  <si>
    <t>YA0000522</t>
  </si>
  <si>
    <r>
      <t>Трансформатор силовой ТРДН  40000/110 /10 1Т п/с 50 инв. № YA0000522  ТРДН  40000/110 /10</t>
    </r>
    <r>
      <rPr>
        <sz val="10"/>
        <color rgb="FFFF0000"/>
        <rFont val="Times New Roman"/>
        <family val="1"/>
        <charset val="204"/>
      </rPr>
      <t xml:space="preserve"> 1Т</t>
    </r>
  </si>
  <si>
    <t>YA0000521</t>
  </si>
  <si>
    <r>
      <t xml:space="preserve">Трансформатор силовой ТРДН  40000/110/10 2Т п/с 50 инв. № YA0000521 ТРДН  40000/110 /10 </t>
    </r>
    <r>
      <rPr>
        <sz val="10"/>
        <color rgb="FFFF0000"/>
        <rFont val="Times New Roman"/>
        <family val="1"/>
        <charset val="204"/>
      </rPr>
      <t>2Т</t>
    </r>
  </si>
  <si>
    <r>
      <t>Ячейки-10 кВ-44 шт. инв. № YA0000516 ВМПЭ-10-1600 яч.</t>
    </r>
    <r>
      <rPr>
        <sz val="10"/>
        <color rgb="FFFF0000"/>
        <rFont val="Times New Roman"/>
        <family val="1"/>
        <charset val="204"/>
      </rPr>
      <t>№ 42</t>
    </r>
  </si>
  <si>
    <t>ПС-51 35/6  кВ "ХПВ"</t>
  </si>
  <si>
    <t>YA0003434</t>
  </si>
  <si>
    <r>
      <t xml:space="preserve">Разъединитель РНДЗ-1б-35/1000 (РШ-35-1Т,РШ-35-2Т,ШРС-1,ШРС-2)-4шт п/с 51 инв. № YA0003434   РНДЗ-1б-35/1000 </t>
    </r>
    <r>
      <rPr>
        <sz val="10"/>
        <color rgb="FFFF0000"/>
        <rFont val="Times New Roman"/>
        <family val="1"/>
        <charset val="204"/>
      </rPr>
      <t xml:space="preserve"> РШ-35-1Т, РШ-35-2Т, ШРС-1, ШРС-2</t>
    </r>
  </si>
  <si>
    <t>Замена опорно-стержневых изоляторов разъединителей 35 кВ</t>
  </si>
  <si>
    <t xml:space="preserve">YA0000528 </t>
  </si>
  <si>
    <r>
      <t xml:space="preserve">КРУ-6 кВ. КСО-272-24шт инв. № YA0000528 ВМГ-10/1600-20 </t>
    </r>
    <r>
      <rPr>
        <sz val="10"/>
        <color rgb="FFFF0000"/>
        <rFont val="Times New Roman"/>
        <family val="1"/>
        <charset val="204"/>
      </rPr>
      <t>яч. № 3</t>
    </r>
  </si>
  <si>
    <t>YA0003433</t>
  </si>
  <si>
    <r>
      <t xml:space="preserve">Трансформатор силовой ТМ-1600/35/6 (2Т) п/с 51 инв. № YA0003433 ТМН-1600/35/6 </t>
    </r>
    <r>
      <rPr>
        <sz val="10"/>
        <color rgb="FFFF0000"/>
        <rFont val="Times New Roman"/>
        <family val="1"/>
        <charset val="204"/>
      </rPr>
      <t>2Т</t>
    </r>
  </si>
  <si>
    <t>ПС-12 35/10 кВ "Укулан"</t>
  </si>
  <si>
    <t xml:space="preserve">YA0000669 </t>
  </si>
  <si>
    <r>
      <t xml:space="preserve">Ячейка КСО-272/10 ПС №12.инв. № YA0000669 Ячейка №2 </t>
    </r>
    <r>
      <rPr>
        <sz val="10"/>
        <color rgb="FFFF0000"/>
        <rFont val="Times New Roman"/>
        <family val="1"/>
        <charset val="204"/>
      </rPr>
      <t>НТМИ-10</t>
    </r>
  </si>
  <si>
    <t>YA0000664</t>
  </si>
  <si>
    <r>
      <t xml:space="preserve">Трансформатор  силовой ТМ-6300/35  1Т "Укулан" пс №12 инв. № YA0000664 ТМ-6300/35 </t>
    </r>
    <r>
      <rPr>
        <sz val="10"/>
        <color rgb="FFFF0000"/>
        <rFont val="Times New Roman"/>
        <family val="1"/>
        <charset val="204"/>
      </rPr>
      <t>1Т</t>
    </r>
  </si>
  <si>
    <t>YA0000665</t>
  </si>
  <si>
    <r>
      <t xml:space="preserve">Трансформатор силовой ТМ-6300/35  2Т "Укулан" пс №12 инв. № YA0000665 ТМ-6300/35 </t>
    </r>
    <r>
      <rPr>
        <sz val="10"/>
        <color rgb="FFFF0000"/>
        <rFont val="Times New Roman"/>
        <family val="1"/>
        <charset val="204"/>
      </rPr>
      <t>2Т</t>
    </r>
  </si>
  <si>
    <t>YA0000666</t>
  </si>
  <si>
    <r>
      <t>Трансформатор  силовой ТМ-6300/35  3Т "Укулан" пс №12 инв. № YA0000666 ТМ-6300/35</t>
    </r>
    <r>
      <rPr>
        <sz val="10"/>
        <color rgb="FFFF0000"/>
        <rFont val="Times New Roman"/>
        <family val="1"/>
        <charset val="204"/>
      </rPr>
      <t xml:space="preserve"> 3Т</t>
    </r>
  </si>
  <si>
    <t>ПС-21 35/6 кВ "Якокит"</t>
  </si>
  <si>
    <t>YA0000603</t>
  </si>
  <si>
    <r>
      <t>Трансформатор силовой ТМН-1000/35-10  1Т инв. № YA0000603 ТМ-1000/35-10</t>
    </r>
    <r>
      <rPr>
        <sz val="10"/>
        <color rgb="FFFF0000"/>
        <rFont val="Times New Roman"/>
        <family val="1"/>
        <charset val="204"/>
      </rPr>
      <t xml:space="preserve"> 1Т</t>
    </r>
  </si>
  <si>
    <t>ПС-23 35/10 кВ "Ыллымах"</t>
  </si>
  <si>
    <t>YA0000602</t>
  </si>
  <si>
    <r>
      <t xml:space="preserve">Трансформатор силовой ТМН-1000/35-10  П/с 23 Ыллымах инв. № YA0000602 ТМ-1000/35-10 </t>
    </r>
    <r>
      <rPr>
        <sz val="10"/>
        <color rgb="FFFF0000"/>
        <rFont val="Times New Roman"/>
        <family val="1"/>
        <charset val="204"/>
      </rPr>
      <t>1Т</t>
    </r>
  </si>
  <si>
    <t>ПС-25 35/10 кВ "Алексеевск"</t>
  </si>
  <si>
    <t>YA0003644</t>
  </si>
  <si>
    <r>
      <t xml:space="preserve">Трансформатор , регулируемый под нагрузкой ТМН-2500/35 ВМ УХЛ1 инв. № YA0003644 ТМ-2500/35 ВМ УХЛ1 </t>
    </r>
    <r>
      <rPr>
        <sz val="10"/>
        <color rgb="FFFF0000"/>
        <rFont val="Times New Roman"/>
        <family val="1"/>
        <charset val="204"/>
      </rPr>
      <t>1Т</t>
    </r>
  </si>
  <si>
    <t xml:space="preserve">YA0003645 </t>
  </si>
  <si>
    <r>
      <t xml:space="preserve">Трансформатор , регулируемый под нагрузкой ТМН-2500/35 ВМ УХЛ1 инв. № YA0003645 ТМ-2500/35 ВМ УХЛ1 </t>
    </r>
    <r>
      <rPr>
        <sz val="10"/>
        <color rgb="FFFF0000"/>
        <rFont val="Times New Roman"/>
        <family val="1"/>
        <charset val="204"/>
      </rPr>
      <t>2Т</t>
    </r>
  </si>
  <si>
    <t>YA0001648</t>
  </si>
  <si>
    <r>
      <t xml:space="preserve">Шкаф-ячейка КРУН-10 К-6-1(6шт)ПС №25 инв. № YA0001648 ТСН </t>
    </r>
    <r>
      <rPr>
        <sz val="10"/>
        <color rgb="FFFF0000"/>
        <rFont val="Times New Roman"/>
        <family val="1"/>
        <charset val="204"/>
      </rPr>
      <t>ТМ-25/10-65</t>
    </r>
  </si>
  <si>
    <t>YA0003231</t>
  </si>
  <si>
    <r>
      <t xml:space="preserve">Ячейка 1 К-6-1  п/с 25 (7 шт) инв. № YA0003231 НАМИ-10-95 УХЛ-2 </t>
    </r>
    <r>
      <rPr>
        <sz val="10"/>
        <color rgb="FFFF0000"/>
        <rFont val="Times New Roman"/>
        <family val="1"/>
        <charset val="204"/>
      </rPr>
      <t>ТН-10</t>
    </r>
  </si>
  <si>
    <t>ПС-26 110/35/10 кВ "24 км"</t>
  </si>
  <si>
    <t>YA0003268</t>
  </si>
  <si>
    <r>
      <t>Выключатель ВМД 35/630  (В-237) п/с 26 инв. № YA0003268 ВМД 35/630 (</t>
    </r>
    <r>
      <rPr>
        <sz val="10"/>
        <color rgb="FFFF0000"/>
        <rFont val="Times New Roman"/>
        <family val="1"/>
        <charset val="204"/>
      </rPr>
      <t>В-237</t>
    </r>
    <r>
      <rPr>
        <sz val="10"/>
        <rFont val="Times New Roman"/>
        <family val="1"/>
        <charset val="204"/>
      </rPr>
      <t>)</t>
    </r>
  </si>
  <si>
    <t>YA0003270</t>
  </si>
  <si>
    <r>
      <t>Выключатель С-35М-630-10 У1  (В-238) п/с 26 инв. № YA0003270 С-35М-630-10У1 (</t>
    </r>
    <r>
      <rPr>
        <sz val="10"/>
        <color rgb="FFFF0000"/>
        <rFont val="Times New Roman"/>
        <family val="1"/>
        <charset val="204"/>
      </rPr>
      <t>В-238</t>
    </r>
    <r>
      <rPr>
        <sz val="10"/>
        <rFont val="Times New Roman"/>
        <family val="1"/>
        <charset val="204"/>
      </rPr>
      <t>)</t>
    </r>
  </si>
  <si>
    <t>YA0003271</t>
  </si>
  <si>
    <r>
      <t>Выключатель С-35М-630-10 У1  (В-239) п/с 26 инв. № YA0003271 С-35М-630-10У1 (</t>
    </r>
    <r>
      <rPr>
        <sz val="10"/>
        <color rgb="FFFF0000"/>
        <rFont val="Times New Roman"/>
        <family val="1"/>
        <charset val="204"/>
      </rPr>
      <t>В-239</t>
    </r>
    <r>
      <rPr>
        <sz val="10"/>
        <rFont val="Times New Roman"/>
        <family val="1"/>
        <charset val="204"/>
      </rPr>
      <t>)</t>
    </r>
  </si>
  <si>
    <t>YA0003272</t>
  </si>
  <si>
    <r>
      <t>Выключатель С-35М-630-10 У1  (В-240) п/с 26 инв. № YA0003272 С-35М-630-10У1 (</t>
    </r>
    <r>
      <rPr>
        <sz val="10"/>
        <color rgb="FFFF0000"/>
        <rFont val="Times New Roman"/>
        <family val="1"/>
        <charset val="204"/>
      </rPr>
      <t>В-240</t>
    </r>
    <r>
      <rPr>
        <sz val="10"/>
        <rFont val="Times New Roman"/>
        <family val="1"/>
        <charset val="204"/>
      </rPr>
      <t>)</t>
    </r>
  </si>
  <si>
    <t>YA0003269</t>
  </si>
  <si>
    <r>
      <t>Выключатель ВМ- 35  (В-253) п/с 26 инв. № YA0003269 ВМ-35 (</t>
    </r>
    <r>
      <rPr>
        <sz val="10"/>
        <color rgb="FFFF0000"/>
        <rFont val="Times New Roman"/>
        <family val="1"/>
        <charset val="204"/>
      </rPr>
      <t>В-253</t>
    </r>
    <r>
      <rPr>
        <sz val="10"/>
        <rFont val="Times New Roman"/>
        <family val="1"/>
        <charset val="204"/>
      </rPr>
      <t>)</t>
    </r>
  </si>
  <si>
    <t>YA0000626</t>
  </si>
  <si>
    <r>
      <t xml:space="preserve">Трансформатор силовой ТМТ-6300 инв. № YA0000626 ТМТ-6300/110/35/10 </t>
    </r>
    <r>
      <rPr>
        <sz val="10"/>
        <color rgb="FFFF0000"/>
        <rFont val="Times New Roman"/>
        <family val="1"/>
        <charset val="204"/>
      </rPr>
      <t>1T</t>
    </r>
  </si>
  <si>
    <t>YA0000614</t>
  </si>
  <si>
    <r>
      <t xml:space="preserve">Трансформатор силовой ТМТ-6300 инв. № YA0000614 ТМТН-6300/110-81-У1 </t>
    </r>
    <r>
      <rPr>
        <sz val="10"/>
        <color rgb="FFFF0000"/>
        <rFont val="Times New Roman"/>
        <family val="1"/>
        <charset val="204"/>
      </rPr>
      <t>2T</t>
    </r>
  </si>
  <si>
    <t>YA0000621</t>
  </si>
  <si>
    <r>
      <t xml:space="preserve">Трансформатор НКФ-110кВ п/с 26 инв. № YA0000621  </t>
    </r>
    <r>
      <rPr>
        <sz val="10"/>
        <color rgb="FFFF0000"/>
        <rFont val="Times New Roman"/>
        <family val="1"/>
        <charset val="204"/>
      </rPr>
      <t>НКФ-110кВ (ф.В)</t>
    </r>
  </si>
  <si>
    <t>YA0003279</t>
  </si>
  <si>
    <r>
      <t>Трансформатор силовой   ТМ 100/10 (ТХН-2) п/с 26 инв. № YA0003279 ТМ 100/10 (</t>
    </r>
    <r>
      <rPr>
        <sz val="10"/>
        <color rgb="FFFF0000"/>
        <rFont val="Times New Roman"/>
        <family val="1"/>
        <charset val="204"/>
      </rPr>
      <t>ТХН-2</t>
    </r>
    <r>
      <rPr>
        <sz val="10"/>
        <rFont val="Times New Roman"/>
        <family val="1"/>
        <charset val="204"/>
      </rPr>
      <t>)</t>
    </r>
  </si>
  <si>
    <t>2.33.</t>
  </si>
  <si>
    <t>ПС-32 35/6 кВ "РПБ Укулан"</t>
  </si>
  <si>
    <t>YA0003296</t>
  </si>
  <si>
    <r>
      <t>Трансформатор силовой ТNОSA-1600/35 1 Т на ПС №32 инв. № YA0003296 TNOSA-1600/35 (</t>
    </r>
    <r>
      <rPr>
        <sz val="10"/>
        <color rgb="FFFF0000"/>
        <rFont val="Times New Roman"/>
        <family val="1"/>
        <charset val="204"/>
      </rPr>
      <t>1T</t>
    </r>
    <r>
      <rPr>
        <sz val="10"/>
        <rFont val="Times New Roman"/>
        <family val="1"/>
        <charset val="204"/>
      </rPr>
      <t>)</t>
    </r>
  </si>
  <si>
    <t>2.34.</t>
  </si>
  <si>
    <t>ПС-33  110/35/6 кВ "ТДЭС"</t>
  </si>
  <si>
    <t>YA0003326</t>
  </si>
  <si>
    <r>
      <t xml:space="preserve">Трансформатор напряжения НКФ-110 кВ  ф.А, В, С на ПС №33 инв. № YA0003326 </t>
    </r>
    <r>
      <rPr>
        <sz val="10"/>
        <color rgb="FFFF0000"/>
        <rFont val="Times New Roman"/>
        <family val="1"/>
        <charset val="204"/>
      </rPr>
      <t xml:space="preserve">НКФ-110 кВ  ф.А, В, С </t>
    </r>
  </si>
  <si>
    <t xml:space="preserve">YA0000630 </t>
  </si>
  <si>
    <r>
      <t xml:space="preserve">Трансформатор силовой ТДТН-16000 инв. № YA0000630  Разъединитель РЛНД-35 РЛНД-35 </t>
    </r>
    <r>
      <rPr>
        <sz val="10"/>
        <color rgb="FFFF0000"/>
        <rFont val="Times New Roman"/>
        <family val="1"/>
        <charset val="204"/>
      </rPr>
      <t>(Р-447)</t>
    </r>
  </si>
  <si>
    <t>YA0000637</t>
  </si>
  <si>
    <r>
      <t>Трансформатор ЗНОМ - 35  3шт. инв. № YA0000637 Разъединитель РДЗ-1-35/1000Н-УХЛ1  РЛНД-35 (</t>
    </r>
    <r>
      <rPr>
        <sz val="10"/>
        <color rgb="FFFF0000"/>
        <rFont val="Times New Roman"/>
        <family val="1"/>
        <charset val="204"/>
      </rPr>
      <t>Р-449</t>
    </r>
    <r>
      <rPr>
        <sz val="10"/>
        <rFont val="Times New Roman"/>
        <family val="1"/>
        <charset val="204"/>
      </rPr>
      <t>)</t>
    </r>
  </si>
  <si>
    <t>YA0003338</t>
  </si>
  <si>
    <r>
      <t xml:space="preserve">Трансформатор тока ТФЗМ-35 (ТТ-35-1Т)  ф.А, С на ПС №33 инв. № YA0003338 </t>
    </r>
    <r>
      <rPr>
        <sz val="10"/>
        <color rgb="FFFF0000"/>
        <rFont val="Times New Roman"/>
        <family val="1"/>
        <charset val="204"/>
      </rPr>
      <t>ТТ-35-1Т (ф.А, С)</t>
    </r>
  </si>
  <si>
    <t>YA0003316</t>
  </si>
  <si>
    <r>
      <t>Трансформатор силовой ТМТГ-7500/110/35/6 (2Т) на ПС №33 инв. № YA0003316 ТМТГ-7500/110/35/6 (</t>
    </r>
    <r>
      <rPr>
        <sz val="10"/>
        <color rgb="FFFF0000"/>
        <rFont val="Times New Roman"/>
        <family val="1"/>
        <charset val="204"/>
      </rPr>
      <t>2Т</t>
    </r>
    <r>
      <rPr>
        <sz val="10"/>
        <rFont val="Times New Roman"/>
        <family val="1"/>
        <charset val="204"/>
      </rPr>
      <t>)</t>
    </r>
  </si>
  <si>
    <t>YA0000630</t>
  </si>
  <si>
    <r>
      <t>Трансформатор силовой ТДТН-16000 инв. № YA0000630 ТДТН-16000/110/35/6 (</t>
    </r>
    <r>
      <rPr>
        <sz val="10"/>
        <color rgb="FFFF0000"/>
        <rFont val="Times New Roman"/>
        <family val="1"/>
        <charset val="204"/>
      </rPr>
      <t>1Т</t>
    </r>
    <r>
      <rPr>
        <sz val="10"/>
        <rFont val="Times New Roman"/>
        <family val="1"/>
        <charset val="204"/>
      </rPr>
      <t>)</t>
    </r>
  </si>
  <si>
    <t>ПС-35 35/10 кВ "Левобережная"</t>
  </si>
  <si>
    <t>YA0003391</t>
  </si>
  <si>
    <r>
      <t xml:space="preserve">Трансформатор силовой ТМН-2500/35/10 1Т ПС-35 инв. № YA0003391 ТМ-2500/35/10 </t>
    </r>
    <r>
      <rPr>
        <sz val="10"/>
        <color rgb="FFFF0000"/>
        <rFont val="Times New Roman"/>
        <family val="1"/>
        <charset val="204"/>
      </rPr>
      <t>1Т</t>
    </r>
  </si>
  <si>
    <t>YA0000636</t>
  </si>
  <si>
    <r>
      <t xml:space="preserve">Трансформатор силовой ТМН-2500/35 инв. № YA0000636 ТМ-2500/35 </t>
    </r>
    <r>
      <rPr>
        <sz val="10"/>
        <color rgb="FFFF0000"/>
        <rFont val="Times New Roman"/>
        <family val="1"/>
        <charset val="204"/>
      </rPr>
      <t>2Т</t>
    </r>
  </si>
  <si>
    <t>Северный участок</t>
  </si>
  <si>
    <t>YA0000412</t>
  </si>
  <si>
    <t xml:space="preserve">По состоянию </t>
  </si>
  <si>
    <t>1.3.11.</t>
  </si>
  <si>
    <t>Пт10-1ДБ</t>
  </si>
  <si>
    <t>№ 1</t>
  </si>
  <si>
    <t>Монтаж контура заземления</t>
  </si>
  <si>
    <t>YA0000411</t>
  </si>
  <si>
    <t>Пт10-1ДБ; П10-ДБ</t>
  </si>
  <si>
    <t>П10-ДБ;УП10-ДБ; АК10-ДБ; УПР10-ДБ;                       АКР10-ДБ; УА10-ДБ</t>
  </si>
  <si>
    <t>1.4.11.</t>
  </si>
  <si>
    <t>0,4кВ.</t>
  </si>
  <si>
    <t>YA0000417</t>
  </si>
  <si>
    <t>1.4.15.</t>
  </si>
  <si>
    <t>YA0000416</t>
  </si>
  <si>
    <t>№№ 3,4</t>
  </si>
  <si>
    <t>ввод 220В на жилой дом оп.№4 (СИП2 1*16+1*25)</t>
  </si>
  <si>
    <t>1.4.16.</t>
  </si>
  <si>
    <t>YA0000415</t>
  </si>
  <si>
    <t>№ 3/1</t>
  </si>
  <si>
    <t>от опоры №3 через опору №3/1 до жилого дома (СИП2 1*16+1*25)</t>
  </si>
  <si>
    <t>YA0000418</t>
  </si>
  <si>
    <t>1.4.20.</t>
  </si>
  <si>
    <t>№2</t>
  </si>
  <si>
    <t>1.4.24.</t>
  </si>
  <si>
    <t>1.4.25.</t>
  </si>
  <si>
    <t>№№ 3/1б , 3/6/1</t>
  </si>
  <si>
    <t>№ 1/1/1</t>
  </si>
  <si>
    <t>№6</t>
  </si>
  <si>
    <t>№1</t>
  </si>
  <si>
    <t>м2</t>
  </si>
  <si>
    <t>Здание РПБ-3  Сер.бор</t>
  </si>
  <si>
    <t>YA0000534</t>
  </si>
  <si>
    <t>Ремонт внутрених помещений</t>
  </si>
  <si>
    <t>Здание РПБ-5 Укулан</t>
  </si>
  <si>
    <t>YA0000655</t>
  </si>
  <si>
    <t>Диспетчерская РПБ-5</t>
  </si>
  <si>
    <t>ОРУ-110/35кв ПС-33</t>
  </si>
  <si>
    <t>YA0000633</t>
  </si>
  <si>
    <t>Трансформатор силовой  1Т,  2Т.</t>
  </si>
  <si>
    <t>Теплосети РПБ-3</t>
  </si>
  <si>
    <t>Ремонт трубопровода</t>
  </si>
  <si>
    <t>км</t>
  </si>
  <si>
    <t>YA0000798</t>
  </si>
  <si>
    <t>ЛЭП-10кв г.Томмот  ф. Слюда от ПС-12     L=2778м.  ПС-12 - Ф "СЛЮДА"</t>
  </si>
  <si>
    <t>АК10-ДБ; АКР10-ДБ</t>
  </si>
  <si>
    <t>ПТтБ10-1; УПДтБ10-1</t>
  </si>
  <si>
    <t>YA0000820</t>
  </si>
  <si>
    <t>ЛЭП-0,4кв г.Томмот ул.Лермонтова   L=1986м.ТП-13 - ф. № 2 "Телецентр"</t>
  </si>
  <si>
    <t xml:space="preserve"> установка ОУП№2/2а,  ООП№2/1а (вынос линии из зоны застройки); ООП№3,6,7,8; ООП№4а (для сокращения длины пролёта); ОУП№5.  ОУП-2;  ООП-6.</t>
  </si>
  <si>
    <t xml:space="preserve">Замена опор </t>
  </si>
  <si>
    <t>YA0000835</t>
  </si>
  <si>
    <t>ЛЭП-0,4кв г.Томмот ул.Октябрьская   L=1150м. ТП №19- Ф №4 "Население"</t>
  </si>
  <si>
    <t>ОУП №1/6</t>
  </si>
  <si>
    <t>к опоре №№1/7,1/12</t>
  </si>
  <si>
    <t xml:space="preserve">Установка укоса </t>
  </si>
  <si>
    <t>№№1/5а</t>
  </si>
  <si>
    <t>YA0000806</t>
  </si>
  <si>
    <t>ЛЭП-0,4кв г.Томмот по городу   L=10948м. ТП-90 - Ф № 1 "Население"</t>
  </si>
  <si>
    <t>ОУП№№3/1, ООП №№1,5,6</t>
  </si>
  <si>
    <t>№№3/1а</t>
  </si>
  <si>
    <t>ЛЭП-0,4кв г.Томмот по городу   L=10 948м. ТП-49 - Ф № 4 "пер.Якутский"</t>
  </si>
  <si>
    <t>ООП№№3,4,5,6,13,14,15,12/1, ОУП,2,17, АП№№7</t>
  </si>
  <si>
    <t>YA0000834</t>
  </si>
  <si>
    <t>ЛЭП-0,4кв г.Томмот ул.Юбилейная   L=1314м. ТП-23 - Ф. № 3 "15лет Якутии"</t>
  </si>
  <si>
    <t>YA0000812</t>
  </si>
  <si>
    <t>ЛЭП-0,4кв г.Томмот ул.Отечественная   L=2480м. ТП-4 - Ф № 2"Отечественная"</t>
  </si>
  <si>
    <t>YA0000837</t>
  </si>
  <si>
    <t>ЛЭП-0,4кв г.Томмот пер.Пионерский   L=810м. ТП-16 - Ф № 1</t>
  </si>
  <si>
    <t>ООП №№2,3,4,6,7,8 ОУП №5</t>
  </si>
  <si>
    <t>ООП №№12,13. ОУП №№14</t>
  </si>
  <si>
    <t xml:space="preserve">Демонтаж опор </t>
  </si>
  <si>
    <t>ОУП №№8,9</t>
  </si>
  <si>
    <t>МиХО</t>
  </si>
  <si>
    <t>YA0000756</t>
  </si>
  <si>
    <t xml:space="preserve">Коробка раздаточная с тормозом в сборе  ГАЗ-33081 шт. 1
Радиатор ГАЗ-33081,3309 медный 2-х ряд. дв. Д-245 ЕВРО-3 ОР шт. 1
Пневмокомпрессор шт. 1
</t>
  </si>
  <si>
    <t>YA0003743</t>
  </si>
  <si>
    <t>ГАЗ-71 7188 РА</t>
  </si>
  <si>
    <t>Камаз НЕФАЗ-4208  Н 077 ЕТ</t>
  </si>
  <si>
    <t>YA0002095</t>
  </si>
  <si>
    <t>Вал карданный КАМАЗ-43114 переднего моста шт. 1</t>
  </si>
  <si>
    <t>ГАЗ-27527  А 379 КУ</t>
  </si>
  <si>
    <t>YA0004059</t>
  </si>
  <si>
    <t>УРАЛ-43204  Т 150 ЕВ</t>
  </si>
  <si>
    <t>КАМАЗ 593412 (УРБ2Д3)  В 880 КВ</t>
  </si>
  <si>
    <t>YA0003057</t>
  </si>
  <si>
    <t>Вращатель 2Д2 в сборе с двумя героторными  моторами и РВД шт. 1
Сальником 2Д3-06250 шт. 1</t>
  </si>
  <si>
    <t>СМиТ</t>
  </si>
  <si>
    <t>Б10М.0102  51 39 РМ</t>
  </si>
  <si>
    <t>YA0001181</t>
  </si>
  <si>
    <t>YA0002379</t>
  </si>
  <si>
    <t>МБШ - 539  11 83 РА</t>
  </si>
  <si>
    <t>YA0002969</t>
  </si>
  <si>
    <t xml:space="preserve">МДСУ - 3500  25 33 РА </t>
  </si>
  <si>
    <t>Редуктор переднего моста  шт. 1
Стартер шт. 1
Печка кабины в сборе с баком шт. 1
Гидротрансформатор шт. 1</t>
  </si>
  <si>
    <t>YA0003595</t>
  </si>
  <si>
    <t>АГП-14Т  Т 536 КВ</t>
  </si>
  <si>
    <t>Вал карданый передний шт. 1
Вал карданый задний шт. 1
Вал карданный промежуточный шт. 1
Мост передний шт. 1
Редуктор заднего моста ГАЗ-33081 шт. 1
Насос гидроусилителя руля шт. 1
Цилиндр ГУРа силовой ГАЗ-3308 шт. 1</t>
  </si>
  <si>
    <t>YA0003615</t>
  </si>
  <si>
    <t>УСТ 54534А (на шасси УРАЛ-4320)  Т 896 КВ</t>
  </si>
  <si>
    <t>Вал карданный заднего моста шт. 1
Вал карданный среднего  моста шт. 1
Вал карданный переднего  моста шт. 1
Радиатор в сборе системы охлаждения УРАЛ шт. 1
Радиатор отопителя УРАЛ шт. 1</t>
  </si>
  <si>
    <t>YA0003614</t>
  </si>
  <si>
    <t>УСТ 54534А (на шасси УРАЛ-4320)  Т 897 КВ</t>
  </si>
  <si>
    <t>Урал-444400 (ЯМЗ-238)  М 495 ВА</t>
  </si>
  <si>
    <t>НЗАС-4951  Т 102 ЕВ</t>
  </si>
  <si>
    <t>YA0000244</t>
  </si>
  <si>
    <t>ТНВД шт. 1
Форсунка шт. 8
Вал карданный межосевой в сборе 5320-2201011 шт. 1
Вал карданный шт. 1
Вал карданный передний 4310-2203011 шт. 1
Вал карданный шт. 1</t>
  </si>
  <si>
    <t>УАЗ-220695-04   В 902 КК</t>
  </si>
  <si>
    <t>YA0003732</t>
  </si>
  <si>
    <t>Вал кардан. задний шт. 1
Вал карданный передний УАЗ-452 3741-2203010 шт. 1</t>
  </si>
  <si>
    <t>УАЗ-220694  М 896 ЕК</t>
  </si>
  <si>
    <t>YA0001278</t>
  </si>
  <si>
    <t>Мост передний УАЗ шт. 1</t>
  </si>
  <si>
    <t>ГАЗ 22177 А 725 КУ</t>
  </si>
  <si>
    <t>YA0004126</t>
  </si>
  <si>
    <t>Шарнир кулака поворотного левый короткий без АБС шт. 1
Шарнир кулака поворотного правый длиный без АБС шт. 1</t>
  </si>
  <si>
    <t>ГАЗ-27527  К 924 КС</t>
  </si>
  <si>
    <t>YA0003912</t>
  </si>
  <si>
    <t>ГАЗ-330273  К 923 КС</t>
  </si>
  <si>
    <t>YA0003911</t>
  </si>
  <si>
    <t>3.1.</t>
  </si>
  <si>
    <t>YA0000056</t>
  </si>
  <si>
    <t>Здание трансформаторной подстанции "Дружба" №38</t>
  </si>
  <si>
    <t>Замена камеры КСО</t>
  </si>
  <si>
    <t>3.2.</t>
  </si>
  <si>
    <t>YA0000065</t>
  </si>
  <si>
    <t>Здание трансформаторной подстанции "Универмаг райпо" №49</t>
  </si>
  <si>
    <t>YA0001184</t>
  </si>
  <si>
    <t>Комплекс програмно-технических средств АСДТУ диспетчерского пункта РС(Я)</t>
  </si>
  <si>
    <t xml:space="preserve">Капитальный ремонт кабельных цепей ТС и ТУ, информационных межшкафных кабельных соединений </t>
  </si>
  <si>
    <t>ПС 110кВ Лебединый</t>
  </si>
  <si>
    <t>СУиККЭ</t>
  </si>
  <si>
    <t xml:space="preserve">Замена счетчиков эл.энергии -  21шт., Замена трансформаторов тока-6  шт  </t>
  </si>
  <si>
    <t>6кВ.</t>
  </si>
  <si>
    <t>РС НРЭС</t>
  </si>
  <si>
    <t>YA0002497</t>
  </si>
  <si>
    <t>ЛЭП-6 кВ Сер.Бор ф.Больничный комплекс L=3000 м</t>
  </si>
  <si>
    <t>П10-ДБ; УА10-ДБ</t>
  </si>
  <si>
    <t>YA0002501</t>
  </si>
  <si>
    <t>ЛЭП-6 кВ УПТК L=2050 м</t>
  </si>
  <si>
    <t>УА10-ДБ</t>
  </si>
  <si>
    <t>YA0002461</t>
  </si>
  <si>
    <t>ЛЭП-0,4 кВ НЕРЭС от ТП №131 ф.5 L=340 м</t>
  </si>
  <si>
    <t xml:space="preserve">№8 (1 шт) </t>
  </si>
  <si>
    <t>YA0002471</t>
  </si>
  <si>
    <t>ЛЭП-0,4 кВ НЕРЭС от ТП №368 ф.15 L=820 м</t>
  </si>
  <si>
    <t>№оп.5 (1 шт)</t>
  </si>
  <si>
    <t>ОАН-ДБ</t>
  </si>
  <si>
    <t>YA0002485</t>
  </si>
  <si>
    <t>ЛЭП-0,4 кВ НЕРЭС от ТП №142 ф.7 L=800 м</t>
  </si>
  <si>
    <t>№оп.14 (1 шт)</t>
  </si>
  <si>
    <t>YA0002483</t>
  </si>
  <si>
    <t>ЛЭП-0,4 кВ НЕРЭС от ТП №139 ф.1 L=600 м</t>
  </si>
  <si>
    <t>№оп.6 (1 шт)</t>
  </si>
  <si>
    <t>УПН-2ДБ</t>
  </si>
  <si>
    <t>YA0002462</t>
  </si>
  <si>
    <t>ЛЭП-0,4 кВ НЕРЭС от ТП №136 ф.7 L=240м</t>
  </si>
  <si>
    <t>№оп.3 (1 шт)</t>
  </si>
  <si>
    <t>YA0002487</t>
  </si>
  <si>
    <t>ЛЭП-0,4 кВ НЕРЭС от ТП №142 ф.19 L=300 м</t>
  </si>
  <si>
    <t>УПН-1ДБ</t>
  </si>
  <si>
    <t>Участок Центральный</t>
  </si>
  <si>
    <t>YA0000091</t>
  </si>
  <si>
    <t>ЛЭП-6 кв  ф.Алдан-2 от ПС-6  L=3178м.</t>
  </si>
  <si>
    <t>АКР10-ДБ</t>
  </si>
  <si>
    <t>YA0000095</t>
  </si>
  <si>
    <t>ЛЭП-6 кв  ф.Алдан -6 от  ПС-6  L=3524м.</t>
  </si>
  <si>
    <t>YA0003482</t>
  </si>
  <si>
    <t>ЛЭП-6кв  от ПС-5 "ОУП"   L=2716м.</t>
  </si>
  <si>
    <t>YA0000097</t>
  </si>
  <si>
    <t>YA0000096</t>
  </si>
  <si>
    <t>ЛЭП-6 кв  ф.Дражный от  ПС-5  L=1813м.</t>
  </si>
  <si>
    <t>YA0000110</t>
  </si>
  <si>
    <t>ЛЭП-0,4 кв г.Алдан Дражный  L=4992м                                                      ТП-2 - Ф "БЫКОВА"</t>
  </si>
  <si>
    <t>оп. №№ 8/1, 9, 10, 10/1, 8, 8/2, 10/2</t>
  </si>
  <si>
    <t>ПН-1ДБ; ОАН-1ДБ; АКН-1ДБ;</t>
  </si>
  <si>
    <t xml:space="preserve">СИП2 в пролёте опор №№ 8-8/2, 8-10/2, </t>
  </si>
  <si>
    <t>Замена отвлетвений к зданиям</t>
  </si>
  <si>
    <t>YA0000115</t>
  </si>
  <si>
    <t xml:space="preserve"> ЛЭП-0,4кв п.Ленинский  L=15055м               ТП-2 - ф "КОТЕЛЬНАЯ"</t>
  </si>
  <si>
    <t>оп. №№1,2,3,4,9,10,5,6,7,8</t>
  </si>
  <si>
    <t>ПН-1ДБ; УПН-1ДБ</t>
  </si>
  <si>
    <t>оп.№ 11</t>
  </si>
  <si>
    <t>СИП2 в пролёте опор №№ 1-11</t>
  </si>
  <si>
    <t>Замена вводов 380В на СИП от опоры №№ 6,11,5 - 3 шт и монтаж вводов 220В - 4 шт</t>
  </si>
  <si>
    <t>YA0000105</t>
  </si>
  <si>
    <t>ЛЭП-0,4кв г.Алдан L=102359,50м                                             ТП-29 - Ф "МЕТАЛЛУРГ"</t>
  </si>
  <si>
    <t>оп. №№ 10,3 ,8, 9, 11</t>
  </si>
  <si>
    <t>СИП2 в пролёте опор №№ 2-4, 7-11</t>
  </si>
  <si>
    <t>АКР10-ДБ; П10-ДБ</t>
  </si>
  <si>
    <t>АКР10-ДБ; ОУП10-ДБ; АКР10-ДБ</t>
  </si>
  <si>
    <t>УПд10-ДБ; П10-ДБ; АКР10-ДБ</t>
  </si>
  <si>
    <t>YA0002401</t>
  </si>
  <si>
    <t>ЛЭП-10кв г.Томмот "Больница" L=2860м</t>
  </si>
  <si>
    <t>ЦП</t>
  </si>
  <si>
    <t>Редуктор заднего моста 4320-2402010 (47)шт. 1
Редуктор среднего моста 4320-2502010 (47) шт. 1</t>
  </si>
  <si>
    <t>Радиатор 6 секционный шт. 1
Тормозные ленты   шт. 4                                                                      Гидродомкрат шт 2
Рукав длина 6 метров. шт. 4</t>
  </si>
  <si>
    <t>YA0003910</t>
  </si>
  <si>
    <t>YA0003593</t>
  </si>
  <si>
    <t>YA0000555</t>
  </si>
  <si>
    <t>Автобус специальный-33081   Т405КВ</t>
  </si>
  <si>
    <t>YA0000260</t>
  </si>
  <si>
    <t xml:space="preserve">апрель </t>
  </si>
  <si>
    <t>ЛЭП-0.4 кВ п Хатыстыр                                          ф."Водокачка" от ТП№50</t>
  </si>
  <si>
    <t xml:space="preserve">№04-23/395 от 18.11.14 </t>
  </si>
  <si>
    <t>декабрь</t>
  </si>
  <si>
    <t xml:space="preserve">ГАЗ-330273  К 925 КС </t>
  </si>
  <si>
    <t>YA0000597</t>
  </si>
  <si>
    <t xml:space="preserve"> ПД 35-3</t>
  </si>
  <si>
    <t xml:space="preserve"> УД 110-1; ПД 35-3</t>
  </si>
  <si>
    <t>YA0000803</t>
  </si>
  <si>
    <t>ЛЭП-10кв. п.Алексеевск ф.Поселок (Алексеевск)  L=7272м.                                                                                             ПС-25 - Ф "АЛЕКСЕЕВСК"</t>
  </si>
  <si>
    <t xml:space="preserve">ПАЗ-320660  В 391 ЕА </t>
  </si>
  <si>
    <t xml:space="preserve">Радиатор водяной шт. 1
</t>
  </si>
  <si>
    <t>YA0004265</t>
  </si>
  <si>
    <t>732330 (КАМАЗ 43502) С 283 ОХ</t>
  </si>
  <si>
    <t xml:space="preserve">ЛЭП-6 кВ п.Хатыстыр "Нижний посёлок"                 ПС №14 Хатыстыр  </t>
  </si>
  <si>
    <t>ЛЭП-0.4 кВ п Хатыстыр                                          ф."Новый" от ТП№52</t>
  </si>
  <si>
    <t>ЛЭП-0.4 кВ п Хатыстыр                                          ф."Котельная" от ТП№50</t>
  </si>
  <si>
    <r>
      <t xml:space="preserve">ОРУ 110кв  п/с 39 инв. № YA0000454  ТМН-2500/110 </t>
    </r>
    <r>
      <rPr>
        <sz val="10"/>
        <color rgb="FFFF0000"/>
        <rFont val="Times New Roman"/>
        <family val="1"/>
        <charset val="204"/>
      </rPr>
      <t>1Т</t>
    </r>
  </si>
  <si>
    <t>YA0000454</t>
  </si>
  <si>
    <t>Просека всего по РЭСам</t>
  </si>
  <si>
    <t>ВЛ-0,6 кВ всего</t>
  </si>
  <si>
    <t>ВЛ-35 кВ всего</t>
  </si>
  <si>
    <t>ВЛ-110 кВ всего просека</t>
  </si>
  <si>
    <t>АРЭС (хоз. способ) уч. Центральный</t>
  </si>
  <si>
    <t>НЕРЭС РС</t>
  </si>
  <si>
    <t>ТРЭС РС</t>
  </si>
  <si>
    <r>
      <t xml:space="preserve">Ячейка К-37 КРУН-10-1 8 шт. п/с 39  инв. № YA0003456 ВМПП-10\630-20 яч.№ </t>
    </r>
    <r>
      <rPr>
        <sz val="10"/>
        <color rgb="FFFF0000"/>
        <rFont val="Times New Roman"/>
        <family val="1"/>
        <charset val="204"/>
      </rPr>
      <t>7</t>
    </r>
  </si>
  <si>
    <t>№46/2,46/1</t>
  </si>
  <si>
    <t>Установка укоса</t>
  </si>
  <si>
    <t>Механизированная расчистка просеки</t>
  </si>
  <si>
    <t>мульчер</t>
  </si>
  <si>
    <t xml:space="preserve">расчистка </t>
  </si>
  <si>
    <t>Мульчер всего по РЭСам</t>
  </si>
  <si>
    <t>Просека + Мульчер</t>
  </si>
  <si>
    <t>YA0000353</t>
  </si>
  <si>
    <t>Здание управления</t>
  </si>
  <si>
    <t>1.1.12.</t>
  </si>
  <si>
    <t>1.1.13.</t>
  </si>
  <si>
    <t>1.2.2.</t>
  </si>
  <si>
    <t>1.2.12.</t>
  </si>
  <si>
    <t>1.2.13.</t>
  </si>
  <si>
    <t>1.2.14.</t>
  </si>
  <si>
    <t>1.3.1.</t>
  </si>
  <si>
    <t>1.3.2.</t>
  </si>
  <si>
    <t>1.3.3.</t>
  </si>
  <si>
    <t>1.3.4.</t>
  </si>
  <si>
    <t>1.3.5.</t>
  </si>
  <si>
    <t>1.3.6.</t>
  </si>
  <si>
    <t>1.3.7.</t>
  </si>
  <si>
    <t>1.3.8.</t>
  </si>
  <si>
    <t>1.3.9.</t>
  </si>
  <si>
    <t>1.3.10.</t>
  </si>
  <si>
    <t>1.3.12.</t>
  </si>
  <si>
    <t>1.3.13.</t>
  </si>
  <si>
    <t>1.3.14.</t>
  </si>
  <si>
    <t>1.4.1.</t>
  </si>
  <si>
    <t>1.4.2.</t>
  </si>
  <si>
    <t>1.4.3.</t>
  </si>
  <si>
    <t>1.4.4.</t>
  </si>
  <si>
    <t>1.4.5.</t>
  </si>
  <si>
    <t>1.4.6.</t>
  </si>
  <si>
    <t>1.4.7.</t>
  </si>
  <si>
    <t>1.4.8.</t>
  </si>
  <si>
    <t>1.4.9.</t>
  </si>
  <si>
    <t>1.4.10.</t>
  </si>
  <si>
    <t>1.4.12.</t>
  </si>
  <si>
    <t>1.4.13.</t>
  </si>
  <si>
    <t>1.4.14.</t>
  </si>
  <si>
    <t>1.4.17.</t>
  </si>
  <si>
    <t>1.4.18.</t>
  </si>
  <si>
    <t>1.4.19.</t>
  </si>
  <si>
    <t>1.4.21.</t>
  </si>
  <si>
    <t>1.4.22.</t>
  </si>
  <si>
    <t>1.4.23.</t>
  </si>
  <si>
    <t>1.4.26.</t>
  </si>
  <si>
    <t>2.3.</t>
  </si>
  <si>
    <t>2.12.</t>
  </si>
  <si>
    <t>4.2.</t>
  </si>
  <si>
    <t>4.3.</t>
  </si>
  <si>
    <t>4.4.</t>
  </si>
  <si>
    <t>4.5.</t>
  </si>
  <si>
    <t>5.1.</t>
  </si>
  <si>
    <t>5.2.</t>
  </si>
  <si>
    <t>5.3.</t>
  </si>
  <si>
    <t>5.5.</t>
  </si>
  <si>
    <t>5.6.</t>
  </si>
  <si>
    <t>5.7.</t>
  </si>
  <si>
    <t>5.8.</t>
  </si>
  <si>
    <t>5.9.</t>
  </si>
  <si>
    <t>5.10.</t>
  </si>
  <si>
    <t>5.11.</t>
  </si>
  <si>
    <t>5.12.</t>
  </si>
  <si>
    <t>5.13.</t>
  </si>
  <si>
    <t>5.14.</t>
  </si>
  <si>
    <t>5.15.</t>
  </si>
  <si>
    <t>5.16.</t>
  </si>
  <si>
    <t>5.17.</t>
  </si>
  <si>
    <t>5.19.</t>
  </si>
  <si>
    <t>5.20.</t>
  </si>
  <si>
    <t>5.21.</t>
  </si>
  <si>
    <t>5.22.</t>
  </si>
  <si>
    <t>5.23.</t>
  </si>
  <si>
    <t>5.24.</t>
  </si>
  <si>
    <t xml:space="preserve">№№9/1,12,13,12/1,13/1,14/1,10/1,11,14,9/2  </t>
  </si>
  <si>
    <t>№№7/4,7/6,7/7,7/8,7/5</t>
  </si>
  <si>
    <t>№№1,7,3,2,4,5,6,</t>
  </si>
  <si>
    <t>январь</t>
  </si>
  <si>
    <t xml:space="preserve"> УАР10-ДБ; УП10-ДБ; АКР10-ДБ; П10-ДБ;  УА10-ДБ; </t>
  </si>
  <si>
    <t xml:space="preserve">ПН-ДБ; УПН-1ДБ; </t>
  </si>
  <si>
    <t>УПН-1ДБ; ПН-ДБ</t>
  </si>
  <si>
    <t>ПН-1ДБ; УПН-1ДБ; АН-ДБ</t>
  </si>
  <si>
    <t>ООП №№3, 4, 5, 5/1, 6, ОУП 5/1а</t>
  </si>
  <si>
    <t>ПН-ДБ; УПН-1ДБ</t>
  </si>
  <si>
    <t>АП №№1,9, ОУП №7,9/3, ООП №№4,5,8,9/1,9/2</t>
  </si>
  <si>
    <t>ПН-ДБ; УПН-1ДБ; АКН-ДБ; АН-ДБ</t>
  </si>
  <si>
    <t>ЛЭП-0,4кв г.Томмот по городу L=10 948 м.  ТП-49 - Ф № 3 "Комсомольская"</t>
  </si>
  <si>
    <t>Ремонт фасадов</t>
  </si>
  <si>
    <t>Ремонт ячеек 6-10 кВ.</t>
  </si>
  <si>
    <t xml:space="preserve">Ремонт маслоприёмных устройств </t>
  </si>
  <si>
    <t>1.4.27.</t>
  </si>
  <si>
    <t>1.4.28.</t>
  </si>
  <si>
    <t xml:space="preserve">Шарнир кулака поворотного левый короткий без АБС шт. 1
Шарнир кулака поворотного правый длиный без АБС шт. 1
Карданный вал задний (Шрус) шт. 2                                                                                                                                                                                                                                                                                                               Карданный вал помежуточный шт. 1 </t>
  </si>
  <si>
    <t>Вал торсионный левый усиленный 4 шт.                                          Звено гусеницы кованное РМШ шт. 8
Палец звена гусеницы РМШ шт. 14</t>
  </si>
  <si>
    <t xml:space="preserve">Гидроцилиндр   шт. 2
Венец ведущего колеса Т-170 шт. 2
Сегмент  шт. 18
Каток поддерживающий   шт. 4
Сервомеханизм малый шт. 1
Болт  М 20 х 1,5 х 62* (крепление сегментов) шт. 40
</t>
  </si>
  <si>
    <t>Вал карданный среднего  моста шт. 1
Вал карданный переднего  моста шт. 1
Пневмогидроусилитель ПГУ 4320-3510010 шт. 2                                                                       Радиатор отопителя УРАЛ - 1 шт</t>
  </si>
  <si>
    <t xml:space="preserve">Редуктор заднего моста 4320-2402010 (47) шт. 1
Редуктор среднего моста 4320-2502010 (47) шт. 1
Штанга реактивная верхняя в сборе к УРАЛ шт. 1
Штанга реактивная верхняя в сборе к УРАЛ шт. 1
Штанга реактивная нижняя УРАЛ шт. 2
Штанга реактивная нижняя в сборе к УРАЛ шт. 1
</t>
  </si>
  <si>
    <t>Карданный вал задний (Шрус) шт.2                                                                                                                                                                                                                                                                                                                               Вал карданный промежуточный шт.1
Шарнир кулака поворотного левый короткий без АБС шт. 1
Шарнир кулака поворотного правый длиный без АБС шт. 1</t>
  </si>
  <si>
    <t>Бур конусный шт. 1                                                                                                                                                                                                                                                                                                                                                                   Резец шт. 18</t>
  </si>
  <si>
    <t>Бурение скважин и установка  ж/б приставок</t>
  </si>
  <si>
    <t>У</t>
  </si>
  <si>
    <t>Нерюнгринский РЭС</t>
  </si>
  <si>
    <t>0,4 кВ.</t>
  </si>
  <si>
    <t>6-10 кВ.</t>
  </si>
  <si>
    <t>35 кВ.</t>
  </si>
  <si>
    <t>110 кВ.</t>
  </si>
  <si>
    <t>Алданский РЭС</t>
  </si>
  <si>
    <t>опоры, шт.</t>
  </si>
  <si>
    <t>усл.км</t>
  </si>
  <si>
    <t>усл.км, опоры</t>
  </si>
  <si>
    <t>Опоры</t>
  </si>
  <si>
    <t>Томмотский РЭС</t>
  </si>
  <si>
    <t>−</t>
  </si>
  <si>
    <t>уч. Северный</t>
  </si>
  <si>
    <t>Хатыстыр</t>
  </si>
  <si>
    <t>Затраты, тыс.руб</t>
  </si>
  <si>
    <t>Просека (ручная)</t>
  </si>
  <si>
    <t>Просека (мульчер)</t>
  </si>
  <si>
    <t>Информация по просеке более подробно в зеленой таблице (в разрезе мульчер/ручная)</t>
  </si>
  <si>
    <t>НРЭС ГП</t>
  </si>
  <si>
    <t>АРЭС ГП</t>
  </si>
  <si>
    <t>ТРЭС ГП</t>
  </si>
  <si>
    <t>ТП</t>
  </si>
  <si>
    <t>кол-во, шт</t>
  </si>
  <si>
    <t>затраты, тыс.руб</t>
  </si>
  <si>
    <t>Л-101</t>
  </si>
  <si>
    <t>Л-102а</t>
  </si>
  <si>
    <t>Л-102</t>
  </si>
  <si>
    <t>Л-114,115</t>
  </si>
  <si>
    <t>Л-117</t>
  </si>
  <si>
    <t>Л-116</t>
  </si>
  <si>
    <t>Л-119</t>
  </si>
  <si>
    <t>Л-120</t>
  </si>
  <si>
    <t>Л-124,125</t>
  </si>
  <si>
    <t>Л-1</t>
  </si>
  <si>
    <t>Л-38</t>
  </si>
  <si>
    <t>Л-39</t>
  </si>
  <si>
    <t>Л-27,28</t>
  </si>
  <si>
    <t>план</t>
  </si>
  <si>
    <t>факт</t>
  </si>
  <si>
    <t>Монтаж грозотроса по трассе</t>
  </si>
  <si>
    <t>Ячейка 28шт. инв. № YA0000910 Ячейка №2 ЦРММ-1, ячейка №4 Дражный, ячейка №15 Алдан-3, ячейка №27 ОУП-2, ячейка №21 ГВП (ВМПЭ-10)</t>
  </si>
  <si>
    <t>Ячейка КРН-10 17шт. инв. № YA0000975 КРН-10У1 (ВМГ-10),Ячейка №6 Котельная-2, ячейка №2 Алдан-6, ячейка №3 Алдан-3</t>
  </si>
  <si>
    <r>
      <t xml:space="preserve">Ячейка (КРУН-10) количество ячеек  (6 шт.) п/с 37 инв. № YA0003540 КРН-10У1 </t>
    </r>
    <r>
      <rPr>
        <sz val="10"/>
        <color rgb="FFFF0000"/>
        <rFont val="Times New Roman"/>
        <family val="1"/>
        <charset val="204"/>
      </rPr>
      <t>Ячейка №6</t>
    </r>
    <r>
      <rPr>
        <sz val="10"/>
        <rFont val="Times New Roman"/>
        <family val="1"/>
        <charset val="204"/>
      </rPr>
      <t xml:space="preserve"> МО-76</t>
    </r>
  </si>
  <si>
    <t>Указание № 79 от 05.10.2017</t>
  </si>
  <si>
    <t>Протокол-заключение ТОсв №08-02-06/2983</t>
  </si>
  <si>
    <t>Протокол-заключение ТОсв от 10.11.2016 г.</t>
  </si>
  <si>
    <t>Протокол-заключение ТОсв №08-02-06/2983. Указание № 79 от 05.10.2017</t>
  </si>
  <si>
    <t>По состоянию. ЦП</t>
  </si>
  <si>
    <t>Указание № 79 от 05.10.2017. Ведомости измерений загнивания деталей деревянных опор</t>
  </si>
  <si>
    <t>Указание № 79 от 05.10.2017. Протокол-заключение ТОсв №08-02-06/2983</t>
  </si>
  <si>
    <t>ПО</t>
  </si>
  <si>
    <t>Протокол-заключение ТОсв №08-02-06/4356. Указание № 79 от 05.10.2019</t>
  </si>
  <si>
    <t>Журнал регистрации жалоб потребителей №№6/6/54 от 15.08.2016г</t>
  </si>
  <si>
    <t>Журнал  регистрации жалоб потребителей №6/4/1327 от 08.06.2016г</t>
  </si>
  <si>
    <t>АКТ от 25.09.2013 № 05 – 2013 внутреннего ТА</t>
  </si>
  <si>
    <t>Ведомости измерений загнивания деталей деревянных опор</t>
  </si>
  <si>
    <t xml:space="preserve"> Протокол-заключение ТО св  09.09.2015г</t>
  </si>
  <si>
    <r>
      <t>ВЛ 110 кВ Чульманская ТЭЦ - Малый Нимныр с отпайками (</t>
    </r>
    <r>
      <rPr>
        <b/>
        <i/>
        <sz val="10"/>
        <color rgb="FFFF0000"/>
        <rFont val="Times New Roman"/>
        <family val="1"/>
        <charset val="204"/>
      </rPr>
      <t>Л-101</t>
    </r>
    <r>
      <rPr>
        <b/>
        <i/>
        <sz val="10"/>
        <rFont val="Times New Roman"/>
        <family val="1"/>
        <charset val="204"/>
      </rPr>
      <t>)</t>
    </r>
  </si>
  <si>
    <r>
      <t>ВЛ 110 кВ Чульманская ТЭЦ - Хатыми с отпайками         (</t>
    </r>
    <r>
      <rPr>
        <b/>
        <sz val="10"/>
        <color rgb="FFFF0000"/>
        <rFont val="Times New Roman"/>
        <family val="1"/>
        <charset val="204"/>
      </rPr>
      <t>Л-102</t>
    </r>
    <r>
      <rPr>
        <b/>
        <sz val="10"/>
        <rFont val="Times New Roman"/>
        <family val="1"/>
        <charset val="204"/>
      </rPr>
      <t>)</t>
    </r>
  </si>
  <si>
    <r>
      <t>ВЛ 110 кВ Хатыми - Малый Нимныр (</t>
    </r>
    <r>
      <rPr>
        <b/>
        <sz val="10"/>
        <color rgb="FFFF0000"/>
        <rFont val="Times New Roman"/>
        <family val="1"/>
        <charset val="204"/>
      </rPr>
      <t>Л-102А</t>
    </r>
    <r>
      <rPr>
        <b/>
        <sz val="10"/>
        <rFont val="Times New Roman"/>
        <family val="1"/>
        <charset val="204"/>
      </rPr>
      <t>)</t>
    </r>
  </si>
  <si>
    <r>
      <t>ВЛ 110 кВ Нерюнгринская ГРЭС - Чульманская ТЭЦ с отпайками (</t>
    </r>
    <r>
      <rPr>
        <b/>
        <sz val="10"/>
        <color rgb="FFFF0000"/>
        <rFont val="Times New Roman"/>
        <family val="1"/>
        <charset val="204"/>
      </rPr>
      <t>Л-114,Л-115</t>
    </r>
    <r>
      <rPr>
        <b/>
        <sz val="10"/>
        <rFont val="Times New Roman"/>
        <family val="1"/>
        <charset val="204"/>
      </rPr>
      <t xml:space="preserve">)  </t>
    </r>
  </si>
  <si>
    <r>
      <t>ВЛ 110 кВ Нерюнгринская ГРЭС - Водогрейная Котельная (</t>
    </r>
    <r>
      <rPr>
        <b/>
        <sz val="10"/>
        <color rgb="FFFF0000"/>
        <rFont val="Times New Roman"/>
        <family val="1"/>
        <charset val="204"/>
      </rPr>
      <t>Л-124</t>
    </r>
    <r>
      <rPr>
        <b/>
        <sz val="10"/>
        <rFont val="Times New Roman"/>
        <family val="1"/>
        <charset val="204"/>
      </rPr>
      <t>) 
ВЛ 110 кВ Нерюнгринская ГРЭС - Водогрейная Котельная (</t>
    </r>
    <r>
      <rPr>
        <b/>
        <sz val="10"/>
        <color rgb="FFFF0000"/>
        <rFont val="Times New Roman"/>
        <family val="1"/>
        <charset val="204"/>
      </rPr>
      <t>Л-125</t>
    </r>
    <r>
      <rPr>
        <b/>
        <sz val="10"/>
        <rFont val="Times New Roman"/>
        <family val="1"/>
        <charset val="204"/>
      </rPr>
      <t>)</t>
    </r>
  </si>
  <si>
    <r>
      <t>ВЛ 110 кВ Малый Нимныр - Большой Нимныр (</t>
    </r>
    <r>
      <rPr>
        <b/>
        <sz val="10"/>
        <color rgb="FFFF0000"/>
        <rFont val="Times New Roman"/>
        <family val="1"/>
        <charset val="204"/>
      </rPr>
      <t>Л-103</t>
    </r>
    <r>
      <rPr>
        <b/>
        <sz val="10"/>
        <rFont val="Times New Roman"/>
        <family val="1"/>
        <charset val="204"/>
      </rPr>
      <t>)</t>
    </r>
  </si>
  <si>
    <r>
      <t>ВЛ 110 кВ Лебединый - Нижний Куранах с отпайками     (</t>
    </r>
    <r>
      <rPr>
        <b/>
        <sz val="10"/>
        <color rgb="FFFF0000"/>
        <rFont val="Times New Roman"/>
        <family val="1"/>
        <charset val="204"/>
      </rPr>
      <t>Л-104</t>
    </r>
    <r>
      <rPr>
        <b/>
        <sz val="10"/>
        <rFont val="Times New Roman"/>
        <family val="1"/>
        <charset val="204"/>
      </rPr>
      <t>)</t>
    </r>
  </si>
  <si>
    <r>
      <t>ВЛ 110 кВ Юхта - Лебединый (</t>
    </r>
    <r>
      <rPr>
        <b/>
        <sz val="10"/>
        <color rgb="FFFF0000"/>
        <rFont val="Times New Roman"/>
        <family val="1"/>
        <charset val="204"/>
      </rPr>
      <t>Л-133</t>
    </r>
    <r>
      <rPr>
        <b/>
        <sz val="10"/>
        <rFont val="Times New Roman"/>
        <family val="1"/>
        <charset val="204"/>
      </rPr>
      <t>)</t>
    </r>
  </si>
  <si>
    <r>
      <t>ВЛ 110 кВ Большой Нимныр - Юхта (</t>
    </r>
    <r>
      <rPr>
        <b/>
        <sz val="10"/>
        <color rgb="FFFF0000"/>
        <rFont val="Times New Roman"/>
        <family val="1"/>
        <charset val="204"/>
      </rPr>
      <t>Л-133А</t>
    </r>
    <r>
      <rPr>
        <b/>
        <sz val="10"/>
        <rFont val="Times New Roman"/>
        <family val="1"/>
        <charset val="204"/>
      </rPr>
      <t>)</t>
    </r>
  </si>
  <si>
    <r>
      <t>ВЛ 35 кВ Чульманская ТЭЦ - Аэропорт (</t>
    </r>
    <r>
      <rPr>
        <b/>
        <i/>
        <sz val="10"/>
        <color rgb="FFFF0000"/>
        <rFont val="Times New Roman"/>
        <family val="1"/>
        <charset val="204"/>
      </rPr>
      <t>Л-1</t>
    </r>
    <r>
      <rPr>
        <b/>
        <i/>
        <sz val="10"/>
        <rFont val="Times New Roman"/>
        <family val="1"/>
        <charset val="204"/>
      </rPr>
      <t>)</t>
    </r>
  </si>
  <si>
    <r>
      <t>ВЛ 35 кВ Обогатительная фабрика - ХПВ (</t>
    </r>
    <r>
      <rPr>
        <b/>
        <sz val="10"/>
        <color rgb="FFFF0000"/>
        <rFont val="Times New Roman"/>
        <family val="1"/>
        <charset val="204"/>
      </rPr>
      <t>Л-38</t>
    </r>
    <r>
      <rPr>
        <b/>
        <sz val="10"/>
        <rFont val="Times New Roman"/>
        <family val="1"/>
        <charset val="204"/>
      </rPr>
      <t>)</t>
    </r>
  </si>
  <si>
    <r>
      <t>ВЛ 35 кВ Обогатительная фабрика - ХПВ (</t>
    </r>
    <r>
      <rPr>
        <b/>
        <sz val="10"/>
        <color rgb="FFFF0000"/>
        <rFont val="Times New Roman"/>
        <family val="1"/>
        <charset val="204"/>
      </rPr>
      <t>Л-39</t>
    </r>
    <r>
      <rPr>
        <b/>
        <sz val="10"/>
        <rFont val="Times New Roman"/>
        <family val="1"/>
        <charset val="204"/>
      </rPr>
      <t>)</t>
    </r>
  </si>
  <si>
    <r>
      <t>ВЛ 35 кВ Обогатительная фабрика - РМЗ (</t>
    </r>
    <r>
      <rPr>
        <b/>
        <sz val="10"/>
        <color rgb="FFFF0000"/>
        <rFont val="Times New Roman"/>
        <family val="1"/>
        <charset val="204"/>
      </rPr>
      <t>Л-27</t>
    </r>
    <r>
      <rPr>
        <b/>
        <sz val="10"/>
        <rFont val="Times New Roman"/>
        <family val="1"/>
        <charset val="204"/>
      </rPr>
      <t>)
 ВЛ 35 кВ Обогатительная фабрика - РМЗ с отпайкой на ПС Хитачи (</t>
    </r>
    <r>
      <rPr>
        <b/>
        <sz val="10"/>
        <color rgb="FFFF0000"/>
        <rFont val="Times New Roman"/>
        <family val="1"/>
        <charset val="204"/>
      </rPr>
      <t>Л-29</t>
    </r>
    <r>
      <rPr>
        <b/>
        <sz val="10"/>
        <rFont val="Times New Roman"/>
        <family val="1"/>
        <charset val="204"/>
      </rPr>
      <t>)</t>
    </r>
  </si>
  <si>
    <r>
      <t>ВЛ 35 кВ Лебединый - МПС (</t>
    </r>
    <r>
      <rPr>
        <b/>
        <sz val="10"/>
        <color rgb="FFFF0000"/>
        <rFont val="Times New Roman"/>
        <family val="1"/>
        <charset val="204"/>
      </rPr>
      <t>Л-3</t>
    </r>
    <r>
      <rPr>
        <b/>
        <sz val="10"/>
        <rFont val="Times New Roman"/>
        <family val="1"/>
        <charset val="204"/>
      </rPr>
      <t>)</t>
    </r>
  </si>
  <si>
    <r>
      <t>ВЛ 35 кВ Сосновый - Якокут (</t>
    </r>
    <r>
      <rPr>
        <b/>
        <sz val="10"/>
        <color rgb="FFFF0000"/>
        <rFont val="Times New Roman"/>
        <family val="1"/>
        <charset val="204"/>
      </rPr>
      <t>Л-2А</t>
    </r>
    <r>
      <rPr>
        <b/>
        <sz val="10"/>
        <rFont val="Times New Roman"/>
        <family val="1"/>
        <charset val="204"/>
      </rPr>
      <t>)</t>
    </r>
  </si>
  <si>
    <r>
      <t>ВЛ 35 кВ Сосновый - Восточная (</t>
    </r>
    <r>
      <rPr>
        <b/>
        <sz val="10"/>
        <color rgb="FFFF0000"/>
        <rFont val="Times New Roman"/>
        <family val="1"/>
        <charset val="204"/>
      </rPr>
      <t>Л-4</t>
    </r>
    <r>
      <rPr>
        <b/>
        <sz val="10"/>
        <rFont val="Times New Roman"/>
        <family val="1"/>
        <charset val="204"/>
      </rPr>
      <t>)</t>
    </r>
  </si>
  <si>
    <r>
      <t>ВЛ 35 кВ Восточная - Верхний Куранах (</t>
    </r>
    <r>
      <rPr>
        <b/>
        <sz val="10"/>
        <color rgb="FFFF0000"/>
        <rFont val="Times New Roman"/>
        <family val="1"/>
        <charset val="204"/>
      </rPr>
      <t>Л-5</t>
    </r>
    <r>
      <rPr>
        <b/>
        <sz val="10"/>
        <rFont val="Times New Roman"/>
        <family val="1"/>
        <charset val="204"/>
      </rPr>
      <t>)</t>
    </r>
  </si>
  <si>
    <r>
      <t>ВЛ 35 кВ Верхний Куранах - Озерный (</t>
    </r>
    <r>
      <rPr>
        <b/>
        <sz val="10"/>
        <color rgb="FFFF0000"/>
        <rFont val="Times New Roman"/>
        <family val="1"/>
        <charset val="204"/>
      </rPr>
      <t>Л-6</t>
    </r>
    <r>
      <rPr>
        <b/>
        <sz val="10"/>
        <rFont val="Times New Roman"/>
        <family val="1"/>
        <charset val="204"/>
      </rPr>
      <t>)</t>
    </r>
  </si>
  <si>
    <r>
      <t>ВЛ 35 кВ Озерный - РЛ 340 (</t>
    </r>
    <r>
      <rPr>
        <b/>
        <sz val="10"/>
        <color rgb="FFFF0000"/>
        <rFont val="Times New Roman"/>
        <family val="1"/>
        <charset val="204"/>
      </rPr>
      <t>Л-7</t>
    </r>
    <r>
      <rPr>
        <b/>
        <sz val="10"/>
        <rFont val="Times New Roman"/>
        <family val="1"/>
        <charset val="204"/>
      </rPr>
      <t>)</t>
    </r>
  </si>
  <si>
    <r>
      <t>ВЛ 35 кВ ЗИФ - Хатыстыр (</t>
    </r>
    <r>
      <rPr>
        <b/>
        <sz val="10"/>
        <color rgb="FFFF0000"/>
        <rFont val="Times New Roman"/>
        <family val="1"/>
        <charset val="204"/>
      </rPr>
      <t>Л-20</t>
    </r>
    <r>
      <rPr>
        <b/>
        <sz val="10"/>
        <rFont val="Times New Roman"/>
        <family val="1"/>
        <charset val="204"/>
      </rPr>
      <t>)</t>
    </r>
  </si>
  <si>
    <r>
      <t>ВЛ 35 кВ Канавное - Якоит (</t>
    </r>
    <r>
      <rPr>
        <b/>
        <sz val="10"/>
        <color rgb="FFFF0000"/>
        <rFont val="Times New Roman"/>
        <family val="1"/>
        <charset val="204"/>
      </rPr>
      <t>Л-15А</t>
    </r>
    <r>
      <rPr>
        <b/>
        <sz val="10"/>
        <rFont val="Times New Roman"/>
        <family val="1"/>
        <charset val="204"/>
      </rPr>
      <t>)</t>
    </r>
  </si>
  <si>
    <r>
      <t>ВЛ 35 кВ 24 км - Ыллымах (</t>
    </r>
    <r>
      <rPr>
        <b/>
        <sz val="10"/>
        <color rgb="FFFF0000"/>
        <rFont val="Times New Roman"/>
        <family val="1"/>
        <charset val="204"/>
      </rPr>
      <t>Л-22</t>
    </r>
    <r>
      <rPr>
        <b/>
        <sz val="10"/>
        <rFont val="Times New Roman"/>
        <family val="1"/>
        <charset val="204"/>
      </rPr>
      <t>)</t>
    </r>
  </si>
  <si>
    <r>
      <t>ВЛ 35 кВ 24 км - Алексеевск (</t>
    </r>
    <r>
      <rPr>
        <b/>
        <sz val="10"/>
        <color rgb="FFFF0000"/>
        <rFont val="Times New Roman"/>
        <family val="1"/>
        <charset val="204"/>
      </rPr>
      <t>Л-17</t>
    </r>
    <r>
      <rPr>
        <b/>
        <sz val="10"/>
        <rFont val="Times New Roman"/>
        <family val="1"/>
        <charset val="204"/>
      </rPr>
      <t>)</t>
    </r>
  </si>
  <si>
    <r>
      <t>ВЛ 35 кВ Алексеевск-Укулан (</t>
    </r>
    <r>
      <rPr>
        <b/>
        <sz val="10"/>
        <color rgb="FFFF0000"/>
        <rFont val="Times New Roman"/>
        <family val="1"/>
        <charset val="204"/>
      </rPr>
      <t>Л-18</t>
    </r>
    <r>
      <rPr>
        <b/>
        <sz val="10"/>
        <rFont val="Times New Roman"/>
        <family val="1"/>
        <charset val="204"/>
      </rPr>
      <t>)</t>
    </r>
  </si>
  <si>
    <r>
      <t xml:space="preserve">ЛЭП-6 кВ п.Н-Куранах </t>
    </r>
    <r>
      <rPr>
        <b/>
        <i/>
        <sz val="10"/>
        <color rgb="FFFF0000"/>
        <rFont val="Times New Roman"/>
        <family val="1"/>
        <charset val="204"/>
      </rPr>
      <t>ф.Жилпоселок</t>
    </r>
    <r>
      <rPr>
        <b/>
        <i/>
        <sz val="10"/>
        <color theme="1"/>
        <rFont val="Times New Roman"/>
        <family val="1"/>
        <charset val="204"/>
      </rPr>
      <t xml:space="preserve"> от ПС-1 L=14 814м.</t>
    </r>
  </si>
  <si>
    <r>
      <t xml:space="preserve">ЛЭП-6 кВ п.Н-куранах ф.Котельная 1, ф.Котельная-2, ф.Бойлерная от ПС-1   L=5101м., 
</t>
    </r>
    <r>
      <rPr>
        <b/>
        <i/>
        <sz val="10"/>
        <color rgb="FFFF0000"/>
        <rFont val="Times New Roman"/>
        <family val="1"/>
        <charset val="204"/>
      </rPr>
      <t>ВЛ 6 кВ ф.Бойлерная</t>
    </r>
  </si>
  <si>
    <r>
      <t xml:space="preserve">ЛЭП-6 кВ п.Н-куранах ф.Жилпоселок от ПС-1 L=14814м., 
</t>
    </r>
    <r>
      <rPr>
        <b/>
        <i/>
        <sz val="10"/>
        <color rgb="FFFF0000"/>
        <rFont val="Times New Roman"/>
        <family val="1"/>
        <charset val="204"/>
      </rPr>
      <t>ВЛ 6 кВ "Дражный"</t>
    </r>
  </si>
  <si>
    <r>
      <t>ЛЭП-6 кВ ф.АЗС ф.ГВП, ф.ГВП резерв от  ПС-5  L=6252м. ф</t>
    </r>
    <r>
      <rPr>
        <b/>
        <i/>
        <sz val="10"/>
        <color rgb="FFFF0000"/>
        <rFont val="Times New Roman"/>
        <family val="1"/>
        <charset val="204"/>
      </rPr>
      <t xml:space="preserve"> АЗС</t>
    </r>
  </si>
  <si>
    <r>
      <t xml:space="preserve">ЛЭП-380/220 В  п.В.Куранах L=6471м
 </t>
    </r>
    <r>
      <rPr>
        <b/>
        <i/>
        <sz val="10"/>
        <color rgb="FFFF0000"/>
        <rFont val="Times New Roman"/>
        <family val="1"/>
        <charset val="204"/>
      </rPr>
      <t>ТП-31 ф.СТО</t>
    </r>
  </si>
  <si>
    <r>
      <t xml:space="preserve">ЛЭП-0,4кВ от ТП-34 п.В.Куранах  L=2758м.
 </t>
    </r>
    <r>
      <rPr>
        <b/>
        <i/>
        <sz val="10"/>
        <color rgb="FFFF0000"/>
        <rFont val="Times New Roman"/>
        <family val="1"/>
        <charset val="204"/>
      </rPr>
      <t>ТП-63 ф. Дет.сад</t>
    </r>
  </si>
  <si>
    <r>
      <t xml:space="preserve">ЛЭП-0,4кВ п.Хатыстыр  от ТП 51 L=5926м. 
</t>
    </r>
    <r>
      <rPr>
        <b/>
        <i/>
        <sz val="10"/>
        <color rgb="FFFF0000"/>
        <rFont val="Times New Roman"/>
        <family val="1"/>
        <charset val="204"/>
      </rPr>
      <t>ТП-51 ф. 50 лет Октября</t>
    </r>
  </si>
  <si>
    <r>
      <t xml:space="preserve">ЛЭП-0,4кВ п.Н.Куранах L=63533м 
 </t>
    </r>
    <r>
      <rPr>
        <b/>
        <i/>
        <sz val="10"/>
        <color rgb="FFFF0000"/>
        <rFont val="Times New Roman"/>
        <family val="1"/>
        <charset val="204"/>
      </rPr>
      <t>ТП-3 ф. Поссовет</t>
    </r>
    <r>
      <rPr>
        <b/>
        <i/>
        <sz val="10"/>
        <rFont val="Times New Roman"/>
        <family val="1"/>
        <charset val="204"/>
      </rPr>
      <t xml:space="preserve">                   </t>
    </r>
  </si>
  <si>
    <r>
      <t xml:space="preserve"> ЛЭП-0,4кВ п.Н.Куранах L=63533м
</t>
    </r>
    <r>
      <rPr>
        <b/>
        <i/>
        <sz val="10"/>
        <color rgb="FFFF0000"/>
        <rFont val="Times New Roman"/>
        <family val="1"/>
        <charset val="204"/>
      </rPr>
      <t>ТП-22 ф.Новая</t>
    </r>
  </si>
  <si>
    <r>
      <t xml:space="preserve"> ЛЭП-0,4кВ п.Н.Куранах L=63533м
</t>
    </r>
    <r>
      <rPr>
        <b/>
        <i/>
        <sz val="10"/>
        <color rgb="FFFF0000"/>
        <rFont val="Times New Roman"/>
        <family val="1"/>
        <charset val="204"/>
      </rPr>
      <t>ТП-22 ф. Пиццерия</t>
    </r>
  </si>
  <si>
    <r>
      <t xml:space="preserve"> ЛЭП-0,4кВ п.Н.Куранах L=63533м
</t>
    </r>
    <r>
      <rPr>
        <b/>
        <i/>
        <sz val="10"/>
        <color rgb="FFFF0000"/>
        <rFont val="Times New Roman"/>
        <family val="1"/>
        <charset val="204"/>
      </rPr>
      <t>ТП-23 ф.ЦВП</t>
    </r>
  </si>
  <si>
    <r>
      <t xml:space="preserve"> ЛЭП-0,4кВ п.Н.Куранах L=63533м 
</t>
    </r>
    <r>
      <rPr>
        <b/>
        <i/>
        <sz val="10"/>
        <color rgb="FFFF0000"/>
        <rFont val="Times New Roman"/>
        <family val="1"/>
        <charset val="204"/>
      </rPr>
      <t>ТП-26 ф.Школьная</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</si>
</sst>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_р_._-;\-* #,##0_р_._-;_-* &quot;-&quot;_р_._-;_-@_-"/>
    <numFmt numFmtId="165" formatCode="_-* #,##0.00&quot;р.&quot;_-;\-* #,##0.00&quot;р.&quot;_-;_-* &quot;-&quot;??&quot;р.&quot;_-;_-@_-"/>
    <numFmt numFmtId="166" formatCode="_-* #,##0.00_р_._-;\-* #,##0.00_р_._-;_-* &quot;-&quot;??_р_._-;_-@_-"/>
    <numFmt numFmtId="167" formatCode="0.0"/>
    <numFmt numFmtId="168" formatCode="&quot;$&quot;#,##0_);[Red]\(&quot;$&quot;#,##0\)"/>
    <numFmt numFmtId="169" formatCode="General_)"/>
    <numFmt numFmtId="170" formatCode="_-* #,##0.00_-;_-* #,##0.00\-;_-* &quot;-&quot;??_-;_-@_-"/>
    <numFmt numFmtId="171" formatCode="_-* #,##0_$_-;\-* #,##0_$_-;_-* &quot;-&quot;_$_-;_-@_-"/>
    <numFmt numFmtId="172" formatCode="_-* #,##0.00&quot;$&quot;_-;\-* #,##0.00&quot;$&quot;_-;_-* &quot;-&quot;??&quot;$&quot;_-;_-@_-"/>
    <numFmt numFmtId="173" formatCode="_-* #,##0.00_$_-;\-* #,##0.00_$_-;_-* &quot;-&quot;??_$_-;_-@_-"/>
    <numFmt numFmtId="174" formatCode="0.000"/>
  </numFmts>
  <fonts count="44">
    <font>
      <sz val="11"/>
      <color theme="1"/>
      <name val="Calibri"/>
      <family val="2"/>
      <scheme val="minor"/>
    </font>
    <font>
      <sz val="8"/>
      <name val="Times New Roman"/>
      <family val="1"/>
      <charset val="204"/>
    </font>
    <font>
      <u/>
      <sz val="11"/>
      <color theme="10"/>
      <name val="Calibri"/>
      <family val="2"/>
      <scheme val="minor"/>
    </font>
    <font>
      <sz val="11"/>
      <name val="Times New Roman"/>
      <family val="1"/>
      <charset val="204"/>
    </font>
    <font>
      <sz val="10"/>
      <name val="Times New Roman"/>
      <family val="1"/>
      <charset val="204"/>
    </font>
    <font>
      <sz val="11"/>
      <color theme="1"/>
      <name val="Times New Roman"/>
      <family val="1"/>
      <charset val="204"/>
    </font>
    <font>
      <b/>
      <i/>
      <sz val="9"/>
      <name val="Times New Roman"/>
      <family val="1"/>
      <charset val="204"/>
    </font>
    <font>
      <sz val="10"/>
      <color theme="1"/>
      <name val="Times New Roman"/>
      <family val="1"/>
      <charset val="204"/>
    </font>
    <font>
      <sz val="10"/>
      <name val="Arial Cyr"/>
      <charset val="204"/>
    </font>
    <font>
      <sz val="10"/>
      <name val="Helv"/>
    </font>
    <font>
      <sz val="1"/>
      <color indexed="8"/>
      <name val="Courier"/>
      <family val="3"/>
    </font>
    <font>
      <b/>
      <sz val="1"/>
      <color indexed="8"/>
      <name val="Courier"/>
      <family val="3"/>
    </font>
    <font>
      <sz val="10"/>
      <name val="Arial"/>
      <family val="2"/>
      <charset val="204"/>
    </font>
    <font>
      <sz val="10"/>
      <name val="MS Sans Serif"/>
      <family val="2"/>
      <charset val="204"/>
    </font>
    <font>
      <sz val="8"/>
      <name val="Optima"/>
      <family val="2"/>
    </font>
    <font>
      <sz val="8"/>
      <name val="Helv"/>
      <charset val="204"/>
    </font>
    <font>
      <sz val="8"/>
      <name val="Helv"/>
    </font>
    <font>
      <sz val="10"/>
      <name val="Arial Cyr"/>
      <family val="2"/>
      <charset val="204"/>
    </font>
    <font>
      <b/>
      <sz val="10"/>
      <color indexed="12"/>
      <name val="Arial Cyr"/>
      <family val="2"/>
      <charset val="204"/>
    </font>
    <font>
      <sz val="11"/>
      <name val="Times New Roman Cyr"/>
      <family val="1"/>
      <charset val="204"/>
    </font>
    <font>
      <sz val="10"/>
      <name val="NTHarmonica"/>
    </font>
    <font>
      <sz val="1"/>
      <color indexed="8"/>
      <name val="Courier"/>
      <family val="1"/>
      <charset val="204"/>
    </font>
    <font>
      <b/>
      <sz val="1"/>
      <color indexed="8"/>
      <name val="Courier"/>
      <family val="1"/>
      <charset val="204"/>
    </font>
    <font>
      <sz val="14"/>
      <name val="Times New Roman"/>
      <family val="1"/>
      <charset val="204"/>
    </font>
    <font>
      <sz val="10"/>
      <color rgb="FFFF0000"/>
      <name val="Times New Roman"/>
      <family val="1"/>
      <charset val="204"/>
    </font>
    <font>
      <b/>
      <sz val="10"/>
      <color rgb="FFFF0000"/>
      <name val="Times New Roman"/>
      <family val="1"/>
      <charset val="204"/>
    </font>
    <font>
      <sz val="9"/>
      <color indexed="81"/>
      <name val="Tahoma"/>
      <family val="2"/>
      <charset val="204"/>
    </font>
    <font>
      <b/>
      <sz val="10"/>
      <name val="Times New Roman"/>
      <family val="1"/>
      <charset val="204"/>
    </font>
    <font>
      <i/>
      <sz val="10"/>
      <name val="Times New Roman"/>
      <family val="1"/>
      <charset val="204"/>
    </font>
    <font>
      <i/>
      <sz val="11"/>
      <name val="Times New Roman"/>
      <family val="1"/>
      <charset val="204"/>
    </font>
    <font>
      <i/>
      <sz val="10"/>
      <color theme="1"/>
      <name val="Times New Roman"/>
      <family val="1"/>
      <charset val="204"/>
    </font>
    <font>
      <i/>
      <sz val="9"/>
      <name val="Times New Roman"/>
      <family val="1"/>
      <charset val="204"/>
    </font>
    <font>
      <i/>
      <sz val="8"/>
      <name val="Times New Roman"/>
      <family val="1"/>
      <charset val="204"/>
    </font>
    <font>
      <b/>
      <sz val="11"/>
      <color theme="1"/>
      <name val="Times New Roman"/>
      <family val="1"/>
      <charset val="204"/>
    </font>
    <font>
      <b/>
      <i/>
      <sz val="11"/>
      <color theme="1"/>
      <name val="Times New Roman"/>
      <family val="1"/>
      <charset val="204"/>
    </font>
    <font>
      <b/>
      <sz val="12"/>
      <color rgb="FFFF0000"/>
      <name val="Times New Roman"/>
      <family val="1"/>
      <charset val="204"/>
    </font>
    <font>
      <b/>
      <sz val="14"/>
      <color theme="1"/>
      <name val="Times New Roman"/>
      <family val="1"/>
      <charset val="204"/>
    </font>
    <font>
      <b/>
      <sz val="10"/>
      <color theme="1"/>
      <name val="Times New Roman"/>
      <family val="1"/>
      <charset val="204"/>
    </font>
    <font>
      <b/>
      <i/>
      <sz val="10"/>
      <name val="Times New Roman"/>
      <family val="1"/>
      <charset val="204"/>
    </font>
    <font>
      <b/>
      <i/>
      <sz val="10"/>
      <color theme="1"/>
      <name val="Times New Roman"/>
      <family val="1"/>
      <charset val="204"/>
    </font>
    <font>
      <sz val="10"/>
      <color theme="1"/>
      <name val="Calibri"/>
      <family val="2"/>
      <scheme val="minor"/>
    </font>
    <font>
      <b/>
      <i/>
      <sz val="10"/>
      <color rgb="FFFF0000"/>
      <name val="Times New Roman"/>
      <family val="1"/>
      <charset val="204"/>
    </font>
    <font>
      <i/>
      <sz val="10"/>
      <name val="Calibri"/>
      <family val="2"/>
      <scheme val="minor"/>
    </font>
    <font>
      <sz val="10"/>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ABF8F"/>
        <bgColor indexed="64"/>
      </patternFill>
    </fill>
    <fill>
      <patternFill patternType="solid">
        <fgColor rgb="FFDAEEF3"/>
        <bgColor indexed="64"/>
      </patternFill>
    </fill>
    <fill>
      <patternFill patternType="solid">
        <fgColor indexed="27"/>
        <bgColor indexed="64"/>
      </patternFill>
    </fill>
    <fill>
      <patternFill patternType="solid">
        <fgColor indexed="43"/>
        <bgColor indexed="64"/>
      </patternFill>
    </fill>
    <fill>
      <patternFill patternType="solid">
        <fgColor rgb="FF99FFCC"/>
        <bgColor indexed="64"/>
      </patternFill>
    </fill>
    <fill>
      <patternFill patternType="solid">
        <fgColor theme="9" tint="0.59999389629810485"/>
        <bgColor indexed="64"/>
      </patternFill>
    </fill>
    <fill>
      <patternFill patternType="solid">
        <fgColor theme="9" tint="0.39997558519241921"/>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double">
        <color indexed="64"/>
      </bottom>
      <diagonal/>
    </border>
    <border>
      <left style="hair">
        <color indexed="64"/>
      </left>
      <right/>
      <top style="hair">
        <color indexed="64"/>
      </top>
      <bottom style="hair">
        <color indexed="9"/>
      </bottom>
      <diagonal/>
    </border>
    <border>
      <left/>
      <right style="thin">
        <color indexed="64"/>
      </right>
      <top/>
      <bottom/>
      <diagonal/>
    </border>
    <border>
      <left style="medium">
        <color indexed="64"/>
      </left>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64">
    <xf numFmtId="0" fontId="0" fillId="0" borderId="0"/>
    <xf numFmtId="0" fontId="2" fillId="0" borderId="0" applyNumberFormat="0" applyFill="0" applyBorder="0" applyAlignment="0" applyProtection="0"/>
    <xf numFmtId="0" fontId="8" fillId="0" borderId="0"/>
    <xf numFmtId="170" fontId="8" fillId="0" borderId="8">
      <protection locked="0"/>
    </xf>
    <xf numFmtId="170" fontId="8" fillId="0" borderId="8">
      <protection locked="0"/>
    </xf>
    <xf numFmtId="170" fontId="8" fillId="0" borderId="8">
      <protection locked="0"/>
    </xf>
    <xf numFmtId="165" fontId="10" fillId="0" borderId="0">
      <protection locked="0"/>
    </xf>
    <xf numFmtId="165" fontId="21" fillId="0" borderId="0">
      <protection locked="0"/>
    </xf>
    <xf numFmtId="165" fontId="10" fillId="0" borderId="0">
      <protection locked="0"/>
    </xf>
    <xf numFmtId="165" fontId="21"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165" fontId="10" fillId="0" borderId="0">
      <protection locked="0"/>
    </xf>
    <xf numFmtId="165" fontId="21" fillId="0" borderId="0">
      <protection locked="0"/>
    </xf>
    <xf numFmtId="170" fontId="8" fillId="0" borderId="0">
      <protection locked="0"/>
    </xf>
    <xf numFmtId="170" fontId="8" fillId="0" borderId="0">
      <protection locked="0"/>
    </xf>
    <xf numFmtId="170" fontId="8" fillId="0" borderId="0">
      <protection locked="0"/>
    </xf>
    <xf numFmtId="0" fontId="11" fillId="0" borderId="0">
      <protection locked="0"/>
    </xf>
    <xf numFmtId="0" fontId="22" fillId="0" borderId="0">
      <protection locked="0"/>
    </xf>
    <xf numFmtId="0" fontId="11" fillId="0" borderId="0">
      <protection locked="0"/>
    </xf>
    <xf numFmtId="0" fontId="22" fillId="0" borderId="0">
      <protection locked="0"/>
    </xf>
    <xf numFmtId="0" fontId="10" fillId="0" borderId="8">
      <protection locked="0"/>
    </xf>
    <xf numFmtId="0" fontId="21" fillId="0" borderId="8">
      <protection locked="0"/>
    </xf>
    <xf numFmtId="171" fontId="12" fillId="0" borderId="0" applyFont="0" applyFill="0" applyBorder="0" applyAlignment="0" applyProtection="0"/>
    <xf numFmtId="173" fontId="12" fillId="0" borderId="0" applyFont="0" applyFill="0" applyBorder="0" applyAlignment="0" applyProtection="0"/>
    <xf numFmtId="168" fontId="13" fillId="0" borderId="0" applyFont="0" applyFill="0" applyBorder="0" applyAlignment="0" applyProtection="0"/>
    <xf numFmtId="172" fontId="12" fillId="0" borderId="0" applyFont="0" applyFill="0" applyBorder="0" applyAlignment="0" applyProtection="0"/>
    <xf numFmtId="170" fontId="8"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0" fontId="14" fillId="0" borderId="0"/>
    <xf numFmtId="0" fontId="15" fillId="0" borderId="0"/>
    <xf numFmtId="0" fontId="16" fillId="0" borderId="0" applyNumberFormat="0">
      <alignment horizontal="left"/>
    </xf>
    <xf numFmtId="169" fontId="17" fillId="0" borderId="9">
      <protection locked="0"/>
    </xf>
    <xf numFmtId="169" fontId="18" fillId="6" borderId="9"/>
    <xf numFmtId="0" fontId="12" fillId="0" borderId="0"/>
    <xf numFmtId="167" fontId="19" fillId="7" borderId="10" applyNumberFormat="0" applyBorder="0" applyAlignment="0">
      <alignment vertical="center"/>
      <protection locked="0"/>
    </xf>
    <xf numFmtId="0" fontId="9" fillId="0" borderId="0"/>
    <xf numFmtId="164" fontId="20" fillId="0" borderId="0" applyFont="0" applyFill="0" applyBorder="0" applyAlignment="0" applyProtection="0"/>
    <xf numFmtId="166" fontId="20" fillId="0" borderId="0" applyFont="0" applyFill="0" applyBorder="0" applyAlignment="0" applyProtection="0"/>
    <xf numFmtId="165" fontId="10" fillId="0" borderId="0">
      <protection locked="0"/>
    </xf>
    <xf numFmtId="165" fontId="21" fillId="0" borderId="0">
      <protection locked="0"/>
    </xf>
  </cellStyleXfs>
  <cellXfs count="359">
    <xf numFmtId="0" fontId="0" fillId="0" borderId="0" xfId="0"/>
    <xf numFmtId="0" fontId="4" fillId="0" borderId="2" xfId="0" applyFont="1" applyFill="1" applyBorder="1"/>
    <xf numFmtId="0" fontId="4" fillId="0" borderId="2" xfId="1" applyFont="1" applyBorder="1" applyAlignment="1">
      <alignment horizontal="center" vertical="center"/>
    </xf>
    <xf numFmtId="2" fontId="4" fillId="0" borderId="2" xfId="0" applyNumberFormat="1" applyFont="1" applyFill="1" applyBorder="1" applyAlignment="1">
      <alignment horizontal="center" vertical="center"/>
    </xf>
    <xf numFmtId="0" fontId="4" fillId="0" borderId="2" xfId="0" applyFont="1" applyFill="1" applyBorder="1" applyAlignment="1">
      <alignment horizontal="left"/>
    </xf>
    <xf numFmtId="2" fontId="4" fillId="0" borderId="0" xfId="0" applyNumberFormat="1" applyFont="1" applyBorder="1" applyAlignment="1"/>
    <xf numFmtId="0" fontId="4" fillId="0" borderId="0" xfId="0" applyFont="1" applyBorder="1"/>
    <xf numFmtId="0" fontId="4" fillId="0" borderId="0" xfId="1" applyFont="1" applyBorder="1"/>
    <xf numFmtId="0" fontId="4" fillId="0" borderId="0" xfId="0" applyFont="1" applyBorder="1" applyAlignment="1">
      <alignment horizontal="left" wrapText="1"/>
    </xf>
    <xf numFmtId="0" fontId="4" fillId="0" borderId="0" xfId="0" applyFont="1" applyFill="1" applyBorder="1"/>
    <xf numFmtId="0" fontId="4" fillId="0" borderId="0" xfId="0" applyFont="1" applyBorder="1" applyAlignment="1">
      <alignment horizontal="left"/>
    </xf>
    <xf numFmtId="0" fontId="4" fillId="0" borderId="2" xfId="1" applyFont="1" applyFill="1" applyBorder="1" applyAlignment="1">
      <alignment horizontal="center" vertical="center"/>
    </xf>
    <xf numFmtId="2" fontId="4" fillId="0" borderId="2" xfId="0" applyNumberFormat="1" applyFont="1" applyFill="1" applyBorder="1" applyAlignment="1">
      <alignment horizontal="left" vertical="center"/>
    </xf>
    <xf numFmtId="0" fontId="4" fillId="0" borderId="2" xfId="0" applyFont="1" applyFill="1" applyBorder="1" applyAlignment="1" applyProtection="1">
      <alignment horizontal="left" vertical="top" wrapText="1"/>
      <protection locked="0"/>
    </xf>
    <xf numFmtId="0" fontId="4" fillId="3" borderId="2" xfId="0" applyFont="1" applyFill="1" applyBorder="1" applyAlignment="1">
      <alignment horizontal="center" vertical="center"/>
    </xf>
    <xf numFmtId="0" fontId="4" fillId="0" borderId="2" xfId="0" applyFont="1" applyFill="1" applyBorder="1" applyAlignment="1" applyProtection="1">
      <protection locked="0"/>
    </xf>
    <xf numFmtId="0" fontId="4" fillId="0" borderId="15" xfId="0" applyFont="1" applyFill="1" applyBorder="1" applyAlignment="1">
      <alignment horizontal="center"/>
    </xf>
    <xf numFmtId="0" fontId="4" fillId="0" borderId="1" xfId="0" applyFont="1" applyFill="1" applyBorder="1" applyAlignment="1" applyProtection="1">
      <alignment horizontal="left" vertical="top" wrapText="1"/>
      <protection locked="0"/>
    </xf>
    <xf numFmtId="0" fontId="4" fillId="0" borderId="1" xfId="0" applyFont="1" applyFill="1" applyBorder="1" applyAlignment="1">
      <alignment horizontal="left"/>
    </xf>
    <xf numFmtId="0" fontId="4" fillId="0" borderId="26" xfId="0" applyFont="1" applyFill="1" applyBorder="1" applyAlignment="1">
      <alignment horizontal="center"/>
    </xf>
    <xf numFmtId="0" fontId="4" fillId="0" borderId="23" xfId="0" applyFont="1" applyFill="1" applyBorder="1" applyAlignment="1" applyProtection="1">
      <alignment horizontal="left" vertical="top" wrapText="1"/>
      <protection locked="0"/>
    </xf>
    <xf numFmtId="0" fontId="4" fillId="0" borderId="16" xfId="0" applyFont="1" applyFill="1" applyBorder="1" applyAlignment="1">
      <alignment horizontal="center"/>
    </xf>
    <xf numFmtId="0" fontId="4" fillId="0" borderId="17" xfId="0" applyFont="1" applyFill="1" applyBorder="1" applyAlignment="1"/>
    <xf numFmtId="0" fontId="4" fillId="0" borderId="17" xfId="0" applyFont="1" applyFill="1" applyBorder="1" applyAlignment="1" applyProtection="1">
      <alignment horizontal="left" vertical="top" wrapText="1"/>
      <protection locked="0"/>
    </xf>
    <xf numFmtId="0" fontId="4" fillId="0" borderId="0" xfId="0" applyFont="1" applyFill="1" applyBorder="1" applyAlignment="1">
      <alignment horizontal="center" vertical="center"/>
    </xf>
    <xf numFmtId="1" fontId="4" fillId="0" borderId="0" xfId="0" applyNumberFormat="1" applyFont="1" applyFill="1" applyBorder="1" applyAlignment="1">
      <alignment horizontal="center" vertical="center"/>
    </xf>
    <xf numFmtId="0" fontId="4" fillId="0" borderId="0" xfId="0" applyFont="1" applyFill="1" applyBorder="1" applyAlignment="1">
      <alignment horizontal="center"/>
    </xf>
    <xf numFmtId="0" fontId="4" fillId="0" borderId="17" xfId="0" applyFont="1" applyFill="1" applyBorder="1" applyAlignment="1">
      <alignment horizontal="center" vertical="center"/>
    </xf>
    <xf numFmtId="174" fontId="4" fillId="0" borderId="2" xfId="0" applyNumberFormat="1" applyFont="1" applyFill="1" applyBorder="1" applyAlignment="1">
      <alignment horizontal="center" vertical="center"/>
    </xf>
    <xf numFmtId="2" fontId="4" fillId="0" borderId="2" xfId="0" applyNumberFormat="1" applyFont="1" applyBorder="1" applyAlignment="1">
      <alignment horizontal="left" vertical="center"/>
    </xf>
    <xf numFmtId="0" fontId="1"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1" xfId="0" applyFont="1" applyFill="1" applyBorder="1"/>
    <xf numFmtId="0" fontId="4" fillId="0" borderId="20" xfId="1" applyFont="1" applyFill="1" applyBorder="1" applyAlignment="1">
      <alignment horizontal="center" vertical="center"/>
    </xf>
    <xf numFmtId="0" fontId="4" fillId="3" borderId="2" xfId="0" applyFont="1" applyFill="1" applyBorder="1" applyAlignment="1">
      <alignment horizontal="left" vertical="center"/>
    </xf>
    <xf numFmtId="0" fontId="4" fillId="0" borderId="1" xfId="0" applyFont="1" applyFill="1" applyBorder="1" applyAlignment="1">
      <alignment horizontal="center"/>
    </xf>
    <xf numFmtId="0" fontId="4" fillId="0" borderId="2" xfId="0" applyFont="1" applyFill="1" applyBorder="1" applyAlignment="1">
      <alignment horizontal="center" vertical="center"/>
    </xf>
    <xf numFmtId="0" fontId="4" fillId="3" borderId="0" xfId="0" applyFont="1" applyFill="1" applyBorder="1" applyAlignment="1">
      <alignment horizontal="center"/>
    </xf>
    <xf numFmtId="0" fontId="7" fillId="0" borderId="2" xfId="0" applyFont="1" applyFill="1" applyBorder="1" applyAlignment="1">
      <alignment horizontal="left" vertical="center"/>
    </xf>
    <xf numFmtId="0" fontId="4" fillId="0" borderId="2" xfId="0" applyFont="1" applyBorder="1" applyAlignment="1">
      <alignment horizontal="center" vertical="center"/>
    </xf>
    <xf numFmtId="0" fontId="4" fillId="0" borderId="22" xfId="0" applyFont="1" applyFill="1" applyBorder="1" applyAlignment="1">
      <alignment horizontal="center"/>
    </xf>
    <xf numFmtId="2" fontId="4" fillId="0" borderId="21" xfId="0" applyNumberFormat="1" applyFont="1" applyFill="1" applyBorder="1" applyAlignment="1"/>
    <xf numFmtId="0" fontId="5" fillId="3" borderId="2" xfId="0" applyFont="1" applyFill="1" applyBorder="1" applyAlignment="1">
      <alignment horizontal="center" vertical="center"/>
    </xf>
    <xf numFmtId="2" fontId="5" fillId="3" borderId="2" xfId="0" applyNumberFormat="1" applyFont="1" applyFill="1" applyBorder="1" applyAlignment="1">
      <alignment horizontal="center" vertical="center"/>
    </xf>
    <xf numFmtId="167" fontId="28" fillId="4" borderId="2" xfId="0" applyNumberFormat="1" applyFont="1" applyFill="1" applyBorder="1" applyAlignment="1">
      <alignment horizontal="left" vertical="center"/>
    </xf>
    <xf numFmtId="0" fontId="28" fillId="4" borderId="2" xfId="0" applyFont="1" applyFill="1" applyBorder="1" applyAlignment="1">
      <alignment horizontal="center" vertical="center"/>
    </xf>
    <xf numFmtId="0" fontId="28" fillId="4" borderId="2" xfId="1" applyFont="1" applyFill="1" applyBorder="1" applyAlignment="1">
      <alignment horizontal="center" vertical="center"/>
    </xf>
    <xf numFmtId="0" fontId="28"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2" fontId="6" fillId="4" borderId="2" xfId="0" applyNumberFormat="1" applyFont="1" applyFill="1" applyBorder="1" applyAlignment="1">
      <alignment horizontal="center" vertical="center" wrapText="1"/>
    </xf>
    <xf numFmtId="0" fontId="31" fillId="4" borderId="2" xfId="0" applyFont="1" applyFill="1" applyBorder="1" applyAlignment="1">
      <alignment horizontal="center" wrapText="1"/>
    </xf>
    <xf numFmtId="0" fontId="32" fillId="4" borderId="2" xfId="0" applyFont="1" applyFill="1" applyBorder="1" applyAlignment="1">
      <alignment horizontal="center" wrapText="1"/>
    </xf>
    <xf numFmtId="0" fontId="30" fillId="4" borderId="2" xfId="0" applyFont="1" applyFill="1" applyBorder="1" applyAlignment="1">
      <alignment horizontal="center" vertical="center"/>
    </xf>
    <xf numFmtId="0" fontId="29" fillId="4" borderId="2" xfId="0" applyFont="1" applyFill="1" applyBorder="1" applyAlignment="1">
      <alignment horizontal="left" wrapText="1"/>
    </xf>
    <xf numFmtId="0" fontId="29" fillId="4" borderId="2" xfId="0" applyFont="1" applyFill="1" applyBorder="1" applyAlignment="1">
      <alignment horizontal="center"/>
    </xf>
    <xf numFmtId="174" fontId="29" fillId="4" borderId="2" xfId="0" applyNumberFormat="1" applyFont="1" applyFill="1" applyBorder="1" applyAlignment="1">
      <alignment horizontal="center"/>
    </xf>
    <xf numFmtId="0" fontId="29" fillId="4" borderId="2" xfId="0" applyFont="1" applyFill="1" applyBorder="1" applyAlignment="1">
      <alignment horizontal="center" vertical="center" wrapText="1"/>
    </xf>
    <xf numFmtId="2" fontId="28" fillId="4" borderId="2" xfId="0" applyNumberFormat="1" applyFont="1" applyFill="1" applyBorder="1" applyAlignment="1">
      <alignment horizontal="center"/>
    </xf>
    <xf numFmtId="2" fontId="4" fillId="0" borderId="2" xfId="0" applyNumberFormat="1" applyFont="1" applyBorder="1" applyAlignment="1">
      <alignment horizontal="center"/>
    </xf>
    <xf numFmtId="0" fontId="3" fillId="3" borderId="2" xfId="0" applyFont="1" applyFill="1" applyBorder="1" applyAlignment="1">
      <alignment horizontal="center" vertical="center" wrapText="1"/>
    </xf>
    <xf numFmtId="0" fontId="5" fillId="0" borderId="0" xfId="0" applyFont="1"/>
    <xf numFmtId="0" fontId="5" fillId="0" borderId="2" xfId="0" applyFont="1" applyBorder="1"/>
    <xf numFmtId="2" fontId="5" fillId="0" borderId="2" xfId="0" applyNumberFormat="1" applyFont="1" applyBorder="1" applyAlignment="1">
      <alignment horizontal="center" vertical="center"/>
    </xf>
    <xf numFmtId="174" fontId="5" fillId="0" borderId="2" xfId="0" applyNumberFormat="1" applyFont="1" applyBorder="1" applyAlignment="1">
      <alignment horizontal="center" vertical="center"/>
    </xf>
    <xf numFmtId="0" fontId="33" fillId="0" borderId="0" xfId="0" applyFont="1"/>
    <xf numFmtId="0" fontId="33" fillId="5" borderId="2" xfId="0" applyFont="1" applyFill="1" applyBorder="1"/>
    <xf numFmtId="0" fontId="33" fillId="5" borderId="2" xfId="0" applyFont="1" applyFill="1" applyBorder="1" applyAlignment="1">
      <alignment horizontal="center" vertical="center"/>
    </xf>
    <xf numFmtId="174" fontId="33" fillId="5" borderId="2" xfId="0" applyNumberFormat="1" applyFont="1" applyFill="1" applyBorder="1" applyAlignment="1">
      <alignment horizontal="center" vertical="center"/>
    </xf>
    <xf numFmtId="2" fontId="33" fillId="5" borderId="2" xfId="0" applyNumberFormat="1" applyFont="1" applyFill="1" applyBorder="1" applyAlignment="1">
      <alignment horizontal="center" vertical="center"/>
    </xf>
    <xf numFmtId="1" fontId="5" fillId="0" borderId="2" xfId="0" applyNumberFormat="1" applyFont="1" applyBorder="1" applyAlignment="1">
      <alignment horizontal="center" vertical="center"/>
    </xf>
    <xf numFmtId="0" fontId="33" fillId="0" borderId="0" xfId="0" applyFont="1" applyAlignment="1">
      <alignment horizontal="center" vertical="center"/>
    </xf>
    <xf numFmtId="0" fontId="33" fillId="5" borderId="2" xfId="0" applyFont="1" applyFill="1" applyBorder="1" applyAlignment="1">
      <alignment horizontal="left" vertical="center"/>
    </xf>
    <xf numFmtId="1" fontId="33" fillId="5" borderId="2" xfId="0" applyNumberFormat="1" applyFont="1" applyFill="1" applyBorder="1" applyAlignment="1">
      <alignment horizontal="center" vertical="center"/>
    </xf>
    <xf numFmtId="174" fontId="5" fillId="0" borderId="0" xfId="0" applyNumberFormat="1" applyFont="1"/>
    <xf numFmtId="174" fontId="5" fillId="0" borderId="20" xfId="0" applyNumberFormat="1" applyFont="1" applyBorder="1" applyAlignment="1">
      <alignment horizontal="center" vertical="center"/>
    </xf>
    <xf numFmtId="1" fontId="5" fillId="0" borderId="0" xfId="0" applyNumberFormat="1" applyFont="1"/>
    <xf numFmtId="0" fontId="5" fillId="0" borderId="20" xfId="0" applyFont="1" applyBorder="1" applyAlignment="1">
      <alignment horizontal="center" vertical="center" wrapText="1"/>
    </xf>
    <xf numFmtId="0" fontId="5" fillId="0" borderId="20"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xf>
    <xf numFmtId="174" fontId="5" fillId="0" borderId="4" xfId="0" applyNumberFormat="1" applyFont="1" applyBorder="1" applyAlignment="1">
      <alignment horizontal="center" vertical="center"/>
    </xf>
    <xf numFmtId="167" fontId="5" fillId="0" borderId="2" xfId="0" applyNumberFormat="1" applyFont="1" applyBorder="1" applyAlignment="1">
      <alignment horizontal="center" vertical="center"/>
    </xf>
    <xf numFmtId="0" fontId="33" fillId="3" borderId="0" xfId="0" applyFont="1" applyFill="1" applyBorder="1" applyAlignment="1"/>
    <xf numFmtId="0" fontId="33" fillId="3" borderId="31" xfId="0" applyFont="1" applyFill="1" applyBorder="1" applyAlignment="1"/>
    <xf numFmtId="0" fontId="33" fillId="3" borderId="39" xfId="0" applyFont="1" applyFill="1" applyBorder="1" applyAlignment="1"/>
    <xf numFmtId="0" fontId="33" fillId="3" borderId="12" xfId="0" applyFont="1" applyFill="1" applyBorder="1" applyAlignment="1"/>
    <xf numFmtId="2" fontId="5" fillId="0" borderId="20" xfId="0" applyNumberFormat="1" applyFont="1" applyBorder="1" applyAlignment="1">
      <alignment horizontal="center" vertical="center"/>
    </xf>
    <xf numFmtId="0" fontId="33" fillId="0" borderId="2" xfId="0" applyFont="1" applyBorder="1" applyAlignment="1">
      <alignment horizontal="center" vertical="center"/>
    </xf>
    <xf numFmtId="0" fontId="34" fillId="0" borderId="2" xfId="0" applyFont="1" applyBorder="1" applyAlignment="1">
      <alignment horizontal="center" vertical="center"/>
    </xf>
    <xf numFmtId="0" fontId="34" fillId="0" borderId="2" xfId="0" applyFont="1" applyBorder="1"/>
    <xf numFmtId="2" fontId="5" fillId="0" borderId="0" xfId="0" applyNumberFormat="1" applyFont="1"/>
    <xf numFmtId="0" fontId="34" fillId="5" borderId="2" xfId="0" applyFont="1" applyFill="1" applyBorder="1"/>
    <xf numFmtId="2" fontId="34" fillId="5" borderId="2" xfId="0" applyNumberFormat="1" applyFont="1" applyFill="1" applyBorder="1" applyAlignment="1">
      <alignment horizontal="center" vertical="center"/>
    </xf>
    <xf numFmtId="0" fontId="34" fillId="5" borderId="2" xfId="0" applyFont="1" applyFill="1" applyBorder="1" applyAlignment="1">
      <alignment horizontal="center" vertical="center"/>
    </xf>
    <xf numFmtId="174" fontId="34" fillId="5" borderId="2" xfId="0" applyNumberFormat="1" applyFont="1" applyFill="1" applyBorder="1" applyAlignment="1">
      <alignment horizontal="center" vertical="center"/>
    </xf>
    <xf numFmtId="0" fontId="34" fillId="5" borderId="4" xfId="0" applyFont="1" applyFill="1" applyBorder="1" applyAlignment="1">
      <alignment horizontal="center" vertical="center"/>
    </xf>
    <xf numFmtId="0" fontId="34" fillId="0" borderId="0" xfId="0" applyFont="1"/>
    <xf numFmtId="0" fontId="33" fillId="8" borderId="2" xfId="0" applyFont="1" applyFill="1" applyBorder="1"/>
    <xf numFmtId="2" fontId="33" fillId="8" borderId="2" xfId="0" applyNumberFormat="1" applyFont="1" applyFill="1" applyBorder="1" applyAlignment="1">
      <alignment horizontal="center" vertical="center"/>
    </xf>
    <xf numFmtId="0" fontId="33" fillId="8" borderId="2" xfId="0" applyFont="1" applyFill="1" applyBorder="1" applyAlignment="1">
      <alignment horizontal="center" vertical="center"/>
    </xf>
    <xf numFmtId="174" fontId="33" fillId="8" borderId="2" xfId="0" applyNumberFormat="1" applyFont="1" applyFill="1" applyBorder="1" applyAlignment="1">
      <alignment horizontal="center" vertical="center"/>
    </xf>
    <xf numFmtId="174" fontId="33" fillId="8" borderId="4" xfId="0" applyNumberFormat="1" applyFont="1" applyFill="1" applyBorder="1" applyAlignment="1">
      <alignment horizontal="center" vertical="center"/>
    </xf>
    <xf numFmtId="0" fontId="33" fillId="8" borderId="4" xfId="0" applyFont="1" applyFill="1" applyBorder="1" applyAlignment="1">
      <alignment horizontal="center" vertical="center"/>
    </xf>
    <xf numFmtId="2" fontId="33" fillId="3" borderId="2" xfId="0" applyNumberFormat="1" applyFont="1" applyFill="1" applyBorder="1" applyAlignment="1">
      <alignment horizontal="center" vertical="center"/>
    </xf>
    <xf numFmtId="0" fontId="33" fillId="3" borderId="2" xfId="0" applyFont="1" applyFill="1" applyBorder="1" applyAlignment="1">
      <alignment horizontal="center" vertical="center"/>
    </xf>
    <xf numFmtId="0" fontId="33" fillId="3" borderId="0" xfId="0" applyFont="1" applyFill="1"/>
    <xf numFmtId="0" fontId="5" fillId="3" borderId="4" xfId="0" applyFont="1" applyFill="1" applyBorder="1" applyAlignment="1">
      <alignment horizontal="center" vertical="center"/>
    </xf>
    <xf numFmtId="2" fontId="33" fillId="3" borderId="2" xfId="0" applyNumberFormat="1" applyFont="1" applyFill="1" applyBorder="1" applyAlignment="1">
      <alignment wrapText="1"/>
    </xf>
    <xf numFmtId="0" fontId="33" fillId="0" borderId="1"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3" xfId="0" applyFont="1" applyBorder="1" applyAlignment="1">
      <alignment horizontal="center" vertical="center" wrapText="1"/>
    </xf>
    <xf numFmtId="0" fontId="4" fillId="0" borderId="1" xfId="0" applyFont="1" applyFill="1" applyBorder="1" applyAlignment="1">
      <alignment horizontal="left" wrapText="1"/>
    </xf>
    <xf numFmtId="0" fontId="4" fillId="0" borderId="30" xfId="0" applyFont="1" applyFill="1" applyBorder="1" applyAlignment="1">
      <alignment horizontal="left" wrapText="1"/>
    </xf>
    <xf numFmtId="0" fontId="4" fillId="0" borderId="30" xfId="0" applyFont="1" applyFill="1" applyBorder="1"/>
    <xf numFmtId="0" fontId="4" fillId="0" borderId="30" xfId="0" applyFont="1" applyFill="1" applyBorder="1" applyAlignment="1">
      <alignment horizontal="center"/>
    </xf>
    <xf numFmtId="0" fontId="4" fillId="0" borderId="30" xfId="0" applyFont="1" applyFill="1" applyBorder="1" applyAlignment="1">
      <alignment horizontal="left"/>
    </xf>
    <xf numFmtId="167" fontId="28" fillId="0" borderId="18" xfId="0" applyNumberFormat="1" applyFont="1" applyFill="1" applyBorder="1" applyAlignment="1">
      <alignment horizontal="left" vertical="center"/>
    </xf>
    <xf numFmtId="0" fontId="28" fillId="0" borderId="19" xfId="0" applyFont="1" applyFill="1" applyBorder="1" applyAlignment="1">
      <alignment horizontal="center" vertical="center"/>
    </xf>
    <xf numFmtId="0" fontId="28" fillId="0" borderId="19" xfId="1" applyFont="1" applyFill="1" applyBorder="1" applyAlignment="1">
      <alignment horizontal="center" vertical="center"/>
    </xf>
    <xf numFmtId="0" fontId="30" fillId="0" borderId="19" xfId="0" applyFont="1" applyFill="1" applyBorder="1" applyAlignment="1">
      <alignment horizontal="center" vertical="center"/>
    </xf>
    <xf numFmtId="2" fontId="4" fillId="0" borderId="15" xfId="0" applyNumberFormat="1" applyFont="1" applyFill="1" applyBorder="1" applyAlignment="1">
      <alignment horizontal="left" vertical="center"/>
    </xf>
    <xf numFmtId="0" fontId="4" fillId="0" borderId="2" xfId="1" applyFont="1" applyFill="1" applyBorder="1"/>
    <xf numFmtId="0" fontId="7" fillId="0" borderId="2" xfId="0" applyFont="1" applyFill="1" applyBorder="1"/>
    <xf numFmtId="14" fontId="4" fillId="0" borderId="15" xfId="0" applyNumberFormat="1" applyFont="1" applyFill="1" applyBorder="1" applyAlignment="1">
      <alignment horizontal="left" vertical="center"/>
    </xf>
    <xf numFmtId="0" fontId="7" fillId="0" borderId="20" xfId="0" applyFont="1" applyFill="1" applyBorder="1" applyAlignment="1">
      <alignment horizontal="center" vertical="center"/>
    </xf>
    <xf numFmtId="2" fontId="4" fillId="0" borderId="16" xfId="0" applyNumberFormat="1" applyFont="1" applyFill="1" applyBorder="1" applyAlignment="1">
      <alignment horizontal="left" vertical="center"/>
    </xf>
    <xf numFmtId="0" fontId="4" fillId="0" borderId="17" xfId="0" applyFont="1" applyFill="1" applyBorder="1"/>
    <xf numFmtId="0" fontId="4" fillId="0" borderId="17" xfId="1" applyFont="1" applyFill="1" applyBorder="1"/>
    <xf numFmtId="0" fontId="7" fillId="0" borderId="17" xfId="0" applyFont="1" applyFill="1" applyBorder="1"/>
    <xf numFmtId="0" fontId="4" fillId="0" borderId="15" xfId="0" applyFont="1" applyFill="1" applyBorder="1" applyAlignment="1">
      <alignment horizontal="left" vertical="center"/>
    </xf>
    <xf numFmtId="0" fontId="7" fillId="0" borderId="23" xfId="0" applyFont="1" applyFill="1" applyBorder="1" applyAlignment="1">
      <alignment horizontal="center" vertical="center"/>
    </xf>
    <xf numFmtId="0" fontId="4" fillId="0" borderId="16" xfId="0" applyFont="1" applyFill="1" applyBorder="1" applyAlignment="1">
      <alignment horizontal="left" vertical="center"/>
    </xf>
    <xf numFmtId="2" fontId="4" fillId="0" borderId="17" xfId="0" applyNumberFormat="1" applyFont="1" applyFill="1" applyBorder="1" applyAlignment="1">
      <alignment horizontal="center" vertical="center"/>
    </xf>
    <xf numFmtId="0" fontId="7" fillId="0" borderId="17" xfId="0" applyFont="1" applyFill="1" applyBorder="1" applyAlignment="1">
      <alignment horizontal="center" vertical="center"/>
    </xf>
    <xf numFmtId="14" fontId="4" fillId="0" borderId="16" xfId="0" applyNumberFormat="1" applyFont="1" applyFill="1" applyBorder="1" applyAlignment="1">
      <alignment horizontal="left" vertical="center"/>
    </xf>
    <xf numFmtId="0" fontId="4" fillId="0" borderId="23" xfId="0" applyFont="1" applyFill="1" applyBorder="1" applyAlignment="1">
      <alignment horizontal="left" wrapText="1"/>
    </xf>
    <xf numFmtId="0" fontId="4" fillId="0" borderId="23" xfId="0" applyFont="1" applyFill="1" applyBorder="1"/>
    <xf numFmtId="0" fontId="4" fillId="0" borderId="23" xfId="0" applyFont="1" applyFill="1" applyBorder="1" applyAlignment="1">
      <alignment horizontal="center"/>
    </xf>
    <xf numFmtId="0" fontId="4" fillId="0" borderId="23" xfId="0" applyFont="1" applyFill="1" applyBorder="1" applyAlignment="1">
      <alignment horizontal="left"/>
    </xf>
    <xf numFmtId="0" fontId="28" fillId="0" borderId="19" xfId="0" applyFont="1" applyFill="1" applyBorder="1" applyAlignment="1">
      <alignment horizontal="center" vertical="center" wrapText="1"/>
    </xf>
    <xf numFmtId="0" fontId="28" fillId="0" borderId="38" xfId="0" applyFont="1" applyFill="1" applyBorder="1" applyAlignment="1">
      <alignment horizontal="center" vertical="center"/>
    </xf>
    <xf numFmtId="0" fontId="4" fillId="0" borderId="2" xfId="0" applyFont="1" applyFill="1" applyBorder="1" applyAlignment="1">
      <alignment horizontal="left" vertical="center"/>
    </xf>
    <xf numFmtId="167" fontId="28" fillId="0" borderId="20" xfId="0" applyNumberFormat="1" applyFont="1" applyFill="1" applyBorder="1" applyAlignment="1">
      <alignment horizontal="left" vertical="center"/>
    </xf>
    <xf numFmtId="0" fontId="4" fillId="0" borderId="20" xfId="0" applyFont="1" applyFill="1" applyBorder="1" applyAlignment="1">
      <alignment horizontal="left" vertical="center"/>
    </xf>
    <xf numFmtId="0" fontId="4" fillId="0" borderId="19" xfId="0" applyFont="1" applyFill="1" applyBorder="1" applyAlignment="1">
      <alignment horizontal="center" vertical="center"/>
    </xf>
    <xf numFmtId="0" fontId="7" fillId="0" borderId="19" xfId="0" applyFont="1" applyFill="1" applyBorder="1" applyAlignment="1">
      <alignment horizontal="center" vertical="center"/>
    </xf>
    <xf numFmtId="1" fontId="4" fillId="0" borderId="2" xfId="0" applyNumberFormat="1" applyFont="1" applyFill="1" applyBorder="1" applyAlignment="1">
      <alignment horizontal="center" vertical="center"/>
    </xf>
    <xf numFmtId="2" fontId="4" fillId="0" borderId="20" xfId="0" applyNumberFormat="1" applyFont="1" applyFill="1" applyBorder="1" applyAlignment="1">
      <alignment horizontal="left" vertical="center"/>
    </xf>
    <xf numFmtId="0" fontId="28" fillId="0" borderId="19" xfId="0" applyFont="1" applyFill="1" applyBorder="1"/>
    <xf numFmtId="0" fontId="28" fillId="0" borderId="19" xfId="1" applyFont="1" applyFill="1" applyBorder="1"/>
    <xf numFmtId="0" fontId="28" fillId="0" borderId="19" xfId="0" applyFont="1" applyFill="1" applyBorder="1" applyAlignment="1">
      <alignment wrapText="1"/>
    </xf>
    <xf numFmtId="0" fontId="28" fillId="0" borderId="19" xfId="0" applyFont="1" applyFill="1" applyBorder="1" applyAlignment="1">
      <alignment horizontal="center"/>
    </xf>
    <xf numFmtId="0" fontId="4" fillId="0" borderId="20" xfId="0" applyFont="1" applyFill="1" applyBorder="1" applyAlignment="1" applyProtection="1">
      <alignment horizontal="left" vertical="top" wrapText="1"/>
      <protection locked="0"/>
    </xf>
    <xf numFmtId="0" fontId="4" fillId="0" borderId="20" xfId="0" applyFont="1" applyFill="1" applyBorder="1" applyAlignment="1">
      <alignment horizontal="center"/>
    </xf>
    <xf numFmtId="0" fontId="4" fillId="0" borderId="20" xfId="0" applyFont="1" applyFill="1" applyBorder="1" applyAlignment="1">
      <alignment horizontal="left"/>
    </xf>
    <xf numFmtId="0" fontId="4" fillId="0" borderId="0" xfId="0" applyFont="1" applyFill="1" applyBorder="1" applyAlignment="1">
      <alignment horizontal="left" vertical="center"/>
    </xf>
    <xf numFmtId="0" fontId="4" fillId="0" borderId="0" xfId="1" applyFont="1" applyFill="1" applyBorder="1"/>
    <xf numFmtId="0" fontId="4" fillId="0" borderId="12" xfId="0" applyFont="1" applyFill="1" applyBorder="1" applyAlignment="1">
      <alignment horizontal="center" vertical="center" wrapText="1"/>
    </xf>
    <xf numFmtId="167" fontId="28" fillId="0" borderId="36" xfId="0" applyNumberFormat="1" applyFont="1" applyFill="1" applyBorder="1" applyAlignment="1">
      <alignment horizontal="left" vertical="center"/>
    </xf>
    <xf numFmtId="0" fontId="28" fillId="0" borderId="33" xfId="0" applyFont="1" applyFill="1" applyBorder="1" applyAlignment="1">
      <alignment horizontal="center" vertical="center"/>
    </xf>
    <xf numFmtId="0" fontId="27" fillId="0" borderId="37" xfId="0" applyFont="1" applyFill="1" applyBorder="1" applyAlignment="1">
      <alignment horizontal="left" wrapText="1"/>
    </xf>
    <xf numFmtId="0" fontId="4" fillId="0" borderId="2" xfId="0" applyFont="1" applyFill="1" applyBorder="1" applyAlignment="1">
      <alignment horizontal="left" vertical="center" wrapText="1"/>
    </xf>
    <xf numFmtId="167" fontId="4" fillId="0" borderId="2" xfId="0" applyNumberFormat="1" applyFont="1" applyFill="1" applyBorder="1" applyAlignment="1">
      <alignment horizont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30" xfId="0" applyFont="1" applyFill="1" applyBorder="1" applyAlignment="1">
      <alignment horizontal="center" vertical="center"/>
    </xf>
    <xf numFmtId="2" fontId="4" fillId="0" borderId="2" xfId="0" applyNumberFormat="1" applyFont="1" applyFill="1" applyBorder="1" applyAlignment="1"/>
    <xf numFmtId="2" fontId="4" fillId="0" borderId="0" xfId="0" applyNumberFormat="1" applyFont="1" applyFill="1" applyBorder="1" applyAlignment="1"/>
    <xf numFmtId="0" fontId="4" fillId="0" borderId="0" xfId="0" applyFont="1" applyFill="1" applyBorder="1" applyAlignment="1">
      <alignment horizontal="left" wrapText="1"/>
    </xf>
    <xf numFmtId="0" fontId="4" fillId="0" borderId="0" xfId="0" applyFont="1" applyFill="1" applyBorder="1" applyAlignment="1">
      <alignment horizontal="left"/>
    </xf>
    <xf numFmtId="0" fontId="7" fillId="0" borderId="2" xfId="0" applyFont="1" applyFill="1" applyBorder="1" applyAlignment="1">
      <alignment horizontal="center"/>
    </xf>
    <xf numFmtId="2" fontId="4" fillId="0" borderId="2" xfId="0" applyNumberFormat="1" applyFont="1" applyFill="1" applyBorder="1" applyAlignment="1">
      <alignment horizontal="center"/>
    </xf>
    <xf numFmtId="0" fontId="4" fillId="0" borderId="2" xfId="0" applyFont="1" applyFill="1" applyBorder="1" applyAlignment="1">
      <alignment horizontal="center"/>
    </xf>
    <xf numFmtId="0" fontId="4" fillId="0" borderId="2" xfId="0" applyFont="1" applyFill="1" applyBorder="1" applyAlignment="1"/>
    <xf numFmtId="0" fontId="4" fillId="0" borderId="2" xfId="0" applyFont="1" applyFill="1" applyBorder="1" applyAlignment="1">
      <alignment wrapText="1"/>
    </xf>
    <xf numFmtId="0" fontId="4" fillId="0" borderId="20" xfId="0" applyFont="1" applyFill="1" applyBorder="1" applyAlignment="1">
      <alignment wrapText="1"/>
    </xf>
    <xf numFmtId="0" fontId="7" fillId="0" borderId="2" xfId="0" applyFont="1" applyFill="1" applyBorder="1" applyAlignment="1">
      <alignment horizontal="center" wrapText="1"/>
    </xf>
    <xf numFmtId="0" fontId="7" fillId="0" borderId="2" xfId="0" applyFont="1" applyFill="1" applyBorder="1" applyAlignment="1">
      <alignment horizontal="center" vertical="center"/>
    </xf>
    <xf numFmtId="2" fontId="4" fillId="0" borderId="20" xfId="0" applyNumberFormat="1" applyFont="1" applyFill="1" applyBorder="1" applyAlignment="1">
      <alignment horizontal="center" vertical="center"/>
    </xf>
    <xf numFmtId="174" fontId="4" fillId="0" borderId="2"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 xfId="0" applyFont="1" applyFill="1" applyBorder="1" applyAlignment="1"/>
    <xf numFmtId="0" fontId="4" fillId="0" borderId="20" xfId="0" applyFont="1" applyFill="1" applyBorder="1" applyAlignment="1"/>
    <xf numFmtId="0" fontId="4" fillId="0" borderId="2" xfId="0" applyFont="1" applyFill="1" applyBorder="1" applyAlignment="1">
      <alignment horizontal="center" wrapText="1"/>
    </xf>
    <xf numFmtId="167" fontId="4" fillId="0" borderId="1" xfId="0" applyNumberFormat="1" applyFont="1" applyFill="1" applyBorder="1" applyAlignment="1">
      <alignment horizontal="center"/>
    </xf>
    <xf numFmtId="0" fontId="4" fillId="0" borderId="0" xfId="0" applyFont="1" applyAlignment="1">
      <alignment horizontal="center"/>
    </xf>
    <xf numFmtId="0" fontId="4" fillId="2" borderId="0" xfId="0" applyFont="1" applyFill="1" applyAlignment="1">
      <alignment horizontal="center"/>
    </xf>
    <xf numFmtId="2" fontId="37" fillId="0" borderId="2" xfId="0" applyNumberFormat="1" applyFont="1" applyFill="1" applyBorder="1"/>
    <xf numFmtId="2" fontId="30" fillId="0" borderId="2" xfId="0" applyNumberFormat="1" applyFont="1" applyFill="1" applyBorder="1" applyAlignment="1">
      <alignment horizontal="right"/>
    </xf>
    <xf numFmtId="2" fontId="38" fillId="0" borderId="2" xfId="0" applyNumberFormat="1" applyFont="1" applyFill="1" applyBorder="1" applyAlignment="1">
      <alignment horizontal="right"/>
    </xf>
    <xf numFmtId="2" fontId="7" fillId="0" borderId="2" xfId="0" applyNumberFormat="1" applyFont="1" applyFill="1" applyBorder="1" applyAlignment="1">
      <alignment horizontal="right"/>
    </xf>
    <xf numFmtId="0" fontId="7" fillId="0" borderId="2" xfId="0" applyFont="1" applyFill="1" applyBorder="1" applyAlignment="1">
      <alignment horizontal="right"/>
    </xf>
    <xf numFmtId="2" fontId="30" fillId="0" borderId="2" xfId="0" applyNumberFormat="1" applyFont="1" applyFill="1" applyBorder="1"/>
    <xf numFmtId="2" fontId="39" fillId="0" borderId="2" xfId="0" applyNumberFormat="1" applyFont="1" applyFill="1" applyBorder="1"/>
    <xf numFmtId="2" fontId="7" fillId="0" borderId="2" xfId="0" applyNumberFormat="1" applyFont="1" applyFill="1" applyBorder="1"/>
    <xf numFmtId="2" fontId="37" fillId="0" borderId="2" xfId="0" applyNumberFormat="1" applyFont="1" applyFill="1" applyBorder="1" applyAlignment="1">
      <alignment horizontal="right"/>
    </xf>
    <xf numFmtId="0" fontId="40" fillId="0" borderId="0" xfId="0" applyFont="1" applyFill="1"/>
    <xf numFmtId="2" fontId="4" fillId="0" borderId="2" xfId="0" applyNumberFormat="1" applyFont="1" applyFill="1" applyBorder="1"/>
    <xf numFmtId="0" fontId="4" fillId="0" borderId="0" xfId="0" applyFont="1"/>
    <xf numFmtId="0" fontId="4" fillId="0" borderId="0" xfId="0" applyFont="1" applyAlignment="1">
      <alignment horizontal="center" wrapText="1"/>
    </xf>
    <xf numFmtId="0" fontId="4" fillId="3" borderId="0" xfId="0" applyFont="1" applyFill="1" applyAlignment="1">
      <alignment horizontal="center"/>
    </xf>
    <xf numFmtId="0" fontId="4" fillId="0" borderId="0" xfId="0" applyFont="1" applyAlignment="1">
      <alignment horizontal="right"/>
    </xf>
    <xf numFmtId="0" fontId="4" fillId="2" borderId="0" xfId="0" applyFont="1" applyFill="1" applyBorder="1" applyAlignment="1">
      <alignment horizontal="right"/>
    </xf>
    <xf numFmtId="0" fontId="4" fillId="2" borderId="0" xfId="0" applyFont="1" applyFill="1" applyBorder="1"/>
    <xf numFmtId="0" fontId="4" fillId="2" borderId="0" xfId="0" applyFont="1" applyFill="1" applyBorder="1" applyAlignment="1">
      <alignment horizontal="center" wrapText="1"/>
    </xf>
    <xf numFmtId="0" fontId="4" fillId="2" borderId="0" xfId="0" applyFont="1" applyFill="1" applyBorder="1" applyAlignment="1">
      <alignment horizontal="center"/>
    </xf>
    <xf numFmtId="0" fontId="4" fillId="2" borderId="0" xfId="0" applyFont="1" applyFill="1"/>
    <xf numFmtId="0" fontId="4" fillId="3" borderId="2" xfId="0" applyFont="1" applyFill="1" applyBorder="1" applyAlignment="1">
      <alignment horizontal="center" vertical="center" wrapText="1"/>
    </xf>
    <xf numFmtId="0" fontId="4" fillId="2" borderId="1" xfId="0" applyFont="1" applyFill="1" applyBorder="1" applyAlignment="1">
      <alignment horizontal="center" vertical="center" wrapText="1" shrinkToFit="1"/>
    </xf>
    <xf numFmtId="0" fontId="4" fillId="3" borderId="1" xfId="0" applyFont="1" applyFill="1" applyBorder="1" applyAlignment="1">
      <alignment horizontal="center" vertical="center" wrapText="1"/>
    </xf>
    <xf numFmtId="0" fontId="7" fillId="0" borderId="0" xfId="0" applyFont="1" applyFill="1" applyBorder="1"/>
    <xf numFmtId="0" fontId="37" fillId="0" borderId="2" xfId="0" applyFont="1" applyFill="1" applyBorder="1"/>
    <xf numFmtId="0" fontId="37" fillId="0" borderId="2" xfId="0" applyFont="1" applyFill="1" applyBorder="1" applyAlignment="1">
      <alignment horizontal="center" wrapText="1"/>
    </xf>
    <xf numFmtId="0" fontId="37" fillId="0" borderId="2" xfId="0" applyFont="1" applyFill="1" applyBorder="1" applyAlignment="1">
      <alignment horizontal="center"/>
    </xf>
    <xf numFmtId="0" fontId="39" fillId="0" borderId="2" xfId="0" applyFont="1" applyFill="1" applyBorder="1"/>
    <xf numFmtId="0" fontId="30" fillId="0" borderId="2" xfId="0" applyFont="1" applyFill="1" applyBorder="1"/>
    <xf numFmtId="0" fontId="30" fillId="0" borderId="2" xfId="0" applyFont="1" applyFill="1" applyBorder="1" applyAlignment="1">
      <alignment horizontal="center"/>
    </xf>
    <xf numFmtId="0" fontId="30" fillId="0" borderId="0" xfId="0" applyFont="1" applyFill="1" applyBorder="1"/>
    <xf numFmtId="0" fontId="39" fillId="0" borderId="2" xfId="0" applyFont="1" applyFill="1" applyBorder="1" applyAlignment="1">
      <alignment horizontal="center"/>
    </xf>
    <xf numFmtId="0" fontId="38" fillId="0" borderId="2" xfId="0" applyFont="1" applyFill="1" applyBorder="1"/>
    <xf numFmtId="0" fontId="39" fillId="0" borderId="0" xfId="0" applyFont="1" applyFill="1" applyBorder="1"/>
    <xf numFmtId="0" fontId="37" fillId="0" borderId="0" xfId="0" applyFont="1" applyFill="1" applyBorder="1"/>
    <xf numFmtId="167" fontId="4" fillId="0" borderId="2" xfId="0" applyNumberFormat="1" applyFont="1" applyFill="1" applyBorder="1"/>
    <xf numFmtId="0" fontId="38" fillId="0" borderId="0" xfId="0" applyFont="1" applyFill="1" applyBorder="1"/>
    <xf numFmtId="0" fontId="4" fillId="0" borderId="1" xfId="0" applyFont="1" applyFill="1" applyBorder="1" applyAlignment="1">
      <alignment horizontal="center" wrapText="1"/>
    </xf>
    <xf numFmtId="167" fontId="4" fillId="0" borderId="1" xfId="0" applyNumberFormat="1" applyFont="1" applyFill="1" applyBorder="1"/>
    <xf numFmtId="0" fontId="27" fillId="0" borderId="30" xfId="0" applyFont="1" applyFill="1" applyBorder="1"/>
    <xf numFmtId="0" fontId="4" fillId="0" borderId="30" xfId="0" applyFont="1" applyFill="1" applyBorder="1" applyAlignment="1">
      <alignment horizontal="center" wrapText="1"/>
    </xf>
    <xf numFmtId="0" fontId="38" fillId="0" borderId="19" xfId="0" applyFont="1" applyFill="1" applyBorder="1" applyAlignment="1">
      <alignment horizontal="center" vertical="center"/>
    </xf>
    <xf numFmtId="2" fontId="38" fillId="0" borderId="19" xfId="0" applyNumberFormat="1" applyFont="1" applyFill="1" applyBorder="1" applyAlignment="1">
      <alignment horizontal="center" vertical="center" wrapText="1"/>
    </xf>
    <xf numFmtId="0" fontId="4" fillId="0" borderId="20" xfId="0" applyFont="1" applyFill="1" applyBorder="1" applyAlignment="1" applyProtection="1">
      <alignment horizontal="center" vertical="center" wrapText="1"/>
      <protection locked="0"/>
    </xf>
    <xf numFmtId="0" fontId="7" fillId="0" borderId="2" xfId="0" applyFont="1" applyFill="1" applyBorder="1" applyAlignment="1">
      <alignment horizontal="left" vertical="center" wrapText="1"/>
    </xf>
    <xf numFmtId="0" fontId="28" fillId="0" borderId="19" xfId="0" applyFont="1" applyFill="1" applyBorder="1" applyAlignment="1">
      <alignment horizontal="left" wrapText="1"/>
    </xf>
    <xf numFmtId="0" fontId="28" fillId="0" borderId="0" xfId="0" applyFont="1" applyFill="1" applyBorder="1"/>
    <xf numFmtId="0" fontId="7" fillId="0" borderId="2" xfId="0" applyFont="1" applyFill="1" applyBorder="1" applyAlignment="1">
      <alignment wrapText="1"/>
    </xf>
    <xf numFmtId="0" fontId="7" fillId="0" borderId="20" xfId="0" applyFont="1" applyFill="1" applyBorder="1" applyAlignment="1">
      <alignment horizontal="center" vertical="center" wrapText="1"/>
    </xf>
    <xf numFmtId="0" fontId="4" fillId="0" borderId="19" xfId="0" applyFont="1" applyFill="1" applyBorder="1" applyAlignment="1">
      <alignment horizontal="center" wrapText="1"/>
    </xf>
    <xf numFmtId="0" fontId="4" fillId="0" borderId="19" xfId="0" applyFont="1" applyFill="1" applyBorder="1" applyAlignment="1">
      <alignment horizontal="center"/>
    </xf>
    <xf numFmtId="0" fontId="7" fillId="0" borderId="0" xfId="0" applyFont="1" applyAlignment="1">
      <alignment wrapText="1"/>
    </xf>
    <xf numFmtId="0" fontId="4" fillId="0" borderId="2" xfId="0" applyFont="1" applyFill="1" applyBorder="1" applyAlignment="1" applyProtection="1">
      <alignment horizontal="center" vertical="center" wrapText="1"/>
      <protection locked="0"/>
    </xf>
    <xf numFmtId="0" fontId="27" fillId="0" borderId="23" xfId="0" applyFont="1" applyFill="1" applyBorder="1"/>
    <xf numFmtId="0" fontId="4" fillId="0" borderId="23" xfId="0" applyFont="1" applyFill="1" applyBorder="1" applyAlignment="1">
      <alignment horizontal="center" wrapText="1"/>
    </xf>
    <xf numFmtId="0" fontId="4" fillId="0" borderId="17" xfId="1" applyFont="1" applyFill="1" applyBorder="1" applyAlignment="1">
      <alignment horizontal="center" vertical="center"/>
    </xf>
    <xf numFmtId="2" fontId="4" fillId="0" borderId="22" xfId="0" applyNumberFormat="1" applyFont="1" applyFill="1" applyBorder="1" applyAlignment="1">
      <alignment horizontal="left" vertical="center"/>
    </xf>
    <xf numFmtId="0" fontId="4" fillId="0" borderId="5" xfId="0" applyFont="1" applyFill="1" applyBorder="1"/>
    <xf numFmtId="0" fontId="39" fillId="0" borderId="19" xfId="0" applyFont="1" applyFill="1" applyBorder="1" applyAlignment="1">
      <alignment horizontal="center" vertical="center"/>
    </xf>
    <xf numFmtId="0" fontId="4" fillId="0" borderId="2" xfId="0" applyFont="1" applyFill="1" applyBorder="1" applyAlignment="1">
      <alignment vertical="center" wrapText="1"/>
    </xf>
    <xf numFmtId="0" fontId="40" fillId="0" borderId="0" xfId="0" applyFont="1" applyFill="1" applyAlignment="1">
      <alignment horizontal="center"/>
    </xf>
    <xf numFmtId="0" fontId="40" fillId="0" borderId="0" xfId="0" applyFont="1" applyFill="1" applyBorder="1"/>
    <xf numFmtId="0" fontId="27" fillId="0" borderId="1" xfId="0" applyFont="1" applyFill="1" applyBorder="1"/>
    <xf numFmtId="0" fontId="4" fillId="0" borderId="19" xfId="0" applyFont="1" applyFill="1" applyBorder="1" applyAlignment="1">
      <alignment horizontal="center" vertical="top" wrapText="1"/>
    </xf>
    <xf numFmtId="0" fontId="28" fillId="0" borderId="19" xfId="0" applyFont="1" applyFill="1" applyBorder="1" applyAlignment="1">
      <alignment horizontal="left" vertical="top" wrapText="1"/>
    </xf>
    <xf numFmtId="0" fontId="28" fillId="0" borderId="19" xfId="0" applyFont="1" applyFill="1" applyBorder="1" applyAlignment="1">
      <alignment horizontal="center" vertical="top"/>
    </xf>
    <xf numFmtId="0" fontId="28" fillId="0" borderId="18" xfId="0" applyFont="1" applyFill="1" applyBorder="1" applyAlignment="1">
      <alignment horizontal="center"/>
    </xf>
    <xf numFmtId="0" fontId="38" fillId="0" borderId="19" xfId="0" applyFont="1" applyFill="1" applyBorder="1" applyAlignment="1" applyProtection="1">
      <alignment horizontal="left"/>
      <protection locked="0"/>
    </xf>
    <xf numFmtId="0" fontId="4" fillId="0" borderId="20" xfId="0" applyFont="1" applyFill="1" applyBorder="1" applyAlignment="1" applyProtection="1">
      <alignment horizontal="center"/>
      <protection locked="0"/>
    </xf>
    <xf numFmtId="0" fontId="4" fillId="0" borderId="19" xfId="0" applyFont="1" applyFill="1" applyBorder="1" applyAlignment="1" applyProtection="1">
      <alignment horizontal="center"/>
      <protection locked="0"/>
    </xf>
    <xf numFmtId="0" fontId="42" fillId="0" borderId="0" xfId="0" applyFont="1" applyFill="1" applyBorder="1"/>
    <xf numFmtId="0" fontId="4" fillId="0" borderId="20" xfId="0" applyFont="1" applyFill="1" applyBorder="1" applyAlignment="1" applyProtection="1">
      <protection locked="0"/>
    </xf>
    <xf numFmtId="0" fontId="43" fillId="0" borderId="0" xfId="0" applyFont="1" applyFill="1" applyBorder="1" applyAlignment="1"/>
    <xf numFmtId="0" fontId="4" fillId="0" borderId="2" xfId="0" applyFont="1" applyFill="1" applyBorder="1" applyAlignment="1" applyProtection="1">
      <alignment horizontal="center"/>
      <protection locked="0"/>
    </xf>
    <xf numFmtId="0" fontId="4" fillId="0" borderId="1" xfId="0" applyFont="1" applyFill="1" applyBorder="1" applyAlignment="1" applyProtection="1">
      <alignment horizontal="center"/>
      <protection locked="0"/>
    </xf>
    <xf numFmtId="0" fontId="4" fillId="0" borderId="1" xfId="0" applyFont="1" applyFill="1" applyBorder="1" applyAlignment="1" applyProtection="1">
      <protection locked="0"/>
    </xf>
    <xf numFmtId="0" fontId="4" fillId="0" borderId="2" xfId="0" applyFont="1" applyFill="1" applyBorder="1" applyAlignment="1" applyProtection="1">
      <alignment wrapText="1"/>
      <protection locked="0"/>
    </xf>
    <xf numFmtId="0" fontId="4" fillId="0" borderId="2" xfId="0" applyFont="1" applyFill="1" applyBorder="1" applyAlignment="1" applyProtection="1">
      <alignment horizontal="center" wrapText="1"/>
      <protection locked="0"/>
    </xf>
    <xf numFmtId="0" fontId="4" fillId="0" borderId="17" xfId="0" applyFont="1" applyFill="1" applyBorder="1" applyAlignment="1" applyProtection="1">
      <alignment horizontal="center"/>
      <protection locked="0"/>
    </xf>
    <xf numFmtId="0" fontId="4" fillId="0" borderId="17" xfId="0" applyFont="1" applyFill="1" applyBorder="1" applyAlignment="1" applyProtection="1">
      <protection locked="0"/>
    </xf>
    <xf numFmtId="0" fontId="4" fillId="0" borderId="1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38" fillId="0" borderId="33" xfId="0" applyFont="1" applyFill="1" applyBorder="1" applyAlignment="1">
      <alignment horizontal="center" vertical="center"/>
    </xf>
    <xf numFmtId="2" fontId="38" fillId="0" borderId="33" xfId="0" applyNumberFormat="1" applyFont="1" applyFill="1" applyBorder="1" applyAlignment="1">
      <alignment horizontal="center" vertical="center" wrapText="1"/>
    </xf>
    <xf numFmtId="0" fontId="4" fillId="0" borderId="33" xfId="0" applyFont="1" applyFill="1" applyBorder="1" applyAlignment="1">
      <alignment horizontal="center" wrapText="1"/>
    </xf>
    <xf numFmtId="0" fontId="28" fillId="0" borderId="33" xfId="0" applyFont="1" applyFill="1" applyBorder="1" applyAlignment="1">
      <alignment horizontal="left" wrapText="1"/>
    </xf>
    <xf numFmtId="0" fontId="28" fillId="0" borderId="33" xfId="0" applyFont="1" applyFill="1" applyBorder="1" applyAlignment="1">
      <alignment horizontal="center"/>
    </xf>
    <xf numFmtId="0" fontId="38" fillId="0" borderId="30" xfId="0" applyFont="1" applyFill="1" applyBorder="1"/>
    <xf numFmtId="0" fontId="27" fillId="0" borderId="20" xfId="0" applyFont="1" applyFill="1" applyBorder="1" applyAlignment="1">
      <alignment horizontal="center" vertical="center"/>
    </xf>
    <xf numFmtId="2" fontId="27" fillId="0" borderId="20" xfId="0" applyNumberFormat="1" applyFont="1" applyFill="1" applyBorder="1" applyAlignment="1">
      <alignment horizontal="center" vertical="center" wrapText="1"/>
    </xf>
    <xf numFmtId="0" fontId="4" fillId="0" borderId="20" xfId="0" applyFont="1" applyFill="1" applyBorder="1" applyAlignment="1">
      <alignment horizontal="center" wrapText="1"/>
    </xf>
    <xf numFmtId="2" fontId="38" fillId="0" borderId="2" xfId="0" applyNumberFormat="1" applyFont="1" applyFill="1" applyBorder="1" applyAlignment="1">
      <alignment horizontal="center" vertical="center" wrapText="1"/>
    </xf>
    <xf numFmtId="0" fontId="27" fillId="0" borderId="2" xfId="0" applyFont="1" applyFill="1" applyBorder="1" applyAlignment="1">
      <alignment horizontal="center" vertical="center"/>
    </xf>
    <xf numFmtId="2" fontId="27" fillId="0" borderId="2" xfId="0" applyNumberFormat="1" applyFont="1" applyFill="1" applyBorder="1" applyAlignment="1">
      <alignment horizontal="center" vertical="center" wrapText="1"/>
    </xf>
    <xf numFmtId="0" fontId="4" fillId="0" borderId="0" xfId="0" applyFont="1" applyFill="1" applyBorder="1" applyAlignment="1">
      <alignment horizontal="center" wrapText="1"/>
    </xf>
    <xf numFmtId="0" fontId="4" fillId="0" borderId="0" xfId="0" applyFont="1" applyBorder="1" applyAlignment="1">
      <alignment horizontal="center" wrapText="1"/>
    </xf>
    <xf numFmtId="0" fontId="23" fillId="0" borderId="0" xfId="0" applyFont="1" applyFill="1" applyBorder="1" applyAlignment="1">
      <alignment horizontal="center" wrapText="1"/>
    </xf>
    <xf numFmtId="1" fontId="4" fillId="0" borderId="29" xfId="0" applyNumberFormat="1" applyFont="1" applyFill="1" applyBorder="1" applyAlignment="1">
      <alignment horizontal="left"/>
    </xf>
    <xf numFmtId="1" fontId="4" fillId="0" borderId="30" xfId="0" applyNumberFormat="1" applyFont="1" applyFill="1" applyBorder="1" applyAlignment="1">
      <alignment horizontal="left"/>
    </xf>
    <xf numFmtId="1" fontId="4" fillId="0" borderId="32" xfId="0" applyNumberFormat="1" applyFont="1" applyFill="1" applyBorder="1" applyAlignment="1">
      <alignment horizontal="left"/>
    </xf>
    <xf numFmtId="0" fontId="7" fillId="0" borderId="6" xfId="0" applyFont="1" applyFill="1" applyBorder="1" applyAlignment="1">
      <alignment horizontal="left"/>
    </xf>
    <xf numFmtId="0" fontId="7" fillId="0" borderId="7" xfId="0" applyFont="1" applyFill="1" applyBorder="1" applyAlignment="1">
      <alignment horizontal="left"/>
    </xf>
    <xf numFmtId="0" fontId="7" fillId="0" borderId="34" xfId="0" applyFont="1" applyFill="1" applyBorder="1" applyAlignment="1">
      <alignment horizontal="left"/>
    </xf>
    <xf numFmtId="0" fontId="7" fillId="0" borderId="11" xfId="0" applyFont="1" applyFill="1" applyBorder="1" applyAlignment="1">
      <alignment horizontal="left"/>
    </xf>
    <xf numFmtId="0" fontId="7" fillId="0" borderId="0" xfId="0" applyFont="1" applyFill="1" applyBorder="1" applyAlignment="1">
      <alignment horizontal="left"/>
    </xf>
    <xf numFmtId="0" fontId="7" fillId="0" borderId="10" xfId="0" applyFont="1" applyFill="1" applyBorder="1" applyAlignment="1">
      <alignment horizontal="left"/>
    </xf>
    <xf numFmtId="0" fontId="7" fillId="0" borderId="13" xfId="0" applyFont="1" applyFill="1" applyBorder="1" applyAlignment="1">
      <alignment horizontal="left"/>
    </xf>
    <xf numFmtId="0" fontId="7" fillId="0" borderId="14" xfId="0" applyFont="1" applyFill="1" applyBorder="1" applyAlignment="1">
      <alignment horizontal="left"/>
    </xf>
    <xf numFmtId="0" fontId="7" fillId="0" borderId="35" xfId="0" applyFont="1" applyFill="1" applyBorder="1" applyAlignment="1">
      <alignment horizontal="left"/>
    </xf>
    <xf numFmtId="0" fontId="27" fillId="0" borderId="33" xfId="0" applyFont="1" applyFill="1" applyBorder="1" applyAlignment="1">
      <alignment horizontal="left"/>
    </xf>
    <xf numFmtId="0" fontId="27" fillId="0" borderId="3" xfId="0" applyFont="1" applyFill="1" applyBorder="1" applyAlignment="1">
      <alignment horizontal="left"/>
    </xf>
    <xf numFmtId="0" fontId="27" fillId="0" borderId="23" xfId="0" applyFont="1" applyFill="1" applyBorder="1" applyAlignment="1">
      <alignment horizontal="left"/>
    </xf>
    <xf numFmtId="0" fontId="7" fillId="0" borderId="25" xfId="0" applyFont="1" applyFill="1" applyBorder="1" applyAlignment="1">
      <alignment horizontal="left"/>
    </xf>
    <xf numFmtId="0" fontId="7" fillId="0" borderId="12" xfId="0" applyFont="1" applyFill="1" applyBorder="1" applyAlignment="1">
      <alignment horizontal="left"/>
    </xf>
    <xf numFmtId="0" fontId="7" fillId="0" borderId="24" xfId="0" applyFont="1" applyFill="1" applyBorder="1" applyAlignment="1">
      <alignment horizontal="left"/>
    </xf>
    <xf numFmtId="0" fontId="40" fillId="0" borderId="7" xfId="0" applyFont="1" applyFill="1" applyBorder="1" applyAlignment="1">
      <alignment horizontal="center"/>
    </xf>
    <xf numFmtId="0" fontId="40" fillId="0" borderId="0" xfId="0" applyFont="1" applyFill="1" applyBorder="1" applyAlignment="1">
      <alignment horizontal="center"/>
    </xf>
    <xf numFmtId="0" fontId="40" fillId="0" borderId="14" xfId="0" applyFont="1" applyFill="1" applyBorder="1" applyAlignment="1">
      <alignment horizontal="center"/>
    </xf>
    <xf numFmtId="0" fontId="4" fillId="0" borderId="2" xfId="0" applyFont="1" applyFill="1" applyBorder="1" applyAlignment="1"/>
    <xf numFmtId="0" fontId="4" fillId="0" borderId="2" xfId="0" applyFont="1" applyFill="1" applyBorder="1" applyAlignment="1">
      <alignment horizontal="center"/>
    </xf>
    <xf numFmtId="0" fontId="4" fillId="0" borderId="1" xfId="0" applyFont="1" applyFill="1" applyBorder="1" applyAlignment="1">
      <alignment horizontal="center"/>
    </xf>
    <xf numFmtId="0" fontId="4" fillId="0" borderId="20" xfId="0" applyFont="1" applyFill="1" applyBorder="1" applyAlignment="1">
      <alignment horizontal="center"/>
    </xf>
    <xf numFmtId="0" fontId="4" fillId="0" borderId="27" xfId="0" applyFont="1" applyFill="1" applyBorder="1" applyAlignment="1"/>
    <xf numFmtId="0" fontId="4" fillId="0" borderId="28" xfId="0" applyFont="1" applyFill="1" applyBorder="1" applyAlignment="1"/>
    <xf numFmtId="0" fontId="4" fillId="0" borderId="2" xfId="0" applyFont="1" applyFill="1" applyBorder="1" applyAlignment="1">
      <alignment wrapText="1"/>
    </xf>
    <xf numFmtId="0" fontId="4" fillId="0" borderId="1" xfId="0" applyFont="1" applyFill="1" applyBorder="1" applyAlignment="1">
      <alignment wrapText="1"/>
    </xf>
    <xf numFmtId="0" fontId="4" fillId="0" borderId="20" xfId="0" applyFont="1" applyFill="1" applyBorder="1" applyAlignment="1">
      <alignment wrapText="1"/>
    </xf>
    <xf numFmtId="0" fontId="4" fillId="2" borderId="1"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23" fillId="0" borderId="0" xfId="0" applyFont="1" applyFill="1" applyBorder="1" applyAlignment="1">
      <alignment horizontal="center" wrapText="1"/>
    </xf>
    <xf numFmtId="0" fontId="4" fillId="2" borderId="2" xfId="0" applyFont="1" applyFill="1" applyBorder="1" applyAlignment="1">
      <alignment horizontal="center" vertical="center" wrapText="1" shrinkToFit="1"/>
    </xf>
    <xf numFmtId="0" fontId="4" fillId="3"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wrapText="1"/>
    </xf>
    <xf numFmtId="1" fontId="4" fillId="0" borderId="1" xfId="0" applyNumberFormat="1" applyFont="1" applyFill="1" applyBorder="1" applyAlignment="1">
      <alignment horizontal="left"/>
    </xf>
    <xf numFmtId="1" fontId="4" fillId="0" borderId="13" xfId="0" applyNumberFormat="1" applyFont="1" applyFill="1" applyBorder="1" applyAlignment="1">
      <alignment horizontal="left"/>
    </xf>
    <xf numFmtId="1" fontId="4" fillId="0" borderId="14" xfId="0" applyNumberFormat="1" applyFont="1" applyFill="1" applyBorder="1" applyAlignment="1">
      <alignment horizontal="left"/>
    </xf>
    <xf numFmtId="1" fontId="4" fillId="0" borderId="35" xfId="0" applyNumberFormat="1" applyFont="1" applyFill="1" applyBorder="1" applyAlignment="1">
      <alignment horizontal="left"/>
    </xf>
    <xf numFmtId="0" fontId="5" fillId="0" borderId="4" xfId="0" applyFont="1" applyBorder="1" applyAlignment="1">
      <alignment horizontal="center" vertical="center"/>
    </xf>
    <xf numFmtId="0" fontId="5" fillId="0" borderId="41" xfId="0" applyFont="1" applyBorder="1" applyAlignment="1">
      <alignment horizontal="center" vertical="center"/>
    </xf>
    <xf numFmtId="0" fontId="5" fillId="0" borderId="2" xfId="0" applyFont="1" applyBorder="1" applyAlignment="1">
      <alignment horizontal="center" vertical="center"/>
    </xf>
    <xf numFmtId="0" fontId="36" fillId="4" borderId="2" xfId="0" applyFont="1" applyFill="1" applyBorder="1" applyAlignment="1">
      <alignment horizontal="center"/>
    </xf>
    <xf numFmtId="0" fontId="5" fillId="0" borderId="2" xfId="0" applyFont="1" applyBorder="1" applyAlignment="1">
      <alignment horizontal="center" vertical="center" wrapText="1"/>
    </xf>
    <xf numFmtId="0" fontId="33" fillId="0" borderId="2" xfId="0" applyFont="1" applyBorder="1" applyAlignment="1">
      <alignment horizontal="center"/>
    </xf>
    <xf numFmtId="0" fontId="5" fillId="0" borderId="2" xfId="0" applyFont="1" applyBorder="1" applyAlignment="1">
      <alignment horizontal="center" wrapText="1"/>
    </xf>
    <xf numFmtId="0" fontId="5" fillId="0" borderId="4" xfId="0" applyFont="1" applyBorder="1" applyAlignment="1">
      <alignment horizontal="center" vertical="center" wrapText="1"/>
    </xf>
    <xf numFmtId="0" fontId="5" fillId="0" borderId="41"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0" xfId="0" applyFont="1" applyBorder="1" applyAlignment="1">
      <alignment horizontal="center" vertical="center" wrapText="1"/>
    </xf>
    <xf numFmtId="0" fontId="36" fillId="10" borderId="2" xfId="0" applyFont="1" applyFill="1" applyBorder="1" applyAlignment="1">
      <alignment horizontal="center" vertical="center"/>
    </xf>
    <xf numFmtId="0" fontId="35" fillId="0" borderId="40" xfId="0" applyFont="1" applyBorder="1" applyAlignment="1">
      <alignment horizontal="center"/>
    </xf>
    <xf numFmtId="0" fontId="34" fillId="0" borderId="2" xfId="0" applyFont="1" applyBorder="1" applyAlignment="1">
      <alignment horizontal="center" vertical="center"/>
    </xf>
    <xf numFmtId="0" fontId="33" fillId="9" borderId="2" xfId="0" applyFont="1" applyFill="1" applyBorder="1" applyAlignment="1">
      <alignment horizontal="center"/>
    </xf>
    <xf numFmtId="0" fontId="5" fillId="0" borderId="20" xfId="0" applyFont="1" applyBorder="1" applyAlignment="1">
      <alignment horizontal="center" vertical="center" wrapText="1"/>
    </xf>
    <xf numFmtId="0" fontId="33" fillId="0" borderId="20" xfId="0" applyFont="1" applyBorder="1" applyAlignment="1">
      <alignment horizontal="center"/>
    </xf>
    <xf numFmtId="0" fontId="5" fillId="0" borderId="20" xfId="0" applyFont="1" applyBorder="1" applyAlignment="1">
      <alignment horizontal="center" vertical="center"/>
    </xf>
    <xf numFmtId="0" fontId="5" fillId="0" borderId="20" xfId="0" applyFont="1" applyBorder="1" applyAlignment="1">
      <alignment horizontal="center" wrapText="1"/>
    </xf>
    <xf numFmtId="2" fontId="34" fillId="0" borderId="4" xfId="0" applyNumberFormat="1" applyFont="1" applyBorder="1" applyAlignment="1">
      <alignment horizontal="center"/>
    </xf>
    <xf numFmtId="2" fontId="34" fillId="0" borderId="41" xfId="0" applyNumberFormat="1" applyFont="1" applyBorder="1" applyAlignment="1">
      <alignment horizontal="center"/>
    </xf>
    <xf numFmtId="0" fontId="34" fillId="0" borderId="41" xfId="0" applyFont="1" applyBorder="1" applyAlignment="1">
      <alignment horizontal="center"/>
    </xf>
    <xf numFmtId="0" fontId="34" fillId="0" borderId="5" xfId="0" applyFont="1" applyBorder="1" applyAlignment="1">
      <alignment horizontal="center"/>
    </xf>
    <xf numFmtId="2" fontId="5" fillId="0" borderId="4" xfId="0" applyNumberFormat="1" applyFont="1" applyBorder="1" applyAlignment="1">
      <alignment horizontal="center" vertical="center"/>
    </xf>
    <xf numFmtId="2" fontId="5" fillId="0" borderId="5" xfId="0" applyNumberFormat="1" applyFont="1" applyBorder="1" applyAlignment="1">
      <alignment horizontal="center" vertical="center"/>
    </xf>
    <xf numFmtId="0" fontId="33" fillId="0" borderId="2" xfId="0" applyFont="1" applyBorder="1" applyAlignment="1">
      <alignment horizontal="center" vertical="center" wrapText="1"/>
    </xf>
    <xf numFmtId="2" fontId="5" fillId="0" borderId="2" xfId="0" applyNumberFormat="1" applyFont="1" applyBorder="1" applyAlignment="1">
      <alignment horizontal="center" vertical="center"/>
    </xf>
  </cellXfs>
  <cellStyles count="64">
    <cellStyle name="”€ќђќ‘ћ‚›‰" xfId="6"/>
    <cellStyle name="”€ќђќ‘ћ‚›‰ 2" xfId="7"/>
    <cellStyle name="”€љ‘€ђћ‚ђќќ›‰" xfId="8"/>
    <cellStyle name="”€љ‘€ђћ‚ђќќ›‰ 2" xfId="9"/>
    <cellStyle name="”ќђќ‘ћ‚›‰" xfId="10"/>
    <cellStyle name="”ќђќ‘ћ‚›‰ 2" xfId="11"/>
    <cellStyle name="”ќђќ‘ћ‚›‰ 3" xfId="12"/>
    <cellStyle name="”љ‘ђћ‚ђќќ›‰" xfId="13"/>
    <cellStyle name="”љ‘ђћ‚ђќќ›‰ 2" xfId="14"/>
    <cellStyle name="”љ‘ђћ‚ђќќ›‰ 3" xfId="15"/>
    <cellStyle name="„…ќ…†ќ›‰" xfId="16"/>
    <cellStyle name="„…ќ…†ќ›‰ 2" xfId="17"/>
    <cellStyle name="„ђ’ђ" xfId="18"/>
    <cellStyle name="„ђ’ђ 2" xfId="19"/>
    <cellStyle name="„ђ’ђ 3" xfId="20"/>
    <cellStyle name="€’ћѓћ‚›‰" xfId="25"/>
    <cellStyle name="€’ћѓћ‚›‰ 2" xfId="26"/>
    <cellStyle name="‡ђѓћ‹ћ‚ћљ1" xfId="21"/>
    <cellStyle name="‡ђѓћ‹ћ‚ћљ1 2" xfId="22"/>
    <cellStyle name="‡ђѓћ‹ћ‚ћљ2" xfId="23"/>
    <cellStyle name="‡ђѓћ‹ћ‚ћљ2 2" xfId="24"/>
    <cellStyle name="’ћѓћ‚›‰" xfId="3"/>
    <cellStyle name="’ћѓћ‚›‰ 2" xfId="4"/>
    <cellStyle name="’ћѓћ‚›‰ 3" xfId="5"/>
    <cellStyle name="Comma [0]_laroux" xfId="27"/>
    <cellStyle name="Comma_laroux" xfId="28"/>
    <cellStyle name="Currency [0]" xfId="29"/>
    <cellStyle name="Currency_laroux" xfId="30"/>
    <cellStyle name="F2" xfId="31"/>
    <cellStyle name="F2 2" xfId="32"/>
    <cellStyle name="F2 3" xfId="33"/>
    <cellStyle name="F3" xfId="34"/>
    <cellStyle name="F3 2" xfId="35"/>
    <cellStyle name="F3 3" xfId="36"/>
    <cellStyle name="F4" xfId="37"/>
    <cellStyle name="F4 2" xfId="38"/>
    <cellStyle name="F4 3" xfId="39"/>
    <cellStyle name="F5" xfId="40"/>
    <cellStyle name="F5 2" xfId="41"/>
    <cellStyle name="F5 3" xfId="42"/>
    <cellStyle name="F6" xfId="43"/>
    <cellStyle name="F6 2" xfId="44"/>
    <cellStyle name="F6 3" xfId="45"/>
    <cellStyle name="F7" xfId="46"/>
    <cellStyle name="F7 2" xfId="47"/>
    <cellStyle name="F7 3" xfId="48"/>
    <cellStyle name="F8" xfId="49"/>
    <cellStyle name="F8 2" xfId="50"/>
    <cellStyle name="F8 3" xfId="51"/>
    <cellStyle name="Normal_ASUS" xfId="52"/>
    <cellStyle name="Normal1" xfId="53"/>
    <cellStyle name="Price_Body" xfId="54"/>
    <cellStyle name="Беззащитный" xfId="55"/>
    <cellStyle name="Гиперссылка" xfId="1" builtinId="8"/>
    <cellStyle name="Защитный" xfId="56"/>
    <cellStyle name="Обычный" xfId="0" builtinId="0"/>
    <cellStyle name="Обычный 2" xfId="57"/>
    <cellStyle name="Обычный 3" xfId="2"/>
    <cellStyle name="Поле ввода" xfId="58"/>
    <cellStyle name="Стиль 1" xfId="59"/>
    <cellStyle name="Тысячи [0]_3Com" xfId="60"/>
    <cellStyle name="Тысячи_3Com" xfId="61"/>
    <cellStyle name="Џђћ–…ќ’ќ›‰" xfId="62"/>
    <cellStyle name="Џђћ–…ќ’ќ›‰ 2" xfId="63"/>
  </cellStyles>
  <dxfs count="0"/>
  <tableStyles count="0" defaultTableStyle="TableStyleMedium2" defaultPivotStyle="PivotStyleMedium9"/>
  <colors>
    <mruColors>
      <color rgb="FFFF99FF"/>
      <color rgb="FFFF66CC"/>
      <color rgb="FF99FFCC"/>
      <color rgb="FFDAEEF3"/>
      <color rgb="FFFABF8F"/>
      <color rgb="FFE6B8B7"/>
      <color rgb="FF00FF00"/>
      <color rgb="FFFFFF99"/>
      <color rgb="FF00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3.bin"/><Relationship Id="rId7"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heetPr>
  <dimension ref="A1:O629"/>
  <sheetViews>
    <sheetView tabSelected="1" view="pageBreakPreview" zoomScale="70" zoomScaleNormal="85" zoomScaleSheetLayoutView="70" zoomScalePageLayoutView="10" workbookViewId="0">
      <selection activeCell="A3" sqref="A3:XFD8"/>
    </sheetView>
  </sheetViews>
  <sheetFormatPr defaultColWidth="9.140625" defaultRowHeight="12.75" outlineLevelRow="2" outlineLevelCol="1"/>
  <cols>
    <col min="1" max="1" width="8" style="201" customWidth="1"/>
    <col min="2" max="2" width="6.85546875" style="201" customWidth="1" outlineLevel="1"/>
    <col min="3" max="3" width="5.85546875" style="201" customWidth="1" outlineLevel="1"/>
    <col min="4" max="4" width="10.42578125" style="201" customWidth="1" outlineLevel="1"/>
    <col min="5" max="5" width="13" style="201" customWidth="1" outlineLevel="1"/>
    <col min="6" max="6" width="43.140625" style="201" customWidth="1"/>
    <col min="7" max="7" width="14.85546875" style="202" customWidth="1"/>
    <col min="8" max="8" width="20.7109375" style="201" customWidth="1"/>
    <col min="9" max="9" width="6.5703125" style="188" customWidth="1"/>
    <col min="10" max="10" width="9.42578125" style="203" customWidth="1"/>
    <col min="11" max="11" width="9" style="203" customWidth="1"/>
    <col min="12" max="12" width="56.42578125" style="201" customWidth="1"/>
    <col min="13" max="13" width="6.42578125" style="201" hidden="1" customWidth="1" outlineLevel="1"/>
    <col min="14" max="14" width="14.140625" style="201" hidden="1" customWidth="1" outlineLevel="1"/>
    <col min="15" max="15" width="9.140625" style="9" collapsed="1"/>
    <col min="16" max="16384" width="9.140625" style="9"/>
  </cols>
  <sheetData>
    <row r="1" spans="1:14" ht="4.5" customHeight="1"/>
    <row r="2" spans="1:14">
      <c r="A2" s="204"/>
      <c r="B2" s="204"/>
      <c r="C2" s="204"/>
      <c r="D2" s="204"/>
      <c r="E2" s="204"/>
    </row>
    <row r="3" spans="1:14" ht="22.9" customHeight="1">
      <c r="A3" s="204"/>
      <c r="B3" s="204"/>
      <c r="C3" s="204"/>
      <c r="D3" s="204"/>
      <c r="E3" s="204"/>
    </row>
    <row r="4" spans="1:14" ht="19.5" customHeight="1">
      <c r="A4" s="205"/>
      <c r="B4" s="205"/>
      <c r="C4" s="205"/>
      <c r="D4" s="205"/>
      <c r="E4" s="205"/>
      <c r="F4" s="322" t="s">
        <v>171</v>
      </c>
      <c r="G4" s="322"/>
      <c r="H4" s="322"/>
      <c r="I4" s="322"/>
      <c r="J4" s="322"/>
      <c r="K4" s="322"/>
      <c r="L4" s="322"/>
      <c r="M4" s="322"/>
      <c r="N4" s="322"/>
    </row>
    <row r="5" spans="1:14" ht="19.5" customHeight="1">
      <c r="A5" s="205"/>
      <c r="B5" s="205"/>
      <c r="C5" s="205"/>
      <c r="D5" s="205"/>
      <c r="E5" s="205"/>
      <c r="F5" s="286"/>
      <c r="G5" s="286"/>
      <c r="H5" s="286"/>
      <c r="I5" s="286"/>
      <c r="J5" s="286"/>
      <c r="K5" s="286"/>
      <c r="L5" s="286"/>
      <c r="M5" s="286"/>
      <c r="N5" s="286"/>
    </row>
    <row r="6" spans="1:14" ht="18.75" customHeight="1">
      <c r="A6" s="205"/>
      <c r="B6" s="205"/>
      <c r="C6" s="205"/>
      <c r="D6" s="205"/>
      <c r="E6" s="205"/>
      <c r="F6" s="206"/>
      <c r="G6" s="207"/>
      <c r="H6" s="206"/>
      <c r="I6" s="208"/>
      <c r="J6" s="37"/>
      <c r="K6" s="37"/>
      <c r="L6" s="209"/>
      <c r="M6" s="209"/>
      <c r="N6" s="189"/>
    </row>
    <row r="7" spans="1:14" ht="21" customHeight="1">
      <c r="A7" s="319" t="s">
        <v>0</v>
      </c>
      <c r="B7" s="319" t="s">
        <v>1</v>
      </c>
      <c r="C7" s="319" t="s">
        <v>2</v>
      </c>
      <c r="D7" s="319" t="s">
        <v>3</v>
      </c>
      <c r="E7" s="317" t="s">
        <v>4</v>
      </c>
      <c r="F7" s="317" t="s">
        <v>5</v>
      </c>
      <c r="G7" s="323" t="s">
        <v>6</v>
      </c>
      <c r="H7" s="323"/>
      <c r="I7" s="319" t="s">
        <v>7</v>
      </c>
      <c r="J7" s="324" t="s">
        <v>8</v>
      </c>
      <c r="K7" s="324"/>
      <c r="L7" s="319" t="s">
        <v>9</v>
      </c>
      <c r="M7" s="325" t="s">
        <v>10</v>
      </c>
      <c r="N7" s="319" t="s">
        <v>11</v>
      </c>
    </row>
    <row r="8" spans="1:14" ht="12.75" customHeight="1">
      <c r="A8" s="320"/>
      <c r="B8" s="320"/>
      <c r="C8" s="320"/>
      <c r="D8" s="320"/>
      <c r="E8" s="318"/>
      <c r="F8" s="318"/>
      <c r="G8" s="323"/>
      <c r="H8" s="323"/>
      <c r="I8" s="320"/>
      <c r="J8" s="210" t="s">
        <v>12</v>
      </c>
      <c r="K8" s="210" t="s">
        <v>13</v>
      </c>
      <c r="L8" s="320"/>
      <c r="M8" s="326"/>
      <c r="N8" s="320"/>
    </row>
    <row r="9" spans="1:14">
      <c r="A9" s="320"/>
      <c r="B9" s="320"/>
      <c r="C9" s="320"/>
      <c r="D9" s="320"/>
      <c r="E9" s="318"/>
      <c r="F9" s="318"/>
      <c r="G9" s="211" t="s">
        <v>15</v>
      </c>
      <c r="H9" s="211" t="s">
        <v>16</v>
      </c>
      <c r="I9" s="320"/>
      <c r="J9" s="212" t="s">
        <v>17</v>
      </c>
      <c r="K9" s="212" t="s">
        <v>17</v>
      </c>
      <c r="L9" s="321"/>
      <c r="M9" s="327"/>
      <c r="N9" s="321"/>
    </row>
    <row r="10" spans="1:14" s="213" customFormat="1" ht="15" hidden="1" customHeight="1">
      <c r="A10" s="123"/>
      <c r="B10" s="123"/>
      <c r="C10" s="123"/>
      <c r="D10" s="123"/>
      <c r="E10" s="123" t="s">
        <v>84</v>
      </c>
      <c r="F10" s="123"/>
      <c r="G10" s="178"/>
      <c r="H10" s="123"/>
      <c r="I10" s="172"/>
      <c r="J10" s="172"/>
      <c r="K10" s="172"/>
      <c r="L10" s="123"/>
      <c r="M10" s="123"/>
      <c r="N10" s="123"/>
    </row>
    <row r="11" spans="1:14" s="213" customFormat="1" ht="15" hidden="1" customHeight="1">
      <c r="A11" s="123"/>
      <c r="B11" s="123"/>
      <c r="C11" s="123"/>
      <c r="D11" s="123"/>
      <c r="E11" s="123" t="s">
        <v>75</v>
      </c>
      <c r="F11" s="123"/>
      <c r="G11" s="178"/>
      <c r="H11" s="123"/>
      <c r="I11" s="172"/>
      <c r="J11" s="172"/>
      <c r="K11" s="172"/>
      <c r="L11" s="123"/>
      <c r="M11" s="123"/>
      <c r="N11" s="123"/>
    </row>
    <row r="12" spans="1:14" s="213" customFormat="1" ht="15" hidden="1" customHeight="1">
      <c r="A12" s="123"/>
      <c r="B12" s="123"/>
      <c r="C12" s="123"/>
      <c r="D12" s="123"/>
      <c r="E12" s="123" t="s">
        <v>86</v>
      </c>
      <c r="F12" s="123"/>
      <c r="G12" s="178"/>
      <c r="H12" s="123"/>
      <c r="I12" s="172"/>
      <c r="J12" s="172"/>
      <c r="K12" s="172"/>
      <c r="L12" s="123"/>
      <c r="M12" s="123"/>
      <c r="N12" s="123"/>
    </row>
    <row r="13" spans="1:14" s="213" customFormat="1" ht="15" hidden="1" customHeight="1">
      <c r="A13" s="123"/>
      <c r="B13" s="123"/>
      <c r="C13" s="123"/>
      <c r="D13" s="123"/>
      <c r="E13" s="123" t="s">
        <v>103</v>
      </c>
      <c r="F13" s="123"/>
      <c r="G13" s="178"/>
      <c r="H13" s="123"/>
      <c r="I13" s="172"/>
      <c r="J13" s="172"/>
      <c r="K13" s="172"/>
      <c r="L13" s="123"/>
      <c r="M13" s="123"/>
      <c r="N13" s="123"/>
    </row>
    <row r="14" spans="1:14" s="213" customFormat="1" ht="15" hidden="1" customHeight="1">
      <c r="A14" s="123"/>
      <c r="B14" s="123"/>
      <c r="C14" s="123"/>
      <c r="D14" s="123"/>
      <c r="E14" s="123" t="s">
        <v>85</v>
      </c>
      <c r="F14" s="123"/>
      <c r="G14" s="178"/>
      <c r="H14" s="123"/>
      <c r="I14" s="172"/>
      <c r="J14" s="172"/>
      <c r="K14" s="172"/>
      <c r="L14" s="123"/>
      <c r="M14" s="123"/>
      <c r="N14" s="123"/>
    </row>
    <row r="15" spans="1:14" s="213" customFormat="1" ht="15" hidden="1" customHeight="1">
      <c r="A15" s="123"/>
      <c r="B15" s="123"/>
      <c r="C15" s="123"/>
      <c r="D15" s="123"/>
      <c r="E15" s="123" t="s">
        <v>77</v>
      </c>
      <c r="F15" s="123"/>
      <c r="G15" s="178"/>
      <c r="H15" s="123"/>
      <c r="I15" s="172"/>
      <c r="J15" s="172"/>
      <c r="K15" s="172"/>
      <c r="L15" s="123"/>
      <c r="M15" s="123"/>
      <c r="N15" s="123"/>
    </row>
    <row r="16" spans="1:14" s="213" customFormat="1" ht="15" hidden="1" customHeight="1">
      <c r="A16" s="123"/>
      <c r="B16" s="123"/>
      <c r="C16" s="123"/>
      <c r="D16" s="123"/>
      <c r="E16" s="123" t="s">
        <v>78</v>
      </c>
      <c r="F16" s="123"/>
      <c r="G16" s="178"/>
      <c r="H16" s="123"/>
      <c r="I16" s="172"/>
      <c r="J16" s="172"/>
      <c r="K16" s="172"/>
      <c r="L16" s="123"/>
      <c r="M16" s="123"/>
      <c r="N16" s="123"/>
    </row>
    <row r="17" spans="1:14" s="213" customFormat="1" ht="15" hidden="1" customHeight="1">
      <c r="A17" s="123"/>
      <c r="B17" s="123"/>
      <c r="C17" s="123"/>
      <c r="D17" s="123"/>
      <c r="E17" s="214" t="s">
        <v>732</v>
      </c>
      <c r="F17" s="214"/>
      <c r="G17" s="215"/>
      <c r="H17" s="214"/>
      <c r="I17" s="216"/>
      <c r="J17" s="216"/>
      <c r="K17" s="216"/>
      <c r="L17" s="214"/>
      <c r="M17" s="217" t="s">
        <v>33</v>
      </c>
      <c r="N17" s="190">
        <f>N18+N19</f>
        <v>115.59</v>
      </c>
    </row>
    <row r="18" spans="1:14" s="220" customFormat="1" ht="15" hidden="1" customHeight="1">
      <c r="A18" s="218"/>
      <c r="B18" s="218"/>
      <c r="C18" s="218"/>
      <c r="D18" s="218"/>
      <c r="E18" s="218" t="s">
        <v>87</v>
      </c>
      <c r="F18" s="218"/>
      <c r="G18" s="178"/>
      <c r="H18" s="123"/>
      <c r="I18" s="219"/>
      <c r="J18" s="219"/>
      <c r="K18" s="219"/>
      <c r="L18" s="218"/>
      <c r="M18" s="218" t="s">
        <v>33</v>
      </c>
      <c r="N18" s="191">
        <f>N69+N79+N88+N90+N102+N107+N114</f>
        <v>41.559999999999995</v>
      </c>
    </row>
    <row r="19" spans="1:14" s="220" customFormat="1" ht="15" hidden="1" customHeight="1">
      <c r="A19" s="218"/>
      <c r="B19" s="218"/>
      <c r="C19" s="218"/>
      <c r="D19" s="218"/>
      <c r="E19" s="218" t="s">
        <v>740</v>
      </c>
      <c r="F19" s="218"/>
      <c r="G19" s="178"/>
      <c r="H19" s="123"/>
      <c r="I19" s="219"/>
      <c r="J19" s="219"/>
      <c r="K19" s="219"/>
      <c r="L19" s="218"/>
      <c r="M19" s="218" t="s">
        <v>33</v>
      </c>
      <c r="N19" s="191">
        <f>SUM(N67,N77,N92,N106)</f>
        <v>74.03</v>
      </c>
    </row>
    <row r="20" spans="1:14" s="223" customFormat="1" ht="15" hidden="1" customHeight="1">
      <c r="A20" s="217"/>
      <c r="B20" s="217"/>
      <c r="C20" s="217"/>
      <c r="D20" s="217"/>
      <c r="E20" s="217"/>
      <c r="F20" s="217"/>
      <c r="G20" s="215"/>
      <c r="H20" s="214"/>
      <c r="I20" s="221"/>
      <c r="J20" s="221"/>
      <c r="K20" s="221"/>
      <c r="L20" s="222" t="s">
        <v>155</v>
      </c>
      <c r="M20" s="222" t="s">
        <v>33</v>
      </c>
      <c r="N20" s="192">
        <f>N102+N107+N114</f>
        <v>7.8</v>
      </c>
    </row>
    <row r="21" spans="1:14" s="213" customFormat="1" ht="15" hidden="1" customHeight="1">
      <c r="A21" s="123"/>
      <c r="B21" s="123"/>
      <c r="C21" s="123"/>
      <c r="D21" s="123"/>
      <c r="E21" s="123"/>
      <c r="F21" s="123"/>
      <c r="G21" s="178"/>
      <c r="H21" s="123"/>
      <c r="I21" s="172"/>
      <c r="J21" s="172"/>
      <c r="K21" s="172"/>
      <c r="L21" s="194" t="s">
        <v>741</v>
      </c>
      <c r="M21" s="123" t="s">
        <v>33</v>
      </c>
      <c r="N21" s="193">
        <f>N102+N107+N114</f>
        <v>7.8</v>
      </c>
    </row>
    <row r="22" spans="1:14" s="213" customFormat="1" ht="15" hidden="1" customHeight="1">
      <c r="A22" s="123"/>
      <c r="B22" s="123"/>
      <c r="C22" s="123"/>
      <c r="D22" s="123"/>
      <c r="E22" s="123"/>
      <c r="F22" s="123"/>
      <c r="G22" s="178"/>
      <c r="H22" s="123"/>
      <c r="I22" s="172"/>
      <c r="J22" s="172"/>
      <c r="K22" s="172"/>
      <c r="L22" s="194" t="s">
        <v>740</v>
      </c>
      <c r="M22" s="123" t="s">
        <v>33</v>
      </c>
      <c r="N22" s="193">
        <f>SUM(N106,N92)</f>
        <v>27.450000000000003</v>
      </c>
    </row>
    <row r="23" spans="1:14" s="223" customFormat="1" ht="15" hidden="1" customHeight="1">
      <c r="A23" s="217"/>
      <c r="B23" s="217"/>
      <c r="C23" s="217"/>
      <c r="D23" s="217"/>
      <c r="E23" s="217"/>
      <c r="F23" s="217"/>
      <c r="G23" s="215"/>
      <c r="H23" s="214"/>
      <c r="I23" s="221"/>
      <c r="J23" s="221"/>
      <c r="K23" s="221"/>
      <c r="L23" s="222" t="s">
        <v>154</v>
      </c>
      <c r="M23" s="222" t="s">
        <v>33</v>
      </c>
      <c r="N23" s="192">
        <f>N69+N79++N88+N90</f>
        <v>33.76</v>
      </c>
    </row>
    <row r="24" spans="1:14" s="213" customFormat="1" ht="15" hidden="1" customHeight="1">
      <c r="A24" s="123"/>
      <c r="B24" s="123"/>
      <c r="C24" s="123"/>
      <c r="D24" s="123"/>
      <c r="E24" s="123"/>
      <c r="F24" s="123"/>
      <c r="G24" s="178"/>
      <c r="H24" s="123"/>
      <c r="I24" s="172"/>
      <c r="J24" s="172"/>
      <c r="K24" s="172"/>
      <c r="L24" s="194" t="s">
        <v>741</v>
      </c>
      <c r="M24" s="123" t="s">
        <v>33</v>
      </c>
      <c r="N24" s="193">
        <f>N69+N79+N88+N90</f>
        <v>33.76</v>
      </c>
    </row>
    <row r="25" spans="1:14" s="213" customFormat="1" ht="15" hidden="1" customHeight="1">
      <c r="A25" s="123"/>
      <c r="B25" s="123"/>
      <c r="C25" s="123"/>
      <c r="D25" s="123"/>
      <c r="E25" s="123"/>
      <c r="F25" s="123"/>
      <c r="G25" s="178"/>
      <c r="H25" s="123"/>
      <c r="I25" s="172"/>
      <c r="J25" s="172"/>
      <c r="K25" s="172"/>
      <c r="L25" s="194" t="s">
        <v>740</v>
      </c>
      <c r="M25" s="123" t="s">
        <v>33</v>
      </c>
      <c r="N25" s="193">
        <f>SUM(N67,N77)</f>
        <v>46.58</v>
      </c>
    </row>
    <row r="26" spans="1:14" s="223" customFormat="1" ht="15" hidden="1" customHeight="1">
      <c r="A26" s="217"/>
      <c r="B26" s="217"/>
      <c r="C26" s="217"/>
      <c r="D26" s="217"/>
      <c r="E26" s="217"/>
      <c r="F26" s="217"/>
      <c r="G26" s="215"/>
      <c r="H26" s="214"/>
      <c r="I26" s="221"/>
      <c r="J26" s="221"/>
      <c r="K26" s="221"/>
      <c r="L26" s="222" t="s">
        <v>58</v>
      </c>
      <c r="M26" s="222" t="s">
        <v>33</v>
      </c>
      <c r="N26" s="192">
        <v>0</v>
      </c>
    </row>
    <row r="27" spans="1:14" s="213" customFormat="1" ht="15" hidden="1" customHeight="1">
      <c r="A27" s="123"/>
      <c r="B27" s="123"/>
      <c r="C27" s="123"/>
      <c r="D27" s="123"/>
      <c r="E27" s="123"/>
      <c r="F27" s="123"/>
      <c r="G27" s="178"/>
      <c r="H27" s="123"/>
      <c r="I27" s="172"/>
      <c r="J27" s="172"/>
      <c r="K27" s="172"/>
      <c r="L27" s="194" t="s">
        <v>741</v>
      </c>
      <c r="M27" s="123" t="s">
        <v>33</v>
      </c>
      <c r="N27" s="194">
        <v>0</v>
      </c>
    </row>
    <row r="28" spans="1:14" s="213" customFormat="1" ht="15" hidden="1" customHeight="1">
      <c r="A28" s="123"/>
      <c r="B28" s="123"/>
      <c r="C28" s="123"/>
      <c r="D28" s="123"/>
      <c r="E28" s="123"/>
      <c r="F28" s="123"/>
      <c r="G28" s="178"/>
      <c r="H28" s="123"/>
      <c r="I28" s="172"/>
      <c r="J28" s="172"/>
      <c r="K28" s="172"/>
      <c r="L28" s="194" t="s">
        <v>740</v>
      </c>
      <c r="M28" s="123" t="s">
        <v>33</v>
      </c>
      <c r="N28" s="193">
        <v>0</v>
      </c>
    </row>
    <row r="29" spans="1:14" s="224" customFormat="1" ht="15" hidden="1" customHeight="1">
      <c r="A29" s="214"/>
      <c r="B29" s="214"/>
      <c r="C29" s="214"/>
      <c r="D29" s="214"/>
      <c r="E29" s="214" t="s">
        <v>731</v>
      </c>
      <c r="F29" s="214"/>
      <c r="G29" s="215"/>
      <c r="H29" s="214"/>
      <c r="I29" s="216"/>
      <c r="J29" s="216"/>
      <c r="K29" s="216"/>
      <c r="L29" s="214"/>
      <c r="M29" s="217" t="s">
        <v>33</v>
      </c>
      <c r="N29" s="190">
        <f>N30+N31</f>
        <v>38.299999999999997</v>
      </c>
    </row>
    <row r="30" spans="1:14" s="220" customFormat="1" ht="15" hidden="1" customHeight="1">
      <c r="A30" s="218"/>
      <c r="B30" s="218"/>
      <c r="C30" s="218"/>
      <c r="D30" s="218"/>
      <c r="E30" s="218" t="s">
        <v>87</v>
      </c>
      <c r="F30" s="218"/>
      <c r="G30" s="178"/>
      <c r="H30" s="123"/>
      <c r="I30" s="219"/>
      <c r="J30" s="219"/>
      <c r="K30" s="219"/>
      <c r="L30" s="218"/>
      <c r="M30" s="218" t="s">
        <v>33</v>
      </c>
      <c r="N30" s="195">
        <f>N33+N36+N39</f>
        <v>38.299999999999997</v>
      </c>
    </row>
    <row r="31" spans="1:14" s="220" customFormat="1" ht="15" hidden="1" customHeight="1">
      <c r="A31" s="218"/>
      <c r="B31" s="218"/>
      <c r="C31" s="218"/>
      <c r="D31" s="218"/>
      <c r="E31" s="218" t="s">
        <v>740</v>
      </c>
      <c r="F31" s="218"/>
      <c r="G31" s="178"/>
      <c r="H31" s="123"/>
      <c r="I31" s="219"/>
      <c r="J31" s="219"/>
      <c r="K31" s="219"/>
      <c r="L31" s="218"/>
      <c r="M31" s="218" t="s">
        <v>33</v>
      </c>
      <c r="N31" s="195">
        <f>N34+N37+N40</f>
        <v>0</v>
      </c>
    </row>
    <row r="32" spans="1:14" s="223" customFormat="1" ht="13.5" hidden="1">
      <c r="A32" s="217"/>
      <c r="B32" s="217"/>
      <c r="C32" s="217"/>
      <c r="D32" s="217"/>
      <c r="E32" s="217"/>
      <c r="F32" s="217"/>
      <c r="G32" s="215"/>
      <c r="H32" s="214"/>
      <c r="I32" s="221"/>
      <c r="J32" s="221"/>
      <c r="K32" s="221"/>
      <c r="L32" s="217" t="s">
        <v>155</v>
      </c>
      <c r="M32" s="217" t="s">
        <v>33</v>
      </c>
      <c r="N32" s="196">
        <f>N33+N34</f>
        <v>19</v>
      </c>
    </row>
    <row r="33" spans="1:14" s="213" customFormat="1" ht="15" hidden="1" customHeight="1">
      <c r="A33" s="123"/>
      <c r="B33" s="123"/>
      <c r="C33" s="123"/>
      <c r="D33" s="123"/>
      <c r="E33" s="123"/>
      <c r="F33" s="123"/>
      <c r="G33" s="178"/>
      <c r="H33" s="123"/>
      <c r="I33" s="172"/>
      <c r="J33" s="172"/>
      <c r="K33" s="172"/>
      <c r="L33" s="194" t="s">
        <v>741</v>
      </c>
      <c r="M33" s="217" t="s">
        <v>33</v>
      </c>
      <c r="N33" s="197">
        <f>N129+N134+N141+N143+N145</f>
        <v>19</v>
      </c>
    </row>
    <row r="34" spans="1:14" s="213" customFormat="1" ht="15" hidden="1" customHeight="1">
      <c r="A34" s="123"/>
      <c r="B34" s="123"/>
      <c r="C34" s="123"/>
      <c r="D34" s="123"/>
      <c r="E34" s="123"/>
      <c r="F34" s="123"/>
      <c r="G34" s="178"/>
      <c r="H34" s="123"/>
      <c r="I34" s="172"/>
      <c r="J34" s="172"/>
      <c r="K34" s="172"/>
      <c r="L34" s="194" t="s">
        <v>740</v>
      </c>
      <c r="M34" s="217" t="s">
        <v>33</v>
      </c>
      <c r="N34" s="193">
        <v>0</v>
      </c>
    </row>
    <row r="35" spans="1:14" s="223" customFormat="1" ht="15" hidden="1" customHeight="1">
      <c r="A35" s="217"/>
      <c r="B35" s="217"/>
      <c r="C35" s="217"/>
      <c r="D35" s="217"/>
      <c r="E35" s="217"/>
      <c r="F35" s="217"/>
      <c r="G35" s="215"/>
      <c r="H35" s="214"/>
      <c r="I35" s="221"/>
      <c r="J35" s="221"/>
      <c r="K35" s="221"/>
      <c r="L35" s="217" t="s">
        <v>154</v>
      </c>
      <c r="M35" s="217" t="s">
        <v>33</v>
      </c>
      <c r="N35" s="196">
        <f>N36+N37</f>
        <v>11.3</v>
      </c>
    </row>
    <row r="36" spans="1:14" s="213" customFormat="1" ht="15" hidden="1" customHeight="1">
      <c r="A36" s="123"/>
      <c r="B36" s="123"/>
      <c r="C36" s="123"/>
      <c r="D36" s="123"/>
      <c r="E36" s="123"/>
      <c r="F36" s="123"/>
      <c r="G36" s="178"/>
      <c r="H36" s="123"/>
      <c r="I36" s="172"/>
      <c r="J36" s="172"/>
      <c r="K36" s="172"/>
      <c r="L36" s="194" t="s">
        <v>741</v>
      </c>
      <c r="M36" s="217" t="s">
        <v>33</v>
      </c>
      <c r="N36" s="197">
        <f>N123+N125+N127</f>
        <v>11.3</v>
      </c>
    </row>
    <row r="37" spans="1:14" s="213" customFormat="1" ht="15" hidden="1" customHeight="1">
      <c r="A37" s="123"/>
      <c r="B37" s="123"/>
      <c r="C37" s="123"/>
      <c r="D37" s="123"/>
      <c r="E37" s="123"/>
      <c r="F37" s="123"/>
      <c r="G37" s="178"/>
      <c r="H37" s="123"/>
      <c r="I37" s="172"/>
      <c r="J37" s="172"/>
      <c r="K37" s="172"/>
      <c r="L37" s="194" t="s">
        <v>740</v>
      </c>
      <c r="M37" s="217" t="s">
        <v>33</v>
      </c>
      <c r="N37" s="194">
        <v>0</v>
      </c>
    </row>
    <row r="38" spans="1:14" s="223" customFormat="1" ht="15" hidden="1" customHeight="1">
      <c r="A38" s="217"/>
      <c r="B38" s="217"/>
      <c r="C38" s="217"/>
      <c r="D38" s="217"/>
      <c r="E38" s="217"/>
      <c r="F38" s="217"/>
      <c r="G38" s="215"/>
      <c r="H38" s="214"/>
      <c r="I38" s="221"/>
      <c r="J38" s="221"/>
      <c r="K38" s="221"/>
      <c r="L38" s="217" t="s">
        <v>58</v>
      </c>
      <c r="M38" s="217" t="s">
        <v>33</v>
      </c>
      <c r="N38" s="196">
        <f>N39+N40</f>
        <v>8</v>
      </c>
    </row>
    <row r="39" spans="1:14" s="213" customFormat="1" ht="15" hidden="1" customHeight="1">
      <c r="A39" s="123"/>
      <c r="B39" s="123"/>
      <c r="C39" s="123"/>
      <c r="D39" s="123"/>
      <c r="E39" s="123"/>
      <c r="F39" s="123"/>
      <c r="G39" s="178"/>
      <c r="H39" s="123"/>
      <c r="I39" s="172"/>
      <c r="J39" s="172"/>
      <c r="K39" s="172"/>
      <c r="L39" s="194" t="s">
        <v>741</v>
      </c>
      <c r="M39" s="217" t="s">
        <v>33</v>
      </c>
      <c r="N39" s="197">
        <f>N162</f>
        <v>8</v>
      </c>
    </row>
    <row r="40" spans="1:14" s="213" customFormat="1" ht="15" hidden="1" customHeight="1">
      <c r="A40" s="123"/>
      <c r="B40" s="123"/>
      <c r="C40" s="123"/>
      <c r="D40" s="123"/>
      <c r="E40" s="123"/>
      <c r="F40" s="123"/>
      <c r="G40" s="178"/>
      <c r="H40" s="123"/>
      <c r="I40" s="172"/>
      <c r="J40" s="172"/>
      <c r="K40" s="172"/>
      <c r="L40" s="194" t="s">
        <v>740</v>
      </c>
      <c r="M40" s="217" t="s">
        <v>33</v>
      </c>
      <c r="N40" s="197">
        <v>0</v>
      </c>
    </row>
    <row r="41" spans="1:14" s="213" customFormat="1" ht="15" hidden="1" customHeight="1">
      <c r="A41" s="123"/>
      <c r="B41" s="123"/>
      <c r="C41" s="123"/>
      <c r="D41" s="123"/>
      <c r="E41" s="214" t="s">
        <v>730</v>
      </c>
      <c r="F41" s="214"/>
      <c r="G41" s="215"/>
      <c r="H41" s="214"/>
      <c r="I41" s="216"/>
      <c r="J41" s="216"/>
      <c r="K41" s="216"/>
      <c r="L41" s="214"/>
      <c r="M41" s="214" t="s">
        <v>33</v>
      </c>
      <c r="N41" s="190">
        <f>N42</f>
        <v>0</v>
      </c>
    </row>
    <row r="42" spans="1:14" s="213" customFormat="1" ht="15" hidden="1" customHeight="1">
      <c r="A42" s="123"/>
      <c r="B42" s="123"/>
      <c r="C42" s="123"/>
      <c r="D42" s="123"/>
      <c r="E42" s="214" t="s">
        <v>87</v>
      </c>
      <c r="F42" s="214"/>
      <c r="G42" s="215"/>
      <c r="H42" s="214"/>
      <c r="I42" s="216"/>
      <c r="J42" s="216"/>
      <c r="K42" s="216"/>
      <c r="L42" s="214"/>
      <c r="M42" s="214" t="s">
        <v>33</v>
      </c>
      <c r="N42" s="190"/>
    </row>
    <row r="43" spans="1:14" s="213" customFormat="1" ht="15" hidden="1" customHeight="1">
      <c r="A43" s="123"/>
      <c r="B43" s="123"/>
      <c r="C43" s="123"/>
      <c r="D43" s="123"/>
      <c r="E43" s="123"/>
      <c r="F43" s="123"/>
      <c r="G43" s="178"/>
      <c r="H43" s="123"/>
      <c r="I43" s="172"/>
      <c r="J43" s="172"/>
      <c r="K43" s="172"/>
      <c r="L43" s="123" t="s">
        <v>733</v>
      </c>
      <c r="M43" s="123" t="s">
        <v>33</v>
      </c>
      <c r="N43" s="197"/>
    </row>
    <row r="44" spans="1:14" s="213" customFormat="1" ht="15" hidden="1" customHeight="1">
      <c r="A44" s="123"/>
      <c r="B44" s="123"/>
      <c r="C44" s="123"/>
      <c r="D44" s="123"/>
      <c r="E44" s="123"/>
      <c r="F44" s="123"/>
      <c r="G44" s="178"/>
      <c r="H44" s="123"/>
      <c r="I44" s="172"/>
      <c r="J44" s="172"/>
      <c r="K44" s="172"/>
      <c r="L44" s="123" t="s">
        <v>734</v>
      </c>
      <c r="M44" s="123" t="s">
        <v>33</v>
      </c>
      <c r="N44" s="194">
        <v>0</v>
      </c>
    </row>
    <row r="45" spans="1:14" s="213" customFormat="1" ht="15" hidden="1" customHeight="1">
      <c r="A45" s="123"/>
      <c r="B45" s="123"/>
      <c r="C45" s="123"/>
      <c r="D45" s="123"/>
      <c r="E45" s="123"/>
      <c r="F45" s="123"/>
      <c r="G45" s="178"/>
      <c r="H45" s="123"/>
      <c r="I45" s="172"/>
      <c r="J45" s="172"/>
      <c r="K45" s="172"/>
      <c r="L45" s="123" t="s">
        <v>735</v>
      </c>
      <c r="M45" s="123" t="s">
        <v>33</v>
      </c>
      <c r="N45" s="194">
        <v>0</v>
      </c>
    </row>
    <row r="46" spans="1:14" s="224" customFormat="1" ht="15" hidden="1" customHeight="1">
      <c r="A46" s="214"/>
      <c r="B46" s="214"/>
      <c r="C46" s="214"/>
      <c r="D46" s="214"/>
      <c r="E46" s="214" t="s">
        <v>743</v>
      </c>
      <c r="F46" s="214"/>
      <c r="G46" s="215"/>
      <c r="H46" s="214"/>
      <c r="I46" s="216"/>
      <c r="J46" s="216"/>
      <c r="K46" s="216"/>
      <c r="L46" s="214"/>
      <c r="M46" s="214" t="s">
        <v>33</v>
      </c>
      <c r="N46" s="198">
        <f>N41+N29+N17</f>
        <v>153.88999999999999</v>
      </c>
    </row>
    <row r="47" spans="1:14" s="224" customFormat="1" ht="15" hidden="1" customHeight="1">
      <c r="A47" s="214"/>
      <c r="B47" s="214"/>
      <c r="C47" s="214"/>
      <c r="D47" s="214"/>
      <c r="E47" s="214" t="s">
        <v>729</v>
      </c>
      <c r="F47" s="214"/>
      <c r="G47" s="215"/>
      <c r="H47" s="214"/>
      <c r="I47" s="216"/>
      <c r="J47" s="216"/>
      <c r="K47" s="216"/>
      <c r="L47" s="214"/>
      <c r="M47" s="214" t="s">
        <v>33</v>
      </c>
      <c r="N47" s="190">
        <f>N42+N30+N18</f>
        <v>79.859999999999985</v>
      </c>
    </row>
    <row r="48" spans="1:14" s="224" customFormat="1" ht="15" hidden="1" customHeight="1">
      <c r="A48" s="214"/>
      <c r="B48" s="214"/>
      <c r="C48" s="214"/>
      <c r="D48" s="214"/>
      <c r="E48" s="214" t="s">
        <v>742</v>
      </c>
      <c r="F48" s="214"/>
      <c r="G48" s="215"/>
      <c r="H48" s="214"/>
      <c r="I48" s="216"/>
      <c r="J48" s="216"/>
      <c r="K48" s="216"/>
      <c r="L48" s="214"/>
      <c r="M48" s="214" t="s">
        <v>33</v>
      </c>
      <c r="N48" s="190">
        <f>N31+N19</f>
        <v>74.03</v>
      </c>
    </row>
    <row r="49" spans="1:14" s="220" customFormat="1" ht="15" hidden="1" customHeight="1">
      <c r="A49" s="218"/>
      <c r="B49" s="218"/>
      <c r="C49" s="218"/>
      <c r="D49" s="218"/>
      <c r="E49" s="218"/>
      <c r="F49" s="218"/>
      <c r="G49" s="178"/>
      <c r="H49" s="123"/>
      <c r="I49" s="219"/>
      <c r="J49" s="219"/>
      <c r="K49" s="219"/>
      <c r="L49" s="217" t="s">
        <v>44</v>
      </c>
      <c r="M49" s="218" t="s">
        <v>33</v>
      </c>
      <c r="N49" s="195">
        <f>N43+N32+N20</f>
        <v>26.8</v>
      </c>
    </row>
    <row r="50" spans="1:14" s="220" customFormat="1" ht="15" hidden="1" customHeight="1">
      <c r="A50" s="218"/>
      <c r="B50" s="218"/>
      <c r="C50" s="218"/>
      <c r="D50" s="218"/>
      <c r="E50" s="218"/>
      <c r="F50" s="218"/>
      <c r="G50" s="178"/>
      <c r="H50" s="123"/>
      <c r="I50" s="219"/>
      <c r="J50" s="219"/>
      <c r="K50" s="219"/>
      <c r="L50" s="194" t="s">
        <v>741</v>
      </c>
      <c r="M50" s="218" t="s">
        <v>33</v>
      </c>
      <c r="N50" s="195">
        <f>N43+N33+N21</f>
        <v>26.8</v>
      </c>
    </row>
    <row r="51" spans="1:14" s="220" customFormat="1" ht="15" hidden="1" customHeight="1">
      <c r="A51" s="218"/>
      <c r="B51" s="218"/>
      <c r="C51" s="218"/>
      <c r="D51" s="218"/>
      <c r="E51" s="218"/>
      <c r="F51" s="218"/>
      <c r="G51" s="178"/>
      <c r="H51" s="123"/>
      <c r="I51" s="219"/>
      <c r="J51" s="219"/>
      <c r="K51" s="219"/>
      <c r="L51" s="194" t="s">
        <v>740</v>
      </c>
      <c r="M51" s="218" t="s">
        <v>33</v>
      </c>
      <c r="N51" s="193">
        <f>N34+N22</f>
        <v>27.450000000000003</v>
      </c>
    </row>
    <row r="52" spans="1:14" s="220" customFormat="1" ht="15" hidden="1" customHeight="1">
      <c r="A52" s="218"/>
      <c r="B52" s="218"/>
      <c r="C52" s="218"/>
      <c r="D52" s="218"/>
      <c r="E52" s="218"/>
      <c r="F52" s="218"/>
      <c r="G52" s="178"/>
      <c r="H52" s="123"/>
      <c r="I52" s="219"/>
      <c r="J52" s="219"/>
      <c r="K52" s="219"/>
      <c r="L52" s="217" t="s">
        <v>38</v>
      </c>
      <c r="M52" s="218" t="s">
        <v>33</v>
      </c>
      <c r="N52" s="195">
        <f>N35+N23</f>
        <v>45.06</v>
      </c>
    </row>
    <row r="53" spans="1:14" s="220" customFormat="1" ht="15" hidden="1" customHeight="1">
      <c r="A53" s="218"/>
      <c r="B53" s="218"/>
      <c r="C53" s="218"/>
      <c r="D53" s="218"/>
      <c r="E53" s="218"/>
      <c r="F53" s="218"/>
      <c r="G53" s="178"/>
      <c r="H53" s="123"/>
      <c r="I53" s="219"/>
      <c r="J53" s="219"/>
      <c r="K53" s="219"/>
      <c r="L53" s="194" t="s">
        <v>741</v>
      </c>
      <c r="M53" s="218" t="s">
        <v>33</v>
      </c>
      <c r="N53" s="195">
        <f>N44+N36+N24</f>
        <v>45.06</v>
      </c>
    </row>
    <row r="54" spans="1:14" s="220" customFormat="1" ht="15" hidden="1" customHeight="1">
      <c r="A54" s="218"/>
      <c r="B54" s="218"/>
      <c r="C54" s="218"/>
      <c r="D54" s="218"/>
      <c r="E54" s="218"/>
      <c r="F54" s="218"/>
      <c r="G54" s="178"/>
      <c r="H54" s="123"/>
      <c r="I54" s="219"/>
      <c r="J54" s="219"/>
      <c r="K54" s="219"/>
      <c r="L54" s="194" t="s">
        <v>740</v>
      </c>
      <c r="M54" s="218" t="s">
        <v>33</v>
      </c>
      <c r="N54" s="195">
        <f>N37+N25</f>
        <v>46.58</v>
      </c>
    </row>
    <row r="55" spans="1:14" s="220" customFormat="1" ht="15" hidden="1" customHeight="1">
      <c r="A55" s="218"/>
      <c r="B55" s="218"/>
      <c r="C55" s="218"/>
      <c r="D55" s="218"/>
      <c r="E55" s="218"/>
      <c r="F55" s="218"/>
      <c r="G55" s="178"/>
      <c r="H55" s="123"/>
      <c r="I55" s="219"/>
      <c r="J55" s="219"/>
      <c r="K55" s="219"/>
      <c r="L55" s="217" t="s">
        <v>47</v>
      </c>
      <c r="M55" s="218" t="s">
        <v>33</v>
      </c>
      <c r="N55" s="195">
        <f>N38+N26</f>
        <v>8</v>
      </c>
    </row>
    <row r="56" spans="1:14" s="220" customFormat="1" ht="15" hidden="1" customHeight="1">
      <c r="A56" s="218"/>
      <c r="B56" s="218"/>
      <c r="C56" s="218"/>
      <c r="D56" s="218"/>
      <c r="E56" s="218"/>
      <c r="F56" s="218"/>
      <c r="G56" s="178"/>
      <c r="H56" s="123"/>
      <c r="I56" s="219"/>
      <c r="J56" s="219"/>
      <c r="K56" s="219"/>
      <c r="L56" s="194" t="s">
        <v>741</v>
      </c>
      <c r="M56" s="218" t="s">
        <v>33</v>
      </c>
      <c r="N56" s="195">
        <f>N39+N27</f>
        <v>8</v>
      </c>
    </row>
    <row r="57" spans="1:14" s="220" customFormat="1" ht="15" hidden="1" customHeight="1">
      <c r="A57" s="218"/>
      <c r="B57" s="218"/>
      <c r="C57" s="218"/>
      <c r="D57" s="218"/>
      <c r="E57" s="218"/>
      <c r="F57" s="218"/>
      <c r="G57" s="178"/>
      <c r="H57" s="123"/>
      <c r="I57" s="219"/>
      <c r="J57" s="219"/>
      <c r="K57" s="219"/>
      <c r="L57" s="194" t="s">
        <v>740</v>
      </c>
      <c r="M57" s="218" t="s">
        <v>33</v>
      </c>
      <c r="N57" s="195">
        <f>N40+N28</f>
        <v>0</v>
      </c>
    </row>
    <row r="58" spans="1:14" s="226" customFormat="1" ht="13.5">
      <c r="A58" s="1"/>
      <c r="B58" s="1"/>
      <c r="C58" s="1"/>
      <c r="D58" s="1"/>
      <c r="E58" s="1"/>
      <c r="F58" s="4" t="s">
        <v>19</v>
      </c>
      <c r="G58" s="186"/>
      <c r="H58" s="4"/>
      <c r="I58" s="163"/>
      <c r="J58" s="163"/>
      <c r="K58" s="163"/>
      <c r="L58" s="225"/>
      <c r="M58" s="225"/>
      <c r="N58" s="173"/>
    </row>
    <row r="59" spans="1:14" s="226" customFormat="1" ht="14.25" thickBot="1">
      <c r="A59" s="32"/>
      <c r="B59" s="32"/>
      <c r="C59" s="32"/>
      <c r="D59" s="32"/>
      <c r="E59" s="32"/>
      <c r="F59" s="112" t="s">
        <v>20</v>
      </c>
      <c r="G59" s="227"/>
      <c r="H59" s="112"/>
      <c r="I59" s="187"/>
      <c r="J59" s="187"/>
      <c r="K59" s="187"/>
      <c r="L59" s="228"/>
      <c r="M59" s="228"/>
      <c r="N59" s="187"/>
    </row>
    <row r="60" spans="1:14" ht="13.5" thickBot="1">
      <c r="A60" s="287">
        <v>1</v>
      </c>
      <c r="B60" s="288"/>
      <c r="C60" s="288"/>
      <c r="D60" s="288"/>
      <c r="E60" s="229" t="s">
        <v>106</v>
      </c>
      <c r="F60" s="113"/>
      <c r="G60" s="230"/>
      <c r="H60" s="114"/>
      <c r="I60" s="115"/>
      <c r="J60" s="115"/>
      <c r="K60" s="115"/>
      <c r="L60" s="116"/>
      <c r="M60" s="114"/>
      <c r="N60" s="114"/>
    </row>
    <row r="61" spans="1:14" s="236" customFormat="1" ht="57" customHeight="1" outlineLevel="1" collapsed="1" thickBot="1">
      <c r="A61" s="117" t="s">
        <v>88</v>
      </c>
      <c r="B61" s="118" t="s">
        <v>40</v>
      </c>
      <c r="C61" s="119" t="s">
        <v>38</v>
      </c>
      <c r="D61" s="118" t="s">
        <v>36</v>
      </c>
      <c r="E61" s="231" t="s">
        <v>41</v>
      </c>
      <c r="F61" s="232" t="s">
        <v>897</v>
      </c>
      <c r="G61" s="233" t="s">
        <v>201</v>
      </c>
      <c r="H61" s="234" t="s">
        <v>886</v>
      </c>
      <c r="I61" s="118" t="s">
        <v>39</v>
      </c>
      <c r="J61" s="118" t="s">
        <v>145</v>
      </c>
      <c r="K61" s="120" t="s">
        <v>142</v>
      </c>
      <c r="L61" s="235" t="str">
        <f>CONCATENATE(L62," ",N62,M62," ",L63," ",N63,M63," "," ",L66," ",N66,M66," "" ",L69," ",N69,M69," ",L64," ",N64,M64," ",L65," ",N65,M65," ",L67," ",N67,M67," ",L68," ",N68,M68)</f>
        <v>Демонтаж опор 43шт Монтаж опор 43шт  Бурение скважин и установка  деревянных приставок 74шт " Ручная расчистка просеки 12,2Га Замена изоляторов фарфоровых/стеклянных на полимерные 12шт Бурение скважин и установка  ж/б приставок 18шт Механизированная расчистка просеки 23,29Га. Монтаж грозотроса по трассе 1,39км.</v>
      </c>
      <c r="M61" s="152"/>
      <c r="N61" s="152"/>
    </row>
    <row r="62" spans="1:14" ht="60" hidden="1" customHeight="1" outlineLevel="2">
      <c r="A62" s="121"/>
      <c r="B62" s="36"/>
      <c r="C62" s="11"/>
      <c r="D62" s="36"/>
      <c r="E62" s="237"/>
      <c r="F62" s="31" t="s">
        <v>162</v>
      </c>
      <c r="G62" s="233"/>
      <c r="H62" s="234"/>
      <c r="I62" s="179"/>
      <c r="J62" s="179" t="s">
        <v>170</v>
      </c>
      <c r="K62" s="179" t="s">
        <v>142</v>
      </c>
      <c r="L62" s="38" t="s">
        <v>23</v>
      </c>
      <c r="M62" s="179" t="s">
        <v>129</v>
      </c>
      <c r="N62" s="179">
        <v>43</v>
      </c>
    </row>
    <row r="63" spans="1:14" ht="65.25" hidden="1" customHeight="1" outlineLevel="2">
      <c r="A63" s="121"/>
      <c r="B63" s="36"/>
      <c r="C63" s="11"/>
      <c r="D63" s="36"/>
      <c r="E63" s="237"/>
      <c r="F63" s="31" t="s">
        <v>162</v>
      </c>
      <c r="G63" s="233"/>
      <c r="H63" s="234"/>
      <c r="I63" s="179"/>
      <c r="J63" s="179" t="s">
        <v>170</v>
      </c>
      <c r="K63" s="179" t="s">
        <v>142</v>
      </c>
      <c r="L63" s="38" t="s">
        <v>24</v>
      </c>
      <c r="M63" s="179" t="s">
        <v>129</v>
      </c>
      <c r="N63" s="179">
        <v>43</v>
      </c>
    </row>
    <row r="64" spans="1:14" ht="65.25" hidden="1" customHeight="1" outlineLevel="2">
      <c r="A64" s="121"/>
      <c r="B64" s="36"/>
      <c r="C64" s="11"/>
      <c r="D64" s="36"/>
      <c r="E64" s="237"/>
      <c r="F64" s="31"/>
      <c r="G64" s="233"/>
      <c r="H64" s="234"/>
      <c r="I64" s="179"/>
      <c r="J64" s="179" t="s">
        <v>170</v>
      </c>
      <c r="K64" s="179" t="s">
        <v>142</v>
      </c>
      <c r="L64" s="38" t="s">
        <v>130</v>
      </c>
      <c r="M64" s="179" t="s">
        <v>129</v>
      </c>
      <c r="N64" s="179">
        <v>12</v>
      </c>
    </row>
    <row r="65" spans="1:14" ht="68.25" hidden="1" customHeight="1" outlineLevel="2">
      <c r="A65" s="121"/>
      <c r="B65" s="1"/>
      <c r="C65" s="122"/>
      <c r="D65" s="123"/>
      <c r="E65" s="237"/>
      <c r="F65" s="31"/>
      <c r="G65" s="233"/>
      <c r="H65" s="234"/>
      <c r="I65" s="179"/>
      <c r="J65" s="179" t="s">
        <v>145</v>
      </c>
      <c r="K65" s="179" t="s">
        <v>140</v>
      </c>
      <c r="L65" s="38" t="s">
        <v>838</v>
      </c>
      <c r="M65" s="179" t="s">
        <v>129</v>
      </c>
      <c r="N65" s="179">
        <v>18</v>
      </c>
    </row>
    <row r="66" spans="1:14" ht="68.25" hidden="1" customHeight="1" outlineLevel="2">
      <c r="A66" s="121"/>
      <c r="B66" s="1"/>
      <c r="C66" s="122"/>
      <c r="D66" s="123"/>
      <c r="E66" s="237"/>
      <c r="F66" s="31"/>
      <c r="G66" s="233"/>
      <c r="H66" s="234"/>
      <c r="I66" s="179"/>
      <c r="J66" s="179" t="s">
        <v>145</v>
      </c>
      <c r="K66" s="179" t="s">
        <v>140</v>
      </c>
      <c r="L66" s="38" t="s">
        <v>138</v>
      </c>
      <c r="M66" s="179" t="s">
        <v>129</v>
      </c>
      <c r="N66" s="179">
        <v>74</v>
      </c>
    </row>
    <row r="67" spans="1:14" ht="27" hidden="1" customHeight="1" outlineLevel="2">
      <c r="A67" s="124"/>
      <c r="B67" s="1"/>
      <c r="C67" s="1"/>
      <c r="D67" s="1"/>
      <c r="E67" s="237"/>
      <c r="F67" s="31"/>
      <c r="G67" s="233"/>
      <c r="H67" s="234"/>
      <c r="I67" s="179"/>
      <c r="J67" s="179" t="s">
        <v>147</v>
      </c>
      <c r="K67" s="179" t="s">
        <v>142</v>
      </c>
      <c r="L67" s="38" t="s">
        <v>739</v>
      </c>
      <c r="M67" s="36" t="s">
        <v>33</v>
      </c>
      <c r="N67" s="36">
        <v>23.29</v>
      </c>
    </row>
    <row r="68" spans="1:14" ht="27" hidden="1" customHeight="1" outlineLevel="2">
      <c r="A68" s="124"/>
      <c r="B68" s="1"/>
      <c r="C68" s="1"/>
      <c r="D68" s="1"/>
      <c r="E68" s="237"/>
      <c r="F68" s="31"/>
      <c r="G68" s="233"/>
      <c r="H68" s="238"/>
      <c r="I68" s="125"/>
      <c r="J68" s="125" t="s">
        <v>144</v>
      </c>
      <c r="K68" s="125" t="s">
        <v>141</v>
      </c>
      <c r="L68" s="38" t="s">
        <v>879</v>
      </c>
      <c r="M68" s="36" t="s">
        <v>32</v>
      </c>
      <c r="N68" s="36">
        <f>0.74+0.65</f>
        <v>1.3900000000000001</v>
      </c>
    </row>
    <row r="69" spans="1:14" ht="39.75" hidden="1" customHeight="1" outlineLevel="2" thickBot="1">
      <c r="A69" s="126"/>
      <c r="B69" s="127"/>
      <c r="C69" s="128"/>
      <c r="D69" s="129"/>
      <c r="E69" s="237"/>
      <c r="F69" s="31"/>
      <c r="G69" s="233"/>
      <c r="H69" s="234"/>
      <c r="I69" s="179"/>
      <c r="J69" s="179" t="s">
        <v>143</v>
      </c>
      <c r="K69" s="179" t="s">
        <v>141</v>
      </c>
      <c r="L69" s="38" t="s">
        <v>27</v>
      </c>
      <c r="M69" s="179" t="s">
        <v>134</v>
      </c>
      <c r="N69" s="179">
        <v>12.2</v>
      </c>
    </row>
    <row r="70" spans="1:14" s="236" customFormat="1" ht="100.5" customHeight="1" outlineLevel="1" collapsed="1" thickBot="1">
      <c r="A70" s="117" t="s">
        <v>89</v>
      </c>
      <c r="B70" s="118" t="s">
        <v>40</v>
      </c>
      <c r="C70" s="119" t="s">
        <v>38</v>
      </c>
      <c r="D70" s="118" t="s">
        <v>36</v>
      </c>
      <c r="E70" s="231" t="s">
        <v>42</v>
      </c>
      <c r="F70" s="232" t="s">
        <v>898</v>
      </c>
      <c r="G70" s="233" t="s">
        <v>201</v>
      </c>
      <c r="H70" s="234" t="s">
        <v>883</v>
      </c>
      <c r="I70" s="118" t="s">
        <v>39</v>
      </c>
      <c r="J70" s="118" t="s">
        <v>145</v>
      </c>
      <c r="K70" s="120" t="s">
        <v>713</v>
      </c>
      <c r="L70" s="235" t="str">
        <f>CONCATENATE(L71," ",N71,M71," ",L72," ",N72,M72," ",L74," ",N74,M74," ",L76," ",N76,M76," ",,L78," ",N78,M78," ",L79," ",N79,M79," ",L73," ",N73,M73," ",L75," ",N75,M75," ",L77," ",N77,M77)</f>
        <v>Демонтаж опор 28шт Монтаж опор 28шт Восстановление обрешетки металлических опор 1шт Бурение скважин и установка деревянных приставок 62шт Устройство насыпи банкетки  1шт Ручная расчистка просеки 12,1Га Замена изоляторов фарфоровых/стеклянных на полимерные 6шт Бурение скважин и установка ж/б приставок 12шт Механизированная расчистка просеки 23,29Га.</v>
      </c>
      <c r="M70" s="152"/>
      <c r="N70" s="152"/>
    </row>
    <row r="71" spans="1:14" ht="46.5" hidden="1" customHeight="1" outlineLevel="2">
      <c r="A71" s="124"/>
      <c r="B71" s="1"/>
      <c r="C71" s="1"/>
      <c r="D71" s="1"/>
      <c r="E71" s="237"/>
      <c r="F71" s="31" t="s">
        <v>162</v>
      </c>
      <c r="G71" s="233"/>
      <c r="H71" s="234"/>
      <c r="I71" s="179"/>
      <c r="J71" s="179" t="s">
        <v>140</v>
      </c>
      <c r="K71" s="179" t="s">
        <v>141</v>
      </c>
      <c r="L71" s="38" t="s">
        <v>23</v>
      </c>
      <c r="M71" s="179" t="s">
        <v>129</v>
      </c>
      <c r="N71" s="36">
        <v>28</v>
      </c>
    </row>
    <row r="72" spans="1:14" ht="42.75" hidden="1" customHeight="1" outlineLevel="2">
      <c r="A72" s="124"/>
      <c r="B72" s="36"/>
      <c r="C72" s="11"/>
      <c r="D72" s="36"/>
      <c r="E72" s="237"/>
      <c r="F72" s="31" t="s">
        <v>162</v>
      </c>
      <c r="G72" s="233"/>
      <c r="H72" s="234"/>
      <c r="I72" s="179"/>
      <c r="J72" s="179" t="s">
        <v>140</v>
      </c>
      <c r="K72" s="179" t="s">
        <v>141</v>
      </c>
      <c r="L72" s="38" t="s">
        <v>24</v>
      </c>
      <c r="M72" s="179" t="s">
        <v>129</v>
      </c>
      <c r="N72" s="36">
        <f>N71</f>
        <v>28</v>
      </c>
    </row>
    <row r="73" spans="1:14" ht="65.25" hidden="1" customHeight="1" outlineLevel="2">
      <c r="A73" s="121"/>
      <c r="B73" s="36"/>
      <c r="C73" s="11"/>
      <c r="D73" s="36"/>
      <c r="E73" s="237"/>
      <c r="F73" s="31"/>
      <c r="G73" s="233"/>
      <c r="H73" s="234"/>
      <c r="I73" s="179"/>
      <c r="J73" s="179" t="s">
        <v>140</v>
      </c>
      <c r="K73" s="179" t="s">
        <v>141</v>
      </c>
      <c r="L73" s="38" t="s">
        <v>130</v>
      </c>
      <c r="M73" s="179" t="s">
        <v>129</v>
      </c>
      <c r="N73" s="179">
        <v>6</v>
      </c>
    </row>
    <row r="74" spans="1:14" ht="12.75" hidden="1" customHeight="1" outlineLevel="2">
      <c r="A74" s="124"/>
      <c r="B74" s="1"/>
      <c r="C74" s="122"/>
      <c r="D74" s="1"/>
      <c r="E74" s="237"/>
      <c r="F74" s="31" t="s">
        <v>161</v>
      </c>
      <c r="G74" s="233"/>
      <c r="H74" s="234"/>
      <c r="I74" s="179"/>
      <c r="J74" s="179" t="s">
        <v>140</v>
      </c>
      <c r="K74" s="179" t="s">
        <v>713</v>
      </c>
      <c r="L74" s="38" t="s">
        <v>132</v>
      </c>
      <c r="M74" s="179" t="s">
        <v>129</v>
      </c>
      <c r="N74" s="179">
        <v>1</v>
      </c>
    </row>
    <row r="75" spans="1:14" ht="45.75" hidden="1" customHeight="1" outlineLevel="2">
      <c r="A75" s="124"/>
      <c r="B75" s="1"/>
      <c r="C75" s="122"/>
      <c r="D75" s="1"/>
      <c r="E75" s="237"/>
      <c r="F75" s="31"/>
      <c r="G75" s="233"/>
      <c r="H75" s="234"/>
      <c r="I75" s="179"/>
      <c r="J75" s="179" t="s">
        <v>145</v>
      </c>
      <c r="K75" s="179" t="s">
        <v>140</v>
      </c>
      <c r="L75" s="38" t="s">
        <v>139</v>
      </c>
      <c r="M75" s="36" t="s">
        <v>129</v>
      </c>
      <c r="N75" s="36">
        <v>12</v>
      </c>
    </row>
    <row r="76" spans="1:14" ht="45.75" hidden="1" customHeight="1" outlineLevel="2">
      <c r="A76" s="124"/>
      <c r="B76" s="1"/>
      <c r="C76" s="122"/>
      <c r="D76" s="1"/>
      <c r="E76" s="237"/>
      <c r="F76" s="31"/>
      <c r="G76" s="233"/>
      <c r="H76" s="234"/>
      <c r="I76" s="179"/>
      <c r="J76" s="179" t="s">
        <v>145</v>
      </c>
      <c r="K76" s="179" t="s">
        <v>140</v>
      </c>
      <c r="L76" s="38" t="s">
        <v>55</v>
      </c>
      <c r="M76" s="36" t="s">
        <v>129</v>
      </c>
      <c r="N76" s="36">
        <v>62</v>
      </c>
    </row>
    <row r="77" spans="1:14" ht="27" hidden="1" customHeight="1" outlineLevel="2" thickBot="1">
      <c r="A77" s="124"/>
      <c r="B77" s="1"/>
      <c r="C77" s="1"/>
      <c r="D77" s="1"/>
      <c r="E77" s="237"/>
      <c r="F77" s="31"/>
      <c r="G77" s="233"/>
      <c r="H77" s="234"/>
      <c r="I77" s="179"/>
      <c r="J77" s="179" t="s">
        <v>147</v>
      </c>
      <c r="K77" s="179" t="s">
        <v>142</v>
      </c>
      <c r="L77" s="38" t="s">
        <v>739</v>
      </c>
      <c r="M77" s="36" t="s">
        <v>33</v>
      </c>
      <c r="N77" s="36">
        <v>23.29</v>
      </c>
    </row>
    <row r="78" spans="1:14" ht="30.75" hidden="1" customHeight="1" outlineLevel="2">
      <c r="A78" s="124"/>
      <c r="B78" s="1"/>
      <c r="C78" s="122"/>
      <c r="D78" s="1"/>
      <c r="E78" s="237"/>
      <c r="F78" s="31" t="s">
        <v>165</v>
      </c>
      <c r="G78" s="233"/>
      <c r="H78" s="234"/>
      <c r="I78" s="179"/>
      <c r="J78" s="179" t="s">
        <v>146</v>
      </c>
      <c r="K78" s="179" t="s">
        <v>146</v>
      </c>
      <c r="L78" s="38" t="s">
        <v>133</v>
      </c>
      <c r="M78" s="36" t="s">
        <v>129</v>
      </c>
      <c r="N78" s="36">
        <v>1</v>
      </c>
    </row>
    <row r="79" spans="1:14" ht="33.75" hidden="1" customHeight="1" outlineLevel="2" thickBot="1">
      <c r="A79" s="124"/>
      <c r="B79" s="1"/>
      <c r="C79" s="122"/>
      <c r="D79" s="1"/>
      <c r="E79" s="237"/>
      <c r="F79" s="31"/>
      <c r="G79" s="179"/>
      <c r="H79" s="179"/>
      <c r="I79" s="179"/>
      <c r="J79" s="179" t="s">
        <v>146</v>
      </c>
      <c r="K79" s="179" t="s">
        <v>141</v>
      </c>
      <c r="L79" s="38" t="s">
        <v>27</v>
      </c>
      <c r="M79" s="36" t="s">
        <v>134</v>
      </c>
      <c r="N79" s="36">
        <v>12.1</v>
      </c>
    </row>
    <row r="80" spans="1:14" s="236" customFormat="1" ht="74.25" customHeight="1" outlineLevel="1" collapsed="1" thickBot="1">
      <c r="A80" s="117" t="s">
        <v>90</v>
      </c>
      <c r="B80" s="118" t="s">
        <v>40</v>
      </c>
      <c r="C80" s="119" t="s">
        <v>38</v>
      </c>
      <c r="D80" s="118" t="s">
        <v>36</v>
      </c>
      <c r="E80" s="231" t="s">
        <v>43</v>
      </c>
      <c r="F80" s="232" t="s">
        <v>899</v>
      </c>
      <c r="G80" s="233" t="s">
        <v>201</v>
      </c>
      <c r="H80" s="234" t="s">
        <v>888</v>
      </c>
      <c r="I80" s="118" t="s">
        <v>39</v>
      </c>
      <c r="J80" s="118" t="str">
        <f>J84</f>
        <v>апрель</v>
      </c>
      <c r="K80" s="120" t="s">
        <v>141</v>
      </c>
      <c r="L80" s="235" t="str">
        <f>CONCATENATE(L81," ",N81,M81," ",L82," ",N82,M82," "," ",L84," ",N84,M84," ",L83," ",N83,M83," ",L85," ",N85,M85)</f>
        <v>Демонтаж опор 12шт Монтаж опор 12шт  Бурение скважин и установка деревянных приставок 36шт Замена изоляторов фарфоровых/стеклянных на полимерные 3шт Монтаж грозотроса по трассе 0,74км.</v>
      </c>
      <c r="M80" s="152"/>
      <c r="N80" s="152"/>
    </row>
    <row r="81" spans="1:14" ht="34.15" hidden="1" customHeight="1" outlineLevel="2">
      <c r="A81" s="130"/>
      <c r="B81" s="1"/>
      <c r="C81" s="1"/>
      <c r="D81" s="1"/>
      <c r="E81" s="237"/>
      <c r="F81" s="31" t="s">
        <v>162</v>
      </c>
      <c r="G81" s="233"/>
      <c r="H81" s="234"/>
      <c r="I81" s="179"/>
      <c r="J81" s="179" t="s">
        <v>147</v>
      </c>
      <c r="K81" s="179" t="s">
        <v>141</v>
      </c>
      <c r="L81" s="38" t="s">
        <v>23</v>
      </c>
      <c r="M81" s="179" t="s">
        <v>129</v>
      </c>
      <c r="N81" s="179">
        <f>10+2</f>
        <v>12</v>
      </c>
    </row>
    <row r="82" spans="1:14" ht="36.6" hidden="1" customHeight="1" outlineLevel="2">
      <c r="A82" s="121"/>
      <c r="B82" s="36"/>
      <c r="C82" s="11"/>
      <c r="D82" s="36"/>
      <c r="E82" s="237"/>
      <c r="F82" s="31" t="s">
        <v>162</v>
      </c>
      <c r="G82" s="233"/>
      <c r="H82" s="234"/>
      <c r="I82" s="179"/>
      <c r="J82" s="179" t="s">
        <v>147</v>
      </c>
      <c r="K82" s="179" t="s">
        <v>141</v>
      </c>
      <c r="L82" s="38" t="s">
        <v>24</v>
      </c>
      <c r="M82" s="179" t="s">
        <v>129</v>
      </c>
      <c r="N82" s="179">
        <f>N81</f>
        <v>12</v>
      </c>
    </row>
    <row r="83" spans="1:14" ht="39" hidden="1" customHeight="1" outlineLevel="2">
      <c r="A83" s="121"/>
      <c r="B83" s="36"/>
      <c r="C83" s="11"/>
      <c r="D83" s="36"/>
      <c r="E83" s="237"/>
      <c r="F83" s="31"/>
      <c r="G83" s="233"/>
      <c r="H83" s="234"/>
      <c r="I83" s="179"/>
      <c r="J83" s="179" t="s">
        <v>147</v>
      </c>
      <c r="K83" s="179" t="s">
        <v>141</v>
      </c>
      <c r="L83" s="38" t="s">
        <v>130</v>
      </c>
      <c r="M83" s="179" t="s">
        <v>129</v>
      </c>
      <c r="N83" s="179">
        <v>3</v>
      </c>
    </row>
    <row r="84" spans="1:14" ht="13.5" hidden="1" customHeight="1" outlineLevel="2" thickBot="1">
      <c r="A84" s="126"/>
      <c r="B84" s="127"/>
      <c r="C84" s="128"/>
      <c r="D84" s="127"/>
      <c r="E84" s="237"/>
      <c r="F84" s="31"/>
      <c r="G84" s="233"/>
      <c r="H84" s="234"/>
      <c r="I84" s="179"/>
      <c r="J84" s="179" t="s">
        <v>170</v>
      </c>
      <c r="K84" s="179" t="s">
        <v>170</v>
      </c>
      <c r="L84" s="38" t="s">
        <v>55</v>
      </c>
      <c r="M84" s="27" t="s">
        <v>129</v>
      </c>
      <c r="N84" s="27">
        <v>36</v>
      </c>
    </row>
    <row r="85" spans="1:14" ht="27" hidden="1" customHeight="1" outlineLevel="2" thickBot="1">
      <c r="A85" s="124"/>
      <c r="B85" s="1"/>
      <c r="C85" s="1"/>
      <c r="D85" s="1"/>
      <c r="E85" s="237"/>
      <c r="F85" s="31"/>
      <c r="G85" s="179"/>
      <c r="H85" s="234"/>
      <c r="I85" s="131"/>
      <c r="J85" s="131" t="s">
        <v>144</v>
      </c>
      <c r="K85" s="131" t="s">
        <v>141</v>
      </c>
      <c r="L85" s="38" t="s">
        <v>879</v>
      </c>
      <c r="M85" s="36" t="s">
        <v>32</v>
      </c>
      <c r="N85" s="36">
        <f>1.48/2</f>
        <v>0.74</v>
      </c>
    </row>
    <row r="86" spans="1:14" s="236" customFormat="1" ht="27.75" outlineLevel="1" collapsed="1" thickBot="1">
      <c r="A86" s="117" t="s">
        <v>126</v>
      </c>
      <c r="B86" s="118" t="s">
        <v>40</v>
      </c>
      <c r="C86" s="119" t="s">
        <v>38</v>
      </c>
      <c r="D86" s="118" t="s">
        <v>36</v>
      </c>
      <c r="E86" s="231" t="s">
        <v>131</v>
      </c>
      <c r="F86" s="232" t="s">
        <v>900</v>
      </c>
      <c r="G86" s="233" t="s">
        <v>887</v>
      </c>
      <c r="H86" s="239" t="s">
        <v>894</v>
      </c>
      <c r="I86" s="118" t="s">
        <v>39</v>
      </c>
      <c r="J86" s="118" t="s">
        <v>143</v>
      </c>
      <c r="K86" s="120" t="s">
        <v>141</v>
      </c>
      <c r="L86" s="235" t="str">
        <f>CONCATENATE(L87," ",N87,M87," ",L88," ",N88,M88)</f>
        <v>Восстановление обрешетки металлических опор 1шт Ручная расчистка просеки 5,76Га</v>
      </c>
      <c r="M86" s="152"/>
      <c r="N86" s="152"/>
    </row>
    <row r="87" spans="1:14" ht="13.5" hidden="1" outlineLevel="2" thickBot="1">
      <c r="A87" s="130"/>
      <c r="B87" s="1"/>
      <c r="C87" s="1"/>
      <c r="D87" s="1"/>
      <c r="E87" s="237"/>
      <c r="F87" s="31" t="s">
        <v>164</v>
      </c>
      <c r="G87" s="233"/>
      <c r="H87" s="234"/>
      <c r="I87" s="179"/>
      <c r="J87" s="179" t="s">
        <v>143</v>
      </c>
      <c r="K87" s="179" t="s">
        <v>143</v>
      </c>
      <c r="L87" s="38" t="s">
        <v>132</v>
      </c>
      <c r="M87" s="36" t="s">
        <v>129</v>
      </c>
      <c r="N87" s="36">
        <v>1</v>
      </c>
    </row>
    <row r="88" spans="1:14" ht="13.5" hidden="1" outlineLevel="2" thickBot="1">
      <c r="A88" s="132"/>
      <c r="B88" s="127"/>
      <c r="C88" s="127"/>
      <c r="D88" s="127"/>
      <c r="E88" s="237"/>
      <c r="F88" s="31"/>
      <c r="G88" s="233"/>
      <c r="H88" s="234"/>
      <c r="I88" s="179"/>
      <c r="J88" s="179" t="s">
        <v>143</v>
      </c>
      <c r="K88" s="179" t="s">
        <v>141</v>
      </c>
      <c r="L88" s="38" t="s">
        <v>27</v>
      </c>
      <c r="M88" s="27" t="s">
        <v>134</v>
      </c>
      <c r="N88" s="27">
        <v>5.76</v>
      </c>
    </row>
    <row r="89" spans="1:14" s="236" customFormat="1" ht="53.25" outlineLevel="1" collapsed="1" thickBot="1">
      <c r="A89" s="117" t="s">
        <v>127</v>
      </c>
      <c r="B89" s="118" t="s">
        <v>40</v>
      </c>
      <c r="C89" s="119" t="s">
        <v>38</v>
      </c>
      <c r="D89" s="118" t="s">
        <v>36</v>
      </c>
      <c r="E89" s="231"/>
      <c r="F89" s="232" t="s">
        <v>901</v>
      </c>
      <c r="G89" s="239" t="s">
        <v>702</v>
      </c>
      <c r="H89" s="240"/>
      <c r="I89" s="118" t="s">
        <v>39</v>
      </c>
      <c r="J89" s="118" t="s">
        <v>141</v>
      </c>
      <c r="K89" s="120" t="s">
        <v>141</v>
      </c>
      <c r="L89" s="235" t="str">
        <f>CONCATENATE(L90," ",N90,M90," ",)</f>
        <v xml:space="preserve">Ручная расчистка просеки 3,7Га </v>
      </c>
      <c r="M89" s="152"/>
      <c r="N89" s="152"/>
    </row>
    <row r="90" spans="1:14" ht="13.5" hidden="1" outlineLevel="2" thickBot="1">
      <c r="A90" s="132"/>
      <c r="B90" s="22"/>
      <c r="C90" s="22"/>
      <c r="D90" s="22"/>
      <c r="E90" s="237"/>
      <c r="F90" s="31"/>
      <c r="G90" s="31"/>
      <c r="H90" s="234"/>
      <c r="I90" s="179"/>
      <c r="J90" s="179" t="s">
        <v>141</v>
      </c>
      <c r="K90" s="179" t="s">
        <v>141</v>
      </c>
      <c r="L90" s="38" t="s">
        <v>27</v>
      </c>
      <c r="M90" s="27" t="s">
        <v>134</v>
      </c>
      <c r="N90" s="27">
        <v>3.7</v>
      </c>
    </row>
    <row r="91" spans="1:14" s="236" customFormat="1" ht="51.75" outlineLevel="1" collapsed="1" thickBot="1">
      <c r="A91" s="117" t="s">
        <v>97</v>
      </c>
      <c r="B91" s="118" t="s">
        <v>40</v>
      </c>
      <c r="C91" s="119" t="s">
        <v>44</v>
      </c>
      <c r="D91" s="118" t="s">
        <v>35</v>
      </c>
      <c r="E91" s="231" t="s">
        <v>152</v>
      </c>
      <c r="F91" s="232" t="s">
        <v>902</v>
      </c>
      <c r="G91" s="233" t="s">
        <v>201</v>
      </c>
      <c r="H91" s="234" t="s">
        <v>889</v>
      </c>
      <c r="I91" s="118" t="s">
        <v>39</v>
      </c>
      <c r="J91" s="118" t="str">
        <f>J93</f>
        <v>март</v>
      </c>
      <c r="K91" s="120" t="str">
        <f>K93</f>
        <v>апрель</v>
      </c>
      <c r="L91" s="235" t="str">
        <f>CONCATENATE(L93," ",N93,M93," ",L94," ",N94,M94," ",L95," ",N95,M95," ",L92," ",N92,M92)</f>
        <v>Демонтаж опор 1шт Монтаж опор 2шт Бурение скважин и установка деревянных  приставок 8шт Механизированная расчистка просеки 10,22Га.</v>
      </c>
      <c r="M91" s="152"/>
      <c r="N91" s="152"/>
    </row>
    <row r="92" spans="1:14" ht="27" hidden="1" customHeight="1" outlineLevel="2">
      <c r="A92" s="124"/>
      <c r="B92" s="1"/>
      <c r="C92" s="1"/>
      <c r="D92" s="1"/>
      <c r="E92" s="237"/>
      <c r="F92" s="31"/>
      <c r="G92" s="233"/>
      <c r="H92" s="234"/>
      <c r="I92" s="179"/>
      <c r="J92" s="179" t="s">
        <v>144</v>
      </c>
      <c r="K92" s="179" t="s">
        <v>146</v>
      </c>
      <c r="L92" s="38" t="s">
        <v>739</v>
      </c>
      <c r="M92" s="36" t="s">
        <v>33</v>
      </c>
      <c r="N92" s="36">
        <v>10.220000000000001</v>
      </c>
    </row>
    <row r="93" spans="1:14" ht="34.9" hidden="1" customHeight="1" outlineLevel="2">
      <c r="A93" s="130"/>
      <c r="B93" s="1"/>
      <c r="C93" s="1"/>
      <c r="D93" s="1"/>
      <c r="E93" s="237"/>
      <c r="F93" s="31" t="s">
        <v>158</v>
      </c>
      <c r="G93" s="233"/>
      <c r="H93" s="234"/>
      <c r="I93" s="179"/>
      <c r="J93" s="179" t="s">
        <v>140</v>
      </c>
      <c r="K93" s="179" t="s">
        <v>170</v>
      </c>
      <c r="L93" s="38" t="s">
        <v>23</v>
      </c>
      <c r="M93" s="179" t="s">
        <v>129</v>
      </c>
      <c r="N93" s="36">
        <v>1</v>
      </c>
    </row>
    <row r="94" spans="1:14" ht="37.9" hidden="1" customHeight="1" outlineLevel="2">
      <c r="A94" s="121"/>
      <c r="B94" s="1"/>
      <c r="C94" s="122"/>
      <c r="D94" s="1"/>
      <c r="E94" s="237"/>
      <c r="F94" s="31" t="s">
        <v>158</v>
      </c>
      <c r="G94" s="233"/>
      <c r="H94" s="234"/>
      <c r="I94" s="179"/>
      <c r="J94" s="179" t="s">
        <v>140</v>
      </c>
      <c r="K94" s="179" t="s">
        <v>170</v>
      </c>
      <c r="L94" s="38" t="s">
        <v>24</v>
      </c>
      <c r="M94" s="179" t="s">
        <v>129</v>
      </c>
      <c r="N94" s="36">
        <v>2</v>
      </c>
    </row>
    <row r="95" spans="1:14" ht="37.9" hidden="1" customHeight="1" outlineLevel="2" thickBot="1">
      <c r="A95" s="126"/>
      <c r="B95" s="127"/>
      <c r="C95" s="128"/>
      <c r="D95" s="127"/>
      <c r="E95" s="237"/>
      <c r="F95" s="31"/>
      <c r="G95" s="233"/>
      <c r="H95" s="234"/>
      <c r="I95" s="179"/>
      <c r="J95" s="179" t="s">
        <v>140</v>
      </c>
      <c r="K95" s="179" t="s">
        <v>170</v>
      </c>
      <c r="L95" s="38" t="s">
        <v>151</v>
      </c>
      <c r="M95" s="179" t="s">
        <v>129</v>
      </c>
      <c r="N95" s="36">
        <v>8</v>
      </c>
    </row>
    <row r="96" spans="1:14" ht="27" hidden="1" customHeight="1" outlineLevel="2" thickBot="1">
      <c r="A96" s="124"/>
      <c r="B96" s="1"/>
      <c r="C96" s="1"/>
      <c r="D96" s="1"/>
      <c r="E96" s="237"/>
      <c r="F96" s="31"/>
      <c r="G96" s="233"/>
      <c r="H96" s="234"/>
      <c r="I96" s="125"/>
      <c r="J96" s="125" t="s">
        <v>144</v>
      </c>
      <c r="K96" s="125" t="s">
        <v>141</v>
      </c>
      <c r="L96" s="38" t="s">
        <v>879</v>
      </c>
      <c r="M96" s="183" t="s">
        <v>32</v>
      </c>
      <c r="N96" s="183">
        <v>0.68</v>
      </c>
    </row>
    <row r="97" spans="1:14" s="236" customFormat="1" ht="62.25" customHeight="1" outlineLevel="1" collapsed="1" thickBot="1">
      <c r="A97" s="117" t="s">
        <v>98</v>
      </c>
      <c r="B97" s="118" t="s">
        <v>40</v>
      </c>
      <c r="C97" s="119" t="s">
        <v>44</v>
      </c>
      <c r="D97" s="118" t="s">
        <v>35</v>
      </c>
      <c r="E97" s="231" t="s">
        <v>128</v>
      </c>
      <c r="F97" s="232" t="s">
        <v>903</v>
      </c>
      <c r="G97" s="233" t="s">
        <v>201</v>
      </c>
      <c r="H97" s="239" t="s">
        <v>884</v>
      </c>
      <c r="I97" s="118" t="s">
        <v>39</v>
      </c>
      <c r="J97" s="118" t="s">
        <v>710</v>
      </c>
      <c r="K97" s="120" t="s">
        <v>142</v>
      </c>
      <c r="L97" s="235" t="str">
        <f>CONCATENATE(L98," ",N98,M98," ",L99," ",N99,M99," ",L100," ",N100,M100," ",L101," ",N101,M101," ",L102," ",N102,M102,)</f>
        <v>Демонтаж опор 8шт Монтаж опор 8шт Замена изоляторов фарфоровых/стеклянных на полимерные 3шт Бурение скважин и установка деревянных приставок 20шт Ручная расчистка просеки 2Га</v>
      </c>
      <c r="M97" s="152"/>
      <c r="N97" s="152"/>
    </row>
    <row r="98" spans="1:14" ht="34.9" hidden="1" customHeight="1" outlineLevel="2">
      <c r="A98" s="130"/>
      <c r="B98" s="1"/>
      <c r="C98" s="1"/>
      <c r="D98" s="1"/>
      <c r="E98" s="237"/>
      <c r="F98" s="31" t="s">
        <v>157</v>
      </c>
      <c r="G98" s="233"/>
      <c r="H98" s="234"/>
      <c r="I98" s="179"/>
      <c r="J98" s="179" t="s">
        <v>170</v>
      </c>
      <c r="K98" s="179" t="s">
        <v>147</v>
      </c>
      <c r="L98" s="38" t="s">
        <v>23</v>
      </c>
      <c r="M98" s="179" t="s">
        <v>129</v>
      </c>
      <c r="N98" s="36">
        <v>8</v>
      </c>
    </row>
    <row r="99" spans="1:14" ht="37.9" hidden="1" customHeight="1" outlineLevel="2">
      <c r="A99" s="121"/>
      <c r="B99" s="1"/>
      <c r="C99" s="122"/>
      <c r="D99" s="1"/>
      <c r="E99" s="237"/>
      <c r="F99" s="31" t="s">
        <v>157</v>
      </c>
      <c r="G99" s="233"/>
      <c r="H99" s="234"/>
      <c r="I99" s="179"/>
      <c r="J99" s="179" t="s">
        <v>170</v>
      </c>
      <c r="K99" s="179" t="s">
        <v>147</v>
      </c>
      <c r="L99" s="38" t="s">
        <v>24</v>
      </c>
      <c r="M99" s="179" t="s">
        <v>129</v>
      </c>
      <c r="N99" s="36">
        <v>8</v>
      </c>
    </row>
    <row r="100" spans="1:14" ht="37.9" hidden="1" customHeight="1" outlineLevel="2">
      <c r="A100" s="121"/>
      <c r="B100" s="1"/>
      <c r="C100" s="122"/>
      <c r="D100" s="1"/>
      <c r="E100" s="237"/>
      <c r="F100" s="31"/>
      <c r="G100" s="233"/>
      <c r="H100" s="234"/>
      <c r="I100" s="179"/>
      <c r="J100" s="179" t="s">
        <v>147</v>
      </c>
      <c r="K100" s="179" t="s">
        <v>147</v>
      </c>
      <c r="L100" s="38" t="s">
        <v>130</v>
      </c>
      <c r="M100" s="179" t="s">
        <v>129</v>
      </c>
      <c r="N100" s="36">
        <v>3</v>
      </c>
    </row>
    <row r="101" spans="1:14" ht="56.25" hidden="1" customHeight="1" outlineLevel="2">
      <c r="A101" s="121"/>
      <c r="B101" s="1"/>
      <c r="C101" s="122"/>
      <c r="D101" s="1"/>
      <c r="E101" s="237"/>
      <c r="F101" s="31"/>
      <c r="G101" s="233"/>
      <c r="H101" s="234"/>
      <c r="I101" s="179"/>
      <c r="J101" s="179" t="s">
        <v>170</v>
      </c>
      <c r="K101" s="179" t="s">
        <v>147</v>
      </c>
      <c r="L101" s="38" t="s">
        <v>55</v>
      </c>
      <c r="M101" s="36" t="s">
        <v>129</v>
      </c>
      <c r="N101" s="36">
        <v>20</v>
      </c>
    </row>
    <row r="102" spans="1:14" ht="31.5" hidden="1" customHeight="1" outlineLevel="2" thickBot="1">
      <c r="A102" s="126"/>
      <c r="B102" s="127"/>
      <c r="C102" s="128"/>
      <c r="D102" s="127"/>
      <c r="E102" s="237"/>
      <c r="F102" s="31"/>
      <c r="G102" s="233"/>
      <c r="H102" s="234"/>
      <c r="I102" s="179"/>
      <c r="J102" s="179" t="s">
        <v>144</v>
      </c>
      <c r="K102" s="179" t="s">
        <v>142</v>
      </c>
      <c r="L102" s="38" t="s">
        <v>27</v>
      </c>
      <c r="M102" s="27" t="s">
        <v>134</v>
      </c>
      <c r="N102" s="27">
        <v>2</v>
      </c>
    </row>
    <row r="103" spans="1:14" s="236" customFormat="1" ht="26.25" outlineLevel="1" collapsed="1" thickBot="1">
      <c r="A103" s="117" t="s">
        <v>746</v>
      </c>
      <c r="B103" s="118" t="s">
        <v>40</v>
      </c>
      <c r="C103" s="119" t="s">
        <v>44</v>
      </c>
      <c r="D103" s="118" t="s">
        <v>35</v>
      </c>
      <c r="E103" s="231" t="s">
        <v>45</v>
      </c>
      <c r="F103" s="232" t="s">
        <v>904</v>
      </c>
      <c r="G103" s="233" t="s">
        <v>201</v>
      </c>
      <c r="H103" s="234" t="s">
        <v>883</v>
      </c>
      <c r="I103" s="118" t="s">
        <v>39</v>
      </c>
      <c r="J103" s="118" t="str">
        <f>J107</f>
        <v>июнь</v>
      </c>
      <c r="K103" s="120" t="str">
        <f>K107</f>
        <v>сентябрь</v>
      </c>
      <c r="L103" s="235" t="str">
        <f>CONCATENATE(L104," ",N104,M104," ",L105," ",N105,M105," "," "," ",L107," ",N107,M107,)</f>
        <v>Демонтаж опор 2шт Монтаж опор 2шт   Ручная расчистка просеки 4Га</v>
      </c>
      <c r="M103" s="152"/>
      <c r="N103" s="152"/>
    </row>
    <row r="104" spans="1:14" ht="27" hidden="1" customHeight="1" outlineLevel="2">
      <c r="A104" s="124"/>
      <c r="B104" s="1"/>
      <c r="C104" s="1"/>
      <c r="D104" s="1"/>
      <c r="E104" s="237"/>
      <c r="F104" s="31" t="s">
        <v>157</v>
      </c>
      <c r="G104" s="233"/>
      <c r="H104" s="234"/>
      <c r="I104" s="179"/>
      <c r="J104" s="179" t="s">
        <v>147</v>
      </c>
      <c r="K104" s="179" t="s">
        <v>141</v>
      </c>
      <c r="L104" s="38" t="s">
        <v>23</v>
      </c>
      <c r="M104" s="36" t="s">
        <v>129</v>
      </c>
      <c r="N104" s="36">
        <v>2</v>
      </c>
    </row>
    <row r="105" spans="1:14" ht="27" hidden="1" customHeight="1" outlineLevel="2">
      <c r="A105" s="124"/>
      <c r="B105" s="1"/>
      <c r="C105" s="1"/>
      <c r="D105" s="1"/>
      <c r="E105" s="237"/>
      <c r="F105" s="31" t="s">
        <v>157</v>
      </c>
      <c r="G105" s="233"/>
      <c r="H105" s="234"/>
      <c r="I105" s="179"/>
      <c r="J105" s="179" t="s">
        <v>147</v>
      </c>
      <c r="K105" s="179" t="s">
        <v>141</v>
      </c>
      <c r="L105" s="38" t="s">
        <v>24</v>
      </c>
      <c r="M105" s="36" t="s">
        <v>129</v>
      </c>
      <c r="N105" s="36">
        <f>N104</f>
        <v>2</v>
      </c>
    </row>
    <row r="106" spans="1:14" ht="27" hidden="1" customHeight="1" outlineLevel="2" thickBot="1">
      <c r="A106" s="124"/>
      <c r="B106" s="1"/>
      <c r="C106" s="1"/>
      <c r="D106" s="1"/>
      <c r="E106" s="237"/>
      <c r="F106" s="31"/>
      <c r="G106" s="233"/>
      <c r="H106" s="234"/>
      <c r="I106" s="179"/>
      <c r="J106" s="179" t="s">
        <v>144</v>
      </c>
      <c r="K106" s="179" t="s">
        <v>146</v>
      </c>
      <c r="L106" s="38" t="s">
        <v>739</v>
      </c>
      <c r="M106" s="36" t="s">
        <v>33</v>
      </c>
      <c r="N106" s="36">
        <v>17.23</v>
      </c>
    </row>
    <row r="107" spans="1:14" ht="15" hidden="1" customHeight="1" outlineLevel="2" thickBot="1">
      <c r="A107" s="126"/>
      <c r="B107" s="127"/>
      <c r="C107" s="128"/>
      <c r="D107" s="127"/>
      <c r="E107" s="237"/>
      <c r="F107" s="31"/>
      <c r="G107" s="233"/>
      <c r="H107" s="234"/>
      <c r="I107" s="179"/>
      <c r="J107" s="179" t="s">
        <v>144</v>
      </c>
      <c r="K107" s="179" t="s">
        <v>141</v>
      </c>
      <c r="L107" s="38" t="s">
        <v>27</v>
      </c>
      <c r="M107" s="27" t="s">
        <v>134</v>
      </c>
      <c r="N107" s="27">
        <v>4</v>
      </c>
    </row>
    <row r="108" spans="1:14" ht="27" hidden="1" customHeight="1" outlineLevel="2" thickBot="1">
      <c r="A108" s="124"/>
      <c r="B108" s="1"/>
      <c r="C108" s="1"/>
      <c r="D108" s="1"/>
      <c r="E108" s="237"/>
      <c r="F108" s="31"/>
      <c r="G108" s="233"/>
      <c r="H108" s="234"/>
      <c r="I108" s="125"/>
      <c r="J108" s="125" t="s">
        <v>144</v>
      </c>
      <c r="K108" s="125" t="s">
        <v>141</v>
      </c>
      <c r="L108" s="38" t="s">
        <v>879</v>
      </c>
      <c r="M108" s="36" t="s">
        <v>32</v>
      </c>
      <c r="N108" s="36">
        <v>0.56299999999999994</v>
      </c>
    </row>
    <row r="109" spans="1:14" s="236" customFormat="1" ht="57" customHeight="1" outlineLevel="1" collapsed="1" thickBot="1">
      <c r="A109" s="117" t="s">
        <v>747</v>
      </c>
      <c r="B109" s="118" t="s">
        <v>40</v>
      </c>
      <c r="C109" s="119" t="s">
        <v>44</v>
      </c>
      <c r="D109" s="118" t="s">
        <v>35</v>
      </c>
      <c r="E109" s="231" t="s">
        <v>46</v>
      </c>
      <c r="F109" s="232" t="s">
        <v>905</v>
      </c>
      <c r="G109" s="233" t="s">
        <v>201</v>
      </c>
      <c r="H109" s="234" t="s">
        <v>891</v>
      </c>
      <c r="I109" s="118" t="s">
        <v>39</v>
      </c>
      <c r="J109" s="118" t="str">
        <f>J113</f>
        <v>февраль</v>
      </c>
      <c r="K109" s="120" t="str">
        <f>K114</f>
        <v>сентябрь</v>
      </c>
      <c r="L109" s="235" t="str">
        <f>CONCATENATE(L110," ",N110,M110," ", L111," ",N111,M111," ",L112," ",N112,M112," ",L113," ",N113,M113," ",L114," ",N114,M114," ",)</f>
        <v xml:space="preserve">Демонтаж опор 14шт Монтаж опор 14шт Замена изоляторов фарфоровых/стеклянных на полимерные 12шт Бурение скважин и установка деревянных приставок 28шт Ручная расчистка просеки 1,8Га </v>
      </c>
      <c r="M109" s="152"/>
      <c r="N109" s="152"/>
    </row>
    <row r="110" spans="1:14" ht="27" hidden="1" customHeight="1" outlineLevel="2">
      <c r="A110" s="130"/>
      <c r="B110" s="1"/>
      <c r="C110" s="1"/>
      <c r="D110" s="1"/>
      <c r="E110" s="237"/>
      <c r="F110" s="31" t="s">
        <v>156</v>
      </c>
      <c r="G110" s="233"/>
      <c r="H110" s="234"/>
      <c r="I110" s="179"/>
      <c r="J110" s="179" t="s">
        <v>140</v>
      </c>
      <c r="K110" s="179" t="s">
        <v>143</v>
      </c>
      <c r="L110" s="38" t="s">
        <v>23</v>
      </c>
      <c r="M110" s="36" t="s">
        <v>129</v>
      </c>
      <c r="N110" s="36">
        <v>14</v>
      </c>
    </row>
    <row r="111" spans="1:14" ht="27" hidden="1" customHeight="1" outlineLevel="2">
      <c r="A111" s="130"/>
      <c r="B111" s="1"/>
      <c r="C111" s="1"/>
      <c r="D111" s="1"/>
      <c r="E111" s="237"/>
      <c r="F111" s="31" t="s">
        <v>156</v>
      </c>
      <c r="G111" s="233"/>
      <c r="H111" s="234"/>
      <c r="I111" s="179"/>
      <c r="J111" s="179" t="s">
        <v>140</v>
      </c>
      <c r="K111" s="179" t="s">
        <v>143</v>
      </c>
      <c r="L111" s="38" t="s">
        <v>24</v>
      </c>
      <c r="M111" s="36" t="s">
        <v>129</v>
      </c>
      <c r="N111" s="36">
        <f>N110</f>
        <v>14</v>
      </c>
    </row>
    <row r="112" spans="1:14" ht="24" hidden="1" customHeight="1" outlineLevel="2">
      <c r="A112" s="121"/>
      <c r="B112" s="1"/>
      <c r="C112" s="122"/>
      <c r="D112" s="1"/>
      <c r="E112" s="237"/>
      <c r="F112" s="31"/>
      <c r="G112" s="233"/>
      <c r="H112" s="234"/>
      <c r="I112" s="179"/>
      <c r="J112" s="179" t="s">
        <v>140</v>
      </c>
      <c r="K112" s="179" t="s">
        <v>140</v>
      </c>
      <c r="L112" s="38" t="s">
        <v>130</v>
      </c>
      <c r="M112" s="36" t="s">
        <v>129</v>
      </c>
      <c r="N112" s="36">
        <v>12</v>
      </c>
    </row>
    <row r="113" spans="1:14" ht="25.9" hidden="1" customHeight="1" outlineLevel="2">
      <c r="A113" s="121"/>
      <c r="B113" s="1"/>
      <c r="C113" s="122"/>
      <c r="D113" s="1"/>
      <c r="E113" s="237"/>
      <c r="F113" s="31"/>
      <c r="G113" s="233"/>
      <c r="H113" s="234"/>
      <c r="I113" s="179"/>
      <c r="J113" s="179" t="s">
        <v>145</v>
      </c>
      <c r="K113" s="179" t="s">
        <v>170</v>
      </c>
      <c r="L113" s="38" t="s">
        <v>55</v>
      </c>
      <c r="M113" s="36" t="s">
        <v>129</v>
      </c>
      <c r="N113" s="36">
        <v>28</v>
      </c>
    </row>
    <row r="114" spans="1:14" ht="25.9" hidden="1" customHeight="1" outlineLevel="2" thickBot="1">
      <c r="A114" s="126"/>
      <c r="B114" s="127"/>
      <c r="C114" s="128"/>
      <c r="D114" s="127"/>
      <c r="E114" s="237"/>
      <c r="F114" s="31"/>
      <c r="G114" s="233"/>
      <c r="H114" s="234"/>
      <c r="I114" s="179"/>
      <c r="J114" s="179" t="s">
        <v>144</v>
      </c>
      <c r="K114" s="179" t="s">
        <v>141</v>
      </c>
      <c r="L114" s="38" t="s">
        <v>27</v>
      </c>
      <c r="M114" s="27" t="s">
        <v>134</v>
      </c>
      <c r="N114" s="27">
        <v>1.8</v>
      </c>
    </row>
    <row r="115" spans="1:14" ht="27" hidden="1" customHeight="1" outlineLevel="2" thickBot="1">
      <c r="A115" s="124"/>
      <c r="B115" s="1"/>
      <c r="C115" s="1"/>
      <c r="D115" s="1"/>
      <c r="E115" s="237"/>
      <c r="F115" s="31"/>
      <c r="G115" s="233"/>
      <c r="H115" s="234"/>
      <c r="I115" s="125"/>
      <c r="J115" s="125" t="s">
        <v>146</v>
      </c>
      <c r="K115" s="125" t="s">
        <v>141</v>
      </c>
      <c r="L115" s="38" t="s">
        <v>879</v>
      </c>
      <c r="M115" s="36" t="s">
        <v>32</v>
      </c>
      <c r="N115" s="36">
        <v>0.62</v>
      </c>
    </row>
    <row r="116" spans="1:14" ht="13.5" thickBot="1">
      <c r="A116" s="287" t="s">
        <v>99</v>
      </c>
      <c r="B116" s="288"/>
      <c r="C116" s="288"/>
      <c r="D116" s="288"/>
      <c r="E116" s="229" t="s">
        <v>107</v>
      </c>
      <c r="F116" s="113"/>
      <c r="G116" s="230"/>
      <c r="H116" s="114"/>
      <c r="I116" s="115"/>
      <c r="J116" s="115"/>
      <c r="K116" s="115"/>
      <c r="L116" s="116"/>
      <c r="M116" s="114"/>
      <c r="N116" s="114"/>
    </row>
    <row r="117" spans="1:14" s="236" customFormat="1" ht="39" outlineLevel="1" collapsed="1" thickBot="1">
      <c r="A117" s="117" t="s">
        <v>91</v>
      </c>
      <c r="B117" s="118" t="s">
        <v>48</v>
      </c>
      <c r="C117" s="119" t="s">
        <v>38</v>
      </c>
      <c r="D117" s="118" t="s">
        <v>36</v>
      </c>
      <c r="E117" s="231" t="s">
        <v>49</v>
      </c>
      <c r="F117" s="232" t="s">
        <v>906</v>
      </c>
      <c r="G117" s="233" t="s">
        <v>201</v>
      </c>
      <c r="H117" s="234" t="s">
        <v>884</v>
      </c>
      <c r="I117" s="118" t="s">
        <v>39</v>
      </c>
      <c r="J117" s="118" t="str">
        <f>J121</f>
        <v>февраль</v>
      </c>
      <c r="K117" s="120" t="str">
        <f>K118</f>
        <v>октябрь</v>
      </c>
      <c r="L117" s="235" t="str">
        <f>CONCATENATE(L118," ",N118,M118," ",L119," ",N119,M119," ",L120," ",N120,M120," ",L121," ",N121,M121," ",)</f>
        <v xml:space="preserve">Демонтаж опор 4шт Монтаж опор 4шт Замена изоляторов фарфоровых/стеклянных на полимерные 3шт Бурение скважин и установка ж/б приставок 6шт </v>
      </c>
      <c r="M117" s="152"/>
      <c r="N117" s="152"/>
    </row>
    <row r="118" spans="1:14" ht="12.75" hidden="1" customHeight="1" outlineLevel="2">
      <c r="A118" s="130"/>
      <c r="B118" s="1"/>
      <c r="C118" s="1"/>
      <c r="D118" s="1"/>
      <c r="E118" s="237"/>
      <c r="F118" s="31" t="s">
        <v>163</v>
      </c>
      <c r="G118" s="233"/>
      <c r="H118" s="234"/>
      <c r="I118" s="179"/>
      <c r="J118" s="179" t="s">
        <v>142</v>
      </c>
      <c r="K118" s="179" t="s">
        <v>142</v>
      </c>
      <c r="L118" s="38" t="s">
        <v>23</v>
      </c>
      <c r="M118" s="179" t="s">
        <v>129</v>
      </c>
      <c r="N118" s="36">
        <v>4</v>
      </c>
    </row>
    <row r="119" spans="1:14" ht="12.75" hidden="1" customHeight="1" outlineLevel="2">
      <c r="A119" s="121"/>
      <c r="B119" s="36"/>
      <c r="C119" s="11"/>
      <c r="D119" s="36"/>
      <c r="E119" s="237"/>
      <c r="F119" s="31" t="s">
        <v>163</v>
      </c>
      <c r="G119" s="233"/>
      <c r="H119" s="234"/>
      <c r="I119" s="179"/>
      <c r="J119" s="179" t="s">
        <v>142</v>
      </c>
      <c r="K119" s="179" t="s">
        <v>142</v>
      </c>
      <c r="L119" s="38" t="s">
        <v>24</v>
      </c>
      <c r="M119" s="179" t="s">
        <v>129</v>
      </c>
      <c r="N119" s="36">
        <f>N118</f>
        <v>4</v>
      </c>
    </row>
    <row r="120" spans="1:14" ht="12.75" hidden="1" customHeight="1" outlineLevel="2">
      <c r="A120" s="130"/>
      <c r="B120" s="1"/>
      <c r="C120" s="122"/>
      <c r="D120" s="1"/>
      <c r="E120" s="237"/>
      <c r="F120" s="31"/>
      <c r="G120" s="233"/>
      <c r="H120" s="234"/>
      <c r="I120" s="179"/>
      <c r="J120" s="179" t="s">
        <v>142</v>
      </c>
      <c r="K120" s="179" t="s">
        <v>142</v>
      </c>
      <c r="L120" s="38" t="s">
        <v>130</v>
      </c>
      <c r="M120" s="179" t="s">
        <v>129</v>
      </c>
      <c r="N120" s="36">
        <v>3</v>
      </c>
    </row>
    <row r="121" spans="1:14" ht="13.5" hidden="1" customHeight="1" outlineLevel="2" thickBot="1">
      <c r="A121" s="130"/>
      <c r="B121" s="1"/>
      <c r="C121" s="122"/>
      <c r="D121" s="1"/>
      <c r="E121" s="237"/>
      <c r="F121" s="31"/>
      <c r="G121" s="233"/>
      <c r="H121" s="234"/>
      <c r="I121" s="179"/>
      <c r="J121" s="179" t="s">
        <v>145</v>
      </c>
      <c r="K121" s="179" t="s">
        <v>145</v>
      </c>
      <c r="L121" s="38" t="s">
        <v>139</v>
      </c>
      <c r="M121" s="179" t="s">
        <v>129</v>
      </c>
      <c r="N121" s="36">
        <v>6</v>
      </c>
    </row>
    <row r="122" spans="1:14" s="236" customFormat="1" ht="27" outlineLevel="1" collapsed="1" thickBot="1">
      <c r="A122" s="117" t="s">
        <v>748</v>
      </c>
      <c r="B122" s="118" t="s">
        <v>48</v>
      </c>
      <c r="C122" s="119" t="s">
        <v>38</v>
      </c>
      <c r="D122" s="118" t="s">
        <v>36</v>
      </c>
      <c r="E122" s="231" t="s">
        <v>135</v>
      </c>
      <c r="F122" s="232" t="s">
        <v>907</v>
      </c>
      <c r="G122" s="233" t="s">
        <v>702</v>
      </c>
      <c r="H122" s="240"/>
      <c r="I122" s="118"/>
      <c r="J122" s="118" t="s">
        <v>143</v>
      </c>
      <c r="K122" s="120" t="s">
        <v>141</v>
      </c>
      <c r="L122" s="235" t="str">
        <f>CONCATENATE(L123," ",N123,M123," ",,)</f>
        <v xml:space="preserve">Ручная расчистка просеки 5Га </v>
      </c>
      <c r="M122" s="152"/>
      <c r="N122" s="152"/>
    </row>
    <row r="123" spans="1:14" ht="13.5" hidden="1" outlineLevel="2" thickBot="1">
      <c r="A123" s="130"/>
      <c r="B123" s="1"/>
      <c r="C123" s="1"/>
      <c r="D123" s="1"/>
      <c r="E123" s="237"/>
      <c r="F123" s="31"/>
      <c r="G123" s="233"/>
      <c r="H123" s="234"/>
      <c r="I123" s="179"/>
      <c r="J123" s="179" t="s">
        <v>143</v>
      </c>
      <c r="K123" s="179" t="s">
        <v>141</v>
      </c>
      <c r="L123" s="38" t="s">
        <v>27</v>
      </c>
      <c r="M123" s="179" t="s">
        <v>134</v>
      </c>
      <c r="N123" s="36">
        <v>5</v>
      </c>
    </row>
    <row r="124" spans="1:14" s="236" customFormat="1" ht="27" outlineLevel="1" collapsed="1" thickBot="1">
      <c r="A124" s="117" t="s">
        <v>92</v>
      </c>
      <c r="B124" s="118" t="s">
        <v>48</v>
      </c>
      <c r="C124" s="119" t="s">
        <v>38</v>
      </c>
      <c r="D124" s="118" t="s">
        <v>36</v>
      </c>
      <c r="E124" s="231" t="s">
        <v>136</v>
      </c>
      <c r="F124" s="232" t="s">
        <v>908</v>
      </c>
      <c r="G124" s="233" t="s">
        <v>702</v>
      </c>
      <c r="H124" s="240"/>
      <c r="I124" s="118"/>
      <c r="J124" s="118" t="s">
        <v>143</v>
      </c>
      <c r="K124" s="120" t="s">
        <v>141</v>
      </c>
      <c r="L124" s="235" t="str">
        <f>CONCATENATE(L125," ",N125,M125," ",,)</f>
        <v xml:space="preserve">Ручная расчистка просеки 5Га </v>
      </c>
      <c r="M124" s="152"/>
      <c r="N124" s="152"/>
    </row>
    <row r="125" spans="1:14" ht="13.5" hidden="1" outlineLevel="2" thickBot="1">
      <c r="A125" s="132"/>
      <c r="B125" s="127"/>
      <c r="C125" s="127"/>
      <c r="D125" s="127"/>
      <c r="E125" s="237"/>
      <c r="F125" s="31"/>
      <c r="G125" s="233"/>
      <c r="H125" s="234"/>
      <c r="I125" s="179"/>
      <c r="J125" s="179" t="s">
        <v>143</v>
      </c>
      <c r="K125" s="179" t="s">
        <v>141</v>
      </c>
      <c r="L125" s="38" t="s">
        <v>27</v>
      </c>
      <c r="M125" s="134" t="s">
        <v>134</v>
      </c>
      <c r="N125" s="27">
        <v>5</v>
      </c>
    </row>
    <row r="126" spans="1:14" s="236" customFormat="1" ht="52.5" outlineLevel="1" collapsed="1" thickBot="1">
      <c r="A126" s="117" t="s">
        <v>93</v>
      </c>
      <c r="B126" s="118" t="s">
        <v>48</v>
      </c>
      <c r="C126" s="119" t="s">
        <v>38</v>
      </c>
      <c r="D126" s="118" t="s">
        <v>36</v>
      </c>
      <c r="E126" s="231" t="s">
        <v>137</v>
      </c>
      <c r="F126" s="232" t="s">
        <v>909</v>
      </c>
      <c r="G126" s="233" t="s">
        <v>702</v>
      </c>
      <c r="H126" s="240"/>
      <c r="I126" s="118"/>
      <c r="J126" s="118" t="s">
        <v>147</v>
      </c>
      <c r="K126" s="120" t="s">
        <v>147</v>
      </c>
      <c r="L126" s="235" t="str">
        <f>CONCATENATE(L127," ",N127,M127," ",,)</f>
        <v xml:space="preserve">Ручная расчистка просеки 1,3Га </v>
      </c>
      <c r="M126" s="152"/>
      <c r="N126" s="152"/>
    </row>
    <row r="127" spans="1:14" ht="13.5" hidden="1" outlineLevel="2" thickBot="1">
      <c r="A127" s="132"/>
      <c r="B127" s="127"/>
      <c r="C127" s="127"/>
      <c r="D127" s="127"/>
      <c r="E127" s="237"/>
      <c r="F127" s="31"/>
      <c r="G127" s="233"/>
      <c r="H127" s="234"/>
      <c r="I127" s="179"/>
      <c r="J127" s="179" t="str">
        <f>J126</f>
        <v>август</v>
      </c>
      <c r="K127" s="179" t="str">
        <f>K126:K126</f>
        <v>август</v>
      </c>
      <c r="L127" s="38" t="s">
        <v>27</v>
      </c>
      <c r="M127" s="134" t="s">
        <v>134</v>
      </c>
      <c r="N127" s="27">
        <v>1.3</v>
      </c>
    </row>
    <row r="128" spans="1:14" s="236" customFormat="1" ht="14.25" outlineLevel="1" collapsed="1" thickBot="1">
      <c r="A128" s="117" t="s">
        <v>94</v>
      </c>
      <c r="B128" s="118" t="s">
        <v>48</v>
      </c>
      <c r="C128" s="119" t="s">
        <v>44</v>
      </c>
      <c r="D128" s="118" t="s">
        <v>35</v>
      </c>
      <c r="E128" s="231" t="s">
        <v>148</v>
      </c>
      <c r="F128" s="232" t="s">
        <v>910</v>
      </c>
      <c r="G128" s="233" t="s">
        <v>702</v>
      </c>
      <c r="H128" s="240"/>
      <c r="I128" s="118" t="s">
        <v>39</v>
      </c>
      <c r="J128" s="118" t="s">
        <v>144</v>
      </c>
      <c r="K128" s="120" t="s">
        <v>142</v>
      </c>
      <c r="L128" s="235" t="str">
        <f>CONCATENATE(L129," ",N129,M129," ",,)</f>
        <v xml:space="preserve">Ручная расчистка просеки 1,2Га </v>
      </c>
      <c r="M128" s="152"/>
      <c r="N128" s="152"/>
    </row>
    <row r="129" spans="1:14" ht="13.5" hidden="1" outlineLevel="2" thickBot="1">
      <c r="A129" s="135"/>
      <c r="B129" s="127"/>
      <c r="C129" s="127"/>
      <c r="D129" s="127"/>
      <c r="E129" s="237"/>
      <c r="F129" s="31"/>
      <c r="G129" s="233"/>
      <c r="H129" s="234"/>
      <c r="I129" s="179"/>
      <c r="J129" s="179" t="s">
        <v>144</v>
      </c>
      <c r="K129" s="179" t="s">
        <v>142</v>
      </c>
      <c r="L129" s="38" t="s">
        <v>27</v>
      </c>
      <c r="M129" s="27" t="s">
        <v>134</v>
      </c>
      <c r="N129" s="133">
        <v>1.2</v>
      </c>
    </row>
    <row r="130" spans="1:14" s="236" customFormat="1" ht="26.25" outlineLevel="1" collapsed="1" thickBot="1">
      <c r="A130" s="117" t="s">
        <v>166</v>
      </c>
      <c r="B130" s="118" t="s">
        <v>48</v>
      </c>
      <c r="C130" s="119" t="s">
        <v>44</v>
      </c>
      <c r="D130" s="118" t="s">
        <v>35</v>
      </c>
      <c r="E130" s="231" t="s">
        <v>50</v>
      </c>
      <c r="F130" s="232" t="s">
        <v>911</v>
      </c>
      <c r="G130" s="233" t="s">
        <v>887</v>
      </c>
      <c r="H130" s="234" t="s">
        <v>884</v>
      </c>
      <c r="I130" s="118" t="s">
        <v>39</v>
      </c>
      <c r="J130" s="118" t="s">
        <v>144</v>
      </c>
      <c r="K130" s="120" t="s">
        <v>142</v>
      </c>
      <c r="L130" s="235" t="str">
        <f>CONCATENATE(L131," ",N131,M131," ",L132," ",N132,M132," ",L133," ",N133,M133," ",L134," ",N134,M134,)</f>
        <v>Демонтаж опор 3шт Монтаж опор 3шт Бурение скважин и установка ж/б приставок 8шт Ручная расчистка просеки 3,3Га</v>
      </c>
      <c r="M130" s="152"/>
      <c r="N130" s="152"/>
    </row>
    <row r="131" spans="1:14" ht="35.450000000000003" hidden="1" customHeight="1" outlineLevel="2">
      <c r="A131" s="124"/>
      <c r="B131" s="1"/>
      <c r="C131" s="1"/>
      <c r="D131" s="1"/>
      <c r="E131" s="237"/>
      <c r="F131" s="31" t="s">
        <v>160</v>
      </c>
      <c r="G131" s="233"/>
      <c r="H131" s="234"/>
      <c r="I131" s="179"/>
      <c r="J131" s="179" t="s">
        <v>146</v>
      </c>
      <c r="K131" s="179" t="s">
        <v>146</v>
      </c>
      <c r="L131" s="38" t="s">
        <v>23</v>
      </c>
      <c r="M131" s="179" t="s">
        <v>129</v>
      </c>
      <c r="N131" s="36">
        <v>3</v>
      </c>
    </row>
    <row r="132" spans="1:14" ht="33.6" hidden="1" customHeight="1" outlineLevel="2">
      <c r="A132" s="121"/>
      <c r="B132" s="1"/>
      <c r="C132" s="122"/>
      <c r="D132" s="1"/>
      <c r="E132" s="237"/>
      <c r="F132" s="31" t="str">
        <f>F131</f>
        <v>ПД35-3</v>
      </c>
      <c r="G132" s="233"/>
      <c r="H132" s="234"/>
      <c r="I132" s="179"/>
      <c r="J132" s="179" t="s">
        <v>146</v>
      </c>
      <c r="K132" s="179" t="s">
        <v>146</v>
      </c>
      <c r="L132" s="38" t="s">
        <v>24</v>
      </c>
      <c r="M132" s="179" t="s">
        <v>129</v>
      </c>
      <c r="N132" s="36">
        <f>N131</f>
        <v>3</v>
      </c>
    </row>
    <row r="133" spans="1:14" ht="12.75" hidden="1" customHeight="1" outlineLevel="2">
      <c r="A133" s="121"/>
      <c r="B133" s="1"/>
      <c r="C133" s="122"/>
      <c r="D133" s="1"/>
      <c r="E133" s="237"/>
      <c r="F133" s="31"/>
      <c r="G133" s="233"/>
      <c r="H133" s="234"/>
      <c r="I133" s="179"/>
      <c r="J133" s="179" t="s">
        <v>146</v>
      </c>
      <c r="K133" s="179" t="s">
        <v>146</v>
      </c>
      <c r="L133" s="38" t="s">
        <v>139</v>
      </c>
      <c r="M133" s="179" t="s">
        <v>129</v>
      </c>
      <c r="N133" s="36">
        <v>8</v>
      </c>
    </row>
    <row r="134" spans="1:14" ht="13.5" hidden="1" outlineLevel="2" thickBot="1">
      <c r="A134" s="126"/>
      <c r="B134" s="127"/>
      <c r="C134" s="128"/>
      <c r="D134" s="127"/>
      <c r="E134" s="237"/>
      <c r="F134" s="31"/>
      <c r="G134" s="233"/>
      <c r="H134" s="234"/>
      <c r="I134" s="179"/>
      <c r="J134" s="179" t="s">
        <v>144</v>
      </c>
      <c r="K134" s="179" t="s">
        <v>142</v>
      </c>
      <c r="L134" s="38" t="s">
        <v>27</v>
      </c>
      <c r="M134" s="27" t="s">
        <v>134</v>
      </c>
      <c r="N134" s="133">
        <v>3.3</v>
      </c>
    </row>
    <row r="135" spans="1:14" s="236" customFormat="1" ht="26.25" outlineLevel="1" collapsed="1" thickBot="1">
      <c r="A135" s="117" t="s">
        <v>167</v>
      </c>
      <c r="B135" s="118" t="s">
        <v>48</v>
      </c>
      <c r="C135" s="119" t="s">
        <v>44</v>
      </c>
      <c r="D135" s="118" t="s">
        <v>35</v>
      </c>
      <c r="E135" s="231" t="s">
        <v>150</v>
      </c>
      <c r="F135" s="232" t="s">
        <v>912</v>
      </c>
      <c r="G135" s="233" t="s">
        <v>887</v>
      </c>
      <c r="H135" s="234" t="s">
        <v>884</v>
      </c>
      <c r="I135" s="118" t="s">
        <v>39</v>
      </c>
      <c r="J135" s="118" t="str">
        <f>J136</f>
        <v>август</v>
      </c>
      <c r="K135" s="120" t="s">
        <v>142</v>
      </c>
      <c r="L135" s="235" t="str">
        <f>CONCATENATE(L136," ",N136,M136," ",L137," ",N137,M137," ",L139," ",N139,M139," ")</f>
        <v xml:space="preserve">Демонтаж опор 12шт Монтаж опор 12шт Бурение скважин и установка деревянных приставок 14шт </v>
      </c>
      <c r="M135" s="152"/>
      <c r="N135" s="152"/>
    </row>
    <row r="136" spans="1:14" ht="24.6" hidden="1" customHeight="1" outlineLevel="2">
      <c r="A136" s="130"/>
      <c r="B136" s="1"/>
      <c r="C136" s="1"/>
      <c r="D136" s="1"/>
      <c r="E136" s="237"/>
      <c r="F136" s="31" t="s">
        <v>159</v>
      </c>
      <c r="G136" s="233"/>
      <c r="H136" s="234"/>
      <c r="I136" s="179"/>
      <c r="J136" s="179" t="s">
        <v>147</v>
      </c>
      <c r="K136" s="179" t="s">
        <v>142</v>
      </c>
      <c r="L136" s="38" t="s">
        <v>23</v>
      </c>
      <c r="M136" s="179" t="s">
        <v>129</v>
      </c>
      <c r="N136" s="36">
        <f>2+10</f>
        <v>12</v>
      </c>
    </row>
    <row r="137" spans="1:14" ht="24.6" hidden="1" customHeight="1" outlineLevel="2">
      <c r="A137" s="130"/>
      <c r="B137" s="1"/>
      <c r="C137" s="1"/>
      <c r="D137" s="1"/>
      <c r="E137" s="237"/>
      <c r="F137" s="31" t="s">
        <v>159</v>
      </c>
      <c r="G137" s="233"/>
      <c r="H137" s="234"/>
      <c r="I137" s="179"/>
      <c r="J137" s="179" t="s">
        <v>147</v>
      </c>
      <c r="K137" s="179" t="s">
        <v>142</v>
      </c>
      <c r="L137" s="38" t="s">
        <v>24</v>
      </c>
      <c r="M137" s="179" t="s">
        <v>129</v>
      </c>
      <c r="N137" s="36">
        <f>N136</f>
        <v>12</v>
      </c>
    </row>
    <row r="138" spans="1:14" ht="27" hidden="1" customHeight="1" outlineLevel="2">
      <c r="A138" s="121"/>
      <c r="B138" s="1"/>
      <c r="C138" s="122"/>
      <c r="D138" s="1"/>
      <c r="E138" s="237"/>
      <c r="F138" s="31"/>
      <c r="G138" s="233"/>
      <c r="H138" s="234"/>
      <c r="I138" s="179"/>
      <c r="J138" s="179" t="s">
        <v>147</v>
      </c>
      <c r="K138" s="179" t="s">
        <v>142</v>
      </c>
      <c r="L138" s="38" t="s">
        <v>139</v>
      </c>
      <c r="M138" s="179" t="s">
        <v>129</v>
      </c>
      <c r="N138" s="36">
        <v>14</v>
      </c>
    </row>
    <row r="139" spans="1:14" ht="27" hidden="1" customHeight="1" outlineLevel="2" thickBot="1">
      <c r="A139" s="121"/>
      <c r="B139" s="1"/>
      <c r="C139" s="122"/>
      <c r="D139" s="1"/>
      <c r="E139" s="237"/>
      <c r="F139" s="31"/>
      <c r="G139" s="233"/>
      <c r="H139" s="234"/>
      <c r="I139" s="179"/>
      <c r="J139" s="179" t="s">
        <v>147</v>
      </c>
      <c r="K139" s="179" t="s">
        <v>142</v>
      </c>
      <c r="L139" s="38" t="s">
        <v>55</v>
      </c>
      <c r="M139" s="179" t="s">
        <v>129</v>
      </c>
      <c r="N139" s="36">
        <f>8+6</f>
        <v>14</v>
      </c>
    </row>
    <row r="140" spans="1:14" s="236" customFormat="1" ht="14.25" outlineLevel="1" collapsed="1" thickBot="1">
      <c r="A140" s="117" t="s">
        <v>100</v>
      </c>
      <c r="B140" s="118" t="s">
        <v>48</v>
      </c>
      <c r="C140" s="119" t="s">
        <v>44</v>
      </c>
      <c r="D140" s="118" t="s">
        <v>35</v>
      </c>
      <c r="E140" s="231" t="s">
        <v>51</v>
      </c>
      <c r="F140" s="232" t="s">
        <v>913</v>
      </c>
      <c r="G140" s="233" t="s">
        <v>702</v>
      </c>
      <c r="H140" s="240"/>
      <c r="I140" s="118" t="s">
        <v>39</v>
      </c>
      <c r="J140" s="118" t="s">
        <v>144</v>
      </c>
      <c r="K140" s="120" t="s">
        <v>142</v>
      </c>
      <c r="L140" s="235" t="str">
        <f>CONCATENATE(,L141," ",N141,M141)</f>
        <v>Ручная расчистка просеки 5,3Га</v>
      </c>
      <c r="M140" s="152"/>
      <c r="N140" s="152"/>
    </row>
    <row r="141" spans="1:14" ht="31.5" hidden="1" customHeight="1" outlineLevel="2" thickBot="1">
      <c r="A141" s="126"/>
      <c r="B141" s="127"/>
      <c r="C141" s="128"/>
      <c r="D141" s="127"/>
      <c r="E141" s="237"/>
      <c r="F141" s="31"/>
      <c r="G141" s="233"/>
      <c r="H141" s="234"/>
      <c r="I141" s="179"/>
      <c r="J141" s="179" t="s">
        <v>144</v>
      </c>
      <c r="K141" s="179" t="s">
        <v>142</v>
      </c>
      <c r="L141" s="38" t="s">
        <v>27</v>
      </c>
      <c r="M141" s="27" t="s">
        <v>134</v>
      </c>
      <c r="N141" s="133">
        <v>5.3</v>
      </c>
    </row>
    <row r="142" spans="1:14" s="236" customFormat="1" ht="14.25" outlineLevel="1" collapsed="1" thickBot="1">
      <c r="A142" s="117" t="s">
        <v>101</v>
      </c>
      <c r="B142" s="118" t="s">
        <v>48</v>
      </c>
      <c r="C142" s="119" t="s">
        <v>44</v>
      </c>
      <c r="D142" s="118" t="s">
        <v>35</v>
      </c>
      <c r="E142" s="231" t="s">
        <v>52</v>
      </c>
      <c r="F142" s="232" t="s">
        <v>914</v>
      </c>
      <c r="G142" s="239" t="s">
        <v>702</v>
      </c>
      <c r="H142" s="240"/>
      <c r="I142" s="118" t="s">
        <v>39</v>
      </c>
      <c r="J142" s="118" t="s">
        <v>144</v>
      </c>
      <c r="K142" s="120" t="s">
        <v>142</v>
      </c>
      <c r="L142" s="235" t="str">
        <f>CONCATENATE(L143," ",N143,M143)</f>
        <v>Ручная расчистка просеки 5,5Га</v>
      </c>
      <c r="M142" s="152"/>
      <c r="N142" s="152"/>
    </row>
    <row r="143" spans="1:14" ht="13.5" hidden="1" outlineLevel="2" thickBot="1">
      <c r="A143" s="132"/>
      <c r="B143" s="127"/>
      <c r="C143" s="127"/>
      <c r="D143" s="127"/>
      <c r="E143" s="237"/>
      <c r="F143" s="31"/>
      <c r="G143" s="233"/>
      <c r="H143" s="234"/>
      <c r="I143" s="179"/>
      <c r="J143" s="179" t="s">
        <v>144</v>
      </c>
      <c r="K143" s="179" t="s">
        <v>142</v>
      </c>
      <c r="L143" s="38" t="s">
        <v>27</v>
      </c>
      <c r="M143" s="27" t="s">
        <v>134</v>
      </c>
      <c r="N143" s="133">
        <v>5.5</v>
      </c>
    </row>
    <row r="144" spans="1:14" s="236" customFormat="1" ht="14.25" outlineLevel="1" collapsed="1" thickBot="1">
      <c r="A144" s="117" t="s">
        <v>102</v>
      </c>
      <c r="B144" s="118" t="s">
        <v>48</v>
      </c>
      <c r="C144" s="119" t="s">
        <v>44</v>
      </c>
      <c r="D144" s="118" t="s">
        <v>35</v>
      </c>
      <c r="E144" s="231" t="s">
        <v>149</v>
      </c>
      <c r="F144" s="232" t="s">
        <v>915</v>
      </c>
      <c r="G144" s="239" t="s">
        <v>702</v>
      </c>
      <c r="H144" s="240"/>
      <c r="I144" s="118" t="s">
        <v>39</v>
      </c>
      <c r="J144" s="118" t="s">
        <v>144</v>
      </c>
      <c r="K144" s="120" t="s">
        <v>142</v>
      </c>
      <c r="L144" s="235" t="str">
        <f>CONCATENATE(L145," ",N145,M145)</f>
        <v>Ручная расчистка просеки 3,7Га</v>
      </c>
      <c r="M144" s="152"/>
      <c r="N144" s="152"/>
    </row>
    <row r="145" spans="1:14" ht="13.5" hidden="1" outlineLevel="2" thickBot="1">
      <c r="A145" s="132"/>
      <c r="B145" s="127"/>
      <c r="C145" s="127"/>
      <c r="D145" s="127"/>
      <c r="E145" s="237"/>
      <c r="F145" s="31"/>
      <c r="G145" s="233"/>
      <c r="H145" s="234"/>
      <c r="I145" s="179"/>
      <c r="J145" s="179" t="s">
        <v>144</v>
      </c>
      <c r="K145" s="179" t="s">
        <v>142</v>
      </c>
      <c r="L145" s="38" t="s">
        <v>27</v>
      </c>
      <c r="M145" s="27" t="s">
        <v>134</v>
      </c>
      <c r="N145" s="133">
        <v>3.7</v>
      </c>
    </row>
    <row r="146" spans="1:14" s="236" customFormat="1" ht="39" outlineLevel="1" collapsed="1" thickBot="1">
      <c r="A146" s="117" t="s">
        <v>749</v>
      </c>
      <c r="B146" s="118" t="s">
        <v>48</v>
      </c>
      <c r="C146" s="119" t="s">
        <v>44</v>
      </c>
      <c r="D146" s="118" t="s">
        <v>35</v>
      </c>
      <c r="E146" s="231" t="s">
        <v>53</v>
      </c>
      <c r="F146" s="232" t="s">
        <v>916</v>
      </c>
      <c r="G146" s="233" t="s">
        <v>201</v>
      </c>
      <c r="H146" s="234" t="s">
        <v>884</v>
      </c>
      <c r="I146" s="118" t="s">
        <v>39</v>
      </c>
      <c r="J146" s="118" t="s">
        <v>140</v>
      </c>
      <c r="K146" s="120" t="str">
        <f>K147</f>
        <v>сентябрь</v>
      </c>
      <c r="L146" s="235" t="str">
        <f>CONCATENATE(L147," ",N147,M147," ",L148," ",N148,M148," ",L149," ",N149,M149," ",L150," ",N150,M150," ")</f>
        <v xml:space="preserve">Демонтаж опор 31шт Монтаж опор 31шт Бурение скважин и установка ж/б приставок 58шт Бурение скважин и установка деревянных приставок 8шт </v>
      </c>
      <c r="M146" s="152"/>
      <c r="N146" s="152"/>
    </row>
    <row r="147" spans="1:14" ht="68.25" hidden="1" customHeight="1" outlineLevel="2">
      <c r="A147" s="124"/>
      <c r="B147" s="1"/>
      <c r="C147" s="1"/>
      <c r="D147" s="1"/>
      <c r="E147" s="237"/>
      <c r="F147" s="31" t="s">
        <v>159</v>
      </c>
      <c r="G147" s="233"/>
      <c r="H147" s="234"/>
      <c r="I147" s="179"/>
      <c r="J147" s="179" t="s">
        <v>170</v>
      </c>
      <c r="K147" s="179" t="s">
        <v>141</v>
      </c>
      <c r="L147" s="38" t="s">
        <v>23</v>
      </c>
      <c r="M147" s="179" t="s">
        <v>129</v>
      </c>
      <c r="N147" s="36">
        <f>2+29</f>
        <v>31</v>
      </c>
    </row>
    <row r="148" spans="1:14" ht="12.75" hidden="1" customHeight="1" outlineLevel="2">
      <c r="A148" s="121"/>
      <c r="B148" s="1"/>
      <c r="C148" s="122"/>
      <c r="D148" s="1"/>
      <c r="E148" s="237"/>
      <c r="F148" s="31" t="s">
        <v>159</v>
      </c>
      <c r="G148" s="233"/>
      <c r="H148" s="234"/>
      <c r="I148" s="179"/>
      <c r="J148" s="179" t="s">
        <v>170</v>
      </c>
      <c r="K148" s="179" t="s">
        <v>141</v>
      </c>
      <c r="L148" s="38" t="s">
        <v>24</v>
      </c>
      <c r="M148" s="179" t="s">
        <v>129</v>
      </c>
      <c r="N148" s="36">
        <f>N147</f>
        <v>31</v>
      </c>
    </row>
    <row r="149" spans="1:14" ht="12.75" hidden="1" customHeight="1" outlineLevel="2">
      <c r="A149" s="121"/>
      <c r="B149" s="1"/>
      <c r="C149" s="122"/>
      <c r="D149" s="1"/>
      <c r="E149" s="237"/>
      <c r="F149" s="31"/>
      <c r="G149" s="233"/>
      <c r="H149" s="234"/>
      <c r="I149" s="179"/>
      <c r="J149" s="179" t="s">
        <v>140</v>
      </c>
      <c r="K149" s="179" t="s">
        <v>141</v>
      </c>
      <c r="L149" s="38" t="s">
        <v>139</v>
      </c>
      <c r="M149" s="179" t="s">
        <v>129</v>
      </c>
      <c r="N149" s="36">
        <v>58</v>
      </c>
    </row>
    <row r="150" spans="1:14" ht="13.5" hidden="1" customHeight="1" outlineLevel="2" thickBot="1">
      <c r="A150" s="121"/>
      <c r="B150" s="1"/>
      <c r="C150" s="122"/>
      <c r="D150" s="1"/>
      <c r="E150" s="237"/>
      <c r="F150" s="31"/>
      <c r="G150" s="233"/>
      <c r="H150" s="234"/>
      <c r="I150" s="179"/>
      <c r="J150" s="179" t="s">
        <v>140</v>
      </c>
      <c r="K150" s="179" t="s">
        <v>141</v>
      </c>
      <c r="L150" s="38" t="s">
        <v>55</v>
      </c>
      <c r="M150" s="179" t="s">
        <v>129</v>
      </c>
      <c r="N150" s="36">
        <v>8</v>
      </c>
    </row>
    <row r="151" spans="1:14" s="236" customFormat="1" ht="86.25" customHeight="1" outlineLevel="1" collapsed="1" thickBot="1">
      <c r="A151" s="117" t="s">
        <v>750</v>
      </c>
      <c r="B151" s="118" t="s">
        <v>48</v>
      </c>
      <c r="C151" s="119" t="s">
        <v>47</v>
      </c>
      <c r="D151" s="118" t="s">
        <v>37</v>
      </c>
      <c r="E151" s="231" t="s">
        <v>57</v>
      </c>
      <c r="F151" s="232" t="s">
        <v>917</v>
      </c>
      <c r="G151" s="233" t="s">
        <v>201</v>
      </c>
      <c r="H151" s="234" t="s">
        <v>884</v>
      </c>
      <c r="I151" s="118" t="s">
        <v>39</v>
      </c>
      <c r="J151" s="118" t="s">
        <v>140</v>
      </c>
      <c r="K151" s="120" t="str">
        <f>K152</f>
        <v>сентябрь</v>
      </c>
      <c r="L151" s="235" t="str">
        <f>CONCATENATE(L152," ",N152,M152," ",L153," ",N153,M153," ",L154," ",N154,M154," ",L156," ",N156,M156," ",L155," ",N155,M155," ",)</f>
        <v xml:space="preserve">Демонтаж опор 15шт Монтаж опор 15шт Замена изоляторов фарфоровых/стеклянных на полимерные 18шт Бурение скважин и установка деревянных приставок 14шт Бурение скважин и установка ж/б приставок 22шт </v>
      </c>
      <c r="M151" s="152"/>
      <c r="N151" s="152"/>
    </row>
    <row r="152" spans="1:14" ht="12.75" hidden="1" customHeight="1" outlineLevel="2">
      <c r="A152" s="124"/>
      <c r="B152" s="1"/>
      <c r="C152" s="1"/>
      <c r="D152" s="1"/>
      <c r="E152" s="237"/>
      <c r="F152" s="31" t="s">
        <v>159</v>
      </c>
      <c r="G152" s="233"/>
      <c r="H152" s="234"/>
      <c r="I152" s="179"/>
      <c r="J152" s="179" t="s">
        <v>170</v>
      </c>
      <c r="K152" s="179" t="s">
        <v>141</v>
      </c>
      <c r="L152" s="38" t="s">
        <v>23</v>
      </c>
      <c r="M152" s="36" t="s">
        <v>129</v>
      </c>
      <c r="N152" s="36">
        <v>15</v>
      </c>
    </row>
    <row r="153" spans="1:14" ht="12.75" hidden="1" customHeight="1" outlineLevel="2">
      <c r="A153" s="121"/>
      <c r="B153" s="36"/>
      <c r="C153" s="11"/>
      <c r="D153" s="36"/>
      <c r="E153" s="237"/>
      <c r="F153" s="31" t="s">
        <v>159</v>
      </c>
      <c r="G153" s="233"/>
      <c r="H153" s="234"/>
      <c r="I153" s="179"/>
      <c r="J153" s="179" t="s">
        <v>170</v>
      </c>
      <c r="K153" s="179" t="s">
        <v>141</v>
      </c>
      <c r="L153" s="38" t="s">
        <v>24</v>
      </c>
      <c r="M153" s="36" t="s">
        <v>129</v>
      </c>
      <c r="N153" s="36">
        <v>15</v>
      </c>
    </row>
    <row r="154" spans="1:14" ht="12.75" hidden="1" customHeight="1" outlineLevel="2">
      <c r="A154" s="121"/>
      <c r="B154" s="1"/>
      <c r="C154" s="122"/>
      <c r="D154" s="1"/>
      <c r="E154" s="237"/>
      <c r="F154" s="31"/>
      <c r="G154" s="233"/>
      <c r="H154" s="234"/>
      <c r="I154" s="179"/>
      <c r="J154" s="179" t="s">
        <v>170</v>
      </c>
      <c r="K154" s="179" t="s">
        <v>141</v>
      </c>
      <c r="L154" s="38" t="s">
        <v>130</v>
      </c>
      <c r="M154" s="179" t="s">
        <v>129</v>
      </c>
      <c r="N154" s="36">
        <v>18</v>
      </c>
    </row>
    <row r="155" spans="1:14" ht="12.75" hidden="1" customHeight="1" outlineLevel="2">
      <c r="A155" s="121"/>
      <c r="B155" s="1"/>
      <c r="C155" s="122"/>
      <c r="D155" s="1"/>
      <c r="E155" s="237"/>
      <c r="F155" s="31"/>
      <c r="G155" s="234"/>
      <c r="H155" s="234"/>
      <c r="I155" s="179"/>
      <c r="J155" s="179" t="s">
        <v>140</v>
      </c>
      <c r="K155" s="179" t="s">
        <v>140</v>
      </c>
      <c r="L155" s="38" t="s">
        <v>139</v>
      </c>
      <c r="M155" s="36" t="s">
        <v>129</v>
      </c>
      <c r="N155" s="36">
        <f>14+8</f>
        <v>22</v>
      </c>
    </row>
    <row r="156" spans="1:14" ht="13.5" hidden="1" customHeight="1" outlineLevel="2" thickBot="1">
      <c r="A156" s="121"/>
      <c r="B156" s="1"/>
      <c r="C156" s="122"/>
      <c r="D156" s="1"/>
      <c r="E156" s="237"/>
      <c r="F156" s="31"/>
      <c r="G156" s="234"/>
      <c r="H156" s="234"/>
      <c r="I156" s="179"/>
      <c r="J156" s="179" t="s">
        <v>140</v>
      </c>
      <c r="K156" s="179" t="s">
        <v>140</v>
      </c>
      <c r="L156" s="38" t="s">
        <v>55</v>
      </c>
      <c r="M156" s="36" t="s">
        <v>129</v>
      </c>
      <c r="N156" s="36">
        <f>4+10</f>
        <v>14</v>
      </c>
    </row>
    <row r="157" spans="1:14" s="236" customFormat="1" ht="61.5" customHeight="1" outlineLevel="1" collapsed="1" thickBot="1">
      <c r="A157" s="117" t="s">
        <v>751</v>
      </c>
      <c r="B157" s="118" t="s">
        <v>48</v>
      </c>
      <c r="C157" s="119" t="s">
        <v>47</v>
      </c>
      <c r="D157" s="118" t="s">
        <v>37</v>
      </c>
      <c r="E157" s="231" t="s">
        <v>54</v>
      </c>
      <c r="F157" s="232" t="s">
        <v>918</v>
      </c>
      <c r="G157" s="233" t="s">
        <v>201</v>
      </c>
      <c r="H157" s="241" t="s">
        <v>895</v>
      </c>
      <c r="I157" s="118" t="s">
        <v>39</v>
      </c>
      <c r="J157" s="118" t="s">
        <v>144</v>
      </c>
      <c r="K157" s="120" t="s">
        <v>147</v>
      </c>
      <c r="L157" s="235" t="str">
        <f>CONCATENATE(L158," ",N158,M158," ",L159," ",N159,M159," ",L161," ",N161,M161," ",L162," ",N162,M162," ",L160," ",N160,M160)</f>
        <v>Демонтаж опор 12шт Монтаж опор 12шт Бурение скважин и установка деревянных приставок 8шт Ручная расчистка просеки 8Га Бурение скважин и установка ж/б приставок 18шт</v>
      </c>
      <c r="M157" s="152"/>
      <c r="N157" s="152"/>
    </row>
    <row r="158" spans="1:14" ht="12.75" hidden="1" customHeight="1" outlineLevel="2">
      <c r="A158" s="130"/>
      <c r="B158" s="1"/>
      <c r="C158" s="1"/>
      <c r="D158" s="1"/>
      <c r="E158" s="237"/>
      <c r="F158" s="31" t="s">
        <v>159</v>
      </c>
      <c r="G158" s="233"/>
      <c r="H158" s="234"/>
      <c r="I158" s="179"/>
      <c r="J158" s="179" t="s">
        <v>147</v>
      </c>
      <c r="K158" s="179" t="s">
        <v>147</v>
      </c>
      <c r="L158" s="38" t="s">
        <v>23</v>
      </c>
      <c r="M158" s="36" t="s">
        <v>129</v>
      </c>
      <c r="N158" s="36">
        <f>11+1</f>
        <v>12</v>
      </c>
    </row>
    <row r="159" spans="1:14" ht="12.75" hidden="1" customHeight="1" outlineLevel="2">
      <c r="A159" s="121"/>
      <c r="B159" s="1"/>
      <c r="C159" s="122"/>
      <c r="D159" s="1"/>
      <c r="E159" s="237"/>
      <c r="F159" s="31" t="s">
        <v>159</v>
      </c>
      <c r="G159" s="233"/>
      <c r="H159" s="234"/>
      <c r="I159" s="179"/>
      <c r="J159" s="179" t="s">
        <v>147</v>
      </c>
      <c r="K159" s="179" t="s">
        <v>147</v>
      </c>
      <c r="L159" s="38" t="s">
        <v>24</v>
      </c>
      <c r="M159" s="36" t="s">
        <v>129</v>
      </c>
      <c r="N159" s="36">
        <f>N158</f>
        <v>12</v>
      </c>
    </row>
    <row r="160" spans="1:14" ht="12.75" hidden="1" customHeight="1" outlineLevel="2">
      <c r="A160" s="121"/>
      <c r="B160" s="1"/>
      <c r="C160" s="122"/>
      <c r="D160" s="1"/>
      <c r="E160" s="237"/>
      <c r="F160" s="31"/>
      <c r="G160" s="233"/>
      <c r="H160" s="234"/>
      <c r="I160" s="179"/>
      <c r="J160" s="179" t="s">
        <v>146</v>
      </c>
      <c r="K160" s="179" t="s">
        <v>147</v>
      </c>
      <c r="L160" s="38" t="s">
        <v>139</v>
      </c>
      <c r="M160" s="36" t="s">
        <v>129</v>
      </c>
      <c r="N160" s="36">
        <v>18</v>
      </c>
    </row>
    <row r="161" spans="1:14" ht="12.75" hidden="1" customHeight="1" outlineLevel="2">
      <c r="A161" s="121"/>
      <c r="B161" s="1"/>
      <c r="C161" s="122"/>
      <c r="D161" s="1"/>
      <c r="E161" s="237"/>
      <c r="F161" s="31"/>
      <c r="G161" s="233"/>
      <c r="H161" s="234"/>
      <c r="I161" s="179"/>
      <c r="J161" s="179" t="s">
        <v>146</v>
      </c>
      <c r="K161" s="179" t="s">
        <v>147</v>
      </c>
      <c r="L161" s="38" t="s">
        <v>55</v>
      </c>
      <c r="M161" s="36" t="s">
        <v>129</v>
      </c>
      <c r="N161" s="36">
        <v>8</v>
      </c>
    </row>
    <row r="162" spans="1:14" ht="13.5" hidden="1" outlineLevel="2" thickBot="1">
      <c r="A162" s="126"/>
      <c r="B162" s="127"/>
      <c r="C162" s="128"/>
      <c r="D162" s="127"/>
      <c r="E162" s="237"/>
      <c r="F162" s="31"/>
      <c r="G162" s="233"/>
      <c r="H162" s="234"/>
      <c r="I162" s="179"/>
      <c r="J162" s="179" t="s">
        <v>144</v>
      </c>
      <c r="K162" s="179" t="s">
        <v>144</v>
      </c>
      <c r="L162" s="38" t="s">
        <v>27</v>
      </c>
      <c r="M162" s="27" t="s">
        <v>134</v>
      </c>
      <c r="N162" s="27">
        <v>8</v>
      </c>
    </row>
    <row r="163" spans="1:14" s="236" customFormat="1" ht="39" outlineLevel="1" collapsed="1" thickBot="1">
      <c r="A163" s="117" t="s">
        <v>168</v>
      </c>
      <c r="B163" s="118" t="s">
        <v>48</v>
      </c>
      <c r="C163" s="119" t="s">
        <v>47</v>
      </c>
      <c r="D163" s="118" t="s">
        <v>37</v>
      </c>
      <c r="E163" s="231" t="s">
        <v>153</v>
      </c>
      <c r="F163" s="232" t="s">
        <v>919</v>
      </c>
      <c r="G163" s="233" t="s">
        <v>201</v>
      </c>
      <c r="H163" s="241" t="s">
        <v>895</v>
      </c>
      <c r="I163" s="118" t="s">
        <v>39</v>
      </c>
      <c r="J163" s="118" t="s">
        <v>140</v>
      </c>
      <c r="K163" s="120" t="str">
        <f>K164</f>
        <v>март</v>
      </c>
      <c r="L163" s="235" t="str">
        <f>CONCATENATE(L164," ",N164,M164," ",L165," ",N165,M165," ",L166," ",N166,M166," ",L168," ",N168,M168)</f>
        <v>Демонтаж опор 3шт Монтаж опор 3шт Замена изоляторов фарфоровых/стеклянных на полимерные 6шт. Бурение скважин и установка деревянных приставок 4шт</v>
      </c>
      <c r="M163" s="152"/>
      <c r="N163" s="152"/>
    </row>
    <row r="164" spans="1:14" ht="12.75" hidden="1" customHeight="1" outlineLevel="2">
      <c r="A164" s="130"/>
      <c r="B164" s="1"/>
      <c r="C164" s="1"/>
      <c r="D164" s="1"/>
      <c r="E164" s="237"/>
      <c r="F164" s="31" t="s">
        <v>717</v>
      </c>
      <c r="G164" s="233"/>
      <c r="H164" s="234"/>
      <c r="I164" s="179"/>
      <c r="J164" s="179" t="s">
        <v>140</v>
      </c>
      <c r="K164" s="179" t="s">
        <v>140</v>
      </c>
      <c r="L164" s="38" t="s">
        <v>23</v>
      </c>
      <c r="M164" s="36" t="s">
        <v>129</v>
      </c>
      <c r="N164" s="36">
        <v>3</v>
      </c>
    </row>
    <row r="165" spans="1:14" ht="12.75" hidden="1" customHeight="1" outlineLevel="2">
      <c r="A165" s="121"/>
      <c r="B165" s="36"/>
      <c r="C165" s="11"/>
      <c r="D165" s="36"/>
      <c r="E165" s="237"/>
      <c r="F165" s="31" t="s">
        <v>717</v>
      </c>
      <c r="G165" s="233"/>
      <c r="H165" s="234"/>
      <c r="I165" s="179"/>
      <c r="J165" s="179" t="s">
        <v>140</v>
      </c>
      <c r="K165" s="179" t="s">
        <v>140</v>
      </c>
      <c r="L165" s="38" t="s">
        <v>24</v>
      </c>
      <c r="M165" s="36" t="s">
        <v>129</v>
      </c>
      <c r="N165" s="36">
        <v>3</v>
      </c>
    </row>
    <row r="166" spans="1:14" ht="12.75" hidden="1" customHeight="1" outlineLevel="2">
      <c r="A166" s="121"/>
      <c r="B166" s="36"/>
      <c r="C166" s="11"/>
      <c r="D166" s="36"/>
      <c r="E166" s="237"/>
      <c r="F166" s="31"/>
      <c r="G166" s="233"/>
      <c r="H166" s="234"/>
      <c r="I166" s="179"/>
      <c r="J166" s="179" t="s">
        <v>140</v>
      </c>
      <c r="K166" s="179" t="s">
        <v>140</v>
      </c>
      <c r="L166" s="38" t="s">
        <v>130</v>
      </c>
      <c r="M166" s="36" t="s">
        <v>21</v>
      </c>
      <c r="N166" s="36">
        <v>6</v>
      </c>
    </row>
    <row r="167" spans="1:14" ht="12.75" hidden="1" customHeight="1" outlineLevel="2">
      <c r="A167" s="121"/>
      <c r="B167" s="1"/>
      <c r="C167" s="122"/>
      <c r="D167" s="1"/>
      <c r="E167" s="237"/>
      <c r="F167" s="31"/>
      <c r="G167" s="233"/>
      <c r="H167" s="234"/>
      <c r="I167" s="179"/>
      <c r="J167" s="179" t="s">
        <v>140</v>
      </c>
      <c r="K167" s="179" t="s">
        <v>140</v>
      </c>
      <c r="L167" s="38" t="s">
        <v>139</v>
      </c>
      <c r="M167" s="36" t="s">
        <v>129</v>
      </c>
      <c r="N167" s="36">
        <v>4</v>
      </c>
    </row>
    <row r="168" spans="1:14" ht="13.5" hidden="1" customHeight="1" outlineLevel="2" thickBot="1">
      <c r="A168" s="121"/>
      <c r="B168" s="1"/>
      <c r="C168" s="122"/>
      <c r="D168" s="1"/>
      <c r="E168" s="237"/>
      <c r="F168" s="31"/>
      <c r="G168" s="233"/>
      <c r="H168" s="234"/>
      <c r="I168" s="179"/>
      <c r="J168" s="179" t="s">
        <v>140</v>
      </c>
      <c r="K168" s="179" t="s">
        <v>140</v>
      </c>
      <c r="L168" s="38" t="s">
        <v>55</v>
      </c>
      <c r="M168" s="36" t="s">
        <v>129</v>
      </c>
      <c r="N168" s="36">
        <v>4</v>
      </c>
    </row>
    <row r="169" spans="1:14" s="236" customFormat="1" ht="38.25" outlineLevel="1" collapsed="1">
      <c r="A169" s="117" t="s">
        <v>169</v>
      </c>
      <c r="B169" s="118" t="s">
        <v>48</v>
      </c>
      <c r="C169" s="119" t="s">
        <v>47</v>
      </c>
      <c r="D169" s="118" t="s">
        <v>37</v>
      </c>
      <c r="E169" s="231" t="s">
        <v>715</v>
      </c>
      <c r="F169" s="232" t="s">
        <v>920</v>
      </c>
      <c r="G169" s="233" t="s">
        <v>201</v>
      </c>
      <c r="H169" s="241" t="s">
        <v>895</v>
      </c>
      <c r="I169" s="118" t="s">
        <v>39</v>
      </c>
      <c r="J169" s="118" t="s">
        <v>140</v>
      </c>
      <c r="K169" s="120" t="s">
        <v>143</v>
      </c>
      <c r="L169" s="235" t="str">
        <f>CONCATENATE(L170," ",N170,M170," ",L171," ",N171,M171," ",L172," ",N172,M172," ",)</f>
        <v xml:space="preserve">Демонтаж опор 3шт Монтаж опор 3шт Бурение скважин и установка деревянных приставок 6шт </v>
      </c>
      <c r="M169" s="152"/>
      <c r="N169" s="152"/>
    </row>
    <row r="170" spans="1:14" ht="12.75" hidden="1" customHeight="1" outlineLevel="2">
      <c r="A170" s="130"/>
      <c r="B170" s="1"/>
      <c r="C170" s="1"/>
      <c r="D170" s="1"/>
      <c r="E170" s="237"/>
      <c r="F170" s="31" t="s">
        <v>716</v>
      </c>
      <c r="G170" s="242"/>
      <c r="H170" s="234"/>
      <c r="I170" s="179"/>
      <c r="J170" s="179" t="s">
        <v>143</v>
      </c>
      <c r="K170" s="179" t="s">
        <v>143</v>
      </c>
      <c r="L170" s="38" t="s">
        <v>23</v>
      </c>
      <c r="M170" s="36" t="s">
        <v>129</v>
      </c>
      <c r="N170" s="36">
        <v>3</v>
      </c>
    </row>
    <row r="171" spans="1:14" ht="12.75" hidden="1" customHeight="1" outlineLevel="2">
      <c r="A171" s="121"/>
      <c r="B171" s="36"/>
      <c r="C171" s="11"/>
      <c r="D171" s="36"/>
      <c r="E171" s="237"/>
      <c r="F171" s="31"/>
      <c r="G171" s="233"/>
      <c r="H171" s="234"/>
      <c r="I171" s="179"/>
      <c r="J171" s="179" t="s">
        <v>143</v>
      </c>
      <c r="K171" s="179" t="s">
        <v>143</v>
      </c>
      <c r="L171" s="38" t="s">
        <v>24</v>
      </c>
      <c r="M171" s="36" t="s">
        <v>129</v>
      </c>
      <c r="N171" s="36">
        <v>3</v>
      </c>
    </row>
    <row r="172" spans="1:14" ht="12.75" hidden="1" customHeight="1" outlineLevel="2">
      <c r="A172" s="121"/>
      <c r="B172" s="1"/>
      <c r="C172" s="122"/>
      <c r="D172" s="1"/>
      <c r="E172" s="237"/>
      <c r="F172" s="31"/>
      <c r="G172" s="233"/>
      <c r="H172" s="234"/>
      <c r="I172" s="179"/>
      <c r="J172" s="179" t="s">
        <v>140</v>
      </c>
      <c r="K172" s="179" t="s">
        <v>140</v>
      </c>
      <c r="L172" s="38" t="s">
        <v>55</v>
      </c>
      <c r="M172" s="36" t="s">
        <v>129</v>
      </c>
      <c r="N172" s="36">
        <v>6</v>
      </c>
    </row>
    <row r="173" spans="1:14" ht="13.5" thickBot="1">
      <c r="A173" s="329" t="s">
        <v>95</v>
      </c>
      <c r="B173" s="330"/>
      <c r="C173" s="330"/>
      <c r="D173" s="331"/>
      <c r="E173" s="243" t="s">
        <v>108</v>
      </c>
      <c r="F173" s="136"/>
      <c r="G173" s="244"/>
      <c r="H173" s="137"/>
      <c r="I173" s="138"/>
      <c r="J173" s="138"/>
      <c r="K173" s="138"/>
      <c r="L173" s="139"/>
      <c r="M173" s="137"/>
      <c r="N173" s="137"/>
    </row>
    <row r="174" spans="1:14" s="236" customFormat="1" ht="27.75" outlineLevel="1" collapsed="1" thickBot="1">
      <c r="A174" s="117" t="s">
        <v>752</v>
      </c>
      <c r="B174" s="118" t="s">
        <v>56</v>
      </c>
      <c r="C174" s="119" t="s">
        <v>44</v>
      </c>
      <c r="D174" s="140" t="s">
        <v>508</v>
      </c>
      <c r="E174" s="231" t="s">
        <v>509</v>
      </c>
      <c r="F174" s="232" t="s">
        <v>921</v>
      </c>
      <c r="G174" s="233" t="s">
        <v>201</v>
      </c>
      <c r="H174" s="239" t="s">
        <v>885</v>
      </c>
      <c r="I174" s="118" t="s">
        <v>39</v>
      </c>
      <c r="J174" s="118" t="s">
        <v>147</v>
      </c>
      <c r="K174" s="120" t="s">
        <v>147</v>
      </c>
      <c r="L174" s="235" t="str">
        <f>CONCATENATE(L175," ",N175,M175," ",L176," ",N176,M176," ",)</f>
        <v xml:space="preserve">Замена опор 1шт Монтаж контура заземления 1шт </v>
      </c>
      <c r="M174" s="152"/>
      <c r="N174" s="152"/>
    </row>
    <row r="175" spans="1:14" ht="27" hidden="1" customHeight="1" outlineLevel="2">
      <c r="A175" s="121"/>
      <c r="B175" s="36"/>
      <c r="C175" s="11"/>
      <c r="D175" s="36"/>
      <c r="E175" s="237"/>
      <c r="F175" s="31" t="s">
        <v>512</v>
      </c>
      <c r="G175" s="239"/>
      <c r="H175" s="239"/>
      <c r="I175" s="179"/>
      <c r="J175" s="179" t="s">
        <v>147</v>
      </c>
      <c r="K175" s="179" t="s">
        <v>147</v>
      </c>
      <c r="L175" s="38" t="s">
        <v>25</v>
      </c>
      <c r="M175" s="36" t="s">
        <v>129</v>
      </c>
      <c r="N175" s="36">
        <v>1</v>
      </c>
    </row>
    <row r="176" spans="1:14" ht="29.25" hidden="1" customHeight="1" outlineLevel="2" thickBot="1">
      <c r="A176" s="126"/>
      <c r="B176" s="27"/>
      <c r="C176" s="245"/>
      <c r="D176" s="27"/>
      <c r="E176" s="237"/>
      <c r="F176" s="31"/>
      <c r="G176" s="31"/>
      <c r="H176" s="31"/>
      <c r="I176" s="179"/>
      <c r="J176" s="179" t="s">
        <v>147</v>
      </c>
      <c r="K176" s="179" t="s">
        <v>147</v>
      </c>
      <c r="L176" s="38" t="s">
        <v>514</v>
      </c>
      <c r="M176" s="36" t="s">
        <v>129</v>
      </c>
      <c r="N176" s="27">
        <v>1</v>
      </c>
    </row>
    <row r="177" spans="1:14" s="236" customFormat="1" ht="54.75" outlineLevel="1" collapsed="1" thickBot="1">
      <c r="A177" s="117" t="s">
        <v>753</v>
      </c>
      <c r="B177" s="118" t="s">
        <v>56</v>
      </c>
      <c r="C177" s="119" t="s">
        <v>44</v>
      </c>
      <c r="D177" s="140" t="s">
        <v>508</v>
      </c>
      <c r="E177" s="231" t="s">
        <v>515</v>
      </c>
      <c r="F177" s="232" t="s">
        <v>922</v>
      </c>
      <c r="G177" s="239" t="s">
        <v>510</v>
      </c>
      <c r="H177" s="239" t="s">
        <v>885</v>
      </c>
      <c r="I177" s="118" t="s">
        <v>39</v>
      </c>
      <c r="J177" s="118" t="s">
        <v>147</v>
      </c>
      <c r="K177" s="120" t="s">
        <v>142</v>
      </c>
      <c r="L177" s="235" t="str">
        <f>CONCATENATE(L178," ",N178,M178," ",L179," ",N179,M179," ",)</f>
        <v xml:space="preserve">Замена опор 7шт Монтаж контура заземления 2шт </v>
      </c>
      <c r="M177" s="152"/>
      <c r="N177" s="152"/>
    </row>
    <row r="178" spans="1:14" ht="18.600000000000001" hidden="1" customHeight="1" outlineLevel="2">
      <c r="A178" s="121"/>
      <c r="B178" s="36"/>
      <c r="C178" s="11"/>
      <c r="D178" s="36"/>
      <c r="E178" s="237"/>
      <c r="F178" s="31" t="s">
        <v>516</v>
      </c>
      <c r="G178" s="233"/>
      <c r="H178" s="234"/>
      <c r="I178" s="179"/>
      <c r="J178" s="179" t="s">
        <v>147</v>
      </c>
      <c r="K178" s="179" t="s">
        <v>147</v>
      </c>
      <c r="L178" s="38" t="s">
        <v>25</v>
      </c>
      <c r="M178" s="36" t="s">
        <v>129</v>
      </c>
      <c r="N178" s="36">
        <v>7</v>
      </c>
    </row>
    <row r="179" spans="1:14" ht="18.600000000000001" hidden="1" customHeight="1" outlineLevel="2" thickBot="1">
      <c r="A179" s="126"/>
      <c r="B179" s="27"/>
      <c r="C179" s="245"/>
      <c r="D179" s="27"/>
      <c r="E179" s="237"/>
      <c r="F179" s="31"/>
      <c r="G179" s="233"/>
      <c r="H179" s="234"/>
      <c r="I179" s="179"/>
      <c r="J179" s="179" t="s">
        <v>147</v>
      </c>
      <c r="K179" s="179" t="s">
        <v>147</v>
      </c>
      <c r="L179" s="38" t="s">
        <v>514</v>
      </c>
      <c r="M179" s="36" t="s">
        <v>129</v>
      </c>
      <c r="N179" s="27">
        <v>2</v>
      </c>
    </row>
    <row r="180" spans="1:14" s="236" customFormat="1" ht="41.25" outlineLevel="1" collapsed="1" thickBot="1">
      <c r="A180" s="117" t="s">
        <v>754</v>
      </c>
      <c r="B180" s="118" t="s">
        <v>56</v>
      </c>
      <c r="C180" s="119" t="s">
        <v>44</v>
      </c>
      <c r="D180" s="140" t="s">
        <v>508</v>
      </c>
      <c r="E180" s="231" t="s">
        <v>509</v>
      </c>
      <c r="F180" s="232" t="s">
        <v>923</v>
      </c>
      <c r="G180" s="239" t="s">
        <v>510</v>
      </c>
      <c r="H180" s="239" t="s">
        <v>885</v>
      </c>
      <c r="I180" s="118" t="s">
        <v>39</v>
      </c>
      <c r="J180" s="118" t="s">
        <v>143</v>
      </c>
      <c r="K180" s="120" t="s">
        <v>146</v>
      </c>
      <c r="L180" s="235" t="str">
        <f>CONCATENATE(L181," ",N181,M181," ",)</f>
        <v xml:space="preserve">Замена опор 47шт </v>
      </c>
      <c r="M180" s="152"/>
      <c r="N180" s="152"/>
    </row>
    <row r="181" spans="1:14" ht="36.6" hidden="1" customHeight="1" outlineLevel="2" thickBot="1">
      <c r="A181" s="126"/>
      <c r="B181" s="27"/>
      <c r="C181" s="245"/>
      <c r="D181" s="27"/>
      <c r="E181" s="237"/>
      <c r="F181" s="31" t="s">
        <v>517</v>
      </c>
      <c r="G181" s="239"/>
      <c r="H181" s="239"/>
      <c r="I181" s="179"/>
      <c r="J181" s="179" t="s">
        <v>143</v>
      </c>
      <c r="K181" s="179" t="s">
        <v>146</v>
      </c>
      <c r="L181" s="38" t="s">
        <v>25</v>
      </c>
      <c r="M181" s="36" t="s">
        <v>129</v>
      </c>
      <c r="N181" s="27">
        <v>47</v>
      </c>
    </row>
    <row r="182" spans="1:14" s="236" customFormat="1" ht="27.75" outlineLevel="1" collapsed="1" thickBot="1">
      <c r="A182" s="117" t="s">
        <v>755</v>
      </c>
      <c r="B182" s="118" t="s">
        <v>56</v>
      </c>
      <c r="C182" s="119" t="s">
        <v>44</v>
      </c>
      <c r="D182" s="140" t="s">
        <v>508</v>
      </c>
      <c r="E182" s="231" t="s">
        <v>57</v>
      </c>
      <c r="F182" s="232" t="s">
        <v>724</v>
      </c>
      <c r="G182" s="239" t="s">
        <v>510</v>
      </c>
      <c r="H182" s="239" t="s">
        <v>885</v>
      </c>
      <c r="I182" s="118" t="s">
        <v>39</v>
      </c>
      <c r="J182" s="118" t="s">
        <v>143</v>
      </c>
      <c r="K182" s="120" t="s">
        <v>141</v>
      </c>
      <c r="L182" s="235" t="str">
        <f>CONCATENATE(L183," ",N183,M183," ",)</f>
        <v xml:space="preserve">Замена опор 18шт </v>
      </c>
      <c r="M182" s="152"/>
      <c r="N182" s="152"/>
    </row>
    <row r="183" spans="1:14" ht="33" hidden="1" customHeight="1" outlineLevel="2" thickBot="1">
      <c r="A183" s="246"/>
      <c r="B183" s="27"/>
      <c r="C183" s="245"/>
      <c r="D183" s="27"/>
      <c r="E183" s="237"/>
      <c r="F183" s="31"/>
      <c r="G183" s="234"/>
      <c r="H183" s="234"/>
      <c r="I183" s="179"/>
      <c r="J183" s="179" t="s">
        <v>143</v>
      </c>
      <c r="K183" s="179" t="s">
        <v>141</v>
      </c>
      <c r="L183" s="38" t="s">
        <v>25</v>
      </c>
      <c r="M183" s="36" t="s">
        <v>129</v>
      </c>
      <c r="N183" s="27">
        <v>18</v>
      </c>
    </row>
    <row r="184" spans="1:14" s="236" customFormat="1" ht="27.75" outlineLevel="1" collapsed="1" thickBot="1">
      <c r="A184" s="117" t="s">
        <v>756</v>
      </c>
      <c r="B184" s="141" t="s">
        <v>56</v>
      </c>
      <c r="C184" s="119" t="s">
        <v>47</v>
      </c>
      <c r="D184" s="140" t="s">
        <v>34</v>
      </c>
      <c r="E184" s="231" t="s">
        <v>551</v>
      </c>
      <c r="F184" s="232" t="s">
        <v>552</v>
      </c>
      <c r="G184" s="239" t="s">
        <v>510</v>
      </c>
      <c r="H184" s="239" t="s">
        <v>885</v>
      </c>
      <c r="I184" s="118" t="s">
        <v>39</v>
      </c>
      <c r="J184" s="118" t="s">
        <v>146</v>
      </c>
      <c r="K184" s="120" t="s">
        <v>146</v>
      </c>
      <c r="L184" s="235" t="str">
        <f>CONCATENATE(L185," ",N185,M185," ",L186," ",N186,M186," ",)</f>
        <v xml:space="preserve">Замена опор 2шт Установка РЛНД 1шт </v>
      </c>
      <c r="M184" s="152"/>
      <c r="N184" s="152"/>
    </row>
    <row r="185" spans="1:14" ht="14.45" hidden="1" customHeight="1" outlineLevel="2">
      <c r="A185" s="130"/>
      <c r="B185" s="247"/>
      <c r="C185" s="1"/>
      <c r="D185" s="1"/>
      <c r="E185" s="237"/>
      <c r="F185" s="31" t="s">
        <v>553</v>
      </c>
      <c r="G185" s="234"/>
      <c r="H185" s="234"/>
      <c r="I185" s="179"/>
      <c r="J185" s="179" t="s">
        <v>146</v>
      </c>
      <c r="K185" s="179" t="s">
        <v>146</v>
      </c>
      <c r="L185" s="38" t="s">
        <v>25</v>
      </c>
      <c r="M185" s="36" t="s">
        <v>129</v>
      </c>
      <c r="N185" s="36">
        <v>2</v>
      </c>
    </row>
    <row r="186" spans="1:14" ht="14.45" hidden="1" customHeight="1" outlineLevel="2" thickBot="1">
      <c r="A186" s="132"/>
      <c r="B186" s="247"/>
      <c r="C186" s="1"/>
      <c r="D186" s="1"/>
      <c r="E186" s="237"/>
      <c r="F186" s="31"/>
      <c r="G186" s="234"/>
      <c r="H186" s="234"/>
      <c r="I186" s="179"/>
      <c r="J186" s="179" t="s">
        <v>146</v>
      </c>
      <c r="K186" s="179" t="s">
        <v>146</v>
      </c>
      <c r="L186" s="38" t="s">
        <v>30</v>
      </c>
      <c r="M186" s="36" t="s">
        <v>129</v>
      </c>
      <c r="N186" s="36">
        <v>1</v>
      </c>
    </row>
    <row r="187" spans="1:14" s="236" customFormat="1" ht="26.25" outlineLevel="1" collapsed="1" thickBot="1">
      <c r="A187" s="117" t="s">
        <v>757</v>
      </c>
      <c r="B187" s="141" t="s">
        <v>56</v>
      </c>
      <c r="C187" s="119" t="s">
        <v>47</v>
      </c>
      <c r="D187" s="140" t="s">
        <v>34</v>
      </c>
      <c r="E187" s="248" t="s">
        <v>700</v>
      </c>
      <c r="F187" s="232" t="s">
        <v>701</v>
      </c>
      <c r="G187" s="239" t="s">
        <v>201</v>
      </c>
      <c r="H187" s="239" t="s">
        <v>885</v>
      </c>
      <c r="I187" s="118" t="s">
        <v>39</v>
      </c>
      <c r="J187" s="118" t="s">
        <v>143</v>
      </c>
      <c r="K187" s="120" t="s">
        <v>147</v>
      </c>
      <c r="L187" s="235" t="str">
        <f>CONCATENATE(L188," ",N188,M188," ",)</f>
        <v xml:space="preserve">Замена опор 17шт </v>
      </c>
      <c r="M187" s="152"/>
      <c r="N187" s="152"/>
    </row>
    <row r="188" spans="1:14" ht="14.45" hidden="1" customHeight="1" outlineLevel="2" thickBot="1">
      <c r="A188" s="132"/>
      <c r="B188" s="247"/>
      <c r="C188" s="1"/>
      <c r="D188" s="1"/>
      <c r="E188" s="162"/>
      <c r="F188" s="31" t="s">
        <v>554</v>
      </c>
      <c r="G188" s="31"/>
      <c r="H188" s="1"/>
      <c r="I188" s="36"/>
      <c r="J188" s="36" t="s">
        <v>143</v>
      </c>
      <c r="K188" s="36" t="s">
        <v>147</v>
      </c>
      <c r="L188" s="142" t="s">
        <v>25</v>
      </c>
      <c r="M188" s="36" t="s">
        <v>129</v>
      </c>
      <c r="N188" s="36">
        <v>17</v>
      </c>
    </row>
    <row r="189" spans="1:14" s="236" customFormat="1" ht="41.25" outlineLevel="1" collapsed="1" thickBot="1">
      <c r="A189" s="143" t="s">
        <v>758</v>
      </c>
      <c r="B189" s="141" t="s">
        <v>56</v>
      </c>
      <c r="C189" s="119" t="s">
        <v>47</v>
      </c>
      <c r="D189" s="140" t="s">
        <v>34</v>
      </c>
      <c r="E189" s="231" t="s">
        <v>718</v>
      </c>
      <c r="F189" s="232" t="s">
        <v>719</v>
      </c>
      <c r="G189" s="239" t="s">
        <v>201</v>
      </c>
      <c r="H189" s="239" t="s">
        <v>885</v>
      </c>
      <c r="I189" s="118" t="s">
        <v>39</v>
      </c>
      <c r="J189" s="118" t="s">
        <v>170</v>
      </c>
      <c r="K189" s="120" t="s">
        <v>147</v>
      </c>
      <c r="L189" s="235" t="str">
        <f>CONCATENATE(L190," ",N190,M190," ",L191," ",N191,M191," ",L192," ",N192,M192," ")</f>
        <v xml:space="preserve">Замена опор 8шт Монтаж провода (по трассе) 0,055км Замена РЛНД 2шт </v>
      </c>
      <c r="M189" s="152"/>
      <c r="N189" s="152"/>
    </row>
    <row r="190" spans="1:14" ht="28.9" hidden="1" customHeight="1" outlineLevel="2">
      <c r="A190" s="144"/>
      <c r="B190" s="1"/>
      <c r="C190" s="1"/>
      <c r="D190" s="1"/>
      <c r="E190" s="237"/>
      <c r="F190" s="31" t="s">
        <v>817</v>
      </c>
      <c r="G190" s="234"/>
      <c r="H190" s="234"/>
      <c r="I190" s="179"/>
      <c r="J190" s="179" t="s">
        <v>170</v>
      </c>
      <c r="K190" s="179" t="s">
        <v>147</v>
      </c>
      <c r="L190" s="38" t="s">
        <v>25</v>
      </c>
      <c r="M190" s="36" t="s">
        <v>129</v>
      </c>
      <c r="N190" s="36">
        <v>8</v>
      </c>
    </row>
    <row r="191" spans="1:14" ht="14.45" hidden="1" customHeight="1" outlineLevel="2">
      <c r="A191" s="142"/>
      <c r="B191" s="1"/>
      <c r="C191" s="1"/>
      <c r="D191" s="1"/>
      <c r="E191" s="237"/>
      <c r="F191" s="31"/>
      <c r="G191" s="234"/>
      <c r="H191" s="234"/>
      <c r="I191" s="179"/>
      <c r="J191" s="179" t="s">
        <v>170</v>
      </c>
      <c r="K191" s="179" t="s">
        <v>147</v>
      </c>
      <c r="L191" s="38" t="s">
        <v>28</v>
      </c>
      <c r="M191" s="36" t="s">
        <v>550</v>
      </c>
      <c r="N191" s="36">
        <v>5.5E-2</v>
      </c>
    </row>
    <row r="192" spans="1:14" ht="14.45" hidden="1" customHeight="1" outlineLevel="2" thickBot="1">
      <c r="A192" s="142"/>
      <c r="B192" s="1"/>
      <c r="C192" s="1"/>
      <c r="D192" s="1"/>
      <c r="E192" s="237"/>
      <c r="F192" s="31"/>
      <c r="G192" s="234"/>
      <c r="H192" s="234"/>
      <c r="I192" s="179"/>
      <c r="J192" s="179" t="s">
        <v>170</v>
      </c>
      <c r="K192" s="179" t="s">
        <v>147</v>
      </c>
      <c r="L192" s="38" t="s">
        <v>29</v>
      </c>
      <c r="M192" s="36" t="s">
        <v>129</v>
      </c>
      <c r="N192" s="36">
        <v>2</v>
      </c>
    </row>
    <row r="193" spans="1:14" s="236" customFormat="1" ht="39" outlineLevel="1" collapsed="1" thickBot="1">
      <c r="A193" s="117" t="s">
        <v>759</v>
      </c>
      <c r="B193" s="118" t="s">
        <v>641</v>
      </c>
      <c r="C193" s="119" t="s">
        <v>38</v>
      </c>
      <c r="D193" s="140" t="s">
        <v>642</v>
      </c>
      <c r="E193" s="231" t="s">
        <v>643</v>
      </c>
      <c r="F193" s="232" t="s">
        <v>644</v>
      </c>
      <c r="G193" s="239" t="s">
        <v>201</v>
      </c>
      <c r="H193" s="241" t="s">
        <v>895</v>
      </c>
      <c r="I193" s="118" t="s">
        <v>39</v>
      </c>
      <c r="J193" s="118" t="s">
        <v>143</v>
      </c>
      <c r="K193" s="120" t="s">
        <v>144</v>
      </c>
      <c r="L193" s="235" t="str">
        <f>CONCATENATE(L194," ",N194,M194," ",)</f>
        <v xml:space="preserve">Замена опор 3шт. </v>
      </c>
      <c r="M193" s="152"/>
      <c r="N193" s="152"/>
    </row>
    <row r="194" spans="1:14" ht="13.5" hidden="1" outlineLevel="2" thickBot="1">
      <c r="A194" s="12"/>
      <c r="B194" s="36"/>
      <c r="C194" s="11"/>
      <c r="D194" s="36"/>
      <c r="E194" s="237"/>
      <c r="F194" s="31" t="s">
        <v>645</v>
      </c>
      <c r="G194" s="234"/>
      <c r="H194" s="234"/>
      <c r="I194" s="179" t="s">
        <v>39</v>
      </c>
      <c r="J194" s="145" t="s">
        <v>143</v>
      </c>
      <c r="K194" s="146" t="s">
        <v>144</v>
      </c>
      <c r="L194" s="38" t="s">
        <v>25</v>
      </c>
      <c r="M194" s="36" t="s">
        <v>21</v>
      </c>
      <c r="N194" s="36">
        <f>2+1</f>
        <v>3</v>
      </c>
    </row>
    <row r="195" spans="1:14" s="236" customFormat="1" ht="39" outlineLevel="1" collapsed="1" thickBot="1">
      <c r="A195" s="117" t="s">
        <v>760</v>
      </c>
      <c r="B195" s="118" t="s">
        <v>641</v>
      </c>
      <c r="C195" s="119" t="s">
        <v>38</v>
      </c>
      <c r="D195" s="140" t="s">
        <v>642</v>
      </c>
      <c r="E195" s="231" t="s">
        <v>646</v>
      </c>
      <c r="F195" s="232" t="s">
        <v>647</v>
      </c>
      <c r="G195" s="239" t="s">
        <v>201</v>
      </c>
      <c r="H195" s="241" t="s">
        <v>895</v>
      </c>
      <c r="I195" s="118" t="s">
        <v>39</v>
      </c>
      <c r="J195" s="118" t="s">
        <v>146</v>
      </c>
      <c r="K195" s="120" t="s">
        <v>146</v>
      </c>
      <c r="L195" s="235" t="str">
        <f>CONCATENATE(L196," ",N196,M196," ",)</f>
        <v xml:space="preserve">Замена опор 1шт. </v>
      </c>
      <c r="M195" s="152"/>
      <c r="N195" s="152"/>
    </row>
    <row r="196" spans="1:14" ht="19.149999999999999" hidden="1" customHeight="1" outlineLevel="2" thickBot="1">
      <c r="A196" s="12"/>
      <c r="B196" s="36"/>
      <c r="C196" s="11"/>
      <c r="D196" s="36"/>
      <c r="E196" s="237"/>
      <c r="F196" s="31" t="s">
        <v>648</v>
      </c>
      <c r="G196" s="234"/>
      <c r="H196" s="234"/>
      <c r="I196" s="179" t="s">
        <v>39</v>
      </c>
      <c r="J196" s="145" t="s">
        <v>146</v>
      </c>
      <c r="K196" s="146" t="s">
        <v>146</v>
      </c>
      <c r="L196" s="38" t="s">
        <v>25</v>
      </c>
      <c r="M196" s="36" t="s">
        <v>21</v>
      </c>
      <c r="N196" s="36">
        <v>1</v>
      </c>
    </row>
    <row r="197" spans="1:14" s="236" customFormat="1" ht="39" outlineLevel="1" collapsed="1" thickBot="1">
      <c r="A197" s="117" t="s">
        <v>761</v>
      </c>
      <c r="B197" s="118" t="s">
        <v>641</v>
      </c>
      <c r="C197" s="119" t="s">
        <v>44</v>
      </c>
      <c r="D197" s="140" t="s">
        <v>669</v>
      </c>
      <c r="E197" s="231" t="s">
        <v>670</v>
      </c>
      <c r="F197" s="232" t="s">
        <v>671</v>
      </c>
      <c r="G197" s="239" t="s">
        <v>201</v>
      </c>
      <c r="H197" s="241" t="s">
        <v>895</v>
      </c>
      <c r="I197" s="118" t="s">
        <v>39</v>
      </c>
      <c r="J197" s="118" t="s">
        <v>144</v>
      </c>
      <c r="K197" s="120" t="s">
        <v>142</v>
      </c>
      <c r="L197" s="235" t="str">
        <f>CONCATENATE(L198," ",N198,M198," ",L199," ",N199,M199," ",)</f>
        <v xml:space="preserve">Замена опор 1шт. Установка РЛНД 1шт. </v>
      </c>
      <c r="M197" s="152"/>
      <c r="N197" s="152"/>
    </row>
    <row r="198" spans="1:14" ht="12.75" hidden="1" customHeight="1" outlineLevel="2">
      <c r="A198" s="12"/>
      <c r="B198" s="36"/>
      <c r="C198" s="11"/>
      <c r="D198" s="36"/>
      <c r="E198" s="237"/>
      <c r="F198" s="31" t="s">
        <v>672</v>
      </c>
      <c r="G198" s="233"/>
      <c r="H198" s="234"/>
      <c r="I198" s="179" t="s">
        <v>39</v>
      </c>
      <c r="J198" s="179" t="s">
        <v>144</v>
      </c>
      <c r="K198" s="179" t="s">
        <v>142</v>
      </c>
      <c r="L198" s="38" t="s">
        <v>25</v>
      </c>
      <c r="M198" s="36" t="s">
        <v>21</v>
      </c>
      <c r="N198" s="36">
        <v>1</v>
      </c>
    </row>
    <row r="199" spans="1:14" ht="19.149999999999999" hidden="1" customHeight="1" outlineLevel="2" thickBot="1">
      <c r="A199" s="12"/>
      <c r="B199" s="36"/>
      <c r="C199" s="11"/>
      <c r="D199" s="36"/>
      <c r="E199" s="237"/>
      <c r="F199" s="31"/>
      <c r="G199" s="233"/>
      <c r="H199" s="234"/>
      <c r="I199" s="179" t="s">
        <v>39</v>
      </c>
      <c r="J199" s="179" t="s">
        <v>144</v>
      </c>
      <c r="K199" s="179" t="s">
        <v>142</v>
      </c>
      <c r="L199" s="38" t="s">
        <v>30</v>
      </c>
      <c r="M199" s="36" t="s">
        <v>21</v>
      </c>
      <c r="N199" s="36">
        <v>1</v>
      </c>
    </row>
    <row r="200" spans="1:14" s="236" customFormat="1" ht="39" outlineLevel="1" collapsed="1" thickBot="1">
      <c r="A200" s="117" t="s">
        <v>511</v>
      </c>
      <c r="B200" s="118" t="s">
        <v>641</v>
      </c>
      <c r="C200" s="119" t="s">
        <v>44</v>
      </c>
      <c r="D200" s="140" t="s">
        <v>669</v>
      </c>
      <c r="E200" s="231" t="s">
        <v>673</v>
      </c>
      <c r="F200" s="232" t="s">
        <v>674</v>
      </c>
      <c r="G200" s="239" t="s">
        <v>201</v>
      </c>
      <c r="H200" s="241" t="s">
        <v>895</v>
      </c>
      <c r="I200" s="118" t="s">
        <v>39</v>
      </c>
      <c r="J200" s="118" t="s">
        <v>146</v>
      </c>
      <c r="K200" s="120" t="s">
        <v>142</v>
      </c>
      <c r="L200" s="235" t="str">
        <f>CONCATENATE(L201," ",N201,M201," ",L202," ",N202,M202," ",L203," ",N203,M203," ",L204," ",N204,M204," ",)</f>
        <v xml:space="preserve">Демонтаж опор 13шт. Установка опор 4шт. Монтаж провода (по трассе) 0,175км Замена РЛНД 1шт. </v>
      </c>
      <c r="M200" s="152"/>
      <c r="N200" s="152"/>
    </row>
    <row r="201" spans="1:14" ht="12.75" hidden="1" customHeight="1" outlineLevel="2">
      <c r="A201" s="12"/>
      <c r="B201" s="36"/>
      <c r="C201" s="11"/>
      <c r="D201" s="36"/>
      <c r="E201" s="237"/>
      <c r="F201" s="31"/>
      <c r="G201" s="234"/>
      <c r="H201" s="234"/>
      <c r="I201" s="179" t="s">
        <v>39</v>
      </c>
      <c r="J201" s="179" t="s">
        <v>146</v>
      </c>
      <c r="K201" s="179" t="s">
        <v>142</v>
      </c>
      <c r="L201" s="38" t="s">
        <v>23</v>
      </c>
      <c r="M201" s="36" t="s">
        <v>21</v>
      </c>
      <c r="N201" s="36">
        <v>13</v>
      </c>
    </row>
    <row r="202" spans="1:14" ht="12.75" hidden="1" customHeight="1" outlineLevel="2">
      <c r="A202" s="12"/>
      <c r="B202" s="36"/>
      <c r="C202" s="11"/>
      <c r="D202" s="36"/>
      <c r="E202" s="237"/>
      <c r="F202" s="31" t="s">
        <v>697</v>
      </c>
      <c r="G202" s="234"/>
      <c r="H202" s="234"/>
      <c r="I202" s="179"/>
      <c r="J202" s="179" t="s">
        <v>146</v>
      </c>
      <c r="K202" s="179" t="s">
        <v>142</v>
      </c>
      <c r="L202" s="38" t="s">
        <v>26</v>
      </c>
      <c r="M202" s="36" t="s">
        <v>21</v>
      </c>
      <c r="N202" s="36">
        <v>4</v>
      </c>
    </row>
    <row r="203" spans="1:14" ht="27" hidden="1" customHeight="1" outlineLevel="2">
      <c r="A203" s="12"/>
      <c r="B203" s="36"/>
      <c r="C203" s="11"/>
      <c r="D203" s="36"/>
      <c r="E203" s="237"/>
      <c r="F203" s="31"/>
      <c r="G203" s="234"/>
      <c r="H203" s="234"/>
      <c r="I203" s="179" t="s">
        <v>39</v>
      </c>
      <c r="J203" s="179" t="s">
        <v>146</v>
      </c>
      <c r="K203" s="179" t="s">
        <v>142</v>
      </c>
      <c r="L203" s="38" t="s">
        <v>28</v>
      </c>
      <c r="M203" s="36" t="s">
        <v>550</v>
      </c>
      <c r="N203" s="36">
        <v>0.17499999999999999</v>
      </c>
    </row>
    <row r="204" spans="1:14" ht="19.149999999999999" hidden="1" customHeight="1" outlineLevel="2" thickBot="1">
      <c r="A204" s="12"/>
      <c r="B204" s="36"/>
      <c r="C204" s="11"/>
      <c r="D204" s="36"/>
      <c r="E204" s="237"/>
      <c r="F204" s="31"/>
      <c r="G204" s="234"/>
      <c r="H204" s="234"/>
      <c r="I204" s="179" t="s">
        <v>39</v>
      </c>
      <c r="J204" s="179" t="s">
        <v>146</v>
      </c>
      <c r="K204" s="179" t="s">
        <v>142</v>
      </c>
      <c r="L204" s="38" t="s">
        <v>29</v>
      </c>
      <c r="M204" s="36" t="s">
        <v>21</v>
      </c>
      <c r="N204" s="36">
        <v>1</v>
      </c>
    </row>
    <row r="205" spans="1:14" s="236" customFormat="1" ht="39" outlineLevel="1" collapsed="1" thickBot="1">
      <c r="A205" s="117" t="s">
        <v>762</v>
      </c>
      <c r="B205" s="118" t="s">
        <v>641</v>
      </c>
      <c r="C205" s="119" t="s">
        <v>44</v>
      </c>
      <c r="D205" s="140" t="s">
        <v>669</v>
      </c>
      <c r="E205" s="231" t="s">
        <v>675</v>
      </c>
      <c r="F205" s="232" t="s">
        <v>676</v>
      </c>
      <c r="G205" s="239" t="s">
        <v>201</v>
      </c>
      <c r="H205" s="241" t="s">
        <v>895</v>
      </c>
      <c r="I205" s="118" t="s">
        <v>39</v>
      </c>
      <c r="J205" s="118" t="s">
        <v>141</v>
      </c>
      <c r="K205" s="120" t="s">
        <v>142</v>
      </c>
      <c r="L205" s="235" t="str">
        <f>CONCATENATE(L206," ",N206,M206," ",)</f>
        <v xml:space="preserve">Замена опор 2шт. </v>
      </c>
      <c r="M205" s="152"/>
      <c r="N205" s="152"/>
    </row>
    <row r="206" spans="1:14" ht="13.5" hidden="1" outlineLevel="2" thickBot="1">
      <c r="A206" s="12"/>
      <c r="B206" s="36"/>
      <c r="C206" s="11"/>
      <c r="D206" s="36"/>
      <c r="E206" s="249"/>
      <c r="F206" s="31"/>
      <c r="G206" s="234"/>
      <c r="H206" s="1"/>
      <c r="I206" s="36" t="s">
        <v>39</v>
      </c>
      <c r="J206" s="36" t="s">
        <v>141</v>
      </c>
      <c r="K206" s="36" t="s">
        <v>142</v>
      </c>
      <c r="L206" s="142" t="s">
        <v>25</v>
      </c>
      <c r="M206" s="36" t="s">
        <v>21</v>
      </c>
      <c r="N206" s="36">
        <v>2</v>
      </c>
    </row>
    <row r="207" spans="1:14" s="236" customFormat="1" ht="39" outlineLevel="1" collapsed="1" thickBot="1">
      <c r="A207" s="117" t="s">
        <v>763</v>
      </c>
      <c r="B207" s="118" t="s">
        <v>641</v>
      </c>
      <c r="C207" s="119" t="s">
        <v>44</v>
      </c>
      <c r="D207" s="140" t="s">
        <v>669</v>
      </c>
      <c r="E207" s="231" t="s">
        <v>677</v>
      </c>
      <c r="F207" s="232" t="s">
        <v>924</v>
      </c>
      <c r="G207" s="239" t="s">
        <v>201</v>
      </c>
      <c r="H207" s="239" t="s">
        <v>896</v>
      </c>
      <c r="I207" s="118" t="s">
        <v>39</v>
      </c>
      <c r="J207" s="118" t="s">
        <v>143</v>
      </c>
      <c r="K207" s="120" t="s">
        <v>141</v>
      </c>
      <c r="L207" s="235" t="str">
        <f>CONCATENATE(L208," ",N208,M208," ",L209," ",N209,M209," ",L210," ",N210,M210," ",L211," ",N211,M211," ",)</f>
        <v xml:space="preserve">Демонтаж опор 3шт. Установка опор 4шт. Монтаж провода (по трассе) 0,276км Установка РЛНД 2шт. </v>
      </c>
      <c r="M207" s="152"/>
      <c r="N207" s="152"/>
    </row>
    <row r="208" spans="1:14" ht="12.75" hidden="1" customHeight="1" outlineLevel="2">
      <c r="A208" s="12"/>
      <c r="B208" s="36"/>
      <c r="C208" s="11"/>
      <c r="D208" s="36"/>
      <c r="E208" s="249"/>
      <c r="F208" s="31"/>
      <c r="G208" s="174"/>
      <c r="H208" s="1"/>
      <c r="I208" s="36" t="s">
        <v>39</v>
      </c>
      <c r="J208" s="36" t="s">
        <v>143</v>
      </c>
      <c r="K208" s="36" t="s">
        <v>141</v>
      </c>
      <c r="L208" s="142" t="s">
        <v>23</v>
      </c>
      <c r="M208" s="36" t="s">
        <v>21</v>
      </c>
      <c r="N208" s="36">
        <v>3</v>
      </c>
    </row>
    <row r="209" spans="1:14" ht="12.75" hidden="1" customHeight="1" outlineLevel="2">
      <c r="A209" s="12"/>
      <c r="B209" s="36"/>
      <c r="C209" s="11"/>
      <c r="D209" s="36"/>
      <c r="E209" s="249"/>
      <c r="F209" s="31" t="s">
        <v>698</v>
      </c>
      <c r="G209" s="174"/>
      <c r="H209" s="1"/>
      <c r="I209" s="36" t="s">
        <v>39</v>
      </c>
      <c r="J209" s="36" t="s">
        <v>143</v>
      </c>
      <c r="K209" s="36" t="s">
        <v>141</v>
      </c>
      <c r="L209" s="142" t="s">
        <v>26</v>
      </c>
      <c r="M209" s="36" t="s">
        <v>21</v>
      </c>
      <c r="N209" s="36">
        <v>4</v>
      </c>
    </row>
    <row r="210" spans="1:14" ht="19.149999999999999" hidden="1" customHeight="1" outlineLevel="2">
      <c r="A210" s="12"/>
      <c r="B210" s="36"/>
      <c r="C210" s="11"/>
      <c r="D210" s="36"/>
      <c r="E210" s="249"/>
      <c r="F210" s="31"/>
      <c r="G210" s="174"/>
      <c r="H210" s="1"/>
      <c r="I210" s="36" t="s">
        <v>39</v>
      </c>
      <c r="J210" s="36" t="s">
        <v>143</v>
      </c>
      <c r="K210" s="36" t="s">
        <v>141</v>
      </c>
      <c r="L210" s="142" t="s">
        <v>28</v>
      </c>
      <c r="M210" s="36" t="s">
        <v>550</v>
      </c>
      <c r="N210" s="36">
        <v>0.27600000000000002</v>
      </c>
    </row>
    <row r="211" spans="1:14" ht="19.149999999999999" hidden="1" customHeight="1" outlineLevel="2" thickBot="1">
      <c r="A211" s="12"/>
      <c r="B211" s="36"/>
      <c r="C211" s="11"/>
      <c r="D211" s="36"/>
      <c r="E211" s="249"/>
      <c r="F211" s="31"/>
      <c r="G211" s="174"/>
      <c r="H211" s="1"/>
      <c r="I211" s="36" t="s">
        <v>39</v>
      </c>
      <c r="J211" s="36" t="s">
        <v>143</v>
      </c>
      <c r="K211" s="36" t="s">
        <v>141</v>
      </c>
      <c r="L211" s="142" t="s">
        <v>30</v>
      </c>
      <c r="M211" s="36" t="s">
        <v>21</v>
      </c>
      <c r="N211" s="36">
        <v>2</v>
      </c>
    </row>
    <row r="212" spans="1:14" s="236" customFormat="1" ht="38.25" outlineLevel="1" collapsed="1">
      <c r="A212" s="117" t="s">
        <v>764</v>
      </c>
      <c r="B212" s="118" t="s">
        <v>641</v>
      </c>
      <c r="C212" s="119" t="s">
        <v>44</v>
      </c>
      <c r="D212" s="140" t="s">
        <v>669</v>
      </c>
      <c r="E212" s="231" t="s">
        <v>678</v>
      </c>
      <c r="F212" s="232" t="s">
        <v>679</v>
      </c>
      <c r="G212" s="239" t="s">
        <v>201</v>
      </c>
      <c r="H212" s="241" t="s">
        <v>895</v>
      </c>
      <c r="I212" s="118" t="s">
        <v>39</v>
      </c>
      <c r="J212" s="118" t="s">
        <v>143</v>
      </c>
      <c r="K212" s="120" t="s">
        <v>142</v>
      </c>
      <c r="L212" s="235" t="str">
        <f>CONCATENATE(L213," ",N213,M213," ",L214," ",N214,M214," ",L215," ",N215,M215," ",)</f>
        <v xml:space="preserve">Установка опор 5шт. Монтаж провода (по трассе) 0,21км Установка РЛНД 1шт. </v>
      </c>
      <c r="M212" s="152"/>
      <c r="N212" s="152"/>
    </row>
    <row r="213" spans="1:14" ht="12.75" hidden="1" customHeight="1" outlineLevel="2">
      <c r="A213" s="12"/>
      <c r="B213" s="36"/>
      <c r="C213" s="11"/>
      <c r="D213" s="36"/>
      <c r="E213" s="249"/>
      <c r="F213" s="31" t="s">
        <v>699</v>
      </c>
      <c r="G213" s="174"/>
      <c r="H213" s="1"/>
      <c r="I213" s="36" t="s">
        <v>39</v>
      </c>
      <c r="J213" s="36" t="s">
        <v>143</v>
      </c>
      <c r="K213" s="36" t="s">
        <v>142</v>
      </c>
      <c r="L213" s="142" t="s">
        <v>26</v>
      </c>
      <c r="M213" s="36" t="s">
        <v>21</v>
      </c>
      <c r="N213" s="36">
        <v>5</v>
      </c>
    </row>
    <row r="214" spans="1:14" ht="19.149999999999999" hidden="1" customHeight="1" outlineLevel="2">
      <c r="A214" s="12"/>
      <c r="B214" s="36"/>
      <c r="C214" s="11"/>
      <c r="D214" s="36"/>
      <c r="E214" s="249"/>
      <c r="F214" s="31"/>
      <c r="G214" s="174"/>
      <c r="H214" s="1"/>
      <c r="I214" s="36" t="s">
        <v>39</v>
      </c>
      <c r="J214" s="36" t="s">
        <v>143</v>
      </c>
      <c r="K214" s="36" t="s">
        <v>142</v>
      </c>
      <c r="L214" s="142" t="s">
        <v>28</v>
      </c>
      <c r="M214" s="36" t="s">
        <v>550</v>
      </c>
      <c r="N214" s="36">
        <v>0.21</v>
      </c>
    </row>
    <row r="215" spans="1:14" ht="19.149999999999999" hidden="1" customHeight="1" outlineLevel="2">
      <c r="A215" s="12"/>
      <c r="B215" s="36"/>
      <c r="C215" s="11"/>
      <c r="D215" s="36"/>
      <c r="E215" s="249"/>
      <c r="F215" s="31"/>
      <c r="G215" s="174"/>
      <c r="H215" s="1"/>
      <c r="I215" s="36" t="s">
        <v>39</v>
      </c>
      <c r="J215" s="36" t="s">
        <v>143</v>
      </c>
      <c r="K215" s="36" t="s">
        <v>142</v>
      </c>
      <c r="L215" s="142" t="s">
        <v>30</v>
      </c>
      <c r="M215" s="36" t="s">
        <v>21</v>
      </c>
      <c r="N215" s="36">
        <v>1</v>
      </c>
    </row>
    <row r="216" spans="1:14" s="251" customFormat="1" outlineLevel="1">
      <c r="A216" s="199"/>
      <c r="B216" s="199"/>
      <c r="C216" s="199"/>
      <c r="D216" s="199"/>
      <c r="E216" s="199"/>
      <c r="F216" s="199"/>
      <c r="G216" s="250"/>
      <c r="H216" s="199"/>
      <c r="I216" s="250"/>
      <c r="J216" s="250"/>
      <c r="K216" s="250"/>
      <c r="L216" s="199"/>
      <c r="M216" s="199"/>
      <c r="N216" s="199"/>
    </row>
    <row r="217" spans="1:14" ht="13.5" thickBot="1">
      <c r="A217" s="328" t="s">
        <v>96</v>
      </c>
      <c r="B217" s="328"/>
      <c r="C217" s="328"/>
      <c r="D217" s="328"/>
      <c r="E217" s="252" t="s">
        <v>109</v>
      </c>
      <c r="F217" s="112"/>
      <c r="G217" s="227"/>
      <c r="H217" s="32"/>
      <c r="I217" s="35"/>
      <c r="J217" s="35"/>
      <c r="K217" s="35"/>
      <c r="L217" s="18"/>
      <c r="M217" s="32"/>
      <c r="N217" s="32"/>
    </row>
    <row r="218" spans="1:14" s="236" customFormat="1" ht="39" outlineLevel="1" collapsed="1" thickBot="1">
      <c r="A218" s="117" t="s">
        <v>765</v>
      </c>
      <c r="B218" s="118" t="s">
        <v>519</v>
      </c>
      <c r="C218" s="119" t="s">
        <v>44</v>
      </c>
      <c r="D218" s="140" t="s">
        <v>508</v>
      </c>
      <c r="E218" s="231" t="s">
        <v>520</v>
      </c>
      <c r="F218" s="232" t="s">
        <v>925</v>
      </c>
      <c r="G218" s="239" t="s">
        <v>510</v>
      </c>
      <c r="H218" s="241" t="s">
        <v>895</v>
      </c>
      <c r="I218" s="118" t="s">
        <v>39</v>
      </c>
      <c r="J218" s="118" t="s">
        <v>141</v>
      </c>
      <c r="K218" s="120" t="s">
        <v>141</v>
      </c>
      <c r="L218" s="235" t="str">
        <f>CONCATENATE(L219," ",N219,M219," ",)</f>
        <v xml:space="preserve">Замена опор 1шт </v>
      </c>
      <c r="M218" s="152"/>
      <c r="N218" s="152"/>
    </row>
    <row r="219" spans="1:14" ht="19.149999999999999" hidden="1" customHeight="1" outlineLevel="2" thickBot="1">
      <c r="A219" s="126"/>
      <c r="B219" s="27"/>
      <c r="C219" s="245"/>
      <c r="D219" s="27"/>
      <c r="E219" s="249" t="s">
        <v>513</v>
      </c>
      <c r="F219" s="31" t="s">
        <v>62</v>
      </c>
      <c r="G219" s="174"/>
      <c r="H219" s="1"/>
      <c r="I219" s="36"/>
      <c r="J219" s="36" t="s">
        <v>141</v>
      </c>
      <c r="K219" s="36" t="s">
        <v>141</v>
      </c>
      <c r="L219" s="142" t="s">
        <v>25</v>
      </c>
      <c r="M219" s="36" t="s">
        <v>129</v>
      </c>
      <c r="N219" s="27">
        <v>1</v>
      </c>
    </row>
    <row r="220" spans="1:14" s="236" customFormat="1" ht="39" outlineLevel="1" collapsed="1" thickBot="1">
      <c r="A220" s="117" t="s">
        <v>766</v>
      </c>
      <c r="B220" s="118" t="s">
        <v>519</v>
      </c>
      <c r="C220" s="119" t="s">
        <v>44</v>
      </c>
      <c r="D220" s="140" t="s">
        <v>508</v>
      </c>
      <c r="E220" s="231" t="s">
        <v>522</v>
      </c>
      <c r="F220" s="232" t="s">
        <v>926</v>
      </c>
      <c r="G220" s="239" t="s">
        <v>510</v>
      </c>
      <c r="H220" s="241" t="s">
        <v>895</v>
      </c>
      <c r="I220" s="118" t="s">
        <v>39</v>
      </c>
      <c r="J220" s="118" t="s">
        <v>170</v>
      </c>
      <c r="K220" s="120" t="s">
        <v>170</v>
      </c>
      <c r="L220" s="235" t="str">
        <f>CONCATENATE(L221," ",N221,M221," ",L222," ",N222,M222," ",)</f>
        <v xml:space="preserve">Замена опор 2шт Замена ответвлений к зданиям 2шт </v>
      </c>
      <c r="M220" s="152"/>
      <c r="N220" s="152"/>
    </row>
    <row r="221" spans="1:14" ht="21" hidden="1" customHeight="1" outlineLevel="2">
      <c r="A221" s="12"/>
      <c r="B221" s="36"/>
      <c r="C221" s="11"/>
      <c r="D221" s="36"/>
      <c r="E221" s="249" t="s">
        <v>523</v>
      </c>
      <c r="F221" s="31" t="s">
        <v>61</v>
      </c>
      <c r="G221" s="174"/>
      <c r="H221" s="1"/>
      <c r="I221" s="36"/>
      <c r="J221" s="36" t="s">
        <v>170</v>
      </c>
      <c r="K221" s="36" t="s">
        <v>170</v>
      </c>
      <c r="L221" s="142" t="s">
        <v>25</v>
      </c>
      <c r="M221" s="36" t="s">
        <v>129</v>
      </c>
      <c r="N221" s="36">
        <v>2</v>
      </c>
    </row>
    <row r="222" spans="1:14" ht="30" hidden="1" customHeight="1" outlineLevel="2" thickBot="1">
      <c r="A222" s="142"/>
      <c r="B222" s="1"/>
      <c r="C222" s="122"/>
      <c r="D222" s="1"/>
      <c r="E222" s="249" t="s">
        <v>524</v>
      </c>
      <c r="F222" s="31"/>
      <c r="G222" s="174"/>
      <c r="H222" s="1"/>
      <c r="I222" s="36"/>
      <c r="J222" s="36" t="s">
        <v>170</v>
      </c>
      <c r="K222" s="36" t="s">
        <v>170</v>
      </c>
      <c r="L222" s="142" t="s">
        <v>31</v>
      </c>
      <c r="M222" s="36" t="s">
        <v>129</v>
      </c>
      <c r="N222" s="147">
        <v>2</v>
      </c>
    </row>
    <row r="223" spans="1:14" s="236" customFormat="1" ht="39" outlineLevel="1" collapsed="1" thickBot="1">
      <c r="A223" s="117" t="s">
        <v>767</v>
      </c>
      <c r="B223" s="118" t="s">
        <v>519</v>
      </c>
      <c r="C223" s="119" t="s">
        <v>44</v>
      </c>
      <c r="D223" s="140" t="s">
        <v>508</v>
      </c>
      <c r="E223" s="231" t="s">
        <v>526</v>
      </c>
      <c r="F223" s="232" t="s">
        <v>927</v>
      </c>
      <c r="G223" s="239" t="s">
        <v>510</v>
      </c>
      <c r="H223" s="241" t="s">
        <v>895</v>
      </c>
      <c r="I223" s="118" t="s">
        <v>39</v>
      </c>
      <c r="J223" s="118" t="s">
        <v>170</v>
      </c>
      <c r="K223" s="120" t="s">
        <v>170</v>
      </c>
      <c r="L223" s="235" t="str">
        <f>CONCATENATE(L224," ",N224,M224," ",L225," ",N225,M225," ",)</f>
        <v xml:space="preserve">Замена опор 1шт Замена ответвлений к зданиям 1шт </v>
      </c>
      <c r="M223" s="152"/>
      <c r="N223" s="152"/>
    </row>
    <row r="224" spans="1:14" ht="21" hidden="1" customHeight="1" outlineLevel="2">
      <c r="A224" s="12"/>
      <c r="B224" s="36"/>
      <c r="C224" s="11"/>
      <c r="D224" s="36"/>
      <c r="E224" s="249" t="s">
        <v>527</v>
      </c>
      <c r="F224" s="31" t="s">
        <v>61</v>
      </c>
      <c r="G224" s="174"/>
      <c r="H224" s="1"/>
      <c r="I224" s="36"/>
      <c r="J224" s="36" t="s">
        <v>170</v>
      </c>
      <c r="K224" s="36" t="s">
        <v>170</v>
      </c>
      <c r="L224" s="142" t="s">
        <v>25</v>
      </c>
      <c r="M224" s="36" t="s">
        <v>129</v>
      </c>
      <c r="N224" s="36">
        <v>1</v>
      </c>
    </row>
    <row r="225" spans="1:14" ht="33.75" hidden="1" customHeight="1" outlineLevel="2" thickBot="1">
      <c r="A225" s="142"/>
      <c r="B225" s="1"/>
      <c r="C225" s="122"/>
      <c r="D225" s="1"/>
      <c r="E225" s="249" t="s">
        <v>528</v>
      </c>
      <c r="F225" s="31"/>
      <c r="G225" s="174"/>
      <c r="H225" s="1"/>
      <c r="I225" s="36"/>
      <c r="J225" s="36" t="s">
        <v>170</v>
      </c>
      <c r="K225" s="36" t="s">
        <v>170</v>
      </c>
      <c r="L225" s="142" t="s">
        <v>31</v>
      </c>
      <c r="M225" s="36" t="s">
        <v>129</v>
      </c>
      <c r="N225" s="147">
        <v>1</v>
      </c>
    </row>
    <row r="226" spans="1:14" s="236" customFormat="1" ht="39" outlineLevel="1" collapsed="1" thickBot="1">
      <c r="A226" s="117" t="s">
        <v>768</v>
      </c>
      <c r="B226" s="118" t="s">
        <v>519</v>
      </c>
      <c r="C226" s="119" t="s">
        <v>44</v>
      </c>
      <c r="D226" s="140" t="s">
        <v>508</v>
      </c>
      <c r="E226" s="231" t="s">
        <v>529</v>
      </c>
      <c r="F226" s="232" t="s">
        <v>928</v>
      </c>
      <c r="G226" s="239" t="s">
        <v>510</v>
      </c>
      <c r="H226" s="241" t="s">
        <v>895</v>
      </c>
      <c r="I226" s="118" t="s">
        <v>39</v>
      </c>
      <c r="J226" s="118" t="s">
        <v>142</v>
      </c>
      <c r="K226" s="120" t="s">
        <v>142</v>
      </c>
      <c r="L226" s="235" t="str">
        <f>CONCATENATE(L227," ",N227,M227," ",)</f>
        <v xml:space="preserve">Замена опор 1шт </v>
      </c>
      <c r="M226" s="152"/>
      <c r="N226" s="152"/>
    </row>
    <row r="227" spans="1:14" ht="21" hidden="1" customHeight="1" outlineLevel="2" thickBot="1">
      <c r="A227" s="12"/>
      <c r="B227" s="36"/>
      <c r="C227" s="11"/>
      <c r="D227" s="36"/>
      <c r="E227" s="249" t="s">
        <v>531</v>
      </c>
      <c r="F227" s="31" t="s">
        <v>62</v>
      </c>
      <c r="G227" s="174"/>
      <c r="H227" s="1"/>
      <c r="I227" s="36"/>
      <c r="J227" s="36" t="s">
        <v>142</v>
      </c>
      <c r="K227" s="36" t="s">
        <v>142</v>
      </c>
      <c r="L227" s="142" t="s">
        <v>25</v>
      </c>
      <c r="M227" s="36" t="s">
        <v>129</v>
      </c>
      <c r="N227" s="36">
        <v>1</v>
      </c>
    </row>
    <row r="228" spans="1:14" s="236" customFormat="1" ht="39" outlineLevel="1" collapsed="1" thickBot="1">
      <c r="A228" s="117" t="s">
        <v>769</v>
      </c>
      <c r="B228" s="118" t="s">
        <v>519</v>
      </c>
      <c r="C228" s="119" t="s">
        <v>44</v>
      </c>
      <c r="D228" s="140" t="s">
        <v>508</v>
      </c>
      <c r="E228" s="231" t="s">
        <v>529</v>
      </c>
      <c r="F228" s="232" t="s">
        <v>929</v>
      </c>
      <c r="G228" s="239" t="s">
        <v>510</v>
      </c>
      <c r="H228" s="241" t="s">
        <v>895</v>
      </c>
      <c r="I228" s="118" t="s">
        <v>39</v>
      </c>
      <c r="J228" s="118" t="s">
        <v>170</v>
      </c>
      <c r="K228" s="120" t="s">
        <v>170</v>
      </c>
      <c r="L228" s="235" t="str">
        <f>CONCATENATE(L229," ",N229,M229," ",)</f>
        <v xml:space="preserve">Замена опор 2шт </v>
      </c>
      <c r="M228" s="152"/>
      <c r="N228" s="152"/>
    </row>
    <row r="229" spans="1:14" ht="21" hidden="1" customHeight="1" outlineLevel="2" thickBot="1">
      <c r="A229" s="12"/>
      <c r="B229" s="36"/>
      <c r="C229" s="11"/>
      <c r="D229" s="36"/>
      <c r="E229" s="249" t="s">
        <v>534</v>
      </c>
      <c r="F229" s="31" t="s">
        <v>61</v>
      </c>
      <c r="G229" s="174"/>
      <c r="H229" s="1"/>
      <c r="I229" s="36"/>
      <c r="J229" s="36" t="s">
        <v>170</v>
      </c>
      <c r="K229" s="36" t="s">
        <v>170</v>
      </c>
      <c r="L229" s="142" t="s">
        <v>25</v>
      </c>
      <c r="M229" s="36" t="s">
        <v>129</v>
      </c>
      <c r="N229" s="36">
        <v>2</v>
      </c>
    </row>
    <row r="230" spans="1:14" s="236" customFormat="1" ht="39" outlineLevel="1" collapsed="1" thickBot="1">
      <c r="A230" s="117" t="s">
        <v>770</v>
      </c>
      <c r="B230" s="118" t="s">
        <v>519</v>
      </c>
      <c r="C230" s="119" t="s">
        <v>44</v>
      </c>
      <c r="D230" s="140" t="s">
        <v>508</v>
      </c>
      <c r="E230" s="231" t="s">
        <v>529</v>
      </c>
      <c r="F230" s="232" t="s">
        <v>930</v>
      </c>
      <c r="G230" s="239" t="s">
        <v>510</v>
      </c>
      <c r="H230" s="241" t="s">
        <v>895</v>
      </c>
      <c r="I230" s="118" t="s">
        <v>39</v>
      </c>
      <c r="J230" s="118" t="s">
        <v>170</v>
      </c>
      <c r="K230" s="120" t="s">
        <v>170</v>
      </c>
      <c r="L230" s="235" t="str">
        <f>CONCATENATE(L231," ",N231,M231," ",)</f>
        <v xml:space="preserve">Замена опор 1шт </v>
      </c>
      <c r="M230" s="152"/>
      <c r="N230" s="152"/>
    </row>
    <row r="231" spans="1:14" ht="24.75" hidden="1" customHeight="1" outlineLevel="2" thickBot="1">
      <c r="A231" s="142"/>
      <c r="B231" s="36"/>
      <c r="C231" s="11"/>
      <c r="D231" s="36"/>
      <c r="E231" s="249" t="s">
        <v>535</v>
      </c>
      <c r="F231" s="31" t="s">
        <v>62</v>
      </c>
      <c r="G231" s="174"/>
      <c r="H231" s="1"/>
      <c r="I231" s="36"/>
      <c r="J231" s="36" t="s">
        <v>170</v>
      </c>
      <c r="K231" s="36" t="s">
        <v>170</v>
      </c>
      <c r="L231" s="142" t="s">
        <v>25</v>
      </c>
      <c r="M231" s="36" t="s">
        <v>129</v>
      </c>
      <c r="N231" s="36">
        <v>1</v>
      </c>
    </row>
    <row r="232" spans="1:14" s="236" customFormat="1" ht="39" outlineLevel="1" collapsed="1" thickBot="1">
      <c r="A232" s="117" t="s">
        <v>771</v>
      </c>
      <c r="B232" s="118" t="s">
        <v>519</v>
      </c>
      <c r="C232" s="119" t="s">
        <v>44</v>
      </c>
      <c r="D232" s="140" t="s">
        <v>508</v>
      </c>
      <c r="E232" s="231" t="s">
        <v>529</v>
      </c>
      <c r="F232" s="232" t="s">
        <v>931</v>
      </c>
      <c r="G232" s="239" t="s">
        <v>510</v>
      </c>
      <c r="H232" s="241" t="s">
        <v>895</v>
      </c>
      <c r="I232" s="118" t="s">
        <v>39</v>
      </c>
      <c r="J232" s="118" t="s">
        <v>141</v>
      </c>
      <c r="K232" s="120" t="s">
        <v>141</v>
      </c>
      <c r="L232" s="235" t="str">
        <f>CONCATENATE(L233," ",N233,M233," ",)</f>
        <v xml:space="preserve">Замена опор 1шт </v>
      </c>
      <c r="M232" s="152"/>
      <c r="N232" s="152"/>
    </row>
    <row r="233" spans="1:14" ht="21" hidden="1" customHeight="1" outlineLevel="2" thickBot="1">
      <c r="A233" s="142"/>
      <c r="B233" s="36"/>
      <c r="C233" s="11"/>
      <c r="D233" s="36"/>
      <c r="E233" s="249" t="s">
        <v>536</v>
      </c>
      <c r="F233" s="31" t="s">
        <v>61</v>
      </c>
      <c r="G233" s="174"/>
      <c r="H233" s="1"/>
      <c r="I233" s="36"/>
      <c r="J233" s="36" t="s">
        <v>141</v>
      </c>
      <c r="K233" s="36" t="s">
        <v>141</v>
      </c>
      <c r="L233" s="142" t="s">
        <v>25</v>
      </c>
      <c r="M233" s="36" t="s">
        <v>129</v>
      </c>
      <c r="N233" s="36">
        <v>1</v>
      </c>
    </row>
    <row r="234" spans="1:14" s="236" customFormat="1" ht="39" outlineLevel="1" collapsed="1" thickBot="1">
      <c r="A234" s="117" t="s">
        <v>772</v>
      </c>
      <c r="B234" s="118" t="s">
        <v>519</v>
      </c>
      <c r="C234" s="119" t="s">
        <v>44</v>
      </c>
      <c r="D234" s="140" t="s">
        <v>508</v>
      </c>
      <c r="E234" s="231" t="s">
        <v>529</v>
      </c>
      <c r="F234" s="232" t="s">
        <v>932</v>
      </c>
      <c r="G234" s="239" t="s">
        <v>510</v>
      </c>
      <c r="H234" s="241" t="s">
        <v>895</v>
      </c>
      <c r="I234" s="118" t="s">
        <v>39</v>
      </c>
      <c r="J234" s="118" t="s">
        <v>141</v>
      </c>
      <c r="K234" s="120" t="s">
        <v>141</v>
      </c>
      <c r="L234" s="235" t="str">
        <f>CONCATENATE(L235," ",N235,M235," ",)</f>
        <v xml:space="preserve">Замена опор 1шт </v>
      </c>
      <c r="M234" s="152"/>
      <c r="N234" s="152"/>
    </row>
    <row r="235" spans="1:14" ht="21" hidden="1" customHeight="1" outlineLevel="2" thickBot="1">
      <c r="A235" s="142"/>
      <c r="B235" s="36"/>
      <c r="C235" s="11"/>
      <c r="D235" s="36"/>
      <c r="E235" s="249" t="s">
        <v>537</v>
      </c>
      <c r="F235" s="31" t="s">
        <v>62</v>
      </c>
      <c r="G235" s="174"/>
      <c r="H235" s="1"/>
      <c r="I235" s="36"/>
      <c r="J235" s="36" t="s">
        <v>141</v>
      </c>
      <c r="K235" s="36" t="s">
        <v>141</v>
      </c>
      <c r="L235" s="142" t="s">
        <v>25</v>
      </c>
      <c r="M235" s="36" t="s">
        <v>129</v>
      </c>
      <c r="N235" s="36">
        <v>1</v>
      </c>
    </row>
    <row r="236" spans="1:14" s="236" customFormat="1" ht="39" customHeight="1" outlineLevel="1" collapsed="1" thickBot="1">
      <c r="A236" s="117" t="s">
        <v>773</v>
      </c>
      <c r="B236" s="118" t="s">
        <v>519</v>
      </c>
      <c r="C236" s="119" t="s">
        <v>44</v>
      </c>
      <c r="D236" s="140" t="s">
        <v>508</v>
      </c>
      <c r="E236" s="231" t="s">
        <v>57</v>
      </c>
      <c r="F236" s="232" t="s">
        <v>711</v>
      </c>
      <c r="G236" s="239" t="s">
        <v>510</v>
      </c>
      <c r="H236" s="241" t="s">
        <v>895</v>
      </c>
      <c r="I236" s="118" t="s">
        <v>39</v>
      </c>
      <c r="J236" s="118" t="s">
        <v>143</v>
      </c>
      <c r="K236" s="120" t="s">
        <v>141</v>
      </c>
      <c r="L236" s="235" t="str">
        <f>CONCATENATE(L237," ",N237,M237," ",)</f>
        <v xml:space="preserve">Замена опор  10шт </v>
      </c>
      <c r="M236" s="152"/>
      <c r="N236" s="152"/>
    </row>
    <row r="237" spans="1:14" ht="32.25" hidden="1" customHeight="1" outlineLevel="2" thickBot="1">
      <c r="A237" s="142"/>
      <c r="B237" s="36"/>
      <c r="C237" s="11"/>
      <c r="D237" s="36"/>
      <c r="E237" s="249" t="s">
        <v>813</v>
      </c>
      <c r="F237" s="31"/>
      <c r="G237" s="174"/>
      <c r="H237" s="1"/>
      <c r="I237" s="36"/>
      <c r="J237" s="36" t="s">
        <v>143</v>
      </c>
      <c r="K237" s="36" t="s">
        <v>141</v>
      </c>
      <c r="L237" s="142" t="s">
        <v>558</v>
      </c>
      <c r="M237" s="36" t="s">
        <v>129</v>
      </c>
      <c r="N237" s="36">
        <v>10</v>
      </c>
    </row>
    <row r="238" spans="1:14" s="236" customFormat="1" ht="32.25" customHeight="1" outlineLevel="1" collapsed="1" thickBot="1">
      <c r="A238" s="117" t="s">
        <v>774</v>
      </c>
      <c r="B238" s="118" t="s">
        <v>519</v>
      </c>
      <c r="C238" s="119" t="s">
        <v>44</v>
      </c>
      <c r="D238" s="140" t="s">
        <v>508</v>
      </c>
      <c r="E238" s="231" t="s">
        <v>57</v>
      </c>
      <c r="F238" s="232" t="s">
        <v>725</v>
      </c>
      <c r="G238" s="253" t="s">
        <v>510</v>
      </c>
      <c r="H238" s="241" t="s">
        <v>895</v>
      </c>
      <c r="I238" s="118" t="s">
        <v>39</v>
      </c>
      <c r="J238" s="118" t="s">
        <v>143</v>
      </c>
      <c r="K238" s="118" t="s">
        <v>141</v>
      </c>
      <c r="L238" s="254" t="str">
        <f>CONCATENATE(L239," ",N239,M239," ",)</f>
        <v xml:space="preserve">Замена опор  5шт </v>
      </c>
      <c r="M238" s="255"/>
      <c r="N238" s="255"/>
    </row>
    <row r="239" spans="1:14" ht="32.25" hidden="1" customHeight="1" outlineLevel="2" thickBot="1">
      <c r="A239" s="142"/>
      <c r="B239" s="36"/>
      <c r="C239" s="11"/>
      <c r="D239" s="36"/>
      <c r="E239" s="249" t="s">
        <v>814</v>
      </c>
      <c r="F239" s="31"/>
      <c r="G239" s="174"/>
      <c r="H239" s="1"/>
      <c r="I239" s="36"/>
      <c r="J239" s="36" t="s">
        <v>143</v>
      </c>
      <c r="K239" s="36" t="s">
        <v>141</v>
      </c>
      <c r="L239" s="142" t="s">
        <v>558</v>
      </c>
      <c r="M239" s="36" t="s">
        <v>129</v>
      </c>
      <c r="N239" s="36">
        <v>5</v>
      </c>
    </row>
    <row r="240" spans="1:14" s="236" customFormat="1" ht="32.25" customHeight="1" outlineLevel="1" collapsed="1" thickBot="1">
      <c r="A240" s="117" t="s">
        <v>518</v>
      </c>
      <c r="B240" s="118" t="s">
        <v>519</v>
      </c>
      <c r="C240" s="119" t="s">
        <v>44</v>
      </c>
      <c r="D240" s="140" t="s">
        <v>508</v>
      </c>
      <c r="E240" s="231" t="s">
        <v>57</v>
      </c>
      <c r="F240" s="232" t="s">
        <v>726</v>
      </c>
      <c r="G240" s="253" t="s">
        <v>510</v>
      </c>
      <c r="H240" s="241" t="s">
        <v>895</v>
      </c>
      <c r="I240" s="118" t="s">
        <v>39</v>
      </c>
      <c r="J240" s="118" t="s">
        <v>143</v>
      </c>
      <c r="K240" s="118" t="s">
        <v>141</v>
      </c>
      <c r="L240" s="254" t="str">
        <f>CONCATENATE(L241," ",N241,M241," ",)</f>
        <v xml:space="preserve">Замена опор  7шт </v>
      </c>
      <c r="M240" s="255"/>
      <c r="N240" s="255"/>
    </row>
    <row r="241" spans="1:14" ht="32.25" hidden="1" customHeight="1" outlineLevel="2" thickBot="1">
      <c r="A241" s="142"/>
      <c r="B241" s="36"/>
      <c r="C241" s="11"/>
      <c r="D241" s="36"/>
      <c r="E241" s="249" t="s">
        <v>815</v>
      </c>
      <c r="F241" s="31"/>
      <c r="G241" s="174"/>
      <c r="H241" s="1"/>
      <c r="I241" s="36"/>
      <c r="J241" s="36" t="s">
        <v>143</v>
      </c>
      <c r="K241" s="36" t="s">
        <v>141</v>
      </c>
      <c r="L241" s="142" t="s">
        <v>558</v>
      </c>
      <c r="M241" s="36" t="s">
        <v>129</v>
      </c>
      <c r="N241" s="36">
        <v>7</v>
      </c>
    </row>
    <row r="242" spans="1:14" s="236" customFormat="1" ht="39" outlineLevel="1" collapsed="1" thickBot="1">
      <c r="A242" s="117" t="s">
        <v>775</v>
      </c>
      <c r="B242" s="118" t="s">
        <v>519</v>
      </c>
      <c r="C242" s="119" t="s">
        <v>47</v>
      </c>
      <c r="D242" s="140" t="s">
        <v>34</v>
      </c>
      <c r="E242" s="231" t="s">
        <v>555</v>
      </c>
      <c r="F242" s="232" t="s">
        <v>556</v>
      </c>
      <c r="G242" s="239" t="s">
        <v>510</v>
      </c>
      <c r="H242" s="241" t="s">
        <v>895</v>
      </c>
      <c r="I242" s="118" t="s">
        <v>39</v>
      </c>
      <c r="J242" s="118" t="s">
        <v>141</v>
      </c>
      <c r="K242" s="120" t="s">
        <v>141</v>
      </c>
      <c r="L242" s="235" t="str">
        <f>CONCATENATE(L243," ",N243,M243," ",L244," ",N244,M244)</f>
        <v>Замена опор  8шт Монтаж провода (по трассе) 0,07км</v>
      </c>
      <c r="M242" s="152"/>
      <c r="N242" s="152"/>
    </row>
    <row r="243" spans="1:14" ht="35.450000000000003" hidden="1" customHeight="1" outlineLevel="2">
      <c r="A243" s="142"/>
      <c r="B243" s="1"/>
      <c r="C243" s="1"/>
      <c r="D243" s="1"/>
      <c r="E243" s="249" t="s">
        <v>557</v>
      </c>
      <c r="F243" s="31" t="s">
        <v>818</v>
      </c>
      <c r="G243" s="174"/>
      <c r="H243" s="1"/>
      <c r="I243" s="36"/>
      <c r="J243" s="36" t="s">
        <v>141</v>
      </c>
      <c r="K243" s="36" t="s">
        <v>141</v>
      </c>
      <c r="L243" s="142" t="s">
        <v>558</v>
      </c>
      <c r="M243" s="36" t="s">
        <v>129</v>
      </c>
      <c r="N243" s="147">
        <v>8</v>
      </c>
    </row>
    <row r="244" spans="1:14" ht="21" hidden="1" customHeight="1" outlineLevel="2" thickBot="1">
      <c r="A244" s="142"/>
      <c r="B244" s="1"/>
      <c r="C244" s="1"/>
      <c r="D244" s="1"/>
      <c r="E244" s="249"/>
      <c r="F244" s="31"/>
      <c r="G244" s="174"/>
      <c r="H244" s="1"/>
      <c r="I244" s="36"/>
      <c r="J244" s="36" t="s">
        <v>141</v>
      </c>
      <c r="K244" s="36" t="s">
        <v>141</v>
      </c>
      <c r="L244" s="142" t="s">
        <v>28</v>
      </c>
      <c r="M244" s="36" t="s">
        <v>550</v>
      </c>
      <c r="N244" s="181">
        <v>7.0000000000000007E-2</v>
      </c>
    </row>
    <row r="245" spans="1:14" s="236" customFormat="1" ht="39" outlineLevel="1" collapsed="1" thickBot="1">
      <c r="A245" s="117" t="s">
        <v>776</v>
      </c>
      <c r="B245" s="118" t="s">
        <v>519</v>
      </c>
      <c r="C245" s="119" t="s">
        <v>47</v>
      </c>
      <c r="D245" s="140" t="s">
        <v>34</v>
      </c>
      <c r="E245" s="231" t="s">
        <v>559</v>
      </c>
      <c r="F245" s="232" t="s">
        <v>560</v>
      </c>
      <c r="G245" s="239" t="s">
        <v>510</v>
      </c>
      <c r="H245" s="241" t="s">
        <v>895</v>
      </c>
      <c r="I245" s="118" t="s">
        <v>39</v>
      </c>
      <c r="J245" s="118" t="s">
        <v>147</v>
      </c>
      <c r="K245" s="120" t="s">
        <v>147</v>
      </c>
      <c r="L245" s="235" t="str">
        <f>CONCATENATE(L246," ",N246,M246," ",L247," ",N247,M247," ",L248," ",N248,M248," ",L249," ",N249,M249)</f>
        <v>Замена опор  1шт Установка укоса  2шт Установка опор 1шт Монтаж провода (по трассе) 0,28км</v>
      </c>
      <c r="M245" s="152"/>
      <c r="N245" s="152"/>
    </row>
    <row r="246" spans="1:14" ht="21" hidden="1" customHeight="1" outlineLevel="2">
      <c r="A246" s="142"/>
      <c r="B246" s="1"/>
      <c r="C246" s="1"/>
      <c r="D246" s="1"/>
      <c r="E246" s="249" t="s">
        <v>561</v>
      </c>
      <c r="F246" s="31" t="s">
        <v>668</v>
      </c>
      <c r="G246" s="174"/>
      <c r="H246" s="1"/>
      <c r="I246" s="36"/>
      <c r="J246" s="36" t="s">
        <v>147</v>
      </c>
      <c r="K246" s="36" t="s">
        <v>147</v>
      </c>
      <c r="L246" s="142" t="s">
        <v>558</v>
      </c>
      <c r="M246" s="36" t="s">
        <v>129</v>
      </c>
      <c r="N246" s="147">
        <v>1</v>
      </c>
    </row>
    <row r="247" spans="1:14" ht="21" hidden="1" customHeight="1" outlineLevel="2">
      <c r="A247" s="142"/>
      <c r="B247" s="1"/>
      <c r="C247" s="1"/>
      <c r="D247" s="1"/>
      <c r="E247" s="249" t="s">
        <v>562</v>
      </c>
      <c r="F247" s="31"/>
      <c r="G247" s="174"/>
      <c r="H247" s="1"/>
      <c r="I247" s="36"/>
      <c r="J247" s="36" t="s">
        <v>147</v>
      </c>
      <c r="K247" s="36" t="s">
        <v>147</v>
      </c>
      <c r="L247" s="142" t="s">
        <v>563</v>
      </c>
      <c r="M247" s="36" t="s">
        <v>129</v>
      </c>
      <c r="N247" s="147">
        <v>2</v>
      </c>
    </row>
    <row r="248" spans="1:14" ht="21" hidden="1" customHeight="1" outlineLevel="2">
      <c r="A248" s="142"/>
      <c r="B248" s="36"/>
      <c r="C248" s="11"/>
      <c r="D248" s="36"/>
      <c r="E248" s="249" t="s">
        <v>564</v>
      </c>
      <c r="F248" s="31" t="s">
        <v>61</v>
      </c>
      <c r="G248" s="174"/>
      <c r="H248" s="1"/>
      <c r="I248" s="36"/>
      <c r="J248" s="36" t="s">
        <v>147</v>
      </c>
      <c r="K248" s="36" t="s">
        <v>147</v>
      </c>
      <c r="L248" s="142" t="s">
        <v>26</v>
      </c>
      <c r="M248" s="36" t="s">
        <v>129</v>
      </c>
      <c r="N248" s="36">
        <v>1</v>
      </c>
    </row>
    <row r="249" spans="1:14" ht="21" hidden="1" customHeight="1" outlineLevel="2" thickBot="1">
      <c r="A249" s="142"/>
      <c r="B249" s="1"/>
      <c r="C249" s="122"/>
      <c r="D249" s="1"/>
      <c r="E249" s="249"/>
      <c r="F249" s="31"/>
      <c r="G249" s="174"/>
      <c r="H249" s="1"/>
      <c r="I249" s="36"/>
      <c r="J249" s="36" t="s">
        <v>147</v>
      </c>
      <c r="K249" s="36" t="s">
        <v>147</v>
      </c>
      <c r="L249" s="142" t="s">
        <v>28</v>
      </c>
      <c r="M249" s="36" t="s">
        <v>550</v>
      </c>
      <c r="N249" s="181">
        <v>0.28000000000000003</v>
      </c>
    </row>
    <row r="250" spans="1:14" s="236" customFormat="1" ht="39" outlineLevel="1" collapsed="1" thickBot="1">
      <c r="A250" s="117" t="s">
        <v>777</v>
      </c>
      <c r="B250" s="118" t="s">
        <v>519</v>
      </c>
      <c r="C250" s="119" t="s">
        <v>47</v>
      </c>
      <c r="D250" s="140" t="s">
        <v>34</v>
      </c>
      <c r="E250" s="231" t="s">
        <v>565</v>
      </c>
      <c r="F250" s="232" t="s">
        <v>566</v>
      </c>
      <c r="G250" s="239" t="s">
        <v>510</v>
      </c>
      <c r="H250" s="241" t="s">
        <v>895</v>
      </c>
      <c r="I250" s="118" t="s">
        <v>39</v>
      </c>
      <c r="J250" s="118" t="s">
        <v>147</v>
      </c>
      <c r="K250" s="120" t="s">
        <v>147</v>
      </c>
      <c r="L250" s="235" t="str">
        <f>CONCATENATE(L251," ",N251,M251," ",L252," ",N252,M252," ",L253," ",N253,M253)</f>
        <v>Замена опор  4шт Установка укоса  1шт Монтаж провода (по трассе) 0,26км</v>
      </c>
      <c r="M250" s="152"/>
      <c r="N250" s="152"/>
    </row>
    <row r="251" spans="1:14" ht="21" hidden="1" customHeight="1" outlineLevel="2">
      <c r="A251" s="142"/>
      <c r="B251" s="1"/>
      <c r="C251" s="1"/>
      <c r="D251" s="1"/>
      <c r="E251" s="249" t="s">
        <v>567</v>
      </c>
      <c r="F251" s="31" t="s">
        <v>819</v>
      </c>
      <c r="G251" s="174"/>
      <c r="H251" s="1"/>
      <c r="I251" s="36"/>
      <c r="J251" s="36" t="s">
        <v>147</v>
      </c>
      <c r="K251" s="36" t="s">
        <v>147</v>
      </c>
      <c r="L251" s="142" t="s">
        <v>558</v>
      </c>
      <c r="M251" s="36" t="s">
        <v>129</v>
      </c>
      <c r="N251" s="147">
        <v>4</v>
      </c>
    </row>
    <row r="252" spans="1:14" ht="21" hidden="1" customHeight="1" outlineLevel="2">
      <c r="A252" s="142"/>
      <c r="B252" s="36"/>
      <c r="C252" s="11"/>
      <c r="D252" s="36"/>
      <c r="E252" s="249" t="s">
        <v>568</v>
      </c>
      <c r="F252" s="31"/>
      <c r="G252" s="174"/>
      <c r="H252" s="1"/>
      <c r="I252" s="36"/>
      <c r="J252" s="36" t="s">
        <v>147</v>
      </c>
      <c r="K252" s="36" t="s">
        <v>147</v>
      </c>
      <c r="L252" s="142" t="s">
        <v>563</v>
      </c>
      <c r="M252" s="36" t="s">
        <v>129</v>
      </c>
      <c r="N252" s="36">
        <v>1</v>
      </c>
    </row>
    <row r="253" spans="1:14" ht="21" hidden="1" customHeight="1" outlineLevel="2" thickBot="1">
      <c r="A253" s="142"/>
      <c r="B253" s="1"/>
      <c r="C253" s="122"/>
      <c r="D253" s="1"/>
      <c r="E253" s="249"/>
      <c r="F253" s="31"/>
      <c r="G253" s="174"/>
      <c r="H253" s="1"/>
      <c r="I253" s="36"/>
      <c r="J253" s="36" t="s">
        <v>147</v>
      </c>
      <c r="K253" s="36" t="s">
        <v>147</v>
      </c>
      <c r="L253" s="142" t="s">
        <v>28</v>
      </c>
      <c r="M253" s="36" t="s">
        <v>550</v>
      </c>
      <c r="N253" s="181">
        <v>0.26</v>
      </c>
    </row>
    <row r="254" spans="1:14" s="236" customFormat="1" ht="39" outlineLevel="1" collapsed="1" thickBot="1">
      <c r="A254" s="117" t="s">
        <v>521</v>
      </c>
      <c r="B254" s="118" t="s">
        <v>519</v>
      </c>
      <c r="C254" s="119" t="s">
        <v>47</v>
      </c>
      <c r="D254" s="140" t="s">
        <v>34</v>
      </c>
      <c r="E254" s="231" t="s">
        <v>565</v>
      </c>
      <c r="F254" s="232" t="s">
        <v>569</v>
      </c>
      <c r="G254" s="239" t="s">
        <v>201</v>
      </c>
      <c r="H254" s="241" t="s">
        <v>895</v>
      </c>
      <c r="I254" s="118" t="s">
        <v>39</v>
      </c>
      <c r="J254" s="118" t="s">
        <v>170</v>
      </c>
      <c r="K254" s="120" t="s">
        <v>170</v>
      </c>
      <c r="L254" s="235" t="str">
        <f>CONCATENATE(L255," ",N255,M255," ",L256," ",N256,M256)</f>
        <v>Замена опор  11шт Монтаж провода (по трассе) 0,282км</v>
      </c>
      <c r="M254" s="152"/>
      <c r="N254" s="152"/>
    </row>
    <row r="255" spans="1:14" ht="21" hidden="1" customHeight="1" outlineLevel="2">
      <c r="A255" s="142"/>
      <c r="B255" s="1"/>
      <c r="C255" s="1"/>
      <c r="D255" s="1"/>
      <c r="E255" s="249" t="s">
        <v>570</v>
      </c>
      <c r="F255" s="31" t="s">
        <v>820</v>
      </c>
      <c r="G255" s="174"/>
      <c r="H255" s="1"/>
      <c r="I255" s="36"/>
      <c r="J255" s="36" t="s">
        <v>170</v>
      </c>
      <c r="K255" s="36" t="s">
        <v>170</v>
      </c>
      <c r="L255" s="142" t="s">
        <v>558</v>
      </c>
      <c r="M255" s="36" t="s">
        <v>129</v>
      </c>
      <c r="N255" s="147">
        <v>11</v>
      </c>
    </row>
    <row r="256" spans="1:14" ht="21" hidden="1" customHeight="1" outlineLevel="2" thickBot="1">
      <c r="A256" s="142"/>
      <c r="B256" s="36"/>
      <c r="C256" s="11"/>
      <c r="D256" s="36"/>
      <c r="E256" s="249"/>
      <c r="F256" s="31"/>
      <c r="G256" s="174"/>
      <c r="H256" s="1"/>
      <c r="I256" s="36"/>
      <c r="J256" s="36" t="s">
        <v>170</v>
      </c>
      <c r="K256" s="36" t="s">
        <v>170</v>
      </c>
      <c r="L256" s="142" t="s">
        <v>28</v>
      </c>
      <c r="M256" s="36" t="s">
        <v>550</v>
      </c>
      <c r="N256" s="181">
        <v>0.28199999999999997</v>
      </c>
    </row>
    <row r="257" spans="1:14" s="236" customFormat="1" ht="39" outlineLevel="1" collapsed="1" thickBot="1">
      <c r="A257" s="117" t="s">
        <v>525</v>
      </c>
      <c r="B257" s="118" t="s">
        <v>519</v>
      </c>
      <c r="C257" s="119" t="s">
        <v>47</v>
      </c>
      <c r="D257" s="140" t="s">
        <v>34</v>
      </c>
      <c r="E257" s="231" t="s">
        <v>571</v>
      </c>
      <c r="F257" s="232" t="s">
        <v>572</v>
      </c>
      <c r="G257" s="239" t="s">
        <v>201</v>
      </c>
      <c r="H257" s="241" t="s">
        <v>895</v>
      </c>
      <c r="I257" s="118" t="s">
        <v>39</v>
      </c>
      <c r="J257" s="118" t="s">
        <v>144</v>
      </c>
      <c r="K257" s="120" t="s">
        <v>144</v>
      </c>
      <c r="L257" s="235" t="str">
        <f>CONCATENATE(L258," ",N258,M258)</f>
        <v>Замена опор  6шт</v>
      </c>
      <c r="M257" s="152"/>
      <c r="N257" s="152"/>
    </row>
    <row r="258" spans="1:14" ht="21" hidden="1" customHeight="1" outlineLevel="2" thickBot="1">
      <c r="A258" s="142"/>
      <c r="B258" s="1"/>
      <c r="C258" s="1"/>
      <c r="D258" s="1"/>
      <c r="E258" s="249" t="s">
        <v>821</v>
      </c>
      <c r="F258" s="31" t="s">
        <v>822</v>
      </c>
      <c r="G258" s="174"/>
      <c r="H258" s="1"/>
      <c r="I258" s="36"/>
      <c r="J258" s="36" t="s">
        <v>144</v>
      </c>
      <c r="K258" s="36" t="s">
        <v>144</v>
      </c>
      <c r="L258" s="142" t="s">
        <v>558</v>
      </c>
      <c r="M258" s="36" t="s">
        <v>129</v>
      </c>
      <c r="N258" s="147">
        <v>6</v>
      </c>
    </row>
    <row r="259" spans="1:14" s="236" customFormat="1" ht="39" outlineLevel="1" collapsed="1" thickBot="1">
      <c r="A259" s="117" t="s">
        <v>778</v>
      </c>
      <c r="B259" s="118" t="s">
        <v>519</v>
      </c>
      <c r="C259" s="119" t="s">
        <v>47</v>
      </c>
      <c r="D259" s="140" t="s">
        <v>34</v>
      </c>
      <c r="E259" s="231" t="s">
        <v>573</v>
      </c>
      <c r="F259" s="232" t="s">
        <v>574</v>
      </c>
      <c r="G259" s="239" t="s">
        <v>201</v>
      </c>
      <c r="H259" s="241" t="s">
        <v>895</v>
      </c>
      <c r="I259" s="118" t="s">
        <v>39</v>
      </c>
      <c r="J259" s="118" t="s">
        <v>146</v>
      </c>
      <c r="K259" s="120" t="s">
        <v>146</v>
      </c>
      <c r="L259" s="235" t="str">
        <f>CONCATENATE(L260," ",N260,M260," ",L261," ",N261,M261)</f>
        <v>Замена опор 9шт Монтаж провода (по трассе) 0,642км</v>
      </c>
      <c r="M259" s="152"/>
      <c r="N259" s="152"/>
    </row>
    <row r="260" spans="1:14" ht="21" hidden="1" customHeight="1" outlineLevel="2">
      <c r="A260" s="142"/>
      <c r="B260" s="1"/>
      <c r="C260" s="1"/>
      <c r="D260" s="1"/>
      <c r="E260" s="249" t="s">
        <v>823</v>
      </c>
      <c r="F260" s="31" t="s">
        <v>824</v>
      </c>
      <c r="G260" s="174"/>
      <c r="H260" s="1"/>
      <c r="I260" s="36"/>
      <c r="J260" s="36" t="s">
        <v>146</v>
      </c>
      <c r="K260" s="36" t="s">
        <v>146</v>
      </c>
      <c r="L260" s="142" t="s">
        <v>25</v>
      </c>
      <c r="M260" s="36" t="s">
        <v>129</v>
      </c>
      <c r="N260" s="147">
        <v>9</v>
      </c>
    </row>
    <row r="261" spans="1:14" ht="21" hidden="1" customHeight="1" outlineLevel="2" thickBot="1">
      <c r="A261" s="142"/>
      <c r="B261" s="36"/>
      <c r="C261" s="11"/>
      <c r="D261" s="36"/>
      <c r="E261" s="249"/>
      <c r="F261" s="31"/>
      <c r="G261" s="174"/>
      <c r="H261" s="1"/>
      <c r="I261" s="36"/>
      <c r="J261" s="36" t="s">
        <v>146</v>
      </c>
      <c r="K261" s="36" t="s">
        <v>146</v>
      </c>
      <c r="L261" s="142" t="s">
        <v>28</v>
      </c>
      <c r="M261" s="36" t="s">
        <v>550</v>
      </c>
      <c r="N261" s="181">
        <v>0.64200000000000002</v>
      </c>
    </row>
    <row r="262" spans="1:14" s="236" customFormat="1" ht="39" outlineLevel="1" collapsed="1" thickBot="1">
      <c r="A262" s="117" t="s">
        <v>779</v>
      </c>
      <c r="B262" s="118" t="s">
        <v>519</v>
      </c>
      <c r="C262" s="119" t="s">
        <v>47</v>
      </c>
      <c r="D262" s="140" t="s">
        <v>34</v>
      </c>
      <c r="E262" s="231" t="s">
        <v>575</v>
      </c>
      <c r="F262" s="232" t="s">
        <v>576</v>
      </c>
      <c r="G262" s="239" t="s">
        <v>201</v>
      </c>
      <c r="H262" s="241" t="s">
        <v>895</v>
      </c>
      <c r="I262" s="118" t="s">
        <v>39</v>
      </c>
      <c r="J262" s="118" t="s">
        <v>143</v>
      </c>
      <c r="K262" s="120" t="s">
        <v>143</v>
      </c>
      <c r="L262" s="235" t="str">
        <f>CONCATENATE(L263," ",N263,M263)</f>
        <v>Замена опор 7шт</v>
      </c>
      <c r="M262" s="152"/>
      <c r="N262" s="152"/>
    </row>
    <row r="263" spans="1:14" ht="21" hidden="1" customHeight="1" outlineLevel="2" thickBot="1">
      <c r="A263" s="142"/>
      <c r="B263" s="1"/>
      <c r="C263" s="1"/>
      <c r="D263" s="1"/>
      <c r="E263" s="249" t="s">
        <v>577</v>
      </c>
      <c r="F263" s="31" t="s">
        <v>822</v>
      </c>
      <c r="G263" s="174"/>
      <c r="H263" s="1"/>
      <c r="I263" s="36"/>
      <c r="J263" s="36" t="s">
        <v>143</v>
      </c>
      <c r="K263" s="36" t="s">
        <v>143</v>
      </c>
      <c r="L263" s="142" t="s">
        <v>25</v>
      </c>
      <c r="M263" s="36" t="s">
        <v>129</v>
      </c>
      <c r="N263" s="147">
        <v>7</v>
      </c>
    </row>
    <row r="264" spans="1:14" s="236" customFormat="1" ht="39" outlineLevel="1" collapsed="1" thickBot="1">
      <c r="A264" s="117" t="s">
        <v>780</v>
      </c>
      <c r="B264" s="118" t="s">
        <v>519</v>
      </c>
      <c r="C264" s="119" t="s">
        <v>47</v>
      </c>
      <c r="D264" s="140" t="s">
        <v>34</v>
      </c>
      <c r="E264" s="231" t="s">
        <v>565</v>
      </c>
      <c r="F264" s="232" t="s">
        <v>825</v>
      </c>
      <c r="G264" s="239" t="s">
        <v>201</v>
      </c>
      <c r="H264" s="241" t="s">
        <v>895</v>
      </c>
      <c r="I264" s="118" t="s">
        <v>39</v>
      </c>
      <c r="J264" s="118" t="s">
        <v>144</v>
      </c>
      <c r="K264" s="120" t="s">
        <v>144</v>
      </c>
      <c r="L264" s="235" t="str">
        <f>CONCATENATE(L265," ",N265,M265," ",L266," ",N266,M266)</f>
        <v>Демонтаж опор  3шт Замена опор 2шт</v>
      </c>
      <c r="M264" s="152"/>
      <c r="N264" s="152"/>
    </row>
    <row r="265" spans="1:14" ht="21" hidden="1" customHeight="1" outlineLevel="2">
      <c r="A265" s="142"/>
      <c r="B265" s="1"/>
      <c r="C265" s="1"/>
      <c r="D265" s="1"/>
      <c r="E265" s="249" t="s">
        <v>578</v>
      </c>
      <c r="F265" s="31"/>
      <c r="G265" s="174"/>
      <c r="H265" s="1"/>
      <c r="I265" s="36"/>
      <c r="J265" s="36" t="s">
        <v>144</v>
      </c>
      <c r="K265" s="36" t="s">
        <v>144</v>
      </c>
      <c r="L265" s="142" t="s">
        <v>579</v>
      </c>
      <c r="M265" s="36" t="s">
        <v>129</v>
      </c>
      <c r="N265" s="147">
        <v>3</v>
      </c>
    </row>
    <row r="266" spans="1:14" ht="21" hidden="1" customHeight="1" outlineLevel="2" thickBot="1">
      <c r="A266" s="142"/>
      <c r="B266" s="1"/>
      <c r="C266" s="1"/>
      <c r="D266" s="1"/>
      <c r="E266" s="249" t="s">
        <v>580</v>
      </c>
      <c r="F266" s="31" t="s">
        <v>668</v>
      </c>
      <c r="G266" s="174"/>
      <c r="H266" s="1"/>
      <c r="I266" s="36"/>
      <c r="J266" s="36" t="s">
        <v>144</v>
      </c>
      <c r="K266" s="36" t="s">
        <v>144</v>
      </c>
      <c r="L266" s="142" t="s">
        <v>25</v>
      </c>
      <c r="M266" s="36" t="s">
        <v>129</v>
      </c>
      <c r="N266" s="147">
        <v>2</v>
      </c>
    </row>
    <row r="267" spans="1:14" s="236" customFormat="1" ht="39" outlineLevel="1" collapsed="1" thickBot="1">
      <c r="A267" s="117" t="s">
        <v>530</v>
      </c>
      <c r="B267" s="118" t="s">
        <v>519</v>
      </c>
      <c r="C267" s="119" t="s">
        <v>38</v>
      </c>
      <c r="D267" s="140" t="s">
        <v>642</v>
      </c>
      <c r="E267" s="231" t="s">
        <v>649</v>
      </c>
      <c r="F267" s="232" t="s">
        <v>650</v>
      </c>
      <c r="G267" s="239" t="s">
        <v>201</v>
      </c>
      <c r="H267" s="241" t="s">
        <v>895</v>
      </c>
      <c r="I267" s="118" t="s">
        <v>39</v>
      </c>
      <c r="J267" s="118" t="s">
        <v>146</v>
      </c>
      <c r="K267" s="120" t="s">
        <v>146</v>
      </c>
      <c r="L267" s="235" t="str">
        <f>CONCATENATE(L268," ",N268,M268," ",)</f>
        <v xml:space="preserve">Замена опор 1шт. </v>
      </c>
      <c r="M267" s="152"/>
      <c r="N267" s="152"/>
    </row>
    <row r="268" spans="1:14" ht="19.149999999999999" hidden="1" customHeight="1" outlineLevel="2" thickBot="1">
      <c r="A268" s="12"/>
      <c r="B268" s="36"/>
      <c r="C268" s="11"/>
      <c r="D268" s="36"/>
      <c r="E268" s="249" t="s">
        <v>651</v>
      </c>
      <c r="F268" s="31" t="s">
        <v>62</v>
      </c>
      <c r="G268" s="174"/>
      <c r="H268" s="1"/>
      <c r="I268" s="36" t="s">
        <v>39</v>
      </c>
      <c r="J268" s="145" t="s">
        <v>146</v>
      </c>
      <c r="K268" s="146" t="s">
        <v>146</v>
      </c>
      <c r="L268" s="142" t="s">
        <v>25</v>
      </c>
      <c r="M268" s="36" t="s">
        <v>21</v>
      </c>
      <c r="N268" s="36">
        <v>1</v>
      </c>
    </row>
    <row r="269" spans="1:14" s="236" customFormat="1" ht="39" outlineLevel="1" collapsed="1" thickBot="1">
      <c r="A269" s="117" t="s">
        <v>781</v>
      </c>
      <c r="B269" s="118" t="s">
        <v>519</v>
      </c>
      <c r="C269" s="119" t="s">
        <v>38</v>
      </c>
      <c r="D269" s="140" t="s">
        <v>642</v>
      </c>
      <c r="E269" s="231" t="s">
        <v>652</v>
      </c>
      <c r="F269" s="232" t="s">
        <v>653</v>
      </c>
      <c r="G269" s="239" t="s">
        <v>201</v>
      </c>
      <c r="H269" s="241" t="s">
        <v>895</v>
      </c>
      <c r="I269" s="118" t="s">
        <v>39</v>
      </c>
      <c r="J269" s="118" t="s">
        <v>146</v>
      </c>
      <c r="K269" s="120" t="s">
        <v>146</v>
      </c>
      <c r="L269" s="235" t="str">
        <f>CONCATENATE(L270," ",N270,M270," ",)</f>
        <v xml:space="preserve">Замена опор 1шт. </v>
      </c>
      <c r="M269" s="152"/>
      <c r="N269" s="152"/>
    </row>
    <row r="270" spans="1:14" ht="19.149999999999999" hidden="1" customHeight="1" outlineLevel="2" thickBot="1">
      <c r="A270" s="12"/>
      <c r="B270" s="36"/>
      <c r="C270" s="11"/>
      <c r="D270" s="36"/>
      <c r="E270" s="249" t="s">
        <v>654</v>
      </c>
      <c r="F270" s="31" t="s">
        <v>655</v>
      </c>
      <c r="G270" s="174"/>
      <c r="H270" s="1"/>
      <c r="I270" s="36" t="s">
        <v>39</v>
      </c>
      <c r="J270" s="145" t="s">
        <v>146</v>
      </c>
      <c r="K270" s="146" t="s">
        <v>146</v>
      </c>
      <c r="L270" s="142" t="s">
        <v>25</v>
      </c>
      <c r="M270" s="36" t="s">
        <v>21</v>
      </c>
      <c r="N270" s="36">
        <v>1</v>
      </c>
    </row>
    <row r="271" spans="1:14" s="236" customFormat="1" ht="39" outlineLevel="1" collapsed="1" thickBot="1">
      <c r="A271" s="117" t="s">
        <v>782</v>
      </c>
      <c r="B271" s="118" t="s">
        <v>519</v>
      </c>
      <c r="C271" s="119" t="s">
        <v>38</v>
      </c>
      <c r="D271" s="140" t="s">
        <v>642</v>
      </c>
      <c r="E271" s="231" t="s">
        <v>656</v>
      </c>
      <c r="F271" s="232" t="s">
        <v>657</v>
      </c>
      <c r="G271" s="239" t="s">
        <v>201</v>
      </c>
      <c r="H271" s="241" t="s">
        <v>895</v>
      </c>
      <c r="I271" s="118" t="s">
        <v>39</v>
      </c>
      <c r="J271" s="118" t="s">
        <v>144</v>
      </c>
      <c r="K271" s="120" t="s">
        <v>144</v>
      </c>
      <c r="L271" s="235" t="str">
        <f>CONCATENATE(L272," ",N272,M272," ",)</f>
        <v xml:space="preserve">Замена опор 1шт. </v>
      </c>
      <c r="M271" s="152"/>
      <c r="N271" s="152"/>
    </row>
    <row r="272" spans="1:14" ht="19.149999999999999" hidden="1" customHeight="1" outlineLevel="2" thickBot="1">
      <c r="A272" s="12"/>
      <c r="B272" s="36"/>
      <c r="C272" s="11"/>
      <c r="D272" s="36"/>
      <c r="E272" s="249" t="s">
        <v>658</v>
      </c>
      <c r="F272" s="31" t="s">
        <v>62</v>
      </c>
      <c r="G272" s="174"/>
      <c r="H272" s="1"/>
      <c r="I272" s="36" t="s">
        <v>39</v>
      </c>
      <c r="J272" s="145" t="s">
        <v>144</v>
      </c>
      <c r="K272" s="146" t="s">
        <v>144</v>
      </c>
      <c r="L272" s="142" t="s">
        <v>25</v>
      </c>
      <c r="M272" s="36" t="s">
        <v>21</v>
      </c>
      <c r="N272" s="36">
        <v>1</v>
      </c>
    </row>
    <row r="273" spans="1:14" s="236" customFormat="1" ht="39" outlineLevel="1" collapsed="1" thickBot="1">
      <c r="A273" s="117" t="s">
        <v>783</v>
      </c>
      <c r="B273" s="118" t="s">
        <v>519</v>
      </c>
      <c r="C273" s="119" t="s">
        <v>38</v>
      </c>
      <c r="D273" s="140" t="s">
        <v>642</v>
      </c>
      <c r="E273" s="231" t="s">
        <v>659</v>
      </c>
      <c r="F273" s="232" t="s">
        <v>660</v>
      </c>
      <c r="G273" s="239" t="s">
        <v>201</v>
      </c>
      <c r="H273" s="241" t="s">
        <v>895</v>
      </c>
      <c r="I273" s="118" t="s">
        <v>39</v>
      </c>
      <c r="J273" s="118" t="s">
        <v>141</v>
      </c>
      <c r="K273" s="120" t="s">
        <v>141</v>
      </c>
      <c r="L273" s="235" t="str">
        <f>CONCATENATE(L274," ",N274,M274," ",)</f>
        <v xml:space="preserve">Замена опор 1шт. </v>
      </c>
      <c r="M273" s="152"/>
      <c r="N273" s="152"/>
    </row>
    <row r="274" spans="1:14" ht="19.149999999999999" hidden="1" customHeight="1" outlineLevel="2" thickBot="1">
      <c r="A274" s="12"/>
      <c r="B274" s="36"/>
      <c r="C274" s="11"/>
      <c r="D274" s="36"/>
      <c r="E274" s="249" t="s">
        <v>661</v>
      </c>
      <c r="F274" s="31" t="s">
        <v>662</v>
      </c>
      <c r="G274" s="174"/>
      <c r="H274" s="1"/>
      <c r="I274" s="36" t="s">
        <v>39</v>
      </c>
      <c r="J274" s="145" t="s">
        <v>141</v>
      </c>
      <c r="K274" s="146" t="s">
        <v>141</v>
      </c>
      <c r="L274" s="142" t="s">
        <v>25</v>
      </c>
      <c r="M274" s="36" t="s">
        <v>21</v>
      </c>
      <c r="N274" s="36">
        <v>1</v>
      </c>
    </row>
    <row r="275" spans="1:14" s="236" customFormat="1" ht="39" outlineLevel="1" collapsed="1" thickBot="1">
      <c r="A275" s="117" t="s">
        <v>532</v>
      </c>
      <c r="B275" s="118" t="s">
        <v>519</v>
      </c>
      <c r="C275" s="119" t="s">
        <v>38</v>
      </c>
      <c r="D275" s="140" t="s">
        <v>642</v>
      </c>
      <c r="E275" s="231" t="s">
        <v>663</v>
      </c>
      <c r="F275" s="232" t="s">
        <v>664</v>
      </c>
      <c r="G275" s="239" t="s">
        <v>201</v>
      </c>
      <c r="H275" s="241" t="s">
        <v>895</v>
      </c>
      <c r="I275" s="118" t="s">
        <v>39</v>
      </c>
      <c r="J275" s="118" t="s">
        <v>147</v>
      </c>
      <c r="K275" s="120" t="s">
        <v>147</v>
      </c>
      <c r="L275" s="235" t="str">
        <f>CONCATENATE(L276," ",N276,M276," ",)</f>
        <v xml:space="preserve">Замена опор 1шт. </v>
      </c>
      <c r="M275" s="152"/>
      <c r="N275" s="152"/>
    </row>
    <row r="276" spans="1:14" ht="19.149999999999999" hidden="1" customHeight="1" outlineLevel="2" thickBot="1">
      <c r="A276" s="12"/>
      <c r="B276" s="36"/>
      <c r="C276" s="11"/>
      <c r="D276" s="36"/>
      <c r="E276" s="249" t="s">
        <v>665</v>
      </c>
      <c r="F276" s="31" t="s">
        <v>61</v>
      </c>
      <c r="G276" s="174"/>
      <c r="H276" s="1"/>
      <c r="I276" s="36" t="s">
        <v>39</v>
      </c>
      <c r="J276" s="145" t="s">
        <v>147</v>
      </c>
      <c r="K276" s="146" t="s">
        <v>147</v>
      </c>
      <c r="L276" s="142" t="s">
        <v>25</v>
      </c>
      <c r="M276" s="36" t="s">
        <v>21</v>
      </c>
      <c r="N276" s="36">
        <v>1</v>
      </c>
    </row>
    <row r="277" spans="1:14" s="236" customFormat="1" ht="39" outlineLevel="1" collapsed="1" thickBot="1">
      <c r="A277" s="117" t="s">
        <v>533</v>
      </c>
      <c r="B277" s="118" t="s">
        <v>519</v>
      </c>
      <c r="C277" s="119" t="s">
        <v>38</v>
      </c>
      <c r="D277" s="140" t="s">
        <v>642</v>
      </c>
      <c r="E277" s="231" t="s">
        <v>666</v>
      </c>
      <c r="F277" s="232" t="s">
        <v>667</v>
      </c>
      <c r="G277" s="239" t="s">
        <v>201</v>
      </c>
      <c r="H277" s="241" t="s">
        <v>895</v>
      </c>
      <c r="I277" s="118" t="s">
        <v>39</v>
      </c>
      <c r="J277" s="118" t="s">
        <v>144</v>
      </c>
      <c r="K277" s="120" t="s">
        <v>144</v>
      </c>
      <c r="L277" s="235" t="str">
        <f>CONCATENATE(L278," ",N278,M278," ",)</f>
        <v xml:space="preserve">Замена опор 1шт. </v>
      </c>
      <c r="M277" s="152"/>
      <c r="N277" s="152"/>
    </row>
    <row r="278" spans="1:14" ht="19.149999999999999" hidden="1" customHeight="1" outlineLevel="2" thickBot="1">
      <c r="A278" s="12"/>
      <c r="B278" s="36"/>
      <c r="C278" s="11"/>
      <c r="D278" s="36"/>
      <c r="E278" s="249" t="s">
        <v>661</v>
      </c>
      <c r="F278" s="31" t="s">
        <v>668</v>
      </c>
      <c r="G278" s="174"/>
      <c r="H278" s="1"/>
      <c r="I278" s="36" t="s">
        <v>39</v>
      </c>
      <c r="J278" s="145" t="s">
        <v>144</v>
      </c>
      <c r="K278" s="146" t="s">
        <v>144</v>
      </c>
      <c r="L278" s="142" t="s">
        <v>25</v>
      </c>
      <c r="M278" s="36" t="s">
        <v>21</v>
      </c>
      <c r="N278" s="36">
        <v>1</v>
      </c>
    </row>
    <row r="279" spans="1:14" s="236" customFormat="1" ht="39" outlineLevel="1" collapsed="1" thickBot="1">
      <c r="A279" s="117" t="s">
        <v>784</v>
      </c>
      <c r="B279" s="118" t="s">
        <v>519</v>
      </c>
      <c r="C279" s="119" t="s">
        <v>44</v>
      </c>
      <c r="D279" s="140" t="s">
        <v>669</v>
      </c>
      <c r="E279" s="231" t="s">
        <v>680</v>
      </c>
      <c r="F279" s="232" t="s">
        <v>681</v>
      </c>
      <c r="G279" s="239" t="s">
        <v>201</v>
      </c>
      <c r="H279" s="239" t="s">
        <v>892</v>
      </c>
      <c r="I279" s="118" t="s">
        <v>39</v>
      </c>
      <c r="J279" s="118" t="s">
        <v>170</v>
      </c>
      <c r="K279" s="120" t="s">
        <v>142</v>
      </c>
      <c r="L279" s="235" t="str">
        <f>CONCATENATE(L280," ",N280,M280," ",L281," ",N281,M281," ",,)</f>
        <v xml:space="preserve">Замена опор 7шт. Монтаж провода (по трассе) 0,34км </v>
      </c>
      <c r="M279" s="152"/>
      <c r="N279" s="152"/>
    </row>
    <row r="280" spans="1:14" ht="19.149999999999999" hidden="1" customHeight="1" outlineLevel="2">
      <c r="A280" s="12"/>
      <c r="B280" s="36"/>
      <c r="C280" s="11"/>
      <c r="D280" s="36"/>
      <c r="E280" s="249" t="s">
        <v>682</v>
      </c>
      <c r="F280" s="31" t="s">
        <v>683</v>
      </c>
      <c r="G280" s="174"/>
      <c r="H280" s="1"/>
      <c r="I280" s="36" t="s">
        <v>39</v>
      </c>
      <c r="J280" s="36" t="s">
        <v>170</v>
      </c>
      <c r="K280" s="36" t="s">
        <v>142</v>
      </c>
      <c r="L280" s="142" t="s">
        <v>25</v>
      </c>
      <c r="M280" s="36" t="s">
        <v>21</v>
      </c>
      <c r="N280" s="36">
        <v>7</v>
      </c>
    </row>
    <row r="281" spans="1:14" ht="51.75" hidden="1" customHeight="1" outlineLevel="2" thickBot="1">
      <c r="A281" s="12"/>
      <c r="B281" s="36"/>
      <c r="C281" s="11"/>
      <c r="D281" s="36"/>
      <c r="E281" s="249" t="s">
        <v>684</v>
      </c>
      <c r="F281" s="31"/>
      <c r="G281" s="174"/>
      <c r="H281" s="1"/>
      <c r="I281" s="36" t="s">
        <v>39</v>
      </c>
      <c r="J281" s="36" t="s">
        <v>170</v>
      </c>
      <c r="K281" s="36" t="s">
        <v>142</v>
      </c>
      <c r="L281" s="142" t="s">
        <v>28</v>
      </c>
      <c r="M281" s="36" t="s">
        <v>550</v>
      </c>
      <c r="N281" s="3">
        <v>0.34</v>
      </c>
    </row>
    <row r="282" spans="1:14" s="236" customFormat="1" ht="39" outlineLevel="1" collapsed="1" thickBot="1">
      <c r="A282" s="117" t="s">
        <v>829</v>
      </c>
      <c r="B282" s="118" t="s">
        <v>519</v>
      </c>
      <c r="C282" s="119" t="s">
        <v>44</v>
      </c>
      <c r="D282" s="140" t="s">
        <v>669</v>
      </c>
      <c r="E282" s="231" t="s">
        <v>686</v>
      </c>
      <c r="F282" s="232" t="s">
        <v>687</v>
      </c>
      <c r="G282" s="239" t="s">
        <v>201</v>
      </c>
      <c r="H282" s="241" t="s">
        <v>895</v>
      </c>
      <c r="I282" s="118" t="s">
        <v>39</v>
      </c>
      <c r="J282" s="118" t="s">
        <v>143</v>
      </c>
      <c r="K282" s="120" t="s">
        <v>142</v>
      </c>
      <c r="L282" s="235" t="str">
        <f>CONCATENATE(L283," ",N283,M283," ",L284," ",N284,M284," ",L285," ",N285,M285," ",L286," ",N286,M286," ",)</f>
        <v xml:space="preserve">Замена опор 10шт. Установка опор 1шт. Монтаж провода (по трассе) 0,52км Замена отвлетвений к зданиям 3шт. </v>
      </c>
      <c r="M282" s="152"/>
      <c r="N282" s="152"/>
    </row>
    <row r="283" spans="1:14" ht="38.25" hidden="1" customHeight="1" outlineLevel="2">
      <c r="A283" s="148"/>
      <c r="B283" s="183"/>
      <c r="C283" s="11"/>
      <c r="D283" s="31"/>
      <c r="E283" s="249" t="s">
        <v>688</v>
      </c>
      <c r="F283" s="31" t="s">
        <v>689</v>
      </c>
      <c r="G283" s="174"/>
      <c r="H283" s="1"/>
      <c r="I283" s="36" t="s">
        <v>39</v>
      </c>
      <c r="J283" s="36" t="s">
        <v>143</v>
      </c>
      <c r="K283" s="36" t="s">
        <v>142</v>
      </c>
      <c r="L283" s="142" t="s">
        <v>25</v>
      </c>
      <c r="M283" s="36" t="s">
        <v>21</v>
      </c>
      <c r="N283" s="154">
        <v>10</v>
      </c>
    </row>
    <row r="284" spans="1:14" ht="19.149999999999999" hidden="1" customHeight="1" outlineLevel="2">
      <c r="A284" s="12"/>
      <c r="B284" s="36"/>
      <c r="C284" s="11"/>
      <c r="D284" s="36"/>
      <c r="E284" s="249" t="s">
        <v>690</v>
      </c>
      <c r="F284" s="31" t="s">
        <v>668</v>
      </c>
      <c r="G284" s="174"/>
      <c r="H284" s="1"/>
      <c r="I284" s="36" t="s">
        <v>39</v>
      </c>
      <c r="J284" s="36" t="s">
        <v>143</v>
      </c>
      <c r="K284" s="36" t="s">
        <v>142</v>
      </c>
      <c r="L284" s="142" t="s">
        <v>26</v>
      </c>
      <c r="M284" s="36" t="s">
        <v>21</v>
      </c>
      <c r="N284" s="36">
        <v>1</v>
      </c>
    </row>
    <row r="285" spans="1:14" ht="19.149999999999999" hidden="1" customHeight="1" outlineLevel="2">
      <c r="A285" s="12"/>
      <c r="B285" s="36"/>
      <c r="C285" s="11"/>
      <c r="D285" s="36"/>
      <c r="E285" s="249" t="s">
        <v>691</v>
      </c>
      <c r="F285" s="31"/>
      <c r="G285" s="174"/>
      <c r="H285" s="1"/>
      <c r="I285" s="36" t="s">
        <v>39</v>
      </c>
      <c r="J285" s="36" t="s">
        <v>143</v>
      </c>
      <c r="K285" s="36" t="s">
        <v>142</v>
      </c>
      <c r="L285" s="142" t="s">
        <v>28</v>
      </c>
      <c r="M285" s="36" t="s">
        <v>550</v>
      </c>
      <c r="N285" s="3">
        <v>0.52</v>
      </c>
    </row>
    <row r="286" spans="1:14" ht="30" hidden="1" customHeight="1" outlineLevel="2" thickBot="1">
      <c r="A286" s="12"/>
      <c r="B286" s="36"/>
      <c r="C286" s="11"/>
      <c r="D286" s="36"/>
      <c r="E286" s="249" t="s">
        <v>692</v>
      </c>
      <c r="F286" s="31"/>
      <c r="G286" s="174"/>
      <c r="H286" s="1"/>
      <c r="I286" s="36" t="s">
        <v>39</v>
      </c>
      <c r="J286" s="36" t="s">
        <v>143</v>
      </c>
      <c r="K286" s="36" t="s">
        <v>142</v>
      </c>
      <c r="L286" s="142" t="s">
        <v>685</v>
      </c>
      <c r="M286" s="36" t="s">
        <v>21</v>
      </c>
      <c r="N286" s="36">
        <v>3</v>
      </c>
    </row>
    <row r="287" spans="1:14" s="236" customFormat="1" ht="39" outlineLevel="1" collapsed="1" thickBot="1">
      <c r="A287" s="117" t="s">
        <v>830</v>
      </c>
      <c r="B287" s="118" t="s">
        <v>519</v>
      </c>
      <c r="C287" s="119" t="s">
        <v>44</v>
      </c>
      <c r="D287" s="140" t="s">
        <v>669</v>
      </c>
      <c r="E287" s="231" t="s">
        <v>693</v>
      </c>
      <c r="F287" s="232" t="s">
        <v>694</v>
      </c>
      <c r="G287" s="239" t="s">
        <v>201</v>
      </c>
      <c r="H287" s="239" t="s">
        <v>893</v>
      </c>
      <c r="I287" s="118" t="s">
        <v>39</v>
      </c>
      <c r="J287" s="118" t="s">
        <v>144</v>
      </c>
      <c r="K287" s="120" t="s">
        <v>142</v>
      </c>
      <c r="L287" s="235" t="str">
        <f>CONCATENATE(L288," ",N288,M288," ",L289," ",N289,M289," ",)</f>
        <v xml:space="preserve">Замена опор 5шт. Монтаж провода (по трассе) 0,24км </v>
      </c>
      <c r="M287" s="152"/>
      <c r="N287" s="152"/>
    </row>
    <row r="288" spans="1:14" ht="25.5" hidden="1" customHeight="1" outlineLevel="2">
      <c r="A288" s="148"/>
      <c r="B288" s="183"/>
      <c r="C288" s="11"/>
      <c r="D288" s="31"/>
      <c r="E288" s="249" t="s">
        <v>695</v>
      </c>
      <c r="F288" s="31" t="s">
        <v>689</v>
      </c>
      <c r="G288" s="174"/>
      <c r="H288" s="1"/>
      <c r="I288" s="36" t="s">
        <v>39</v>
      </c>
      <c r="J288" s="36" t="s">
        <v>144</v>
      </c>
      <c r="K288" s="36" t="s">
        <v>142</v>
      </c>
      <c r="L288" s="142" t="s">
        <v>25</v>
      </c>
      <c r="M288" s="36" t="s">
        <v>21</v>
      </c>
      <c r="N288" s="154">
        <v>5</v>
      </c>
    </row>
    <row r="289" spans="1:14" ht="19.149999999999999" hidden="1" customHeight="1" outlineLevel="2" thickBot="1">
      <c r="A289" s="12"/>
      <c r="B289" s="36"/>
      <c r="C289" s="11"/>
      <c r="D289" s="36"/>
      <c r="E289" s="249" t="s">
        <v>696</v>
      </c>
      <c r="F289" s="31"/>
      <c r="G289" s="174"/>
      <c r="H289" s="1"/>
      <c r="I289" s="36" t="s">
        <v>39</v>
      </c>
      <c r="J289" s="36" t="s">
        <v>144</v>
      </c>
      <c r="K289" s="36" t="s">
        <v>142</v>
      </c>
      <c r="L289" s="142" t="s">
        <v>28</v>
      </c>
      <c r="M289" s="36" t="s">
        <v>550</v>
      </c>
      <c r="N289" s="3">
        <v>0.24</v>
      </c>
    </row>
    <row r="290" spans="1:14" s="251" customFormat="1" ht="15" customHeight="1">
      <c r="A290" s="290">
        <v>2</v>
      </c>
      <c r="B290" s="291"/>
      <c r="C290" s="291"/>
      <c r="D290" s="292"/>
      <c r="E290" s="299" t="s">
        <v>63</v>
      </c>
      <c r="F290" s="302"/>
      <c r="G290" s="305"/>
      <c r="H290" s="305"/>
      <c r="I290" s="305"/>
      <c r="J290" s="305"/>
      <c r="K290" s="305"/>
      <c r="L290" s="305"/>
      <c r="M290" s="305"/>
      <c r="N290" s="305"/>
    </row>
    <row r="291" spans="1:14" s="251" customFormat="1" ht="15" customHeight="1">
      <c r="A291" s="293"/>
      <c r="B291" s="294"/>
      <c r="C291" s="294"/>
      <c r="D291" s="295"/>
      <c r="E291" s="300"/>
      <c r="F291" s="303"/>
      <c r="G291" s="306"/>
      <c r="H291" s="306"/>
      <c r="I291" s="306"/>
      <c r="J291" s="306"/>
      <c r="K291" s="306"/>
      <c r="L291" s="306"/>
      <c r="M291" s="306"/>
      <c r="N291" s="306"/>
    </row>
    <row r="292" spans="1:14" s="251" customFormat="1" ht="15" customHeight="1">
      <c r="A292" s="293"/>
      <c r="B292" s="294"/>
      <c r="C292" s="294"/>
      <c r="D292" s="295"/>
      <c r="E292" s="300"/>
      <c r="F292" s="303"/>
      <c r="G292" s="306"/>
      <c r="H292" s="306"/>
      <c r="I292" s="306"/>
      <c r="J292" s="306"/>
      <c r="K292" s="306"/>
      <c r="L292" s="306"/>
      <c r="M292" s="306"/>
      <c r="N292" s="306"/>
    </row>
    <row r="293" spans="1:14" s="251" customFormat="1" ht="15.75" customHeight="1" thickBot="1">
      <c r="A293" s="296"/>
      <c r="B293" s="297"/>
      <c r="C293" s="297"/>
      <c r="D293" s="298"/>
      <c r="E293" s="301"/>
      <c r="F293" s="304"/>
      <c r="G293" s="307"/>
      <c r="H293" s="307"/>
      <c r="I293" s="307"/>
      <c r="J293" s="307"/>
      <c r="K293" s="307"/>
      <c r="L293" s="307"/>
      <c r="M293" s="307"/>
      <c r="N293" s="307"/>
    </row>
    <row r="294" spans="1:14" s="260" customFormat="1" ht="78" customHeight="1" outlineLevel="1" collapsed="1" thickBot="1">
      <c r="A294" s="256" t="s">
        <v>116</v>
      </c>
      <c r="B294" s="149"/>
      <c r="C294" s="150" t="s">
        <v>44</v>
      </c>
      <c r="D294" s="151"/>
      <c r="E294" s="152"/>
      <c r="F294" s="257" t="s">
        <v>172</v>
      </c>
      <c r="G294" s="258" t="s">
        <v>176</v>
      </c>
      <c r="H294" s="259"/>
      <c r="I294" s="152" t="s">
        <v>110</v>
      </c>
      <c r="J294" s="152"/>
      <c r="K294" s="152"/>
      <c r="L294" s="235" t="str">
        <f>CONCATENATE(L295," ",N295,M295," ",L296," ",N296,M296," ",L297," ",N297,M297," ",L298," ",N298,M298," ",L299," ",N299,M299)</f>
        <v>Ремонт выключателей 35 кВ. 1шт. Ремонт силового трансформатора 110 кВ. 1шт. Ремонт силового трансформатора 110 кВ. 1шт. Ремонт трансформаторов напряжения 35 кВ. 3шт. Ремонт трансформаторов напряжения 35 кВ. 3шт.</v>
      </c>
      <c r="M294" s="152"/>
      <c r="N294" s="152"/>
    </row>
    <row r="295" spans="1:14" s="262" customFormat="1" ht="25.5" hidden="1" customHeight="1" outlineLevel="2">
      <c r="A295" s="41"/>
      <c r="B295" s="185" t="s">
        <v>48</v>
      </c>
      <c r="C295" s="185" t="s">
        <v>44</v>
      </c>
      <c r="D295" s="177" t="s">
        <v>173</v>
      </c>
      <c r="E295" s="185" t="s">
        <v>174</v>
      </c>
      <c r="F295" s="153" t="s">
        <v>175</v>
      </c>
      <c r="G295" s="258"/>
      <c r="H295" s="261"/>
      <c r="I295" s="154" t="s">
        <v>177</v>
      </c>
      <c r="J295" s="154" t="s">
        <v>178</v>
      </c>
      <c r="K295" s="154" t="s">
        <v>178</v>
      </c>
      <c r="L295" s="155" t="s">
        <v>179</v>
      </c>
      <c r="M295" s="154" t="s">
        <v>21</v>
      </c>
      <c r="N295" s="154">
        <v>1</v>
      </c>
    </row>
    <row r="296" spans="1:14" s="262" customFormat="1" ht="25.5" hidden="1" customHeight="1" outlineLevel="2">
      <c r="A296" s="16"/>
      <c r="B296" s="175" t="s">
        <v>40</v>
      </c>
      <c r="C296" s="175" t="s">
        <v>44</v>
      </c>
      <c r="D296" s="177" t="s">
        <v>173</v>
      </c>
      <c r="E296" s="175" t="s">
        <v>181</v>
      </c>
      <c r="F296" s="13" t="s">
        <v>182</v>
      </c>
      <c r="G296" s="263"/>
      <c r="H296" s="15"/>
      <c r="I296" s="174" t="s">
        <v>183</v>
      </c>
      <c r="J296" s="174" t="s">
        <v>184</v>
      </c>
      <c r="K296" s="174" t="s">
        <v>184</v>
      </c>
      <c r="L296" s="4" t="s">
        <v>185</v>
      </c>
      <c r="M296" s="174" t="s">
        <v>21</v>
      </c>
      <c r="N296" s="174">
        <v>1</v>
      </c>
    </row>
    <row r="297" spans="1:14" s="262" customFormat="1" ht="25.5" hidden="1" customHeight="1" outlineLevel="2">
      <c r="A297" s="16"/>
      <c r="B297" s="175" t="s">
        <v>40</v>
      </c>
      <c r="C297" s="175" t="s">
        <v>44</v>
      </c>
      <c r="D297" s="177" t="s">
        <v>173</v>
      </c>
      <c r="E297" s="175" t="s">
        <v>186</v>
      </c>
      <c r="F297" s="13" t="s">
        <v>187</v>
      </c>
      <c r="G297" s="263"/>
      <c r="H297" s="15"/>
      <c r="I297" s="174" t="s">
        <v>183</v>
      </c>
      <c r="J297" s="174" t="s">
        <v>184</v>
      </c>
      <c r="K297" s="174" t="s">
        <v>184</v>
      </c>
      <c r="L297" s="4" t="s">
        <v>185</v>
      </c>
      <c r="M297" s="174" t="s">
        <v>21</v>
      </c>
      <c r="N297" s="174">
        <v>1</v>
      </c>
    </row>
    <row r="298" spans="1:14" s="262" customFormat="1" ht="38.25" hidden="1" customHeight="1" outlineLevel="2">
      <c r="A298" s="16"/>
      <c r="B298" s="175" t="s">
        <v>48</v>
      </c>
      <c r="C298" s="175" t="s">
        <v>44</v>
      </c>
      <c r="D298" s="177" t="s">
        <v>173</v>
      </c>
      <c r="E298" s="175" t="s">
        <v>189</v>
      </c>
      <c r="F298" s="13" t="s">
        <v>190</v>
      </c>
      <c r="G298" s="263"/>
      <c r="H298" s="15"/>
      <c r="I298" s="174" t="s">
        <v>183</v>
      </c>
      <c r="J298" s="174" t="s">
        <v>184</v>
      </c>
      <c r="K298" s="174" t="s">
        <v>184</v>
      </c>
      <c r="L298" s="4" t="s">
        <v>191</v>
      </c>
      <c r="M298" s="174" t="s">
        <v>21</v>
      </c>
      <c r="N298" s="174">
        <v>3</v>
      </c>
    </row>
    <row r="299" spans="1:14" s="262" customFormat="1" ht="39" hidden="1" customHeight="1" outlineLevel="2" thickBot="1">
      <c r="A299" s="40"/>
      <c r="B299" s="184" t="s">
        <v>48</v>
      </c>
      <c r="C299" s="184" t="s">
        <v>44</v>
      </c>
      <c r="D299" s="177" t="s">
        <v>173</v>
      </c>
      <c r="E299" s="184" t="s">
        <v>192</v>
      </c>
      <c r="F299" s="17" t="s">
        <v>193</v>
      </c>
      <c r="G299" s="264"/>
      <c r="H299" s="265"/>
      <c r="I299" s="35" t="s">
        <v>183</v>
      </c>
      <c r="J299" s="35" t="s">
        <v>184</v>
      </c>
      <c r="K299" s="35" t="s">
        <v>184</v>
      </c>
      <c r="L299" s="18" t="s">
        <v>191</v>
      </c>
      <c r="M299" s="35" t="s">
        <v>21</v>
      </c>
      <c r="N299" s="35">
        <v>3</v>
      </c>
    </row>
    <row r="300" spans="1:14" s="260" customFormat="1" ht="14.25" outlineLevel="1" collapsed="1" thickBot="1">
      <c r="A300" s="256" t="s">
        <v>117</v>
      </c>
      <c r="B300" s="149"/>
      <c r="C300" s="150" t="s">
        <v>44</v>
      </c>
      <c r="D300" s="151"/>
      <c r="E300" s="152"/>
      <c r="F300" s="257" t="s">
        <v>194</v>
      </c>
      <c r="G300" s="263" t="s">
        <v>176</v>
      </c>
      <c r="H300" s="259"/>
      <c r="I300" s="152" t="s">
        <v>110</v>
      </c>
      <c r="J300" s="152"/>
      <c r="K300" s="152"/>
      <c r="L300" s="235" t="str">
        <f>CONCATENATE(L301," ",N301,M301)</f>
        <v>Ремонт ячеек 6-10 кВ. 4шт.</v>
      </c>
      <c r="M300" s="152"/>
      <c r="N300" s="152"/>
    </row>
    <row r="301" spans="1:14" s="262" customFormat="1" ht="38.25" hidden="1" customHeight="1" outlineLevel="2" thickBot="1">
      <c r="A301" s="16"/>
      <c r="B301" s="175" t="s">
        <v>56</v>
      </c>
      <c r="C301" s="184" t="s">
        <v>44</v>
      </c>
      <c r="D301" s="177" t="s">
        <v>173</v>
      </c>
      <c r="E301" s="175" t="s">
        <v>195</v>
      </c>
      <c r="F301" s="13" t="s">
        <v>196</v>
      </c>
      <c r="G301" s="263"/>
      <c r="H301" s="15"/>
      <c r="I301" s="174" t="s">
        <v>177</v>
      </c>
      <c r="J301" s="174" t="s">
        <v>178</v>
      </c>
      <c r="K301" s="174" t="s">
        <v>178</v>
      </c>
      <c r="L301" s="155" t="s">
        <v>827</v>
      </c>
      <c r="M301" s="35" t="s">
        <v>21</v>
      </c>
      <c r="N301" s="35">
        <v>4</v>
      </c>
    </row>
    <row r="302" spans="1:14" s="260" customFormat="1" ht="52.5" outlineLevel="1" collapsed="1" thickBot="1">
      <c r="A302" s="256" t="s">
        <v>785</v>
      </c>
      <c r="B302" s="149"/>
      <c r="C302" s="150" t="s">
        <v>44</v>
      </c>
      <c r="D302" s="151"/>
      <c r="E302" s="152"/>
      <c r="F302" s="257" t="s">
        <v>202</v>
      </c>
      <c r="G302" s="263" t="s">
        <v>176</v>
      </c>
      <c r="H302" s="266"/>
      <c r="I302" s="152" t="s">
        <v>110</v>
      </c>
      <c r="J302" s="152"/>
      <c r="K302" s="152"/>
      <c r="L302" s="235" t="str">
        <f>CONCATENATE(L303," ",N303,M303," ",L304," ",N304,M304," ",L305," ",N305,M305," ",L306," ",N306,M306," ",L307," ",N307,M307)</f>
        <v>Ремонт трансформаторов напряжения 35 кВ. 3шт. Ремонт трансформаторов напряжения 35 кВ. 3шт. Ремонт выключателей 6-10 кВ. 5шт. Ремонт силового трансформатора 110 кВ. 1шт. Ремонт силового трансформатора 110 кВ. 1шт.</v>
      </c>
      <c r="M302" s="152"/>
      <c r="N302" s="152"/>
    </row>
    <row r="303" spans="1:14" s="262" customFormat="1" ht="51.75" hidden="1" customHeight="1" outlineLevel="2">
      <c r="A303" s="16"/>
      <c r="B303" s="175" t="s">
        <v>48</v>
      </c>
      <c r="C303" s="184" t="s">
        <v>44</v>
      </c>
      <c r="D303" s="176" t="s">
        <v>173</v>
      </c>
      <c r="E303" s="175" t="s">
        <v>203</v>
      </c>
      <c r="F303" s="13" t="s">
        <v>204</v>
      </c>
      <c r="G303" s="263"/>
      <c r="H303" s="266"/>
      <c r="I303" s="174" t="s">
        <v>177</v>
      </c>
      <c r="J303" s="174" t="s">
        <v>205</v>
      </c>
      <c r="K303" s="174" t="s">
        <v>205</v>
      </c>
      <c r="L303" s="4" t="s">
        <v>191</v>
      </c>
      <c r="M303" s="174" t="s">
        <v>21</v>
      </c>
      <c r="N303" s="174">
        <v>3</v>
      </c>
    </row>
    <row r="304" spans="1:14" s="262" customFormat="1" ht="51.75" hidden="1" customHeight="1" outlineLevel="2">
      <c r="A304" s="16"/>
      <c r="B304" s="175" t="s">
        <v>48</v>
      </c>
      <c r="C304" s="184" t="s">
        <v>44</v>
      </c>
      <c r="D304" s="176" t="s">
        <v>173</v>
      </c>
      <c r="E304" s="175" t="s">
        <v>206</v>
      </c>
      <c r="F304" s="13" t="s">
        <v>207</v>
      </c>
      <c r="G304" s="263"/>
      <c r="H304" s="266"/>
      <c r="I304" s="174" t="s">
        <v>177</v>
      </c>
      <c r="J304" s="174" t="s">
        <v>205</v>
      </c>
      <c r="K304" s="174" t="s">
        <v>205</v>
      </c>
      <c r="L304" s="4" t="s">
        <v>191</v>
      </c>
      <c r="M304" s="174" t="s">
        <v>21</v>
      </c>
      <c r="N304" s="174">
        <v>3</v>
      </c>
    </row>
    <row r="305" spans="1:14" s="262" customFormat="1" ht="51" hidden="1" customHeight="1" outlineLevel="2">
      <c r="A305" s="16"/>
      <c r="B305" s="175" t="s">
        <v>56</v>
      </c>
      <c r="C305" s="184" t="s">
        <v>44</v>
      </c>
      <c r="D305" s="176" t="s">
        <v>173</v>
      </c>
      <c r="E305" s="175" t="s">
        <v>208</v>
      </c>
      <c r="F305" s="13" t="s">
        <v>880</v>
      </c>
      <c r="G305" s="263"/>
      <c r="H305" s="15"/>
      <c r="I305" s="174" t="s">
        <v>177</v>
      </c>
      <c r="J305" s="174" t="s">
        <v>184</v>
      </c>
      <c r="K305" s="174" t="s">
        <v>184</v>
      </c>
      <c r="L305" s="155" t="s">
        <v>197</v>
      </c>
      <c r="M305" s="174" t="s">
        <v>21</v>
      </c>
      <c r="N305" s="174">
        <v>5</v>
      </c>
    </row>
    <row r="306" spans="1:14" s="262" customFormat="1" ht="25.5" hidden="1" customHeight="1" outlineLevel="2">
      <c r="A306" s="16"/>
      <c r="B306" s="175" t="s">
        <v>40</v>
      </c>
      <c r="C306" s="184" t="s">
        <v>44</v>
      </c>
      <c r="D306" s="176" t="s">
        <v>173</v>
      </c>
      <c r="E306" s="175" t="s">
        <v>209</v>
      </c>
      <c r="F306" s="13" t="s">
        <v>210</v>
      </c>
      <c r="G306" s="263"/>
      <c r="H306" s="15"/>
      <c r="I306" s="174" t="s">
        <v>183</v>
      </c>
      <c r="J306" s="174" t="s">
        <v>184</v>
      </c>
      <c r="K306" s="174" t="s">
        <v>184</v>
      </c>
      <c r="L306" s="4" t="s">
        <v>185</v>
      </c>
      <c r="M306" s="174" t="s">
        <v>21</v>
      </c>
      <c r="N306" s="174">
        <v>1</v>
      </c>
    </row>
    <row r="307" spans="1:14" s="262" customFormat="1" ht="25.5" hidden="1" customHeight="1" outlineLevel="2" thickBot="1">
      <c r="A307" s="16"/>
      <c r="B307" s="175" t="s">
        <v>40</v>
      </c>
      <c r="C307" s="184" t="s">
        <v>44</v>
      </c>
      <c r="D307" s="176" t="s">
        <v>173</v>
      </c>
      <c r="E307" s="175" t="s">
        <v>211</v>
      </c>
      <c r="F307" s="13" t="s">
        <v>212</v>
      </c>
      <c r="G307" s="263"/>
      <c r="H307" s="15"/>
      <c r="I307" s="174" t="s">
        <v>183</v>
      </c>
      <c r="J307" s="174" t="s">
        <v>184</v>
      </c>
      <c r="K307" s="174" t="s">
        <v>184</v>
      </c>
      <c r="L307" s="4" t="s">
        <v>185</v>
      </c>
      <c r="M307" s="174" t="s">
        <v>21</v>
      </c>
      <c r="N307" s="174">
        <v>1</v>
      </c>
    </row>
    <row r="308" spans="1:14" s="260" customFormat="1" ht="65.25" outlineLevel="1" collapsed="1" thickBot="1">
      <c r="A308" s="256" t="s">
        <v>65</v>
      </c>
      <c r="B308" s="149"/>
      <c r="C308" s="150" t="s">
        <v>44</v>
      </c>
      <c r="D308" s="151"/>
      <c r="E308" s="152"/>
      <c r="F308" s="257" t="s">
        <v>215</v>
      </c>
      <c r="G308" s="263" t="s">
        <v>176</v>
      </c>
      <c r="H308" s="259"/>
      <c r="I308" s="152" t="s">
        <v>110</v>
      </c>
      <c r="J308" s="152"/>
      <c r="K308" s="152"/>
      <c r="L308" s="235" t="str">
        <f>CONCATENATE(L309," ",N309,M309," ",L310," ",N310,M310," ",L311," ",N311,M311," ",L312," ",N312,M312," ",L313," ",N313,M313," ",L314," ",N314,M314)</f>
        <v>Ремонт выключателей 6-10 кВ. 3шт. Ремонт силового трансформатора 35 кВ. 1шт. Ремонт силового трансформатора 35 кВ. 1шт. Ремонт выключателей 35 кВ. 1шт. Ремонт силового трансформатора 6-10 кВ. 1шт. Ремонт силового трансформатора 6-10 кВ. 1шт.</v>
      </c>
      <c r="M308" s="152"/>
      <c r="N308" s="152"/>
    </row>
    <row r="309" spans="1:14" s="262" customFormat="1" ht="38.25" hidden="1" customHeight="1" outlineLevel="2">
      <c r="A309" s="16"/>
      <c r="B309" s="175" t="s">
        <v>56</v>
      </c>
      <c r="C309" s="184" t="s">
        <v>44</v>
      </c>
      <c r="D309" s="176" t="s">
        <v>173</v>
      </c>
      <c r="E309" s="175" t="s">
        <v>216</v>
      </c>
      <c r="F309" s="13" t="s">
        <v>881</v>
      </c>
      <c r="G309" s="263"/>
      <c r="H309" s="15"/>
      <c r="I309" s="174" t="s">
        <v>177</v>
      </c>
      <c r="J309" s="174" t="s">
        <v>205</v>
      </c>
      <c r="K309" s="174" t="s">
        <v>205</v>
      </c>
      <c r="L309" s="155" t="s">
        <v>197</v>
      </c>
      <c r="M309" s="174" t="s">
        <v>21</v>
      </c>
      <c r="N309" s="174">
        <v>3</v>
      </c>
    </row>
    <row r="310" spans="1:14" s="262" customFormat="1" ht="51.75" hidden="1" customHeight="1" outlineLevel="2">
      <c r="A310" s="16"/>
      <c r="B310" s="175" t="s">
        <v>48</v>
      </c>
      <c r="C310" s="184" t="s">
        <v>44</v>
      </c>
      <c r="D310" s="176" t="s">
        <v>173</v>
      </c>
      <c r="E310" s="175" t="s">
        <v>217</v>
      </c>
      <c r="F310" s="13" t="s">
        <v>218</v>
      </c>
      <c r="G310" s="263"/>
      <c r="H310" s="266"/>
      <c r="I310" s="174" t="s">
        <v>183</v>
      </c>
      <c r="J310" s="174" t="s">
        <v>205</v>
      </c>
      <c r="K310" s="174" t="s">
        <v>205</v>
      </c>
      <c r="L310" s="4" t="s">
        <v>198</v>
      </c>
      <c r="M310" s="174" t="s">
        <v>21</v>
      </c>
      <c r="N310" s="174">
        <v>1</v>
      </c>
    </row>
    <row r="311" spans="1:14" s="262" customFormat="1" ht="25.5" hidden="1" customHeight="1" outlineLevel="2">
      <c r="A311" s="16"/>
      <c r="B311" s="175" t="s">
        <v>48</v>
      </c>
      <c r="C311" s="184" t="s">
        <v>44</v>
      </c>
      <c r="D311" s="176" t="s">
        <v>173</v>
      </c>
      <c r="E311" s="175" t="s">
        <v>219</v>
      </c>
      <c r="F311" s="13" t="s">
        <v>220</v>
      </c>
      <c r="G311" s="263"/>
      <c r="H311" s="15"/>
      <c r="I311" s="174" t="s">
        <v>183</v>
      </c>
      <c r="J311" s="174" t="s">
        <v>205</v>
      </c>
      <c r="K311" s="174" t="s">
        <v>205</v>
      </c>
      <c r="L311" s="4" t="s">
        <v>198</v>
      </c>
      <c r="M311" s="174" t="s">
        <v>21</v>
      </c>
      <c r="N311" s="174">
        <v>1</v>
      </c>
    </row>
    <row r="312" spans="1:14" s="262" customFormat="1" ht="25.5" hidden="1" customHeight="1" outlineLevel="2">
      <c r="A312" s="16"/>
      <c r="B312" s="175" t="s">
        <v>48</v>
      </c>
      <c r="C312" s="184" t="s">
        <v>44</v>
      </c>
      <c r="D312" s="176" t="s">
        <v>173</v>
      </c>
      <c r="E312" s="175" t="s">
        <v>221</v>
      </c>
      <c r="F312" s="13" t="s">
        <v>222</v>
      </c>
      <c r="G312" s="263"/>
      <c r="H312" s="15"/>
      <c r="I312" s="174" t="s">
        <v>183</v>
      </c>
      <c r="J312" s="174" t="s">
        <v>205</v>
      </c>
      <c r="K312" s="174" t="s">
        <v>205</v>
      </c>
      <c r="L312" s="4" t="s">
        <v>179</v>
      </c>
      <c r="M312" s="174" t="s">
        <v>21</v>
      </c>
      <c r="N312" s="174">
        <v>1</v>
      </c>
    </row>
    <row r="313" spans="1:14" s="262" customFormat="1" ht="25.5" hidden="1" customHeight="1" outlineLevel="2">
      <c r="A313" s="16"/>
      <c r="B313" s="175" t="s">
        <v>56</v>
      </c>
      <c r="C313" s="184" t="s">
        <v>44</v>
      </c>
      <c r="D313" s="176" t="s">
        <v>173</v>
      </c>
      <c r="E313" s="175" t="s">
        <v>223</v>
      </c>
      <c r="F313" s="13" t="s">
        <v>224</v>
      </c>
      <c r="G313" s="263"/>
      <c r="H313" s="15"/>
      <c r="I313" s="174" t="s">
        <v>183</v>
      </c>
      <c r="J313" s="174" t="s">
        <v>205</v>
      </c>
      <c r="K313" s="174" t="s">
        <v>205</v>
      </c>
      <c r="L313" s="4" t="s">
        <v>199</v>
      </c>
      <c r="M313" s="174" t="s">
        <v>21</v>
      </c>
      <c r="N313" s="174">
        <v>1</v>
      </c>
    </row>
    <row r="314" spans="1:14" s="262" customFormat="1" ht="26.25" hidden="1" customHeight="1" outlineLevel="2" thickBot="1">
      <c r="A314" s="16"/>
      <c r="B314" s="175" t="s">
        <v>56</v>
      </c>
      <c r="C314" s="184" t="s">
        <v>44</v>
      </c>
      <c r="D314" s="176" t="s">
        <v>173</v>
      </c>
      <c r="E314" s="175" t="s">
        <v>225</v>
      </c>
      <c r="F314" s="13" t="s">
        <v>226</v>
      </c>
      <c r="G314" s="263"/>
      <c r="H314" s="15"/>
      <c r="I314" s="174" t="s">
        <v>183</v>
      </c>
      <c r="J314" s="174" t="s">
        <v>205</v>
      </c>
      <c r="K314" s="174" t="s">
        <v>205</v>
      </c>
      <c r="L314" s="4" t="s">
        <v>199</v>
      </c>
      <c r="M314" s="174" t="s">
        <v>21</v>
      </c>
      <c r="N314" s="174">
        <v>1</v>
      </c>
    </row>
    <row r="315" spans="1:14" s="260" customFormat="1" ht="20.25" customHeight="1" outlineLevel="1" collapsed="1" thickBot="1">
      <c r="A315" s="256" t="s">
        <v>83</v>
      </c>
      <c r="B315" s="149"/>
      <c r="C315" s="150" t="s">
        <v>44</v>
      </c>
      <c r="D315" s="151"/>
      <c r="E315" s="152"/>
      <c r="F315" s="257" t="s">
        <v>227</v>
      </c>
      <c r="G315" s="263" t="s">
        <v>176</v>
      </c>
      <c r="H315" s="259"/>
      <c r="I315" s="152" t="s">
        <v>110</v>
      </c>
      <c r="J315" s="152"/>
      <c r="K315" s="152"/>
      <c r="L315" s="235" t="str">
        <f>CONCATENATE(L316," ",N316,M316)</f>
        <v>Ремонт силового трансформатора 35 кВ. 1шт.</v>
      </c>
      <c r="M315" s="152"/>
      <c r="N315" s="152"/>
    </row>
    <row r="316" spans="1:14" s="262" customFormat="1" ht="25.5" hidden="1" customHeight="1" outlineLevel="2" thickBot="1">
      <c r="A316" s="16"/>
      <c r="B316" s="175" t="s">
        <v>48</v>
      </c>
      <c r="C316" s="184" t="s">
        <v>44</v>
      </c>
      <c r="D316" s="177" t="s">
        <v>173</v>
      </c>
      <c r="E316" s="175" t="s">
        <v>228</v>
      </c>
      <c r="F316" s="13" t="s">
        <v>229</v>
      </c>
      <c r="G316" s="15"/>
      <c r="H316" s="15"/>
      <c r="I316" s="174" t="s">
        <v>183</v>
      </c>
      <c r="J316" s="174" t="s">
        <v>178</v>
      </c>
      <c r="K316" s="174" t="s">
        <v>178</v>
      </c>
      <c r="L316" s="4" t="s">
        <v>198</v>
      </c>
      <c r="M316" s="174" t="s">
        <v>21</v>
      </c>
      <c r="N316" s="174">
        <v>1</v>
      </c>
    </row>
    <row r="317" spans="1:14" s="260" customFormat="1" ht="138.75" customHeight="1" outlineLevel="1" collapsed="1" thickBot="1">
      <c r="A317" s="256" t="s">
        <v>66</v>
      </c>
      <c r="B317" s="149"/>
      <c r="C317" s="150" t="s">
        <v>44</v>
      </c>
      <c r="D317" s="151"/>
      <c r="E317" s="152"/>
      <c r="F317" s="257" t="s">
        <v>230</v>
      </c>
      <c r="G317" s="259" t="s">
        <v>176</v>
      </c>
      <c r="H317" s="259"/>
      <c r="I317" s="152" t="s">
        <v>110</v>
      </c>
      <c r="J317" s="152"/>
      <c r="K317" s="152"/>
      <c r="L317" s="235" t="str">
        <f>CONCATENATE(L318," ",N318,M318,L319," ",N319,M319," ",L320," ",N320,M320," ",L321," ",N321,M321," ",L322," ",N322,M322," ",L323," ",N323,M323," ",L324," ",N324,M324," ",L325," ",N325,M325," ",L326," ",N326,M326)</f>
        <v>Ремонт силового трансформатора 110 кВ. 1шт.Ремонт силового трансформатора 110 кВ. 1шт. Ремонт трансформаторов напряжения 110 кВ. 3шт. Ремонт трансформаторов напряжения 110 кВ. 3шт. Ремонт трансформаторов напряжения 35 кВ. 3шт. Ремонт трансформаторов напряжения 35 кВ. 3шт. Ремонт силового трансформатора 6-10 кВ. 1шт. Ремонт силового трансформатора 6-10 кВ. 1шт. Ремонт выключателей 6-10 кВ. 3шт.</v>
      </c>
      <c r="M317" s="152"/>
      <c r="N317" s="152"/>
    </row>
    <row r="318" spans="1:14" s="262" customFormat="1" ht="25.5" hidden="1" customHeight="1" outlineLevel="2">
      <c r="A318" s="16"/>
      <c r="B318" s="175" t="s">
        <v>40</v>
      </c>
      <c r="C318" s="175" t="s">
        <v>44</v>
      </c>
      <c r="D318" s="176" t="s">
        <v>173</v>
      </c>
      <c r="E318" s="175" t="s">
        <v>231</v>
      </c>
      <c r="F318" s="13" t="s">
        <v>232</v>
      </c>
      <c r="G318" s="263"/>
      <c r="H318" s="15"/>
      <c r="I318" s="174" t="s">
        <v>183</v>
      </c>
      <c r="J318" s="174" t="s">
        <v>233</v>
      </c>
      <c r="K318" s="174" t="s">
        <v>233</v>
      </c>
      <c r="L318" s="4" t="s">
        <v>185</v>
      </c>
      <c r="M318" s="174" t="s">
        <v>21</v>
      </c>
      <c r="N318" s="174">
        <v>1</v>
      </c>
    </row>
    <row r="319" spans="1:14" s="262" customFormat="1" ht="25.5" hidden="1" customHeight="1" outlineLevel="2">
      <c r="A319" s="16"/>
      <c r="B319" s="175" t="s">
        <v>40</v>
      </c>
      <c r="C319" s="175" t="s">
        <v>44</v>
      </c>
      <c r="D319" s="176" t="s">
        <v>173</v>
      </c>
      <c r="E319" s="175" t="s">
        <v>234</v>
      </c>
      <c r="F319" s="13" t="s">
        <v>235</v>
      </c>
      <c r="G319" s="263"/>
      <c r="H319" s="15"/>
      <c r="I319" s="174" t="s">
        <v>183</v>
      </c>
      <c r="J319" s="174" t="s">
        <v>233</v>
      </c>
      <c r="K319" s="174" t="s">
        <v>233</v>
      </c>
      <c r="L319" s="4" t="s">
        <v>185</v>
      </c>
      <c r="M319" s="174" t="s">
        <v>21</v>
      </c>
      <c r="N319" s="174">
        <v>1</v>
      </c>
    </row>
    <row r="320" spans="1:14" s="262" customFormat="1" ht="25.5" hidden="1" customHeight="1" outlineLevel="2">
      <c r="A320" s="16"/>
      <c r="B320" s="175" t="s">
        <v>40</v>
      </c>
      <c r="C320" s="175" t="s">
        <v>44</v>
      </c>
      <c r="D320" s="176" t="s">
        <v>173</v>
      </c>
      <c r="E320" s="175" t="s">
        <v>236</v>
      </c>
      <c r="F320" s="13" t="s">
        <v>237</v>
      </c>
      <c r="G320" s="263"/>
      <c r="H320" s="15"/>
      <c r="I320" s="174" t="s">
        <v>183</v>
      </c>
      <c r="J320" s="174" t="s">
        <v>184</v>
      </c>
      <c r="K320" s="174" t="s">
        <v>184</v>
      </c>
      <c r="L320" s="4" t="s">
        <v>214</v>
      </c>
      <c r="M320" s="174" t="s">
        <v>21</v>
      </c>
      <c r="N320" s="174">
        <v>3</v>
      </c>
    </row>
    <row r="321" spans="1:14" s="262" customFormat="1" ht="25.5" hidden="1" customHeight="1" outlineLevel="2">
      <c r="A321" s="16"/>
      <c r="B321" s="175" t="s">
        <v>40</v>
      </c>
      <c r="C321" s="175" t="s">
        <v>44</v>
      </c>
      <c r="D321" s="176" t="s">
        <v>173</v>
      </c>
      <c r="E321" s="175" t="s">
        <v>236</v>
      </c>
      <c r="F321" s="13" t="s">
        <v>238</v>
      </c>
      <c r="G321" s="263"/>
      <c r="H321" s="15"/>
      <c r="I321" s="174" t="s">
        <v>183</v>
      </c>
      <c r="J321" s="174" t="s">
        <v>184</v>
      </c>
      <c r="K321" s="174" t="s">
        <v>184</v>
      </c>
      <c r="L321" s="4" t="s">
        <v>214</v>
      </c>
      <c r="M321" s="174" t="s">
        <v>21</v>
      </c>
      <c r="N321" s="174">
        <v>3</v>
      </c>
    </row>
    <row r="322" spans="1:14" s="262" customFormat="1" ht="41.25" hidden="1" customHeight="1" outlineLevel="2">
      <c r="A322" s="16"/>
      <c r="B322" s="175" t="s">
        <v>48</v>
      </c>
      <c r="C322" s="175" t="s">
        <v>44</v>
      </c>
      <c r="D322" s="176" t="s">
        <v>173</v>
      </c>
      <c r="E322" s="175" t="s">
        <v>239</v>
      </c>
      <c r="F322" s="13" t="s">
        <v>240</v>
      </c>
      <c r="G322" s="263"/>
      <c r="H322" s="15"/>
      <c r="I322" s="174" t="s">
        <v>177</v>
      </c>
      <c r="J322" s="174" t="s">
        <v>184</v>
      </c>
      <c r="K322" s="174" t="s">
        <v>184</v>
      </c>
      <c r="L322" s="4" t="s">
        <v>191</v>
      </c>
      <c r="M322" s="174" t="s">
        <v>21</v>
      </c>
      <c r="N322" s="174">
        <v>3</v>
      </c>
    </row>
    <row r="323" spans="1:14" s="262" customFormat="1" ht="39" hidden="1" customHeight="1" outlineLevel="2">
      <c r="A323" s="16"/>
      <c r="B323" s="175" t="s">
        <v>48</v>
      </c>
      <c r="C323" s="175" t="s">
        <v>44</v>
      </c>
      <c r="D323" s="176" t="s">
        <v>173</v>
      </c>
      <c r="E323" s="175" t="s">
        <v>241</v>
      </c>
      <c r="F323" s="13" t="s">
        <v>242</v>
      </c>
      <c r="G323" s="263"/>
      <c r="H323" s="15"/>
      <c r="I323" s="174" t="s">
        <v>177</v>
      </c>
      <c r="J323" s="174" t="s">
        <v>233</v>
      </c>
      <c r="K323" s="174" t="s">
        <v>233</v>
      </c>
      <c r="L323" s="4" t="s">
        <v>191</v>
      </c>
      <c r="M323" s="174" t="s">
        <v>21</v>
      </c>
      <c r="N323" s="174">
        <v>3</v>
      </c>
    </row>
    <row r="324" spans="1:14" s="262" customFormat="1" ht="25.5" hidden="1" customHeight="1" outlineLevel="2">
      <c r="A324" s="174"/>
      <c r="B324" s="175" t="s">
        <v>56</v>
      </c>
      <c r="C324" s="175" t="s">
        <v>44</v>
      </c>
      <c r="D324" s="176" t="s">
        <v>173</v>
      </c>
      <c r="E324" s="175" t="s">
        <v>243</v>
      </c>
      <c r="F324" s="13" t="s">
        <v>244</v>
      </c>
      <c r="G324" s="263"/>
      <c r="H324" s="15"/>
      <c r="I324" s="174" t="s">
        <v>183</v>
      </c>
      <c r="J324" s="174" t="s">
        <v>233</v>
      </c>
      <c r="K324" s="174" t="s">
        <v>233</v>
      </c>
      <c r="L324" s="4" t="s">
        <v>199</v>
      </c>
      <c r="M324" s="174" t="s">
        <v>21</v>
      </c>
      <c r="N324" s="174">
        <v>1</v>
      </c>
    </row>
    <row r="325" spans="1:14" s="262" customFormat="1" ht="25.5" hidden="1" customHeight="1" outlineLevel="2">
      <c r="A325" s="16"/>
      <c r="B325" s="175" t="s">
        <v>56</v>
      </c>
      <c r="C325" s="175" t="s">
        <v>44</v>
      </c>
      <c r="D325" s="176" t="s">
        <v>173</v>
      </c>
      <c r="E325" s="175" t="s">
        <v>245</v>
      </c>
      <c r="F325" s="13" t="s">
        <v>246</v>
      </c>
      <c r="G325" s="263"/>
      <c r="H325" s="15"/>
      <c r="I325" s="174" t="s">
        <v>183</v>
      </c>
      <c r="J325" s="174" t="s">
        <v>233</v>
      </c>
      <c r="K325" s="174" t="s">
        <v>233</v>
      </c>
      <c r="L325" s="4" t="s">
        <v>199</v>
      </c>
      <c r="M325" s="174" t="s">
        <v>21</v>
      </c>
      <c r="N325" s="174">
        <v>1</v>
      </c>
    </row>
    <row r="326" spans="1:14" s="262" customFormat="1" ht="39" hidden="1" customHeight="1" outlineLevel="2" thickBot="1">
      <c r="A326" s="16"/>
      <c r="B326" s="175" t="s">
        <v>56</v>
      </c>
      <c r="C326" s="175" t="s">
        <v>44</v>
      </c>
      <c r="D326" s="176" t="s">
        <v>173</v>
      </c>
      <c r="E326" s="175" t="s">
        <v>247</v>
      </c>
      <c r="F326" s="13" t="s">
        <v>248</v>
      </c>
      <c r="G326" s="263"/>
      <c r="H326" s="15"/>
      <c r="I326" s="174" t="s">
        <v>177</v>
      </c>
      <c r="J326" s="174" t="s">
        <v>184</v>
      </c>
      <c r="K326" s="174" t="s">
        <v>184</v>
      </c>
      <c r="L326" s="4" t="s">
        <v>197</v>
      </c>
      <c r="M326" s="174" t="s">
        <v>21</v>
      </c>
      <c r="N326" s="174">
        <v>3</v>
      </c>
    </row>
    <row r="327" spans="1:14" s="260" customFormat="1" ht="27" outlineLevel="1" collapsed="1" thickBot="1">
      <c r="A327" s="256" t="s">
        <v>67</v>
      </c>
      <c r="B327" s="149"/>
      <c r="C327" s="150" t="s">
        <v>44</v>
      </c>
      <c r="D327" s="151"/>
      <c r="E327" s="152"/>
      <c r="F327" s="257" t="s">
        <v>249</v>
      </c>
      <c r="G327" s="263" t="s">
        <v>176</v>
      </c>
      <c r="H327" s="259"/>
      <c r="I327" s="152" t="s">
        <v>64</v>
      </c>
      <c r="J327" s="152"/>
      <c r="K327" s="152"/>
      <c r="L327" s="235" t="str">
        <f>CONCATENATE(L328," ",N328,M328," ",L329," ",N329,M329)</f>
        <v>Ремонт силового трансформатора 35 кВ. 1шт. Ремонт силового трансформатора 35 кВ. 1шт.</v>
      </c>
      <c r="M327" s="152"/>
      <c r="N327" s="152"/>
    </row>
    <row r="328" spans="1:14" s="262" customFormat="1" ht="54" hidden="1" customHeight="1" outlineLevel="2">
      <c r="A328" s="16"/>
      <c r="B328" s="175" t="s">
        <v>48</v>
      </c>
      <c r="C328" s="184" t="s">
        <v>44</v>
      </c>
      <c r="D328" s="177" t="s">
        <v>173</v>
      </c>
      <c r="E328" s="175" t="s">
        <v>250</v>
      </c>
      <c r="F328" s="13" t="s">
        <v>251</v>
      </c>
      <c r="G328" s="263"/>
      <c r="H328" s="15"/>
      <c r="I328" s="174" t="s">
        <v>183</v>
      </c>
      <c r="J328" s="174" t="s">
        <v>178</v>
      </c>
      <c r="K328" s="174" t="s">
        <v>178</v>
      </c>
      <c r="L328" s="4" t="s">
        <v>198</v>
      </c>
      <c r="M328" s="174" t="s">
        <v>21</v>
      </c>
      <c r="N328" s="174">
        <v>1</v>
      </c>
    </row>
    <row r="329" spans="1:14" s="262" customFormat="1" ht="26.25" hidden="1" customHeight="1" outlineLevel="2" thickBot="1">
      <c r="A329" s="16"/>
      <c r="B329" s="175" t="s">
        <v>48</v>
      </c>
      <c r="C329" s="184" t="s">
        <v>44</v>
      </c>
      <c r="D329" s="177" t="s">
        <v>173</v>
      </c>
      <c r="E329" s="175" t="s">
        <v>250</v>
      </c>
      <c r="F329" s="13" t="s">
        <v>252</v>
      </c>
      <c r="G329" s="263"/>
      <c r="H329" s="15"/>
      <c r="I329" s="174" t="s">
        <v>183</v>
      </c>
      <c r="J329" s="174" t="s">
        <v>178</v>
      </c>
      <c r="K329" s="174" t="s">
        <v>178</v>
      </c>
      <c r="L329" s="4" t="s">
        <v>198</v>
      </c>
      <c r="M329" s="174" t="s">
        <v>21</v>
      </c>
      <c r="N329" s="174">
        <v>1</v>
      </c>
    </row>
    <row r="330" spans="1:14" s="260" customFormat="1" ht="39.75" outlineLevel="1" collapsed="1" thickBot="1">
      <c r="A330" s="256" t="s">
        <v>68</v>
      </c>
      <c r="B330" s="149"/>
      <c r="C330" s="150" t="s">
        <v>44</v>
      </c>
      <c r="D330" s="151"/>
      <c r="E330" s="152"/>
      <c r="F330" s="257" t="s">
        <v>253</v>
      </c>
      <c r="G330" s="263" t="s">
        <v>176</v>
      </c>
      <c r="H330" s="259"/>
      <c r="I330" s="152" t="s">
        <v>110</v>
      </c>
      <c r="J330" s="152"/>
      <c r="K330" s="152"/>
      <c r="L330" s="235" t="str">
        <f>CONCATENATE(L331," ",N331,M331," ",L332," ",N332,M332," ",L333," ",N333,M333)</f>
        <v>Ремонт силового трансформатора 35 кВ. 1шт. Ремонт силового трансформатора 35 кВ. 1шт. Ремонт выключателей 6-10 кВ. 3шт.</v>
      </c>
      <c r="M330" s="152"/>
      <c r="N330" s="152"/>
    </row>
    <row r="331" spans="1:14" s="262" customFormat="1" ht="38.25" hidden="1" customHeight="1" outlineLevel="2">
      <c r="A331" s="16"/>
      <c r="B331" s="175" t="s">
        <v>48</v>
      </c>
      <c r="C331" s="184" t="s">
        <v>44</v>
      </c>
      <c r="D331" s="177" t="s">
        <v>173</v>
      </c>
      <c r="E331" s="175" t="s">
        <v>254</v>
      </c>
      <c r="F331" s="13" t="s">
        <v>255</v>
      </c>
      <c r="G331" s="263" t="s">
        <v>176</v>
      </c>
      <c r="H331" s="15"/>
      <c r="I331" s="174" t="s">
        <v>183</v>
      </c>
      <c r="J331" s="174" t="s">
        <v>205</v>
      </c>
      <c r="K331" s="174" t="s">
        <v>205</v>
      </c>
      <c r="L331" s="4" t="s">
        <v>198</v>
      </c>
      <c r="M331" s="174" t="s">
        <v>21</v>
      </c>
      <c r="N331" s="174">
        <v>1</v>
      </c>
    </row>
    <row r="332" spans="1:14" s="262" customFormat="1" ht="25.5" hidden="1" customHeight="1" outlineLevel="2">
      <c r="A332" s="16"/>
      <c r="B332" s="175" t="s">
        <v>48</v>
      </c>
      <c r="C332" s="184" t="s">
        <v>44</v>
      </c>
      <c r="D332" s="177" t="s">
        <v>173</v>
      </c>
      <c r="E332" s="175" t="s">
        <v>256</v>
      </c>
      <c r="F332" s="13" t="s">
        <v>257</v>
      </c>
      <c r="G332" s="263"/>
      <c r="H332" s="15"/>
      <c r="I332" s="174" t="s">
        <v>183</v>
      </c>
      <c r="J332" s="174" t="s">
        <v>205</v>
      </c>
      <c r="K332" s="174" t="s">
        <v>205</v>
      </c>
      <c r="L332" s="4" t="s">
        <v>198</v>
      </c>
      <c r="M332" s="174" t="s">
        <v>21</v>
      </c>
      <c r="N332" s="174">
        <v>1</v>
      </c>
    </row>
    <row r="333" spans="1:14" s="262" customFormat="1" ht="66" hidden="1" customHeight="1" outlineLevel="2" thickBot="1">
      <c r="A333" s="16"/>
      <c r="B333" s="175" t="s">
        <v>56</v>
      </c>
      <c r="C333" s="184" t="s">
        <v>44</v>
      </c>
      <c r="D333" s="177" t="s">
        <v>173</v>
      </c>
      <c r="E333" s="175" t="s">
        <v>259</v>
      </c>
      <c r="F333" s="13" t="s">
        <v>260</v>
      </c>
      <c r="G333" s="263"/>
      <c r="H333" s="15"/>
      <c r="I333" s="174" t="s">
        <v>177</v>
      </c>
      <c r="J333" s="174" t="s">
        <v>205</v>
      </c>
      <c r="K333" s="174" t="s">
        <v>205</v>
      </c>
      <c r="L333" s="4" t="s">
        <v>197</v>
      </c>
      <c r="M333" s="174" t="s">
        <v>21</v>
      </c>
      <c r="N333" s="174">
        <v>3</v>
      </c>
    </row>
    <row r="334" spans="1:14" s="260" customFormat="1" ht="14.25" outlineLevel="1" collapsed="1" thickBot="1">
      <c r="A334" s="256" t="s">
        <v>69</v>
      </c>
      <c r="B334" s="149"/>
      <c r="C334" s="150" t="s">
        <v>44</v>
      </c>
      <c r="D334" s="151"/>
      <c r="E334" s="152"/>
      <c r="F334" s="257" t="s">
        <v>261</v>
      </c>
      <c r="G334" s="263" t="s">
        <v>176</v>
      </c>
      <c r="H334" s="259"/>
      <c r="I334" s="152" t="s">
        <v>110</v>
      </c>
      <c r="J334" s="152"/>
      <c r="K334" s="152"/>
      <c r="L334" s="235" t="str">
        <f>CONCATENATE(L335," ",N335,M335)</f>
        <v>Ремонт силового трансформатора 110 кВ. 1шт.</v>
      </c>
      <c r="M334" s="152"/>
      <c r="N334" s="152"/>
    </row>
    <row r="335" spans="1:14" s="262" customFormat="1" ht="39" hidden="1" outlineLevel="2" thickBot="1">
      <c r="A335" s="16"/>
      <c r="B335" s="175" t="s">
        <v>40</v>
      </c>
      <c r="C335" s="184" t="s">
        <v>44</v>
      </c>
      <c r="D335" s="177" t="s">
        <v>173</v>
      </c>
      <c r="E335" s="175" t="s">
        <v>262</v>
      </c>
      <c r="F335" s="13" t="s">
        <v>263</v>
      </c>
      <c r="G335" s="263"/>
      <c r="H335" s="15"/>
      <c r="I335" s="174" t="s">
        <v>183</v>
      </c>
      <c r="J335" s="174" t="s">
        <v>258</v>
      </c>
      <c r="K335" s="174" t="s">
        <v>258</v>
      </c>
      <c r="L335" s="4" t="s">
        <v>185</v>
      </c>
      <c r="M335" s="174" t="s">
        <v>21</v>
      </c>
      <c r="N335" s="174">
        <v>1</v>
      </c>
    </row>
    <row r="336" spans="1:14" s="260" customFormat="1" ht="78" outlineLevel="1" collapsed="1" thickBot="1">
      <c r="A336" s="256" t="s">
        <v>70</v>
      </c>
      <c r="B336" s="149"/>
      <c r="C336" s="150" t="s">
        <v>44</v>
      </c>
      <c r="D336" s="151"/>
      <c r="E336" s="152"/>
      <c r="F336" s="257" t="s">
        <v>264</v>
      </c>
      <c r="G336" s="263" t="s">
        <v>176</v>
      </c>
      <c r="H336" s="259"/>
      <c r="I336" s="152" t="s">
        <v>64</v>
      </c>
      <c r="J336" s="152"/>
      <c r="K336" s="152"/>
      <c r="L336" s="235" t="str">
        <f>CONCATENATE(L337," ",N337,M337," ",L338," ",N338,M338," ",L339," ",N339,M339," ",L340," ",N340,M340," ",L341," ",N341,M341," ",L342," ",N342,M342)</f>
        <v>Ремонт силового трансформатора 35 кВ. 1шт. Ремонт силового трансформатора 35 кВ. 1шт. Ремонт трансформаторов тока 110 кВ. 3шт. Ремонт трансформаторов напряжения 35 кВ. 1шт. Ремонт силового трансформатора 6-10 кВ. 1шт. Ремонт силового трансформатора 6-10 кВ. 1шт.</v>
      </c>
      <c r="M336" s="152"/>
      <c r="N336" s="152"/>
    </row>
    <row r="337" spans="1:14" s="262" customFormat="1" ht="25.5" hidden="1" customHeight="1" outlineLevel="2">
      <c r="A337" s="16"/>
      <c r="B337" s="175" t="s">
        <v>48</v>
      </c>
      <c r="C337" s="184" t="s">
        <v>44</v>
      </c>
      <c r="D337" s="177" t="s">
        <v>173</v>
      </c>
      <c r="E337" s="175" t="s">
        <v>265</v>
      </c>
      <c r="F337" s="13" t="s">
        <v>266</v>
      </c>
      <c r="G337" s="263"/>
      <c r="H337" s="15"/>
      <c r="I337" s="174" t="s">
        <v>183</v>
      </c>
      <c r="J337" s="174" t="s">
        <v>258</v>
      </c>
      <c r="K337" s="174" t="s">
        <v>258</v>
      </c>
      <c r="L337" s="4" t="s">
        <v>198</v>
      </c>
      <c r="M337" s="174" t="s">
        <v>21</v>
      </c>
      <c r="N337" s="174">
        <v>1</v>
      </c>
    </row>
    <row r="338" spans="1:14" s="262" customFormat="1" ht="38.25" hidden="1" customHeight="1" outlineLevel="2">
      <c r="A338" s="16"/>
      <c r="B338" s="175" t="s">
        <v>48</v>
      </c>
      <c r="C338" s="184" t="s">
        <v>44</v>
      </c>
      <c r="D338" s="177" t="s">
        <v>173</v>
      </c>
      <c r="E338" s="175" t="s">
        <v>267</v>
      </c>
      <c r="F338" s="13" t="s">
        <v>268</v>
      </c>
      <c r="G338" s="263"/>
      <c r="H338" s="15"/>
      <c r="I338" s="174" t="s">
        <v>183</v>
      </c>
      <c r="J338" s="174" t="s">
        <v>258</v>
      </c>
      <c r="K338" s="174" t="s">
        <v>258</v>
      </c>
      <c r="L338" s="4" t="s">
        <v>198</v>
      </c>
      <c r="M338" s="174" t="s">
        <v>21</v>
      </c>
      <c r="N338" s="174">
        <v>1</v>
      </c>
    </row>
    <row r="339" spans="1:14" s="262" customFormat="1" ht="25.5" hidden="1" customHeight="1" outlineLevel="2">
      <c r="A339" s="16"/>
      <c r="B339" s="175" t="s">
        <v>40</v>
      </c>
      <c r="C339" s="184" t="s">
        <v>44</v>
      </c>
      <c r="D339" s="177" t="s">
        <v>173</v>
      </c>
      <c r="E339" s="175" t="s">
        <v>269</v>
      </c>
      <c r="F339" s="13" t="s">
        <v>270</v>
      </c>
      <c r="G339" s="263"/>
      <c r="H339" s="15"/>
      <c r="I339" s="174" t="s">
        <v>183</v>
      </c>
      <c r="J339" s="174" t="s">
        <v>258</v>
      </c>
      <c r="K339" s="174" t="s">
        <v>258</v>
      </c>
      <c r="L339" s="4" t="s">
        <v>271</v>
      </c>
      <c r="M339" s="174" t="s">
        <v>21</v>
      </c>
      <c r="N339" s="174">
        <v>3</v>
      </c>
    </row>
    <row r="340" spans="1:14" s="262" customFormat="1" ht="25.5" hidden="1" customHeight="1" outlineLevel="2">
      <c r="A340" s="16"/>
      <c r="B340" s="175" t="s">
        <v>48</v>
      </c>
      <c r="C340" s="184" t="s">
        <v>44</v>
      </c>
      <c r="D340" s="177" t="s">
        <v>173</v>
      </c>
      <c r="E340" s="175" t="s">
        <v>272</v>
      </c>
      <c r="F340" s="13" t="s">
        <v>273</v>
      </c>
      <c r="G340" s="263"/>
      <c r="H340" s="15"/>
      <c r="I340" s="174" t="s">
        <v>183</v>
      </c>
      <c r="J340" s="174" t="s">
        <v>258</v>
      </c>
      <c r="K340" s="174" t="s">
        <v>258</v>
      </c>
      <c r="L340" s="4" t="s">
        <v>191</v>
      </c>
      <c r="M340" s="174" t="s">
        <v>21</v>
      </c>
      <c r="N340" s="174">
        <v>1</v>
      </c>
    </row>
    <row r="341" spans="1:14" s="262" customFormat="1" ht="25.5" hidden="1" customHeight="1" outlineLevel="2">
      <c r="A341" s="16"/>
      <c r="B341" s="175" t="s">
        <v>56</v>
      </c>
      <c r="C341" s="184" t="s">
        <v>44</v>
      </c>
      <c r="D341" s="177" t="s">
        <v>173</v>
      </c>
      <c r="E341" s="175" t="s">
        <v>274</v>
      </c>
      <c r="F341" s="13" t="s">
        <v>275</v>
      </c>
      <c r="G341" s="263"/>
      <c r="H341" s="15"/>
      <c r="I341" s="174" t="s">
        <v>183</v>
      </c>
      <c r="J341" s="174" t="s">
        <v>258</v>
      </c>
      <c r="K341" s="174" t="s">
        <v>258</v>
      </c>
      <c r="L341" s="4" t="s">
        <v>199</v>
      </c>
      <c r="M341" s="174" t="s">
        <v>21</v>
      </c>
      <c r="N341" s="174">
        <v>1</v>
      </c>
    </row>
    <row r="342" spans="1:14" s="262" customFormat="1" ht="26.25" hidden="1" customHeight="1" outlineLevel="2" thickBot="1">
      <c r="A342" s="16"/>
      <c r="B342" s="175" t="s">
        <v>56</v>
      </c>
      <c r="C342" s="184" t="s">
        <v>44</v>
      </c>
      <c r="D342" s="177" t="s">
        <v>173</v>
      </c>
      <c r="E342" s="175" t="s">
        <v>276</v>
      </c>
      <c r="F342" s="13" t="s">
        <v>277</v>
      </c>
      <c r="G342" s="263"/>
      <c r="H342" s="15"/>
      <c r="I342" s="174" t="s">
        <v>183</v>
      </c>
      <c r="J342" s="174" t="s">
        <v>258</v>
      </c>
      <c r="K342" s="174" t="s">
        <v>258</v>
      </c>
      <c r="L342" s="4" t="s">
        <v>199</v>
      </c>
      <c r="M342" s="174" t="s">
        <v>21</v>
      </c>
      <c r="N342" s="174">
        <v>1</v>
      </c>
    </row>
    <row r="343" spans="1:14" s="260" customFormat="1" ht="134.25" customHeight="1" outlineLevel="1" collapsed="1" thickBot="1">
      <c r="A343" s="256" t="s">
        <v>71</v>
      </c>
      <c r="B343" s="149"/>
      <c r="C343" s="150" t="s">
        <v>44</v>
      </c>
      <c r="D343" s="151"/>
      <c r="E343" s="152"/>
      <c r="F343" s="257" t="s">
        <v>278</v>
      </c>
      <c r="G343" s="263" t="s">
        <v>176</v>
      </c>
      <c r="H343" s="259"/>
      <c r="I343" s="152" t="s">
        <v>110</v>
      </c>
      <c r="J343" s="152"/>
      <c r="K343" s="152"/>
      <c r="L343" s="235" t="str">
        <f>CONCATENATE(L344," ",N344,M344," ",L345," ",N345,M345," ",L346," ",N346,M346," ",L347," ",N347,M347," ",L348," ",N348,M348," ",L349," ",N349,M349," ",L350," ",N350,M350," ",L351," ",N351,M351," ",L352," ",N352,M352," ",L353," ",N353,M353," ",L354," ",N354,M354)</f>
        <v>Ремонт силового трансформатора 110 кВ. 1шт. Ремонт силового трансформатора 110 кВ. 1шт. Ремонт трансформаторов напряжения 110 кВ. 3шт. Ремонт трансформаторов тока 110 кВ. 3шт. Ремонт трансформаторов тока 110 кВ. 3шт. Ремонт выключателей 35 кВ. 1шт. Ремонт выключателей 35 кВ. 1шт. Ремонт выключателей 35 кВ. 1шт. Ремонт разъединителя 35 кВ. 6шт. Ремонт разъединителя 35 кВ. 1шт. Ремонт разъединителя 35 кВ. 1шт.</v>
      </c>
      <c r="M343" s="152"/>
      <c r="N343" s="152"/>
    </row>
    <row r="344" spans="1:14" s="262" customFormat="1" ht="25.5" hidden="1" customHeight="1" outlineLevel="2">
      <c r="A344" s="16"/>
      <c r="B344" s="175" t="s">
        <v>40</v>
      </c>
      <c r="C344" s="184" t="s">
        <v>44</v>
      </c>
      <c r="D344" s="177" t="s">
        <v>173</v>
      </c>
      <c r="E344" s="175" t="s">
        <v>279</v>
      </c>
      <c r="F344" s="13" t="s">
        <v>280</v>
      </c>
      <c r="G344" s="263"/>
      <c r="H344" s="15"/>
      <c r="I344" s="174" t="s">
        <v>183</v>
      </c>
      <c r="J344" s="174" t="s">
        <v>178</v>
      </c>
      <c r="K344" s="174" t="s">
        <v>233</v>
      </c>
      <c r="L344" s="4" t="s">
        <v>185</v>
      </c>
      <c r="M344" s="174" t="s">
        <v>21</v>
      </c>
      <c r="N344" s="174">
        <v>1</v>
      </c>
    </row>
    <row r="345" spans="1:14" s="262" customFormat="1" ht="25.5" hidden="1" customHeight="1" outlineLevel="2">
      <c r="A345" s="16"/>
      <c r="B345" s="175" t="s">
        <v>40</v>
      </c>
      <c r="C345" s="184" t="s">
        <v>44</v>
      </c>
      <c r="D345" s="177" t="s">
        <v>173</v>
      </c>
      <c r="E345" s="175" t="s">
        <v>281</v>
      </c>
      <c r="F345" s="13" t="s">
        <v>282</v>
      </c>
      <c r="G345" s="263"/>
      <c r="H345" s="15"/>
      <c r="I345" s="174" t="s">
        <v>183</v>
      </c>
      <c r="J345" s="174" t="s">
        <v>178</v>
      </c>
      <c r="K345" s="174" t="s">
        <v>233</v>
      </c>
      <c r="L345" s="4" t="s">
        <v>185</v>
      </c>
      <c r="M345" s="174" t="s">
        <v>21</v>
      </c>
      <c r="N345" s="174">
        <v>1</v>
      </c>
    </row>
    <row r="346" spans="1:14" s="262" customFormat="1" ht="38.25" hidden="1" customHeight="1" outlineLevel="2">
      <c r="A346" s="16"/>
      <c r="B346" s="175" t="s">
        <v>40</v>
      </c>
      <c r="C346" s="184" t="s">
        <v>44</v>
      </c>
      <c r="D346" s="177" t="s">
        <v>173</v>
      </c>
      <c r="E346" s="175" t="s">
        <v>283</v>
      </c>
      <c r="F346" s="13" t="s">
        <v>284</v>
      </c>
      <c r="G346" s="263"/>
      <c r="H346" s="15"/>
      <c r="I346" s="174" t="s">
        <v>183</v>
      </c>
      <c r="J346" s="174" t="s">
        <v>258</v>
      </c>
      <c r="K346" s="174" t="s">
        <v>258</v>
      </c>
      <c r="L346" s="4" t="s">
        <v>214</v>
      </c>
      <c r="M346" s="174" t="s">
        <v>21</v>
      </c>
      <c r="N346" s="174">
        <v>3</v>
      </c>
    </row>
    <row r="347" spans="1:14" s="262" customFormat="1" ht="25.5" hidden="1" customHeight="1" outlineLevel="2">
      <c r="A347" s="16"/>
      <c r="B347" s="175" t="s">
        <v>40</v>
      </c>
      <c r="C347" s="184" t="s">
        <v>44</v>
      </c>
      <c r="D347" s="177" t="s">
        <v>173</v>
      </c>
      <c r="E347" s="175" t="s">
        <v>285</v>
      </c>
      <c r="F347" s="13" t="s">
        <v>286</v>
      </c>
      <c r="G347" s="263"/>
      <c r="H347" s="15"/>
      <c r="I347" s="174" t="s">
        <v>183</v>
      </c>
      <c r="J347" s="174" t="s">
        <v>258</v>
      </c>
      <c r="K347" s="174" t="s">
        <v>258</v>
      </c>
      <c r="L347" s="4" t="s">
        <v>271</v>
      </c>
      <c r="M347" s="174" t="s">
        <v>21</v>
      </c>
      <c r="N347" s="174">
        <v>3</v>
      </c>
    </row>
    <row r="348" spans="1:14" s="262" customFormat="1" ht="25.5" hidden="1" customHeight="1" outlineLevel="2">
      <c r="A348" s="16"/>
      <c r="B348" s="175" t="s">
        <v>40</v>
      </c>
      <c r="C348" s="184" t="s">
        <v>44</v>
      </c>
      <c r="D348" s="177" t="s">
        <v>173</v>
      </c>
      <c r="E348" s="175" t="s">
        <v>287</v>
      </c>
      <c r="F348" s="13" t="s">
        <v>288</v>
      </c>
      <c r="G348" s="263"/>
      <c r="H348" s="15"/>
      <c r="I348" s="174" t="s">
        <v>183</v>
      </c>
      <c r="J348" s="174" t="s">
        <v>258</v>
      </c>
      <c r="K348" s="174" t="s">
        <v>258</v>
      </c>
      <c r="L348" s="4" t="s">
        <v>271</v>
      </c>
      <c r="M348" s="174" t="s">
        <v>21</v>
      </c>
      <c r="N348" s="174">
        <v>3</v>
      </c>
    </row>
    <row r="349" spans="1:14" s="262" customFormat="1" ht="25.5" hidden="1" customHeight="1" outlineLevel="2">
      <c r="A349" s="16"/>
      <c r="B349" s="175" t="s">
        <v>48</v>
      </c>
      <c r="C349" s="184" t="s">
        <v>44</v>
      </c>
      <c r="D349" s="177" t="s">
        <v>173</v>
      </c>
      <c r="E349" s="175" t="s">
        <v>289</v>
      </c>
      <c r="F349" s="13" t="s">
        <v>290</v>
      </c>
      <c r="G349" s="263"/>
      <c r="H349" s="15"/>
      <c r="I349" s="174" t="s">
        <v>177</v>
      </c>
      <c r="J349" s="174" t="s">
        <v>233</v>
      </c>
      <c r="K349" s="174" t="s">
        <v>233</v>
      </c>
      <c r="L349" s="4" t="s">
        <v>179</v>
      </c>
      <c r="M349" s="174" t="s">
        <v>21</v>
      </c>
      <c r="N349" s="174">
        <v>1</v>
      </c>
    </row>
    <row r="350" spans="1:14" s="262" customFormat="1" ht="25.5" hidden="1" customHeight="1" outlineLevel="2">
      <c r="A350" s="16"/>
      <c r="B350" s="175" t="s">
        <v>48</v>
      </c>
      <c r="C350" s="184" t="s">
        <v>44</v>
      </c>
      <c r="D350" s="177" t="s">
        <v>173</v>
      </c>
      <c r="E350" s="175" t="s">
        <v>291</v>
      </c>
      <c r="F350" s="13" t="s">
        <v>292</v>
      </c>
      <c r="G350" s="263"/>
      <c r="H350" s="15"/>
      <c r="I350" s="174" t="s">
        <v>177</v>
      </c>
      <c r="J350" s="174" t="s">
        <v>233</v>
      </c>
      <c r="K350" s="174" t="s">
        <v>233</v>
      </c>
      <c r="L350" s="4" t="s">
        <v>179</v>
      </c>
      <c r="M350" s="174" t="s">
        <v>21</v>
      </c>
      <c r="N350" s="174">
        <v>1</v>
      </c>
    </row>
    <row r="351" spans="1:14" s="262" customFormat="1" ht="25.5" hidden="1" customHeight="1" outlineLevel="2">
      <c r="A351" s="16"/>
      <c r="B351" s="175" t="s">
        <v>48</v>
      </c>
      <c r="C351" s="175" t="s">
        <v>44</v>
      </c>
      <c r="D351" s="176" t="s">
        <v>173</v>
      </c>
      <c r="E351" s="175" t="s">
        <v>293</v>
      </c>
      <c r="F351" s="13" t="s">
        <v>294</v>
      </c>
      <c r="G351" s="263"/>
      <c r="H351" s="15"/>
      <c r="I351" s="174" t="s">
        <v>177</v>
      </c>
      <c r="J351" s="174" t="s">
        <v>233</v>
      </c>
      <c r="K351" s="174" t="s">
        <v>233</v>
      </c>
      <c r="L351" s="4" t="s">
        <v>179</v>
      </c>
      <c r="M351" s="174" t="s">
        <v>21</v>
      </c>
      <c r="N351" s="174">
        <v>1</v>
      </c>
    </row>
    <row r="352" spans="1:14" s="262" customFormat="1" ht="38.25" hidden="1" customHeight="1" outlineLevel="2">
      <c r="A352" s="40"/>
      <c r="B352" s="175" t="s">
        <v>48</v>
      </c>
      <c r="C352" s="175" t="s">
        <v>44</v>
      </c>
      <c r="D352" s="176" t="s">
        <v>173</v>
      </c>
      <c r="E352" s="175" t="s">
        <v>295</v>
      </c>
      <c r="F352" s="17" t="s">
        <v>296</v>
      </c>
      <c r="G352" s="264"/>
      <c r="H352" s="265"/>
      <c r="I352" s="35" t="s">
        <v>183</v>
      </c>
      <c r="J352" s="35" t="s">
        <v>205</v>
      </c>
      <c r="K352" s="35" t="s">
        <v>233</v>
      </c>
      <c r="L352" s="4" t="s">
        <v>180</v>
      </c>
      <c r="M352" s="174" t="s">
        <v>21</v>
      </c>
      <c r="N352" s="174">
        <v>6</v>
      </c>
    </row>
    <row r="353" spans="1:14" s="262" customFormat="1" ht="25.5" hidden="1" customHeight="1" outlineLevel="2">
      <c r="A353" s="16"/>
      <c r="B353" s="175" t="s">
        <v>48</v>
      </c>
      <c r="C353" s="175" t="s">
        <v>44</v>
      </c>
      <c r="D353" s="176" t="s">
        <v>173</v>
      </c>
      <c r="E353" s="175" t="s">
        <v>295</v>
      </c>
      <c r="F353" s="13" t="s">
        <v>297</v>
      </c>
      <c r="G353" s="263"/>
      <c r="H353" s="15"/>
      <c r="I353" s="174" t="s">
        <v>177</v>
      </c>
      <c r="J353" s="174" t="s">
        <v>233</v>
      </c>
      <c r="K353" s="174" t="s">
        <v>233</v>
      </c>
      <c r="L353" s="4" t="s">
        <v>180</v>
      </c>
      <c r="M353" s="174" t="s">
        <v>21</v>
      </c>
      <c r="N353" s="174">
        <v>1</v>
      </c>
    </row>
    <row r="354" spans="1:14" s="262" customFormat="1" ht="26.25" hidden="1" customHeight="1" outlineLevel="2" thickBot="1">
      <c r="A354" s="19"/>
      <c r="B354" s="175" t="s">
        <v>48</v>
      </c>
      <c r="C354" s="175" t="s">
        <v>44</v>
      </c>
      <c r="D354" s="176" t="s">
        <v>173</v>
      </c>
      <c r="E354" s="175" t="s">
        <v>295</v>
      </c>
      <c r="F354" s="20" t="s">
        <v>298</v>
      </c>
      <c r="G354" s="263"/>
      <c r="H354" s="15"/>
      <c r="I354" s="174" t="s">
        <v>177</v>
      </c>
      <c r="J354" s="174" t="s">
        <v>233</v>
      </c>
      <c r="K354" s="174" t="s">
        <v>233</v>
      </c>
      <c r="L354" s="4" t="s">
        <v>180</v>
      </c>
      <c r="M354" s="174" t="s">
        <v>21</v>
      </c>
      <c r="N354" s="174">
        <v>1</v>
      </c>
    </row>
    <row r="355" spans="1:14" s="260" customFormat="1" ht="14.25" outlineLevel="1" collapsed="1" thickBot="1">
      <c r="A355" s="256" t="s">
        <v>786</v>
      </c>
      <c r="B355" s="149"/>
      <c r="C355" s="150" t="s">
        <v>44</v>
      </c>
      <c r="D355" s="151"/>
      <c r="E355" s="152"/>
      <c r="F355" s="257" t="s">
        <v>299</v>
      </c>
      <c r="G355" s="263" t="s">
        <v>176</v>
      </c>
      <c r="H355" s="259"/>
      <c r="I355" s="152" t="s">
        <v>64</v>
      </c>
      <c r="J355" s="152"/>
      <c r="K355" s="152"/>
      <c r="L355" s="235" t="str">
        <f>CONCATENATE(L356," ",N356,M356," ")</f>
        <v xml:space="preserve">Ремонт силового трансформатора 110 кВ. 1шт. </v>
      </c>
      <c r="M355" s="152"/>
      <c r="N355" s="152"/>
    </row>
    <row r="356" spans="1:14" s="262" customFormat="1" ht="26.25" hidden="1" customHeight="1" outlineLevel="2" thickBot="1">
      <c r="A356" s="16"/>
      <c r="B356" s="175" t="s">
        <v>40</v>
      </c>
      <c r="C356" s="175" t="s">
        <v>44</v>
      </c>
      <c r="D356" s="176" t="s">
        <v>173</v>
      </c>
      <c r="E356" s="175" t="s">
        <v>300</v>
      </c>
      <c r="F356" s="13" t="s">
        <v>301</v>
      </c>
      <c r="G356" s="263"/>
      <c r="H356" s="15"/>
      <c r="I356" s="174" t="s">
        <v>183</v>
      </c>
      <c r="J356" s="174" t="s">
        <v>205</v>
      </c>
      <c r="K356" s="174" t="s">
        <v>205</v>
      </c>
      <c r="L356" s="4" t="s">
        <v>185</v>
      </c>
      <c r="M356" s="174" t="s">
        <v>21</v>
      </c>
      <c r="N356" s="174">
        <v>1</v>
      </c>
    </row>
    <row r="357" spans="1:14" s="260" customFormat="1" ht="47.25" customHeight="1" outlineLevel="1" collapsed="1" thickBot="1">
      <c r="A357" s="256" t="s">
        <v>72</v>
      </c>
      <c r="B357" s="149"/>
      <c r="C357" s="150" t="s">
        <v>44</v>
      </c>
      <c r="D357" s="151"/>
      <c r="E357" s="152"/>
      <c r="F357" s="257" t="s">
        <v>302</v>
      </c>
      <c r="G357" s="263" t="s">
        <v>176</v>
      </c>
      <c r="H357" s="259"/>
      <c r="I357" s="152" t="s">
        <v>110</v>
      </c>
      <c r="J357" s="152"/>
      <c r="K357" s="152"/>
      <c r="L357" s="235" t="str">
        <f>CONCATENATE(L358," ",N358,M358," ",L359," ",N359,M359," ",L360," ",N360,M360," ",L361," ",N361,M361)</f>
        <v>Ремонт силового трансформатора 110 кВ. 1шт. Ремонт разъединителя 110 кВ. 1шт. Ремонт выключателей 6-10 кВ. 1шт. Ремонт силового трансформатора 6-10 кВ. 1шт.</v>
      </c>
      <c r="M357" s="152"/>
      <c r="N357" s="152"/>
    </row>
    <row r="358" spans="1:14" s="262" customFormat="1" ht="25.5" hidden="1" customHeight="1" outlineLevel="2">
      <c r="A358" s="16"/>
      <c r="B358" s="175" t="s">
        <v>40</v>
      </c>
      <c r="C358" s="175" t="s">
        <v>44</v>
      </c>
      <c r="D358" s="176" t="s">
        <v>173</v>
      </c>
      <c r="E358" s="175" t="s">
        <v>303</v>
      </c>
      <c r="F358" s="13" t="s">
        <v>304</v>
      </c>
      <c r="G358" s="263"/>
      <c r="H358" s="15"/>
      <c r="I358" s="174" t="s">
        <v>183</v>
      </c>
      <c r="J358" s="174" t="s">
        <v>178</v>
      </c>
      <c r="K358" s="174" t="s">
        <v>178</v>
      </c>
      <c r="L358" s="4" t="s">
        <v>185</v>
      </c>
      <c r="M358" s="174" t="s">
        <v>21</v>
      </c>
      <c r="N358" s="174">
        <v>1</v>
      </c>
    </row>
    <row r="359" spans="1:14" s="262" customFormat="1" ht="25.5" hidden="1" customHeight="1" outlineLevel="2">
      <c r="A359" s="16"/>
      <c r="B359" s="175" t="s">
        <v>40</v>
      </c>
      <c r="C359" s="175" t="s">
        <v>44</v>
      </c>
      <c r="D359" s="176" t="s">
        <v>173</v>
      </c>
      <c r="E359" s="175" t="s">
        <v>305</v>
      </c>
      <c r="F359" s="13" t="s">
        <v>306</v>
      </c>
      <c r="G359" s="263"/>
      <c r="H359" s="15"/>
      <c r="I359" s="174" t="s">
        <v>177</v>
      </c>
      <c r="J359" s="174" t="s">
        <v>233</v>
      </c>
      <c r="K359" s="174" t="s">
        <v>233</v>
      </c>
      <c r="L359" s="4" t="s">
        <v>188</v>
      </c>
      <c r="M359" s="174" t="s">
        <v>21</v>
      </c>
      <c r="N359" s="174">
        <v>1</v>
      </c>
    </row>
    <row r="360" spans="1:14" s="262" customFormat="1" ht="25.5" hidden="1" customHeight="1" outlineLevel="2">
      <c r="A360" s="16"/>
      <c r="B360" s="175" t="s">
        <v>56</v>
      </c>
      <c r="C360" s="175" t="s">
        <v>44</v>
      </c>
      <c r="D360" s="176" t="s">
        <v>173</v>
      </c>
      <c r="E360" s="175" t="s">
        <v>307</v>
      </c>
      <c r="F360" s="13" t="s">
        <v>882</v>
      </c>
      <c r="G360" s="263"/>
      <c r="H360" s="15"/>
      <c r="I360" s="174" t="s">
        <v>177</v>
      </c>
      <c r="J360" s="174" t="s">
        <v>233</v>
      </c>
      <c r="K360" s="174" t="s">
        <v>233</v>
      </c>
      <c r="L360" s="4" t="s">
        <v>197</v>
      </c>
      <c r="M360" s="174" t="s">
        <v>21</v>
      </c>
      <c r="N360" s="174">
        <v>1</v>
      </c>
    </row>
    <row r="361" spans="1:14" s="262" customFormat="1" ht="26.25" hidden="1" customHeight="1" outlineLevel="2" thickBot="1">
      <c r="A361" s="16"/>
      <c r="B361" s="175" t="s">
        <v>56</v>
      </c>
      <c r="C361" s="175" t="s">
        <v>44</v>
      </c>
      <c r="D361" s="176" t="s">
        <v>173</v>
      </c>
      <c r="E361" s="175" t="s">
        <v>308</v>
      </c>
      <c r="F361" s="13" t="s">
        <v>309</v>
      </c>
      <c r="G361" s="263"/>
      <c r="H361" s="15"/>
      <c r="I361" s="174" t="s">
        <v>183</v>
      </c>
      <c r="J361" s="174" t="s">
        <v>205</v>
      </c>
      <c r="K361" s="174" t="s">
        <v>205</v>
      </c>
      <c r="L361" s="4" t="s">
        <v>199</v>
      </c>
      <c r="M361" s="174" t="s">
        <v>21</v>
      </c>
      <c r="N361" s="174">
        <v>1</v>
      </c>
    </row>
    <row r="362" spans="1:14" s="260" customFormat="1" ht="39.75" outlineLevel="1" collapsed="1" thickBot="1">
      <c r="A362" s="256" t="s">
        <v>73</v>
      </c>
      <c r="B362" s="149"/>
      <c r="C362" s="150" t="s">
        <v>38</v>
      </c>
      <c r="D362" s="151"/>
      <c r="E362" s="152"/>
      <c r="F362" s="257" t="s">
        <v>310</v>
      </c>
      <c r="G362" s="263" t="s">
        <v>176</v>
      </c>
      <c r="H362" s="259"/>
      <c r="I362" s="152" t="s">
        <v>64</v>
      </c>
      <c r="J362" s="152"/>
      <c r="K362" s="152"/>
      <c r="L362" s="235" t="str">
        <f>CONCATENATE(L363," ",N363,M363," ",L364," ",N364,M364," ",L365," ",N365,M365," ",L366," ",N366,M366)</f>
        <v>Ремонт силового трансформатора 6-10 кВ. 1шт. Ремонт разъединителя 35 кВ. 10шт. Ремонт выключателей 6-10 кВ. 2шт. Ремонт секции шин 6-10 кВ. 1шт.</v>
      </c>
      <c r="M362" s="152"/>
      <c r="N362" s="152"/>
    </row>
    <row r="363" spans="1:14" s="262" customFormat="1" ht="25.5" hidden="1" customHeight="1" outlineLevel="2">
      <c r="A363" s="16"/>
      <c r="B363" s="175" t="s">
        <v>56</v>
      </c>
      <c r="C363" s="175" t="s">
        <v>38</v>
      </c>
      <c r="D363" s="176" t="s">
        <v>173</v>
      </c>
      <c r="E363" s="175" t="s">
        <v>311</v>
      </c>
      <c r="F363" s="13" t="s">
        <v>312</v>
      </c>
      <c r="G363" s="263"/>
      <c r="H363" s="15"/>
      <c r="I363" s="174" t="s">
        <v>183</v>
      </c>
      <c r="J363" s="174" t="s">
        <v>233</v>
      </c>
      <c r="K363" s="174" t="s">
        <v>233</v>
      </c>
      <c r="L363" s="4" t="s">
        <v>199</v>
      </c>
      <c r="M363" s="174" t="s">
        <v>21</v>
      </c>
      <c r="N363" s="174">
        <v>1</v>
      </c>
    </row>
    <row r="364" spans="1:14" s="262" customFormat="1" ht="51" hidden="1" customHeight="1" outlineLevel="2">
      <c r="A364" s="16"/>
      <c r="B364" s="175" t="s">
        <v>48</v>
      </c>
      <c r="C364" s="175" t="s">
        <v>38</v>
      </c>
      <c r="D364" s="176" t="s">
        <v>173</v>
      </c>
      <c r="E364" s="175" t="s">
        <v>313</v>
      </c>
      <c r="F364" s="13" t="s">
        <v>314</v>
      </c>
      <c r="G364" s="263"/>
      <c r="H364" s="15"/>
      <c r="I364" s="174" t="s">
        <v>183</v>
      </c>
      <c r="J364" s="174" t="s">
        <v>233</v>
      </c>
      <c r="K364" s="174" t="s">
        <v>233</v>
      </c>
      <c r="L364" s="4" t="s">
        <v>180</v>
      </c>
      <c r="M364" s="174" t="s">
        <v>21</v>
      </c>
      <c r="N364" s="174">
        <v>10</v>
      </c>
    </row>
    <row r="365" spans="1:14" s="262" customFormat="1" ht="38.25" hidden="1" customHeight="1" outlineLevel="2">
      <c r="A365" s="16"/>
      <c r="B365" s="175" t="s">
        <v>56</v>
      </c>
      <c r="C365" s="175" t="s">
        <v>38</v>
      </c>
      <c r="D365" s="176" t="s">
        <v>173</v>
      </c>
      <c r="E365" s="175" t="s">
        <v>315</v>
      </c>
      <c r="F365" s="13" t="s">
        <v>316</v>
      </c>
      <c r="G365" s="263"/>
      <c r="H365" s="15"/>
      <c r="I365" s="174" t="s">
        <v>183</v>
      </c>
      <c r="J365" s="174" t="s">
        <v>317</v>
      </c>
      <c r="K365" s="174" t="s">
        <v>184</v>
      </c>
      <c r="L365" s="4" t="s">
        <v>197</v>
      </c>
      <c r="M365" s="174" t="s">
        <v>21</v>
      </c>
      <c r="N365" s="174">
        <v>2</v>
      </c>
    </row>
    <row r="366" spans="1:14" s="262" customFormat="1" ht="26.25" hidden="1" customHeight="1" outlineLevel="2" thickBot="1">
      <c r="A366" s="16"/>
      <c r="B366" s="175" t="s">
        <v>56</v>
      </c>
      <c r="C366" s="175" t="s">
        <v>38</v>
      </c>
      <c r="D366" s="176" t="s">
        <v>173</v>
      </c>
      <c r="E366" s="175" t="s">
        <v>315</v>
      </c>
      <c r="F366" s="13" t="s">
        <v>318</v>
      </c>
      <c r="G366" s="263"/>
      <c r="H366" s="15"/>
      <c r="I366" s="174" t="s">
        <v>183</v>
      </c>
      <c r="J366" s="174" t="s">
        <v>317</v>
      </c>
      <c r="K366" s="174" t="s">
        <v>184</v>
      </c>
      <c r="L366" s="4" t="s">
        <v>319</v>
      </c>
      <c r="M366" s="174" t="s">
        <v>21</v>
      </c>
      <c r="N366" s="174">
        <v>1</v>
      </c>
    </row>
    <row r="367" spans="1:14" s="260" customFormat="1" ht="27" outlineLevel="1" collapsed="1" thickBot="1">
      <c r="A367" s="256" t="s">
        <v>74</v>
      </c>
      <c r="B367" s="149"/>
      <c r="C367" s="150" t="s">
        <v>38</v>
      </c>
      <c r="D367" s="151"/>
      <c r="E367" s="152"/>
      <c r="F367" s="257" t="s">
        <v>320</v>
      </c>
      <c r="G367" s="259" t="s">
        <v>176</v>
      </c>
      <c r="H367" s="259"/>
      <c r="I367" s="152" t="s">
        <v>64</v>
      </c>
      <c r="J367" s="152"/>
      <c r="K367" s="152"/>
      <c r="L367" s="235" t="str">
        <f>CONCATENATE(L368," ",N368,M368," ",L369," ",N369,M369)</f>
        <v>Ремонт силового трансформатора 110 кВ. 1шт. Ремонт силового трансформатора 110 кВ. 1шт.</v>
      </c>
      <c r="M367" s="152"/>
      <c r="N367" s="152"/>
    </row>
    <row r="368" spans="1:14" s="262" customFormat="1" ht="25.5" hidden="1" customHeight="1" outlineLevel="2">
      <c r="A368" s="16"/>
      <c r="B368" s="175" t="s">
        <v>40</v>
      </c>
      <c r="C368" s="175" t="s">
        <v>38</v>
      </c>
      <c r="D368" s="176" t="s">
        <v>173</v>
      </c>
      <c r="E368" s="175" t="s">
        <v>321</v>
      </c>
      <c r="F368" s="13" t="s">
        <v>322</v>
      </c>
      <c r="G368" s="263"/>
      <c r="H368" s="15"/>
      <c r="I368" s="174" t="s">
        <v>183</v>
      </c>
      <c r="J368" s="174" t="s">
        <v>233</v>
      </c>
      <c r="K368" s="174" t="s">
        <v>233</v>
      </c>
      <c r="L368" s="4" t="s">
        <v>185</v>
      </c>
      <c r="M368" s="174" t="s">
        <v>21</v>
      </c>
      <c r="N368" s="174">
        <v>1</v>
      </c>
    </row>
    <row r="369" spans="1:14" s="262" customFormat="1" ht="26.25" hidden="1" customHeight="1" outlineLevel="2" thickBot="1">
      <c r="A369" s="16"/>
      <c r="B369" s="175" t="s">
        <v>40</v>
      </c>
      <c r="C369" s="175" t="s">
        <v>38</v>
      </c>
      <c r="D369" s="176" t="s">
        <v>173</v>
      </c>
      <c r="E369" s="175" t="s">
        <v>323</v>
      </c>
      <c r="F369" s="13" t="s">
        <v>324</v>
      </c>
      <c r="G369" s="263"/>
      <c r="H369" s="15"/>
      <c r="I369" s="174" t="s">
        <v>183</v>
      </c>
      <c r="J369" s="174" t="s">
        <v>233</v>
      </c>
      <c r="K369" s="174" t="s">
        <v>233</v>
      </c>
      <c r="L369" s="4" t="s">
        <v>185</v>
      </c>
      <c r="M369" s="174" t="s">
        <v>21</v>
      </c>
      <c r="N369" s="174">
        <v>1</v>
      </c>
    </row>
    <row r="370" spans="1:14" s="260" customFormat="1" ht="35.25" customHeight="1" outlineLevel="1" collapsed="1" thickBot="1">
      <c r="A370" s="256" t="s">
        <v>79</v>
      </c>
      <c r="B370" s="149"/>
      <c r="C370" s="150" t="s">
        <v>38</v>
      </c>
      <c r="D370" s="151"/>
      <c r="E370" s="152"/>
      <c r="F370" s="257" t="s">
        <v>325</v>
      </c>
      <c r="G370" s="259" t="s">
        <v>201</v>
      </c>
      <c r="H370" s="259"/>
      <c r="I370" s="152" t="s">
        <v>110</v>
      </c>
      <c r="J370" s="152"/>
      <c r="K370" s="152"/>
      <c r="L370" s="235" t="str">
        <f>CONCATENATE(L371," ",N371,M371," ",L372," ",N372,M372)</f>
        <v>Замена выключателей 6-10 кВ 1шт. Ремонт силового трансформатора 110 кВ. 1шт.</v>
      </c>
      <c r="M370" s="152"/>
      <c r="N370" s="152"/>
    </row>
    <row r="371" spans="1:14" s="262" customFormat="1" ht="25.5" hidden="1" customHeight="1" outlineLevel="2">
      <c r="A371" s="16"/>
      <c r="B371" s="175" t="s">
        <v>56</v>
      </c>
      <c r="C371" s="175" t="s">
        <v>38</v>
      </c>
      <c r="D371" s="176" t="s">
        <v>173</v>
      </c>
      <c r="E371" s="175" t="s">
        <v>326</v>
      </c>
      <c r="F371" s="13" t="s">
        <v>736</v>
      </c>
      <c r="G371" s="263"/>
      <c r="H371" s="15"/>
      <c r="I371" s="174" t="s">
        <v>177</v>
      </c>
      <c r="J371" s="174" t="s">
        <v>258</v>
      </c>
      <c r="K371" s="174" t="s">
        <v>258</v>
      </c>
      <c r="L371" s="4" t="s">
        <v>327</v>
      </c>
      <c r="M371" s="174" t="s">
        <v>21</v>
      </c>
      <c r="N371" s="174">
        <v>1</v>
      </c>
    </row>
    <row r="372" spans="1:14" s="262" customFormat="1" ht="25.5" hidden="1" customHeight="1" outlineLevel="2" thickBot="1">
      <c r="A372" s="16"/>
      <c r="B372" s="175" t="s">
        <v>40</v>
      </c>
      <c r="C372" s="175" t="s">
        <v>38</v>
      </c>
      <c r="D372" s="176" t="s">
        <v>173</v>
      </c>
      <c r="E372" s="175" t="s">
        <v>728</v>
      </c>
      <c r="F372" s="13" t="s">
        <v>727</v>
      </c>
      <c r="G372" s="263"/>
      <c r="H372" s="15"/>
      <c r="I372" s="174" t="s">
        <v>183</v>
      </c>
      <c r="J372" s="174" t="s">
        <v>258</v>
      </c>
      <c r="K372" s="174" t="s">
        <v>258</v>
      </c>
      <c r="L372" s="4" t="s">
        <v>185</v>
      </c>
      <c r="M372" s="174" t="s">
        <v>21</v>
      </c>
      <c r="N372" s="174">
        <v>1</v>
      </c>
    </row>
    <row r="373" spans="1:14" s="260" customFormat="1" ht="103.5" outlineLevel="1" collapsed="1" thickBot="1">
      <c r="A373" s="256" t="s">
        <v>80</v>
      </c>
      <c r="B373" s="149"/>
      <c r="C373" s="150" t="s">
        <v>38</v>
      </c>
      <c r="D373" s="151"/>
      <c r="E373" s="152"/>
      <c r="F373" s="257" t="s">
        <v>328</v>
      </c>
      <c r="G373" s="259" t="s">
        <v>176</v>
      </c>
      <c r="H373" s="259"/>
      <c r="I373" s="152" t="s">
        <v>110</v>
      </c>
      <c r="J373" s="152"/>
      <c r="K373" s="152"/>
      <c r="L373" s="235" t="str">
        <f>CONCATENATE(L374," ",N374,M374," ",L375," ",N375,M375," ",L376," ",N376,M376," ",L377," ",N377,M377," ",L378," ",N378,M378," ",L379," ",N379,M379," ",L380," ",N380,M380," ",L381," ",N381,M381," ",L382," ",N382,M382," ",L383," ",N383,M383," ",L384," ",N384,M384," ",)</f>
        <v xml:space="preserve">Ремонт шинного моста 6-10 кВ. 1шт. Ремонт шинного моста 6-10 кВ. 1шт. Ремонт выключателей 6-10 кВ. 2шт. Замена ОПН, разрядников 35 кВ. 3шт. Ремонт выключателей 110 кВ. 1шт. Ремонт выключателей 6-10 кВ. 10шт. Ремонт силового трансформатора 110 кВ. 1шт. Ремонт силового трансформатора 110 кВ. 1шт. Ремонт силового трансформатора 110 кВ. 1шт. Ремонт трансформаторов тока 35 кВ. 2шт. Ремонт трансформаторов тока 35 кВ. 2шт. </v>
      </c>
      <c r="M373" s="152"/>
      <c r="N373" s="152"/>
    </row>
    <row r="374" spans="1:14" s="262" customFormat="1" ht="51.75" hidden="1" customHeight="1" outlineLevel="2">
      <c r="A374" s="16"/>
      <c r="B374" s="175" t="s">
        <v>56</v>
      </c>
      <c r="C374" s="175" t="s">
        <v>38</v>
      </c>
      <c r="D374" s="176" t="s">
        <v>173</v>
      </c>
      <c r="E374" s="175" t="s">
        <v>329</v>
      </c>
      <c r="F374" s="13" t="s">
        <v>330</v>
      </c>
      <c r="G374" s="267"/>
      <c r="H374" s="266"/>
      <c r="I374" s="174" t="s">
        <v>177</v>
      </c>
      <c r="J374" s="174" t="s">
        <v>178</v>
      </c>
      <c r="K374" s="174" t="s">
        <v>205</v>
      </c>
      <c r="L374" s="4" t="s">
        <v>331</v>
      </c>
      <c r="M374" s="174" t="s">
        <v>21</v>
      </c>
      <c r="N374" s="174">
        <v>1</v>
      </c>
    </row>
    <row r="375" spans="1:14" s="262" customFormat="1" ht="51.75" hidden="1" customHeight="1" outlineLevel="2">
      <c r="A375" s="16"/>
      <c r="B375" s="175" t="s">
        <v>56</v>
      </c>
      <c r="C375" s="175" t="s">
        <v>38</v>
      </c>
      <c r="D375" s="176" t="s">
        <v>173</v>
      </c>
      <c r="E375" s="175" t="s">
        <v>332</v>
      </c>
      <c r="F375" s="13" t="s">
        <v>333</v>
      </c>
      <c r="G375" s="267"/>
      <c r="H375" s="266"/>
      <c r="I375" s="174" t="s">
        <v>177</v>
      </c>
      <c r="J375" s="174" t="s">
        <v>178</v>
      </c>
      <c r="K375" s="174" t="s">
        <v>205</v>
      </c>
      <c r="L375" s="4" t="s">
        <v>331</v>
      </c>
      <c r="M375" s="174" t="s">
        <v>21</v>
      </c>
      <c r="N375" s="174">
        <v>1</v>
      </c>
    </row>
    <row r="376" spans="1:14" s="262" customFormat="1" ht="38.25" hidden="1" customHeight="1" outlineLevel="2">
      <c r="A376" s="16"/>
      <c r="B376" s="175" t="s">
        <v>56</v>
      </c>
      <c r="C376" s="175" t="s">
        <v>38</v>
      </c>
      <c r="D376" s="176" t="s">
        <v>173</v>
      </c>
      <c r="E376" s="175" t="s">
        <v>334</v>
      </c>
      <c r="F376" s="13" t="s">
        <v>335</v>
      </c>
      <c r="G376" s="263"/>
      <c r="H376" s="15"/>
      <c r="I376" s="174" t="s">
        <v>177</v>
      </c>
      <c r="J376" s="174" t="s">
        <v>140</v>
      </c>
      <c r="K376" s="174" t="s">
        <v>317</v>
      </c>
      <c r="L376" s="4" t="s">
        <v>197</v>
      </c>
      <c r="M376" s="174" t="s">
        <v>21</v>
      </c>
      <c r="N376" s="174">
        <v>2</v>
      </c>
    </row>
    <row r="377" spans="1:14" s="262" customFormat="1" ht="51.75" hidden="1" customHeight="1" outlineLevel="2">
      <c r="A377" s="16"/>
      <c r="B377" s="175" t="s">
        <v>48</v>
      </c>
      <c r="C377" s="175" t="s">
        <v>38</v>
      </c>
      <c r="D377" s="176" t="s">
        <v>173</v>
      </c>
      <c r="E377" s="175" t="s">
        <v>336</v>
      </c>
      <c r="F377" s="13" t="s">
        <v>337</v>
      </c>
      <c r="G377" s="267"/>
      <c r="H377" s="266"/>
      <c r="I377" s="174" t="s">
        <v>177</v>
      </c>
      <c r="J377" s="174" t="s">
        <v>178</v>
      </c>
      <c r="K377" s="174" t="s">
        <v>205</v>
      </c>
      <c r="L377" s="4" t="s">
        <v>338</v>
      </c>
      <c r="M377" s="174" t="s">
        <v>21</v>
      </c>
      <c r="N377" s="174">
        <v>3</v>
      </c>
    </row>
    <row r="378" spans="1:14" s="262" customFormat="1" ht="25.5" hidden="1" customHeight="1" outlineLevel="2">
      <c r="A378" s="16"/>
      <c r="B378" s="175" t="s">
        <v>40</v>
      </c>
      <c r="C378" s="175" t="s">
        <v>38</v>
      </c>
      <c r="D378" s="176" t="s">
        <v>173</v>
      </c>
      <c r="E378" s="175" t="s">
        <v>339</v>
      </c>
      <c r="F378" s="13" t="s">
        <v>340</v>
      </c>
      <c r="G378" s="263"/>
      <c r="H378" s="15"/>
      <c r="I378" s="174" t="s">
        <v>177</v>
      </c>
      <c r="J378" s="174" t="s">
        <v>178</v>
      </c>
      <c r="K378" s="174" t="s">
        <v>205</v>
      </c>
      <c r="L378" s="4" t="s">
        <v>213</v>
      </c>
      <c r="M378" s="174" t="s">
        <v>21</v>
      </c>
      <c r="N378" s="174">
        <v>1</v>
      </c>
    </row>
    <row r="379" spans="1:14" s="262" customFormat="1" ht="38.25" hidden="1" customHeight="1" outlineLevel="2">
      <c r="A379" s="16"/>
      <c r="B379" s="175" t="s">
        <v>56</v>
      </c>
      <c r="C379" s="175" t="s">
        <v>38</v>
      </c>
      <c r="D379" s="176" t="s">
        <v>173</v>
      </c>
      <c r="E379" s="175" t="s">
        <v>341</v>
      </c>
      <c r="F379" s="13" t="s">
        <v>342</v>
      </c>
      <c r="G379" s="263"/>
      <c r="H379" s="15"/>
      <c r="I379" s="174" t="s">
        <v>177</v>
      </c>
      <c r="J379" s="174" t="s">
        <v>140</v>
      </c>
      <c r="K379" s="174" t="s">
        <v>317</v>
      </c>
      <c r="L379" s="4" t="s">
        <v>197</v>
      </c>
      <c r="M379" s="174" t="s">
        <v>21</v>
      </c>
      <c r="N379" s="174">
        <v>10</v>
      </c>
    </row>
    <row r="380" spans="1:14" s="262" customFormat="1" ht="50.25" hidden="1" customHeight="1" outlineLevel="2">
      <c r="A380" s="16"/>
      <c r="B380" s="175" t="s">
        <v>40</v>
      </c>
      <c r="C380" s="175" t="s">
        <v>38</v>
      </c>
      <c r="D380" s="176" t="s">
        <v>173</v>
      </c>
      <c r="E380" s="175" t="s">
        <v>332</v>
      </c>
      <c r="F380" s="13" t="s">
        <v>343</v>
      </c>
      <c r="G380" s="263"/>
      <c r="H380" s="15"/>
      <c r="I380" s="174" t="s">
        <v>183</v>
      </c>
      <c r="J380" s="174" t="s">
        <v>178</v>
      </c>
      <c r="K380" s="174" t="s">
        <v>205</v>
      </c>
      <c r="L380" s="4" t="s">
        <v>185</v>
      </c>
      <c r="M380" s="174" t="s">
        <v>21</v>
      </c>
      <c r="N380" s="174">
        <v>1</v>
      </c>
    </row>
    <row r="381" spans="1:14" s="262" customFormat="1" ht="50.25" hidden="1" customHeight="1" outlineLevel="2">
      <c r="A381" s="16"/>
      <c r="B381" s="175" t="s">
        <v>40</v>
      </c>
      <c r="C381" s="175" t="s">
        <v>38</v>
      </c>
      <c r="D381" s="176" t="s">
        <v>173</v>
      </c>
      <c r="E381" s="175" t="s">
        <v>344</v>
      </c>
      <c r="F381" s="13" t="s">
        <v>345</v>
      </c>
      <c r="G381" s="263"/>
      <c r="H381" s="15"/>
      <c r="I381" s="174" t="s">
        <v>183</v>
      </c>
      <c r="J381" s="174" t="s">
        <v>178</v>
      </c>
      <c r="K381" s="174" t="s">
        <v>205</v>
      </c>
      <c r="L381" s="4" t="s">
        <v>185</v>
      </c>
      <c r="M381" s="174" t="s">
        <v>21</v>
      </c>
      <c r="N381" s="174">
        <v>1</v>
      </c>
    </row>
    <row r="382" spans="1:14" s="262" customFormat="1" ht="53.25" hidden="1" customHeight="1" outlineLevel="2">
      <c r="A382" s="16"/>
      <c r="B382" s="175" t="s">
        <v>40</v>
      </c>
      <c r="C382" s="175" t="s">
        <v>38</v>
      </c>
      <c r="D382" s="176" t="s">
        <v>173</v>
      </c>
      <c r="E382" s="175" t="s">
        <v>329</v>
      </c>
      <c r="F382" s="13" t="s">
        <v>346</v>
      </c>
      <c r="G382" s="263"/>
      <c r="H382" s="15"/>
      <c r="I382" s="174" t="s">
        <v>183</v>
      </c>
      <c r="J382" s="174" t="s">
        <v>178</v>
      </c>
      <c r="K382" s="174" t="s">
        <v>205</v>
      </c>
      <c r="L382" s="4" t="s">
        <v>185</v>
      </c>
      <c r="M382" s="174" t="s">
        <v>21</v>
      </c>
      <c r="N382" s="174">
        <v>1</v>
      </c>
    </row>
    <row r="383" spans="1:14" s="262" customFormat="1" ht="25.5" hidden="1" customHeight="1" outlineLevel="2">
      <c r="A383" s="16"/>
      <c r="B383" s="175" t="s">
        <v>48</v>
      </c>
      <c r="C383" s="175" t="s">
        <v>38</v>
      </c>
      <c r="D383" s="176" t="s">
        <v>173</v>
      </c>
      <c r="E383" s="175" t="s">
        <v>347</v>
      </c>
      <c r="F383" s="13" t="s">
        <v>348</v>
      </c>
      <c r="G383" s="263"/>
      <c r="H383" s="15"/>
      <c r="I383" s="174" t="s">
        <v>183</v>
      </c>
      <c r="J383" s="174" t="s">
        <v>178</v>
      </c>
      <c r="K383" s="174" t="s">
        <v>205</v>
      </c>
      <c r="L383" s="4" t="s">
        <v>349</v>
      </c>
      <c r="M383" s="174" t="s">
        <v>21</v>
      </c>
      <c r="N383" s="174">
        <v>2</v>
      </c>
    </row>
    <row r="384" spans="1:14" s="262" customFormat="1" ht="26.25" hidden="1" customHeight="1" outlineLevel="2" thickBot="1">
      <c r="A384" s="21"/>
      <c r="B384" s="175" t="s">
        <v>48</v>
      </c>
      <c r="C384" s="175" t="s">
        <v>38</v>
      </c>
      <c r="D384" s="176" t="s">
        <v>173</v>
      </c>
      <c r="E384" s="22" t="s">
        <v>350</v>
      </c>
      <c r="F384" s="23" t="s">
        <v>351</v>
      </c>
      <c r="G384" s="268"/>
      <c r="H384" s="269"/>
      <c r="I384" s="174" t="s">
        <v>183</v>
      </c>
      <c r="J384" s="174" t="s">
        <v>178</v>
      </c>
      <c r="K384" s="174" t="s">
        <v>205</v>
      </c>
      <c r="L384" s="4" t="s">
        <v>349</v>
      </c>
      <c r="M384" s="174" t="s">
        <v>21</v>
      </c>
      <c r="N384" s="174">
        <v>2</v>
      </c>
    </row>
    <row r="385" spans="1:14" s="260" customFormat="1" ht="65.25" outlineLevel="1" collapsed="1" thickBot="1">
      <c r="A385" s="256" t="s">
        <v>81</v>
      </c>
      <c r="B385" s="149"/>
      <c r="C385" s="150" t="s">
        <v>38</v>
      </c>
      <c r="D385" s="151"/>
      <c r="E385" s="152"/>
      <c r="F385" s="257" t="s">
        <v>352</v>
      </c>
      <c r="G385" s="259" t="s">
        <v>176</v>
      </c>
      <c r="H385" s="259"/>
      <c r="I385" s="152" t="s">
        <v>110</v>
      </c>
      <c r="J385" s="152"/>
      <c r="K385" s="152"/>
      <c r="L385" s="235" t="str">
        <f>CONCATENATE(L386," ",N386,M386," ",L387," ",N387,M387," ",L388," ",N388,M388," ",L389," ",N389,M389," ",L390," ",N390,M390," ",L391," ",N391,M391)</f>
        <v>Замена ОПН, разрядников 110 кВ. 3шт. Ремонт силового трансформатора 6-10 кВ. 1шт. Ремонт силового трансформатора 110 кВ. 1шт. Ремонт силового трансформатора 110 кВ. 1шт. Ремонт разъединителя 35 кВ. 1шт. Ремонт выключателей 6-10 кВ. 1шт.</v>
      </c>
      <c r="M385" s="152"/>
      <c r="N385" s="152"/>
    </row>
    <row r="386" spans="1:14" s="262" customFormat="1" ht="51.75" hidden="1" customHeight="1" outlineLevel="2">
      <c r="A386" s="16"/>
      <c r="B386" s="175" t="s">
        <v>40</v>
      </c>
      <c r="C386" s="175" t="s">
        <v>38</v>
      </c>
      <c r="D386" s="176" t="s">
        <v>173</v>
      </c>
      <c r="E386" s="175" t="s">
        <v>353</v>
      </c>
      <c r="F386" s="13" t="s">
        <v>354</v>
      </c>
      <c r="G386" s="267"/>
      <c r="H386" s="266"/>
      <c r="I386" s="174" t="s">
        <v>177</v>
      </c>
      <c r="J386" s="174" t="s">
        <v>233</v>
      </c>
      <c r="K386" s="174" t="s">
        <v>233</v>
      </c>
      <c r="L386" s="4" t="s">
        <v>355</v>
      </c>
      <c r="M386" s="174" t="s">
        <v>21</v>
      </c>
      <c r="N386" s="174">
        <v>3</v>
      </c>
    </row>
    <row r="387" spans="1:14" s="262" customFormat="1" ht="25.5" hidden="1" customHeight="1" outlineLevel="2">
      <c r="A387" s="16"/>
      <c r="B387" s="175" t="s">
        <v>56</v>
      </c>
      <c r="C387" s="175" t="s">
        <v>38</v>
      </c>
      <c r="D387" s="176" t="s">
        <v>173</v>
      </c>
      <c r="E387" s="175" t="s">
        <v>356</v>
      </c>
      <c r="F387" s="13" t="s">
        <v>357</v>
      </c>
      <c r="G387" s="263"/>
      <c r="H387" s="15"/>
      <c r="I387" s="174" t="s">
        <v>177</v>
      </c>
      <c r="J387" s="174" t="s">
        <v>233</v>
      </c>
      <c r="K387" s="174" t="s">
        <v>233</v>
      </c>
      <c r="L387" s="4" t="s">
        <v>199</v>
      </c>
      <c r="M387" s="174" t="s">
        <v>21</v>
      </c>
      <c r="N387" s="174">
        <v>1</v>
      </c>
    </row>
    <row r="388" spans="1:14" s="262" customFormat="1" ht="38.25" hidden="1" customHeight="1" outlineLevel="2">
      <c r="A388" s="16"/>
      <c r="B388" s="175" t="s">
        <v>40</v>
      </c>
      <c r="C388" s="175" t="s">
        <v>38</v>
      </c>
      <c r="D388" s="176" t="s">
        <v>173</v>
      </c>
      <c r="E388" s="175" t="s">
        <v>358</v>
      </c>
      <c r="F388" s="13" t="s">
        <v>359</v>
      </c>
      <c r="G388" s="263"/>
      <c r="H388" s="15"/>
      <c r="I388" s="174" t="s">
        <v>183</v>
      </c>
      <c r="J388" s="174" t="s">
        <v>233</v>
      </c>
      <c r="K388" s="174" t="s">
        <v>233</v>
      </c>
      <c r="L388" s="4" t="s">
        <v>185</v>
      </c>
      <c r="M388" s="174" t="s">
        <v>21</v>
      </c>
      <c r="N388" s="174">
        <v>1</v>
      </c>
    </row>
    <row r="389" spans="1:14" s="262" customFormat="1" ht="38.25" hidden="1" customHeight="1" outlineLevel="2">
      <c r="A389" s="16"/>
      <c r="B389" s="175" t="s">
        <v>40</v>
      </c>
      <c r="C389" s="175" t="s">
        <v>38</v>
      </c>
      <c r="D389" s="176" t="s">
        <v>173</v>
      </c>
      <c r="E389" s="175" t="s">
        <v>360</v>
      </c>
      <c r="F389" s="13" t="s">
        <v>361</v>
      </c>
      <c r="G389" s="263"/>
      <c r="H389" s="15"/>
      <c r="I389" s="174" t="s">
        <v>183</v>
      </c>
      <c r="J389" s="174" t="s">
        <v>233</v>
      </c>
      <c r="K389" s="174" t="s">
        <v>233</v>
      </c>
      <c r="L389" s="4" t="s">
        <v>185</v>
      </c>
      <c r="M389" s="174" t="s">
        <v>21</v>
      </c>
      <c r="N389" s="174">
        <v>1</v>
      </c>
    </row>
    <row r="390" spans="1:14" s="262" customFormat="1" ht="25.5" hidden="1" customHeight="1" outlineLevel="2">
      <c r="A390" s="16"/>
      <c r="B390" s="175" t="s">
        <v>48</v>
      </c>
      <c r="C390" s="175" t="s">
        <v>38</v>
      </c>
      <c r="D390" s="176" t="s">
        <v>173</v>
      </c>
      <c r="E390" s="175" t="s">
        <v>362</v>
      </c>
      <c r="F390" s="13" t="s">
        <v>363</v>
      </c>
      <c r="G390" s="263"/>
      <c r="H390" s="15"/>
      <c r="I390" s="174" t="s">
        <v>183</v>
      </c>
      <c r="J390" s="174" t="s">
        <v>233</v>
      </c>
      <c r="K390" s="174" t="s">
        <v>233</v>
      </c>
      <c r="L390" s="4" t="s">
        <v>180</v>
      </c>
      <c r="M390" s="174" t="s">
        <v>21</v>
      </c>
      <c r="N390" s="174">
        <v>1</v>
      </c>
    </row>
    <row r="391" spans="1:14" s="262" customFormat="1" ht="26.25" hidden="1" customHeight="1" outlineLevel="2" thickBot="1">
      <c r="A391" s="16"/>
      <c r="B391" s="175" t="s">
        <v>56</v>
      </c>
      <c r="C391" s="175" t="s">
        <v>38</v>
      </c>
      <c r="D391" s="176" t="s">
        <v>173</v>
      </c>
      <c r="E391" s="175" t="s">
        <v>364</v>
      </c>
      <c r="F391" s="13" t="s">
        <v>365</v>
      </c>
      <c r="G391" s="263"/>
      <c r="H391" s="15"/>
      <c r="I391" s="174" t="s">
        <v>183</v>
      </c>
      <c r="J391" s="174" t="s">
        <v>317</v>
      </c>
      <c r="K391" s="174" t="s">
        <v>184</v>
      </c>
      <c r="L391" s="4" t="s">
        <v>197</v>
      </c>
      <c r="M391" s="174" t="s">
        <v>21</v>
      </c>
      <c r="N391" s="174">
        <v>1</v>
      </c>
    </row>
    <row r="392" spans="1:14" s="260" customFormat="1" ht="67.5" customHeight="1" outlineLevel="1" collapsed="1" thickBot="1">
      <c r="A392" s="256" t="s">
        <v>82</v>
      </c>
      <c r="B392" s="149"/>
      <c r="C392" s="150" t="s">
        <v>38</v>
      </c>
      <c r="D392" s="151"/>
      <c r="E392" s="152"/>
      <c r="F392" s="257" t="s">
        <v>366</v>
      </c>
      <c r="G392" s="259" t="s">
        <v>176</v>
      </c>
      <c r="H392" s="259"/>
      <c r="I392" s="152" t="s">
        <v>110</v>
      </c>
      <c r="J392" s="152"/>
      <c r="K392" s="152"/>
      <c r="L392" s="235" t="str">
        <f>CONCATENATE(L393," ",N393,M393," ",L394," ",N394,M394," ",L395," ",N395,M395," ",L396," ",N396,M396)</f>
        <v>Ремонт выключателей 6-10 кВ. 9шт. Ремонт силового трансформатора 110 кВ. 1шт. Ремонт силового трансформатора 110 кВ. 1шт. Ремонт силового трансформатора 6-10 кВ. 1шт.</v>
      </c>
      <c r="M392" s="152"/>
      <c r="N392" s="152"/>
    </row>
    <row r="393" spans="1:14" s="262" customFormat="1" ht="38.25" hidden="1" customHeight="1" outlineLevel="2">
      <c r="A393" s="16"/>
      <c r="B393" s="175" t="s">
        <v>56</v>
      </c>
      <c r="C393" s="175" t="s">
        <v>38</v>
      </c>
      <c r="D393" s="176" t="s">
        <v>173</v>
      </c>
      <c r="E393" s="175" t="s">
        <v>367</v>
      </c>
      <c r="F393" s="13" t="s">
        <v>368</v>
      </c>
      <c r="G393" s="263"/>
      <c r="H393" s="15"/>
      <c r="I393" s="174" t="s">
        <v>177</v>
      </c>
      <c r="J393" s="174" t="s">
        <v>369</v>
      </c>
      <c r="K393" s="174" t="s">
        <v>370</v>
      </c>
      <c r="L393" s="4" t="s">
        <v>197</v>
      </c>
      <c r="M393" s="174" t="s">
        <v>21</v>
      </c>
      <c r="N393" s="174">
        <v>9</v>
      </c>
    </row>
    <row r="394" spans="1:14" s="262" customFormat="1" ht="25.5" hidden="1" customHeight="1" outlineLevel="2">
      <c r="A394" s="16"/>
      <c r="B394" s="175" t="s">
        <v>40</v>
      </c>
      <c r="C394" s="175" t="s">
        <v>38</v>
      </c>
      <c r="D394" s="176" t="s">
        <v>173</v>
      </c>
      <c r="E394" s="175" t="s">
        <v>371</v>
      </c>
      <c r="F394" s="13" t="s">
        <v>372</v>
      </c>
      <c r="G394" s="263"/>
      <c r="H394" s="15"/>
      <c r="I394" s="174" t="s">
        <v>183</v>
      </c>
      <c r="J394" s="174" t="s">
        <v>178</v>
      </c>
      <c r="K394" s="174" t="s">
        <v>205</v>
      </c>
      <c r="L394" s="4" t="s">
        <v>185</v>
      </c>
      <c r="M394" s="174" t="s">
        <v>21</v>
      </c>
      <c r="N394" s="174">
        <v>1</v>
      </c>
    </row>
    <row r="395" spans="1:14" s="262" customFormat="1" ht="25.5" hidden="1" customHeight="1" outlineLevel="2">
      <c r="A395" s="16"/>
      <c r="B395" s="175" t="s">
        <v>40</v>
      </c>
      <c r="C395" s="175" t="s">
        <v>38</v>
      </c>
      <c r="D395" s="176" t="s">
        <v>173</v>
      </c>
      <c r="E395" s="175" t="s">
        <v>373</v>
      </c>
      <c r="F395" s="13" t="s">
        <v>374</v>
      </c>
      <c r="G395" s="263"/>
      <c r="H395" s="15"/>
      <c r="I395" s="174" t="s">
        <v>183</v>
      </c>
      <c r="J395" s="174" t="s">
        <v>178</v>
      </c>
      <c r="K395" s="174" t="s">
        <v>205</v>
      </c>
      <c r="L395" s="4" t="s">
        <v>185</v>
      </c>
      <c r="M395" s="174" t="s">
        <v>21</v>
      </c>
      <c r="N395" s="174">
        <v>1</v>
      </c>
    </row>
    <row r="396" spans="1:14" s="262" customFormat="1" ht="37.5" hidden="1" customHeight="1" outlineLevel="2" thickBot="1">
      <c r="A396" s="16"/>
      <c r="B396" s="175" t="s">
        <v>56</v>
      </c>
      <c r="C396" s="175" t="s">
        <v>38</v>
      </c>
      <c r="D396" s="176" t="s">
        <v>173</v>
      </c>
      <c r="E396" s="175" t="s">
        <v>375</v>
      </c>
      <c r="F396" s="13" t="s">
        <v>376</v>
      </c>
      <c r="G396" s="263"/>
      <c r="H396" s="266"/>
      <c r="I396" s="174" t="s">
        <v>183</v>
      </c>
      <c r="J396" s="174" t="s">
        <v>178</v>
      </c>
      <c r="K396" s="174" t="s">
        <v>205</v>
      </c>
      <c r="L396" s="4" t="s">
        <v>199</v>
      </c>
      <c r="M396" s="174" t="s">
        <v>21</v>
      </c>
      <c r="N396" s="174">
        <v>1</v>
      </c>
    </row>
    <row r="397" spans="1:14" s="260" customFormat="1" ht="39.75" outlineLevel="1" collapsed="1" thickBot="1">
      <c r="A397" s="256" t="s">
        <v>118</v>
      </c>
      <c r="B397" s="149"/>
      <c r="C397" s="150" t="s">
        <v>38</v>
      </c>
      <c r="D397" s="151"/>
      <c r="E397" s="152"/>
      <c r="F397" s="257" t="s">
        <v>377</v>
      </c>
      <c r="G397" s="259" t="s">
        <v>176</v>
      </c>
      <c r="H397" s="259"/>
      <c r="I397" s="152" t="s">
        <v>110</v>
      </c>
      <c r="J397" s="152"/>
      <c r="K397" s="152"/>
      <c r="L397" s="235" t="str">
        <f>CONCATENATE(L398," ",N398,M398," ",L399," ",N399,M399," ",L400," ",N400,M400)</f>
        <v>Ремонт выключателей 6-10 кВ. 1шт. Ремонт силового трансформатора 110 кВ. 1шт. Ремонт силового трансформатора 6-10 кВ. 1шт.</v>
      </c>
      <c r="M397" s="152"/>
      <c r="N397" s="152"/>
    </row>
    <row r="398" spans="1:14" s="262" customFormat="1" ht="25.5" hidden="1" customHeight="1" outlineLevel="2">
      <c r="A398" s="16"/>
      <c r="B398" s="175" t="s">
        <v>56</v>
      </c>
      <c r="C398" s="175" t="s">
        <v>38</v>
      </c>
      <c r="D398" s="176" t="s">
        <v>173</v>
      </c>
      <c r="E398" s="175" t="s">
        <v>378</v>
      </c>
      <c r="F398" s="13" t="s">
        <v>379</v>
      </c>
      <c r="G398" s="263"/>
      <c r="H398" s="15"/>
      <c r="I398" s="174" t="s">
        <v>177</v>
      </c>
      <c r="J398" s="174" t="s">
        <v>317</v>
      </c>
      <c r="K398" s="174" t="s">
        <v>317</v>
      </c>
      <c r="L398" s="4" t="s">
        <v>197</v>
      </c>
      <c r="M398" s="174" t="s">
        <v>21</v>
      </c>
      <c r="N398" s="174">
        <v>1</v>
      </c>
    </row>
    <row r="399" spans="1:14" s="262" customFormat="1" ht="25.5" hidden="1" customHeight="1" outlineLevel="2">
      <c r="A399" s="16"/>
      <c r="B399" s="175" t="s">
        <v>40</v>
      </c>
      <c r="C399" s="175" t="s">
        <v>38</v>
      </c>
      <c r="D399" s="176" t="s">
        <v>173</v>
      </c>
      <c r="E399" s="175" t="s">
        <v>380</v>
      </c>
      <c r="F399" s="13" t="s">
        <v>381</v>
      </c>
      <c r="G399" s="263"/>
      <c r="H399" s="15"/>
      <c r="I399" s="174" t="s">
        <v>183</v>
      </c>
      <c r="J399" s="174" t="s">
        <v>205</v>
      </c>
      <c r="K399" s="174" t="s">
        <v>205</v>
      </c>
      <c r="L399" s="4" t="s">
        <v>185</v>
      </c>
      <c r="M399" s="174" t="s">
        <v>21</v>
      </c>
      <c r="N399" s="174">
        <v>1</v>
      </c>
    </row>
    <row r="400" spans="1:14" s="262" customFormat="1" ht="26.25" hidden="1" customHeight="1" outlineLevel="2" thickBot="1">
      <c r="A400" s="16"/>
      <c r="B400" s="175" t="s">
        <v>56</v>
      </c>
      <c r="C400" s="175" t="s">
        <v>38</v>
      </c>
      <c r="D400" s="176" t="s">
        <v>173</v>
      </c>
      <c r="E400" s="175" t="s">
        <v>380</v>
      </c>
      <c r="F400" s="13" t="s">
        <v>382</v>
      </c>
      <c r="G400" s="263"/>
      <c r="H400" s="15"/>
      <c r="I400" s="174" t="s">
        <v>183</v>
      </c>
      <c r="J400" s="174" t="s">
        <v>317</v>
      </c>
      <c r="K400" s="174" t="s">
        <v>184</v>
      </c>
      <c r="L400" s="4" t="s">
        <v>199</v>
      </c>
      <c r="M400" s="174" t="s">
        <v>21</v>
      </c>
      <c r="N400" s="174">
        <v>1</v>
      </c>
    </row>
    <row r="401" spans="1:14" s="260" customFormat="1" ht="39.75" outlineLevel="1" collapsed="1" thickBot="1">
      <c r="A401" s="256" t="s">
        <v>119</v>
      </c>
      <c r="B401" s="149"/>
      <c r="C401" s="150" t="s">
        <v>38</v>
      </c>
      <c r="D401" s="151"/>
      <c r="E401" s="152"/>
      <c r="F401" s="257" t="s">
        <v>383</v>
      </c>
      <c r="G401" s="259" t="s">
        <v>176</v>
      </c>
      <c r="H401" s="259"/>
      <c r="I401" s="152" t="s">
        <v>110</v>
      </c>
      <c r="J401" s="152"/>
      <c r="K401" s="152"/>
      <c r="L401" s="235" t="str">
        <f>CONCATENATE(L402," ",N402,M402," ",L403," ",N403,M403," ",L404," ",N404,M404)</f>
        <v>Ремонт выключателей 6-10 кВ. 1шт. Ремонт силового трансформатора 35 кВ. 1шт. Ремонт силового трансформатора 35 кВ. 1шт.</v>
      </c>
      <c r="M401" s="152"/>
      <c r="N401" s="152"/>
    </row>
    <row r="402" spans="1:14" s="262" customFormat="1" ht="25.5" hidden="1" customHeight="1" outlineLevel="2">
      <c r="A402" s="16"/>
      <c r="B402" s="175" t="s">
        <v>56</v>
      </c>
      <c r="C402" s="175" t="s">
        <v>38</v>
      </c>
      <c r="D402" s="176" t="s">
        <v>173</v>
      </c>
      <c r="E402" s="175" t="s">
        <v>384</v>
      </c>
      <c r="F402" s="13" t="s">
        <v>385</v>
      </c>
      <c r="G402" s="263"/>
      <c r="H402" s="15"/>
      <c r="I402" s="174" t="s">
        <v>177</v>
      </c>
      <c r="J402" s="174" t="s">
        <v>369</v>
      </c>
      <c r="K402" s="174" t="s">
        <v>370</v>
      </c>
      <c r="L402" s="4" t="s">
        <v>197</v>
      </c>
      <c r="M402" s="174" t="s">
        <v>21</v>
      </c>
      <c r="N402" s="174">
        <v>1</v>
      </c>
    </row>
    <row r="403" spans="1:14" s="262" customFormat="1" ht="25.5" hidden="1" customHeight="1" outlineLevel="2">
      <c r="A403" s="16"/>
      <c r="B403" s="175" t="s">
        <v>48</v>
      </c>
      <c r="C403" s="175" t="s">
        <v>38</v>
      </c>
      <c r="D403" s="176" t="s">
        <v>173</v>
      </c>
      <c r="E403" s="175" t="s">
        <v>386</v>
      </c>
      <c r="F403" s="13" t="s">
        <v>387</v>
      </c>
      <c r="G403" s="263"/>
      <c r="H403" s="15"/>
      <c r="I403" s="174" t="s">
        <v>183</v>
      </c>
      <c r="J403" s="174" t="s">
        <v>184</v>
      </c>
      <c r="K403" s="174" t="s">
        <v>184</v>
      </c>
      <c r="L403" s="4" t="s">
        <v>198</v>
      </c>
      <c r="M403" s="174" t="s">
        <v>21</v>
      </c>
      <c r="N403" s="174">
        <v>1</v>
      </c>
    </row>
    <row r="404" spans="1:14" s="262" customFormat="1" ht="26.25" hidden="1" customHeight="1" outlineLevel="2" thickBot="1">
      <c r="A404" s="16"/>
      <c r="B404" s="175" t="s">
        <v>48</v>
      </c>
      <c r="C404" s="175" t="s">
        <v>38</v>
      </c>
      <c r="D404" s="176" t="s">
        <v>173</v>
      </c>
      <c r="E404" s="175" t="s">
        <v>388</v>
      </c>
      <c r="F404" s="13" t="s">
        <v>389</v>
      </c>
      <c r="G404" s="263"/>
      <c r="H404" s="15"/>
      <c r="I404" s="174" t="s">
        <v>183</v>
      </c>
      <c r="J404" s="174" t="s">
        <v>184</v>
      </c>
      <c r="K404" s="174" t="s">
        <v>184</v>
      </c>
      <c r="L404" s="4" t="s">
        <v>198</v>
      </c>
      <c r="M404" s="174" t="s">
        <v>21</v>
      </c>
      <c r="N404" s="174">
        <v>1</v>
      </c>
    </row>
    <row r="405" spans="1:14" s="260" customFormat="1" ht="39.75" outlineLevel="1" collapsed="1" thickBot="1">
      <c r="A405" s="256" t="s">
        <v>111</v>
      </c>
      <c r="B405" s="149"/>
      <c r="C405" s="150" t="s">
        <v>38</v>
      </c>
      <c r="D405" s="151"/>
      <c r="E405" s="152"/>
      <c r="F405" s="257" t="s">
        <v>390</v>
      </c>
      <c r="G405" s="259" t="s">
        <v>176</v>
      </c>
      <c r="H405" s="259"/>
      <c r="I405" s="152" t="s">
        <v>110</v>
      </c>
      <c r="J405" s="152"/>
      <c r="K405" s="152"/>
      <c r="L405" s="235" t="str">
        <f>CONCATENATE(L406," ",N406,M406," ",L407," ",N407,M407," ",L408," ",N408,M408," ",L409," ",N409,M409)</f>
        <v>Ремонт разъединителя 110 кВ. 2шт. Ремонт выключателей 6-10 кВ. 1шт. Ремонт силового трансформатора 110 кВ. 1шт. Ремонт силового трансформатора 110 кВ. 1шт.</v>
      </c>
      <c r="M405" s="152"/>
      <c r="N405" s="152"/>
    </row>
    <row r="406" spans="1:14" s="262" customFormat="1" ht="25.5" hidden="1" customHeight="1" outlineLevel="2">
      <c r="A406" s="16"/>
      <c r="B406" s="175" t="s">
        <v>40</v>
      </c>
      <c r="C406" s="175" t="s">
        <v>38</v>
      </c>
      <c r="D406" s="176" t="s">
        <v>173</v>
      </c>
      <c r="E406" s="175" t="s">
        <v>391</v>
      </c>
      <c r="F406" s="13" t="s">
        <v>392</v>
      </c>
      <c r="G406" s="263"/>
      <c r="H406" s="15"/>
      <c r="I406" s="174" t="s">
        <v>177</v>
      </c>
      <c r="J406" s="174" t="s">
        <v>205</v>
      </c>
      <c r="K406" s="174" t="s">
        <v>205</v>
      </c>
      <c r="L406" s="4" t="s">
        <v>188</v>
      </c>
      <c r="M406" s="174" t="s">
        <v>21</v>
      </c>
      <c r="N406" s="174">
        <v>2</v>
      </c>
    </row>
    <row r="407" spans="1:14" s="262" customFormat="1" ht="25.5" hidden="1" customHeight="1" outlineLevel="2">
      <c r="A407" s="16"/>
      <c r="B407" s="175" t="s">
        <v>56</v>
      </c>
      <c r="C407" s="175" t="s">
        <v>38</v>
      </c>
      <c r="D407" s="176" t="s">
        <v>173</v>
      </c>
      <c r="E407" s="175" t="s">
        <v>393</v>
      </c>
      <c r="F407" s="13" t="s">
        <v>394</v>
      </c>
      <c r="G407" s="263"/>
      <c r="H407" s="15"/>
      <c r="I407" s="174" t="s">
        <v>177</v>
      </c>
      <c r="J407" s="174" t="s">
        <v>317</v>
      </c>
      <c r="K407" s="174" t="s">
        <v>317</v>
      </c>
      <c r="L407" s="4" t="s">
        <v>197</v>
      </c>
      <c r="M407" s="174" t="s">
        <v>21</v>
      </c>
      <c r="N407" s="174">
        <v>1</v>
      </c>
    </row>
    <row r="408" spans="1:14" s="262" customFormat="1" ht="25.5" hidden="1" customHeight="1" outlineLevel="2">
      <c r="A408" s="16"/>
      <c r="B408" s="175" t="s">
        <v>40</v>
      </c>
      <c r="C408" s="175" t="s">
        <v>38</v>
      </c>
      <c r="D408" s="176" t="s">
        <v>173</v>
      </c>
      <c r="E408" s="175" t="s">
        <v>395</v>
      </c>
      <c r="F408" s="13" t="s">
        <v>396</v>
      </c>
      <c r="G408" s="263"/>
      <c r="H408" s="15"/>
      <c r="I408" s="174" t="s">
        <v>183</v>
      </c>
      <c r="J408" s="174" t="s">
        <v>205</v>
      </c>
      <c r="K408" s="174" t="s">
        <v>205</v>
      </c>
      <c r="L408" s="4" t="s">
        <v>185</v>
      </c>
      <c r="M408" s="174" t="s">
        <v>21</v>
      </c>
      <c r="N408" s="174">
        <v>1</v>
      </c>
    </row>
    <row r="409" spans="1:14" s="262" customFormat="1" ht="26.25" hidden="1" customHeight="1" outlineLevel="2" thickBot="1">
      <c r="A409" s="16"/>
      <c r="B409" s="175" t="s">
        <v>40</v>
      </c>
      <c r="C409" s="175" t="s">
        <v>38</v>
      </c>
      <c r="D409" s="176" t="s">
        <v>173</v>
      </c>
      <c r="E409" s="175" t="s">
        <v>397</v>
      </c>
      <c r="F409" s="13" t="s">
        <v>398</v>
      </c>
      <c r="G409" s="263"/>
      <c r="H409" s="15"/>
      <c r="I409" s="174" t="s">
        <v>183</v>
      </c>
      <c r="J409" s="174" t="s">
        <v>205</v>
      </c>
      <c r="K409" s="174" t="s">
        <v>205</v>
      </c>
      <c r="L409" s="4" t="s">
        <v>185</v>
      </c>
      <c r="M409" s="174" t="s">
        <v>21</v>
      </c>
      <c r="N409" s="174">
        <v>1</v>
      </c>
    </row>
    <row r="410" spans="1:14" s="260" customFormat="1" ht="104.25" customHeight="1" outlineLevel="1" collapsed="1" thickBot="1">
      <c r="A410" s="256" t="s">
        <v>120</v>
      </c>
      <c r="B410" s="149"/>
      <c r="C410" s="150" t="s">
        <v>38</v>
      </c>
      <c r="D410" s="151"/>
      <c r="E410" s="152"/>
      <c r="F410" s="257" t="s">
        <v>399</v>
      </c>
      <c r="G410" s="259" t="s">
        <v>176</v>
      </c>
      <c r="H410" s="259"/>
      <c r="I410" s="152" t="s">
        <v>110</v>
      </c>
      <c r="J410" s="152"/>
      <c r="K410" s="152"/>
      <c r="L410" s="235" t="str">
        <f>CONCATENATE(L411," ",N411,M411," ",L413," ",N413,M413," ",L414," ",N414,M414," ",L412," ",N412,M412," ",L415," ",N415,M415," ",L416," ",N416,M416," ",L417," ",N417,M417," ",L418," ",N418,M418," ",)</f>
        <v xml:space="preserve">Ремонт выключателей 110 кВ. 1шт. Ремонт разъединителя 110 кВ. 1шт. Замена опорно-стержневых изоляторов разъединителей 110 кВ 6шт. Ремонт разъединителя 110 кВ. 8шт. Ремонт выключателей 6-10 кВ. 2шт. Ремонт выключателей 6-10 кВ. 7шт. Ремонт силового трансформатора 110 кВ. 1шт. Ремонт силового трансформатора 110 кВ. 1шт. </v>
      </c>
      <c r="M410" s="152"/>
      <c r="N410" s="152"/>
    </row>
    <row r="411" spans="1:14" s="262" customFormat="1" ht="44.25" hidden="1" customHeight="1" outlineLevel="2">
      <c r="A411" s="16"/>
      <c r="B411" s="175" t="s">
        <v>40</v>
      </c>
      <c r="C411" s="175" t="s">
        <v>38</v>
      </c>
      <c r="D411" s="176" t="s">
        <v>173</v>
      </c>
      <c r="E411" s="175" t="s">
        <v>400</v>
      </c>
      <c r="F411" s="13" t="s">
        <v>401</v>
      </c>
      <c r="G411" s="263"/>
      <c r="H411" s="15"/>
      <c r="I411" s="174" t="s">
        <v>177</v>
      </c>
      <c r="J411" s="174" t="s">
        <v>205</v>
      </c>
      <c r="K411" s="174" t="s">
        <v>205</v>
      </c>
      <c r="L411" s="4" t="s">
        <v>213</v>
      </c>
      <c r="M411" s="174" t="s">
        <v>21</v>
      </c>
      <c r="N411" s="174">
        <v>1</v>
      </c>
    </row>
    <row r="412" spans="1:14" s="262" customFormat="1" ht="51" hidden="1" customHeight="1" outlineLevel="2">
      <c r="A412" s="16"/>
      <c r="B412" s="175" t="s">
        <v>40</v>
      </c>
      <c r="C412" s="175" t="s">
        <v>38</v>
      </c>
      <c r="D412" s="176" t="s">
        <v>173</v>
      </c>
      <c r="E412" s="175" t="s">
        <v>402</v>
      </c>
      <c r="F412" s="13" t="s">
        <v>403</v>
      </c>
      <c r="G412" s="263"/>
      <c r="H412" s="15"/>
      <c r="I412" s="174" t="s">
        <v>177</v>
      </c>
      <c r="J412" s="174" t="s">
        <v>205</v>
      </c>
      <c r="K412" s="174" t="s">
        <v>205</v>
      </c>
      <c r="L412" s="4" t="s">
        <v>188</v>
      </c>
      <c r="M412" s="174" t="s">
        <v>21</v>
      </c>
      <c r="N412" s="174">
        <v>8</v>
      </c>
    </row>
    <row r="413" spans="1:14" s="262" customFormat="1" ht="21.75" hidden="1" customHeight="1" outlineLevel="2">
      <c r="A413" s="312"/>
      <c r="B413" s="308" t="s">
        <v>40</v>
      </c>
      <c r="C413" s="308" t="s">
        <v>38</v>
      </c>
      <c r="D413" s="314" t="s">
        <v>173</v>
      </c>
      <c r="E413" s="308" t="s">
        <v>402</v>
      </c>
      <c r="F413" s="315" t="s">
        <v>404</v>
      </c>
      <c r="G413" s="310"/>
      <c r="H413" s="308"/>
      <c r="I413" s="309" t="s">
        <v>177</v>
      </c>
      <c r="J413" s="309" t="s">
        <v>205</v>
      </c>
      <c r="K413" s="309" t="s">
        <v>205</v>
      </c>
      <c r="L413" s="175" t="s">
        <v>188</v>
      </c>
      <c r="M413" s="174" t="s">
        <v>21</v>
      </c>
      <c r="N413" s="174">
        <v>1</v>
      </c>
    </row>
    <row r="414" spans="1:14" s="262" customFormat="1" ht="18.75" hidden="1" customHeight="1" outlineLevel="2">
      <c r="A414" s="313"/>
      <c r="B414" s="308"/>
      <c r="C414" s="308"/>
      <c r="D414" s="314"/>
      <c r="E414" s="308"/>
      <c r="F414" s="316"/>
      <c r="G414" s="311"/>
      <c r="H414" s="308"/>
      <c r="I414" s="309"/>
      <c r="J414" s="309"/>
      <c r="K414" s="309"/>
      <c r="L414" s="175" t="s">
        <v>405</v>
      </c>
      <c r="M414" s="174" t="s">
        <v>21</v>
      </c>
      <c r="N414" s="174">
        <v>6</v>
      </c>
    </row>
    <row r="415" spans="1:14" s="262" customFormat="1" ht="25.5" hidden="1" customHeight="1" outlineLevel="2">
      <c r="A415" s="16"/>
      <c r="B415" s="175" t="s">
        <v>56</v>
      </c>
      <c r="C415" s="175" t="s">
        <v>38</v>
      </c>
      <c r="D415" s="176" t="s">
        <v>173</v>
      </c>
      <c r="E415" s="175" t="s">
        <v>406</v>
      </c>
      <c r="F415" s="13" t="s">
        <v>407</v>
      </c>
      <c r="G415" s="263"/>
      <c r="H415" s="15"/>
      <c r="I415" s="174" t="s">
        <v>177</v>
      </c>
      <c r="J415" s="174" t="s">
        <v>370</v>
      </c>
      <c r="K415" s="174" t="s">
        <v>370</v>
      </c>
      <c r="L415" s="4" t="s">
        <v>197</v>
      </c>
      <c r="M415" s="174" t="s">
        <v>21</v>
      </c>
      <c r="N415" s="174">
        <v>2</v>
      </c>
    </row>
    <row r="416" spans="1:14" s="262" customFormat="1" ht="45.75" hidden="1" customHeight="1" outlineLevel="2">
      <c r="A416" s="16"/>
      <c r="B416" s="175" t="s">
        <v>56</v>
      </c>
      <c r="C416" s="175" t="s">
        <v>38</v>
      </c>
      <c r="D416" s="176" t="s">
        <v>173</v>
      </c>
      <c r="E416" s="175" t="s">
        <v>208</v>
      </c>
      <c r="F416" s="13" t="s">
        <v>408</v>
      </c>
      <c r="G416" s="263"/>
      <c r="H416" s="15"/>
      <c r="I416" s="174" t="s">
        <v>177</v>
      </c>
      <c r="J416" s="174" t="s">
        <v>370</v>
      </c>
      <c r="K416" s="174" t="s">
        <v>370</v>
      </c>
      <c r="L416" s="4" t="s">
        <v>197</v>
      </c>
      <c r="M416" s="174" t="s">
        <v>21</v>
      </c>
      <c r="N416" s="174">
        <v>7</v>
      </c>
    </row>
    <row r="417" spans="1:14" s="262" customFormat="1" ht="50.25" hidden="1" customHeight="1" outlineLevel="2">
      <c r="A417" s="16"/>
      <c r="B417" s="175" t="s">
        <v>40</v>
      </c>
      <c r="C417" s="175" t="s">
        <v>38</v>
      </c>
      <c r="D417" s="176" t="s">
        <v>173</v>
      </c>
      <c r="E417" s="175" t="s">
        <v>409</v>
      </c>
      <c r="F417" s="13" t="s">
        <v>410</v>
      </c>
      <c r="G417" s="263"/>
      <c r="H417" s="15"/>
      <c r="I417" s="174" t="s">
        <v>183</v>
      </c>
      <c r="J417" s="174" t="s">
        <v>233</v>
      </c>
      <c r="K417" s="174" t="s">
        <v>233</v>
      </c>
      <c r="L417" s="4" t="s">
        <v>185</v>
      </c>
      <c r="M417" s="174" t="s">
        <v>21</v>
      </c>
      <c r="N417" s="174">
        <v>1</v>
      </c>
    </row>
    <row r="418" spans="1:14" s="262" customFormat="1" ht="54" hidden="1" customHeight="1" outlineLevel="2" thickBot="1">
      <c r="A418" s="21"/>
      <c r="B418" s="175" t="s">
        <v>40</v>
      </c>
      <c r="C418" s="175" t="s">
        <v>38</v>
      </c>
      <c r="D418" s="176" t="s">
        <v>173</v>
      </c>
      <c r="E418" s="22" t="s">
        <v>411</v>
      </c>
      <c r="F418" s="23" t="s">
        <v>412</v>
      </c>
      <c r="G418" s="263"/>
      <c r="H418" s="15"/>
      <c r="I418" s="174" t="s">
        <v>183</v>
      </c>
      <c r="J418" s="174" t="s">
        <v>233</v>
      </c>
      <c r="K418" s="174" t="s">
        <v>233</v>
      </c>
      <c r="L418" s="4" t="s">
        <v>185</v>
      </c>
      <c r="M418" s="174" t="s">
        <v>21</v>
      </c>
      <c r="N418" s="174">
        <v>1</v>
      </c>
    </row>
    <row r="419" spans="1:14" s="260" customFormat="1" ht="39.75" outlineLevel="1" collapsed="1" thickBot="1">
      <c r="A419" s="256" t="s">
        <v>112</v>
      </c>
      <c r="B419" s="149"/>
      <c r="C419" s="150" t="s">
        <v>38</v>
      </c>
      <c r="D419" s="151"/>
      <c r="E419" s="152"/>
      <c r="F419" s="257" t="s">
        <v>413</v>
      </c>
      <c r="G419" s="259" t="s">
        <v>176</v>
      </c>
      <c r="H419" s="259"/>
      <c r="I419" s="152" t="s">
        <v>110</v>
      </c>
      <c r="J419" s="152"/>
      <c r="K419" s="152"/>
      <c r="L419" s="235" t="str">
        <f>CONCATENATE(L420," ",N420,M420," ",L421," ",N421,M421," ",L422," ",N422,M422," ",L423," ",N423,M423)</f>
        <v>Ремонт выключателей 6-10 кВ. 8шт. Ремонт выключателей 6-10 кВ. 1шт. Ремонт силового трансформатора 110 кВ. 1шт. Ремонт силового трансформатора 110 кВ. 1шт.</v>
      </c>
      <c r="M419" s="152"/>
      <c r="N419" s="152"/>
    </row>
    <row r="420" spans="1:14" s="262" customFormat="1" ht="25.5" hidden="1" customHeight="1" outlineLevel="2">
      <c r="A420" s="16"/>
      <c r="B420" s="175" t="s">
        <v>56</v>
      </c>
      <c r="C420" s="175" t="s">
        <v>38</v>
      </c>
      <c r="D420" s="176" t="s">
        <v>173</v>
      </c>
      <c r="E420" s="175" t="s">
        <v>414</v>
      </c>
      <c r="F420" s="13" t="s">
        <v>415</v>
      </c>
      <c r="G420" s="263"/>
      <c r="H420" s="15"/>
      <c r="I420" s="174" t="s">
        <v>177</v>
      </c>
      <c r="J420" s="174" t="s">
        <v>370</v>
      </c>
      <c r="K420" s="174" t="s">
        <v>140</v>
      </c>
      <c r="L420" s="4" t="s">
        <v>197</v>
      </c>
      <c r="M420" s="174" t="s">
        <v>21</v>
      </c>
      <c r="N420" s="174">
        <v>8</v>
      </c>
    </row>
    <row r="421" spans="1:14" s="262" customFormat="1" ht="37.5" hidden="1" customHeight="1" outlineLevel="2">
      <c r="A421" s="16"/>
      <c r="B421" s="175" t="s">
        <v>56</v>
      </c>
      <c r="C421" s="175" t="s">
        <v>38</v>
      </c>
      <c r="D421" s="176" t="s">
        <v>173</v>
      </c>
      <c r="E421" s="175" t="s">
        <v>414</v>
      </c>
      <c r="F421" s="13" t="s">
        <v>416</v>
      </c>
      <c r="G421" s="263"/>
      <c r="H421" s="15"/>
      <c r="I421" s="174" t="s">
        <v>177</v>
      </c>
      <c r="J421" s="174" t="s">
        <v>370</v>
      </c>
      <c r="K421" s="174" t="s">
        <v>140</v>
      </c>
      <c r="L421" s="4" t="s">
        <v>197</v>
      </c>
      <c r="M421" s="174" t="s">
        <v>21</v>
      </c>
      <c r="N421" s="174">
        <v>1</v>
      </c>
    </row>
    <row r="422" spans="1:14" s="262" customFormat="1" ht="54.75" hidden="1" customHeight="1" outlineLevel="2">
      <c r="A422" s="16"/>
      <c r="B422" s="175" t="s">
        <v>40</v>
      </c>
      <c r="C422" s="175" t="s">
        <v>38</v>
      </c>
      <c r="D422" s="176" t="s">
        <v>173</v>
      </c>
      <c r="E422" s="175" t="s">
        <v>417</v>
      </c>
      <c r="F422" s="13" t="s">
        <v>418</v>
      </c>
      <c r="G422" s="263"/>
      <c r="H422" s="15"/>
      <c r="I422" s="174" t="s">
        <v>183</v>
      </c>
      <c r="J422" s="174" t="s">
        <v>205</v>
      </c>
      <c r="K422" s="174" t="s">
        <v>233</v>
      </c>
      <c r="L422" s="4" t="s">
        <v>185</v>
      </c>
      <c r="M422" s="174" t="s">
        <v>21</v>
      </c>
      <c r="N422" s="174">
        <v>1</v>
      </c>
    </row>
    <row r="423" spans="1:14" s="262" customFormat="1" ht="58.5" hidden="1" customHeight="1" outlineLevel="2" thickBot="1">
      <c r="A423" s="16"/>
      <c r="B423" s="175" t="s">
        <v>40</v>
      </c>
      <c r="C423" s="175" t="s">
        <v>38</v>
      </c>
      <c r="D423" s="176" t="s">
        <v>173</v>
      </c>
      <c r="E423" s="175" t="s">
        <v>419</v>
      </c>
      <c r="F423" s="13" t="s">
        <v>420</v>
      </c>
      <c r="G423" s="263"/>
      <c r="H423" s="15"/>
      <c r="I423" s="174" t="s">
        <v>183</v>
      </c>
      <c r="J423" s="174" t="s">
        <v>205</v>
      </c>
      <c r="K423" s="174" t="s">
        <v>233</v>
      </c>
      <c r="L423" s="4" t="s">
        <v>185</v>
      </c>
      <c r="M423" s="174" t="s">
        <v>21</v>
      </c>
      <c r="N423" s="174">
        <v>1</v>
      </c>
    </row>
    <row r="424" spans="1:14" s="260" customFormat="1" ht="78" outlineLevel="1" collapsed="1" thickBot="1">
      <c r="A424" s="256" t="s">
        <v>121</v>
      </c>
      <c r="B424" s="149"/>
      <c r="C424" s="150" t="s">
        <v>38</v>
      </c>
      <c r="D424" s="151"/>
      <c r="E424" s="152"/>
      <c r="F424" s="257" t="s">
        <v>421</v>
      </c>
      <c r="G424" s="259" t="s">
        <v>176</v>
      </c>
      <c r="H424" s="259"/>
      <c r="I424" s="152" t="s">
        <v>110</v>
      </c>
      <c r="J424" s="152"/>
      <c r="K424" s="152"/>
      <c r="L424" s="235" t="str">
        <f>CONCATENATE(L425," ",N425,M425," ",L426," ",N426,M426," ",L427," ",N427,M427," ",L428," ",N428,M428," ",L429," ",N429,M429," ",L430," ",N430,M430)</f>
        <v>Ремонт выключателей 110 кВ. 1шт. Ремонт силового трансформатора 6-10 кВ. 1шт. Ремонт силового трансформатора 6-10 кВ. 1шт. Ремонт силового трансформатора 110 кВ. 1шт. Ремонт силового трансформатора 110 кВ. 1шт. Ремонт выключателей 6-10 кВ. 1шт.</v>
      </c>
      <c r="M424" s="152"/>
      <c r="N424" s="152"/>
    </row>
    <row r="425" spans="1:14" s="262" customFormat="1" ht="25.5" hidden="1" customHeight="1" outlineLevel="2">
      <c r="A425" s="16"/>
      <c r="B425" s="175" t="s">
        <v>40</v>
      </c>
      <c r="C425" s="175" t="s">
        <v>38</v>
      </c>
      <c r="D425" s="176" t="s">
        <v>173</v>
      </c>
      <c r="E425" s="175" t="s">
        <v>422</v>
      </c>
      <c r="F425" s="13" t="s">
        <v>423</v>
      </c>
      <c r="G425" s="263"/>
      <c r="H425" s="15"/>
      <c r="I425" s="174" t="s">
        <v>177</v>
      </c>
      <c r="J425" s="174" t="s">
        <v>184</v>
      </c>
      <c r="K425" s="174" t="s">
        <v>184</v>
      </c>
      <c r="L425" s="4" t="s">
        <v>213</v>
      </c>
      <c r="M425" s="174" t="s">
        <v>21</v>
      </c>
      <c r="N425" s="174">
        <v>1</v>
      </c>
    </row>
    <row r="426" spans="1:14" s="262" customFormat="1" ht="25.5" hidden="1" customHeight="1" outlineLevel="2">
      <c r="A426" s="16"/>
      <c r="B426" s="175" t="s">
        <v>56</v>
      </c>
      <c r="C426" s="175" t="s">
        <v>38</v>
      </c>
      <c r="D426" s="176" t="s">
        <v>173</v>
      </c>
      <c r="E426" s="175" t="s">
        <v>424</v>
      </c>
      <c r="F426" s="13" t="s">
        <v>425</v>
      </c>
      <c r="G426" s="263"/>
      <c r="H426" s="15"/>
      <c r="I426" s="174" t="s">
        <v>177</v>
      </c>
      <c r="J426" s="174" t="s">
        <v>184</v>
      </c>
      <c r="K426" s="174" t="s">
        <v>184</v>
      </c>
      <c r="L426" s="4" t="s">
        <v>199</v>
      </c>
      <c r="M426" s="174" t="s">
        <v>21</v>
      </c>
      <c r="N426" s="174">
        <v>1</v>
      </c>
    </row>
    <row r="427" spans="1:14" s="262" customFormat="1" ht="25.5" hidden="1" customHeight="1" outlineLevel="2">
      <c r="A427" s="16"/>
      <c r="B427" s="175" t="s">
        <v>56</v>
      </c>
      <c r="C427" s="175" t="s">
        <v>38</v>
      </c>
      <c r="D427" s="176" t="s">
        <v>173</v>
      </c>
      <c r="E427" s="175" t="s">
        <v>426</v>
      </c>
      <c r="F427" s="13" t="s">
        <v>427</v>
      </c>
      <c r="G427" s="263"/>
      <c r="H427" s="15"/>
      <c r="I427" s="174" t="s">
        <v>177</v>
      </c>
      <c r="J427" s="174" t="s">
        <v>184</v>
      </c>
      <c r="K427" s="174" t="s">
        <v>184</v>
      </c>
      <c r="L427" s="4" t="s">
        <v>199</v>
      </c>
      <c r="M427" s="174" t="s">
        <v>21</v>
      </c>
      <c r="N427" s="174">
        <v>1</v>
      </c>
    </row>
    <row r="428" spans="1:14" s="262" customFormat="1" ht="52.5" hidden="1" customHeight="1" outlineLevel="2">
      <c r="A428" s="16"/>
      <c r="B428" s="175" t="s">
        <v>40</v>
      </c>
      <c r="C428" s="175" t="s">
        <v>38</v>
      </c>
      <c r="D428" s="176" t="s">
        <v>173</v>
      </c>
      <c r="E428" s="175" t="s">
        <v>429</v>
      </c>
      <c r="F428" s="13" t="s">
        <v>430</v>
      </c>
      <c r="G428" s="263"/>
      <c r="H428" s="15"/>
      <c r="I428" s="174" t="s">
        <v>183</v>
      </c>
      <c r="J428" s="174" t="s">
        <v>184</v>
      </c>
      <c r="K428" s="174" t="s">
        <v>184</v>
      </c>
      <c r="L428" s="4" t="s">
        <v>185</v>
      </c>
      <c r="M428" s="174" t="s">
        <v>21</v>
      </c>
      <c r="N428" s="174">
        <v>1</v>
      </c>
    </row>
    <row r="429" spans="1:14" s="262" customFormat="1" ht="52.5" hidden="1" customHeight="1" outlineLevel="2">
      <c r="A429" s="16"/>
      <c r="B429" s="175" t="s">
        <v>40</v>
      </c>
      <c r="C429" s="175" t="s">
        <v>38</v>
      </c>
      <c r="D429" s="176" t="s">
        <v>173</v>
      </c>
      <c r="E429" s="175" t="s">
        <v>431</v>
      </c>
      <c r="F429" s="13" t="s">
        <v>432</v>
      </c>
      <c r="G429" s="263"/>
      <c r="H429" s="15"/>
      <c r="I429" s="174" t="s">
        <v>183</v>
      </c>
      <c r="J429" s="174" t="s">
        <v>184</v>
      </c>
      <c r="K429" s="174" t="s">
        <v>184</v>
      </c>
      <c r="L429" s="4" t="s">
        <v>185</v>
      </c>
      <c r="M429" s="174" t="s">
        <v>21</v>
      </c>
      <c r="N429" s="174">
        <v>1</v>
      </c>
    </row>
    <row r="430" spans="1:14" s="262" customFormat="1" ht="36" hidden="1" customHeight="1" outlineLevel="2" thickBot="1">
      <c r="A430" s="16"/>
      <c r="B430" s="175" t="s">
        <v>56</v>
      </c>
      <c r="C430" s="175" t="s">
        <v>38</v>
      </c>
      <c r="D430" s="176" t="s">
        <v>173</v>
      </c>
      <c r="E430" s="175" t="s">
        <v>428</v>
      </c>
      <c r="F430" s="13" t="s">
        <v>433</v>
      </c>
      <c r="G430" s="263"/>
      <c r="H430" s="15"/>
      <c r="I430" s="174" t="s">
        <v>183</v>
      </c>
      <c r="J430" s="174" t="s">
        <v>369</v>
      </c>
      <c r="K430" s="174" t="s">
        <v>370</v>
      </c>
      <c r="L430" s="4" t="s">
        <v>197</v>
      </c>
      <c r="M430" s="174" t="s">
        <v>21</v>
      </c>
      <c r="N430" s="174">
        <v>1</v>
      </c>
    </row>
    <row r="431" spans="1:14" s="260" customFormat="1" ht="39.75" outlineLevel="1" collapsed="1" thickBot="1">
      <c r="A431" s="256" t="s">
        <v>122</v>
      </c>
      <c r="B431" s="149"/>
      <c r="C431" s="150" t="s">
        <v>38</v>
      </c>
      <c r="D431" s="151"/>
      <c r="E431" s="152"/>
      <c r="F431" s="257" t="s">
        <v>434</v>
      </c>
      <c r="G431" s="259" t="s">
        <v>176</v>
      </c>
      <c r="H431" s="259"/>
      <c r="I431" s="152" t="s">
        <v>110</v>
      </c>
      <c r="J431" s="152"/>
      <c r="K431" s="152"/>
      <c r="L431" s="235" t="str">
        <f>CONCATENATE(L432," ",N432,M432," ",L433," ",N433,M433," ",L434," ",N434,M434," ",L435," ",N435,M435)</f>
        <v>Ремонт разъединителя 35 кВ. 4шт. Замена опорно-стержневых изоляторов разъединителей 35 кВ 24шт. Ремонт выключателей 6-10 кВ. 1шт. Ремонт силового трансформатора 35 кВ. 1шт.</v>
      </c>
      <c r="M431" s="152"/>
      <c r="N431" s="152"/>
    </row>
    <row r="432" spans="1:14" s="262" customFormat="1" ht="41.25" hidden="1" customHeight="1" outlineLevel="2">
      <c r="A432" s="312"/>
      <c r="B432" s="308" t="s">
        <v>48</v>
      </c>
      <c r="C432" s="308" t="s">
        <v>38</v>
      </c>
      <c r="D432" s="314" t="s">
        <v>173</v>
      </c>
      <c r="E432" s="308" t="s">
        <v>435</v>
      </c>
      <c r="F432" s="315" t="s">
        <v>436</v>
      </c>
      <c r="G432" s="310"/>
      <c r="H432" s="308"/>
      <c r="I432" s="309" t="s">
        <v>177</v>
      </c>
      <c r="J432" s="309" t="s">
        <v>178</v>
      </c>
      <c r="K432" s="309" t="s">
        <v>205</v>
      </c>
      <c r="L432" s="175" t="s">
        <v>180</v>
      </c>
      <c r="M432" s="174" t="s">
        <v>21</v>
      </c>
      <c r="N432" s="174">
        <v>4</v>
      </c>
    </row>
    <row r="433" spans="1:14" s="262" customFormat="1" ht="30" hidden="1" customHeight="1" outlineLevel="2">
      <c r="A433" s="313"/>
      <c r="B433" s="308"/>
      <c r="C433" s="308"/>
      <c r="D433" s="314"/>
      <c r="E433" s="308"/>
      <c r="F433" s="316"/>
      <c r="G433" s="311"/>
      <c r="H433" s="308"/>
      <c r="I433" s="309"/>
      <c r="J433" s="309"/>
      <c r="K433" s="309"/>
      <c r="L433" s="175" t="s">
        <v>437</v>
      </c>
      <c r="M433" s="174" t="s">
        <v>21</v>
      </c>
      <c r="N433" s="174">
        <v>24</v>
      </c>
    </row>
    <row r="434" spans="1:14" s="262" customFormat="1" ht="37.5" hidden="1" customHeight="1" outlineLevel="2">
      <c r="A434" s="16"/>
      <c r="B434" s="175" t="s">
        <v>56</v>
      </c>
      <c r="C434" s="175" t="s">
        <v>38</v>
      </c>
      <c r="D434" s="176" t="s">
        <v>173</v>
      </c>
      <c r="E434" s="175" t="s">
        <v>438</v>
      </c>
      <c r="F434" s="13" t="s">
        <v>439</v>
      </c>
      <c r="G434" s="263"/>
      <c r="H434" s="15"/>
      <c r="I434" s="174" t="s">
        <v>177</v>
      </c>
      <c r="J434" s="174" t="s">
        <v>140</v>
      </c>
      <c r="K434" s="174" t="s">
        <v>317</v>
      </c>
      <c r="L434" s="4" t="s">
        <v>197</v>
      </c>
      <c r="M434" s="174" t="s">
        <v>21</v>
      </c>
      <c r="N434" s="174">
        <v>1</v>
      </c>
    </row>
    <row r="435" spans="1:14" s="262" customFormat="1" ht="52.5" hidden="1" customHeight="1" outlineLevel="2" thickBot="1">
      <c r="A435" s="16"/>
      <c r="B435" s="175" t="s">
        <v>48</v>
      </c>
      <c r="C435" s="175" t="s">
        <v>38</v>
      </c>
      <c r="D435" s="176" t="s">
        <v>173</v>
      </c>
      <c r="E435" s="175" t="s">
        <v>440</v>
      </c>
      <c r="F435" s="13" t="s">
        <v>441</v>
      </c>
      <c r="G435" s="267"/>
      <c r="H435" s="266"/>
      <c r="I435" s="174" t="s">
        <v>183</v>
      </c>
      <c r="J435" s="174" t="s">
        <v>178</v>
      </c>
      <c r="K435" s="174" t="s">
        <v>178</v>
      </c>
      <c r="L435" s="4" t="s">
        <v>198</v>
      </c>
      <c r="M435" s="174" t="s">
        <v>21</v>
      </c>
      <c r="N435" s="174">
        <v>1</v>
      </c>
    </row>
    <row r="436" spans="1:14" s="260" customFormat="1" ht="52.5" outlineLevel="1" collapsed="1" thickBot="1">
      <c r="A436" s="256" t="s">
        <v>123</v>
      </c>
      <c r="B436" s="149"/>
      <c r="C436" s="150" t="s">
        <v>47</v>
      </c>
      <c r="D436" s="151"/>
      <c r="E436" s="152"/>
      <c r="F436" s="257" t="s">
        <v>442</v>
      </c>
      <c r="G436" s="259" t="s">
        <v>176</v>
      </c>
      <c r="H436" s="259"/>
      <c r="I436" s="152" t="s">
        <v>64</v>
      </c>
      <c r="J436" s="152"/>
      <c r="K436" s="152"/>
      <c r="L436" s="235" t="str">
        <f>CONCATENATE(L437," ",N437,M437," ",L438," ",N438,M438," ",L439," ",N439,M439," ",L440," ",N440,M440)</f>
        <v>Ремонт трансформаторов напряжения 6-10 кВ. 1шт. Ремонт силового трансформатора 35 кВ. 1шт. Ремонт силового трансформатора 35 кВ. 1шт. Ремонт силового трансформатора 35 кВ. 1шт.</v>
      </c>
      <c r="M436" s="152"/>
      <c r="N436" s="152"/>
    </row>
    <row r="437" spans="1:14" s="262" customFormat="1" ht="25.5" hidden="1" customHeight="1" outlineLevel="2">
      <c r="A437" s="16"/>
      <c r="B437" s="175" t="s">
        <v>56</v>
      </c>
      <c r="C437" s="175" t="s">
        <v>47</v>
      </c>
      <c r="D437" s="176" t="s">
        <v>173</v>
      </c>
      <c r="E437" s="175" t="s">
        <v>443</v>
      </c>
      <c r="F437" s="13" t="s">
        <v>444</v>
      </c>
      <c r="G437" s="263"/>
      <c r="H437" s="15"/>
      <c r="I437" s="174" t="s">
        <v>183</v>
      </c>
      <c r="J437" s="174" t="s">
        <v>178</v>
      </c>
      <c r="K437" s="174" t="s">
        <v>178</v>
      </c>
      <c r="L437" s="4" t="s">
        <v>200</v>
      </c>
      <c r="M437" s="174" t="s">
        <v>21</v>
      </c>
      <c r="N437" s="174">
        <v>1</v>
      </c>
    </row>
    <row r="438" spans="1:14" s="262" customFormat="1" ht="38.25" hidden="1" customHeight="1" outlineLevel="2">
      <c r="A438" s="16"/>
      <c r="B438" s="175" t="s">
        <v>48</v>
      </c>
      <c r="C438" s="175" t="s">
        <v>47</v>
      </c>
      <c r="D438" s="176" t="s">
        <v>173</v>
      </c>
      <c r="E438" s="175" t="s">
        <v>445</v>
      </c>
      <c r="F438" s="13" t="s">
        <v>446</v>
      </c>
      <c r="G438" s="263"/>
      <c r="H438" s="15"/>
      <c r="I438" s="174" t="s">
        <v>183</v>
      </c>
      <c r="J438" s="174" t="s">
        <v>184</v>
      </c>
      <c r="K438" s="174" t="s">
        <v>184</v>
      </c>
      <c r="L438" s="4" t="s">
        <v>198</v>
      </c>
      <c r="M438" s="174" t="s">
        <v>21</v>
      </c>
      <c r="N438" s="174">
        <v>1</v>
      </c>
    </row>
    <row r="439" spans="1:14" s="262" customFormat="1" ht="25.5" hidden="1" customHeight="1" outlineLevel="2">
      <c r="A439" s="16"/>
      <c r="B439" s="175" t="s">
        <v>48</v>
      </c>
      <c r="C439" s="175" t="s">
        <v>47</v>
      </c>
      <c r="D439" s="176" t="s">
        <v>173</v>
      </c>
      <c r="E439" s="175" t="s">
        <v>447</v>
      </c>
      <c r="F439" s="13" t="s">
        <v>448</v>
      </c>
      <c r="G439" s="263"/>
      <c r="H439" s="15"/>
      <c r="I439" s="174" t="s">
        <v>183</v>
      </c>
      <c r="J439" s="174" t="s">
        <v>233</v>
      </c>
      <c r="K439" s="174" t="s">
        <v>233</v>
      </c>
      <c r="L439" s="4" t="s">
        <v>198</v>
      </c>
      <c r="M439" s="174" t="s">
        <v>21</v>
      </c>
      <c r="N439" s="174">
        <v>1</v>
      </c>
    </row>
    <row r="440" spans="1:14" s="262" customFormat="1" ht="39" hidden="1" customHeight="1" outlineLevel="2" thickBot="1">
      <c r="A440" s="16"/>
      <c r="B440" s="175" t="s">
        <v>48</v>
      </c>
      <c r="C440" s="175" t="s">
        <v>47</v>
      </c>
      <c r="D440" s="176" t="s">
        <v>173</v>
      </c>
      <c r="E440" s="175" t="s">
        <v>449</v>
      </c>
      <c r="F440" s="13" t="s">
        <v>450</v>
      </c>
      <c r="G440" s="263"/>
      <c r="H440" s="15"/>
      <c r="I440" s="174" t="s">
        <v>183</v>
      </c>
      <c r="J440" s="174" t="s">
        <v>233</v>
      </c>
      <c r="K440" s="174" t="s">
        <v>233</v>
      </c>
      <c r="L440" s="4" t="s">
        <v>198</v>
      </c>
      <c r="M440" s="174" t="s">
        <v>21</v>
      </c>
      <c r="N440" s="174">
        <v>1</v>
      </c>
    </row>
    <row r="441" spans="1:14" s="260" customFormat="1" ht="14.25" outlineLevel="1" collapsed="1" thickBot="1">
      <c r="A441" s="256" t="s">
        <v>124</v>
      </c>
      <c r="B441" s="149"/>
      <c r="C441" s="150" t="s">
        <v>47</v>
      </c>
      <c r="D441" s="151"/>
      <c r="E441" s="152"/>
      <c r="F441" s="257" t="s">
        <v>451</v>
      </c>
      <c r="G441" s="259" t="s">
        <v>176</v>
      </c>
      <c r="H441" s="259"/>
      <c r="I441" s="152" t="s">
        <v>64</v>
      </c>
      <c r="J441" s="152"/>
      <c r="K441" s="152"/>
      <c r="L441" s="235" t="str">
        <f>CONCATENATE(L442," ",N442,M442)</f>
        <v>Ремонт силового трансформатора 35 кВ. 1шт.</v>
      </c>
      <c r="M441" s="152"/>
      <c r="N441" s="152"/>
    </row>
    <row r="442" spans="1:14" s="262" customFormat="1" ht="26.25" hidden="1" customHeight="1" outlineLevel="2" thickBot="1">
      <c r="A442" s="16"/>
      <c r="B442" s="175" t="s">
        <v>48</v>
      </c>
      <c r="C442" s="175" t="s">
        <v>47</v>
      </c>
      <c r="D442" s="176" t="s">
        <v>173</v>
      </c>
      <c r="E442" s="175" t="s">
        <v>452</v>
      </c>
      <c r="F442" s="13" t="s">
        <v>453</v>
      </c>
      <c r="G442" s="263"/>
      <c r="H442" s="15"/>
      <c r="I442" s="174" t="s">
        <v>183</v>
      </c>
      <c r="J442" s="174" t="s">
        <v>184</v>
      </c>
      <c r="K442" s="174" t="s">
        <v>184</v>
      </c>
      <c r="L442" s="4" t="s">
        <v>198</v>
      </c>
      <c r="M442" s="174" t="s">
        <v>21</v>
      </c>
      <c r="N442" s="174">
        <v>1</v>
      </c>
    </row>
    <row r="443" spans="1:14" s="260" customFormat="1" ht="14.25" outlineLevel="1" collapsed="1" thickBot="1">
      <c r="A443" s="256" t="s">
        <v>113</v>
      </c>
      <c r="B443" s="149"/>
      <c r="C443" s="150" t="s">
        <v>47</v>
      </c>
      <c r="D443" s="151"/>
      <c r="E443" s="152"/>
      <c r="F443" s="257" t="s">
        <v>454</v>
      </c>
      <c r="G443" s="259" t="s">
        <v>176</v>
      </c>
      <c r="H443" s="259"/>
      <c r="I443" s="152" t="s">
        <v>64</v>
      </c>
      <c r="J443" s="152"/>
      <c r="K443" s="152"/>
      <c r="L443" s="235" t="str">
        <f>CONCATENATE(L444," ",N444,M444)</f>
        <v>Ремонт силового трансформатора 35 кВ. 1шт.</v>
      </c>
      <c r="M443" s="152"/>
      <c r="N443" s="152"/>
    </row>
    <row r="444" spans="1:14" s="262" customFormat="1" ht="26.25" hidden="1" customHeight="1" outlineLevel="2" thickBot="1">
      <c r="A444" s="16"/>
      <c r="B444" s="175" t="s">
        <v>48</v>
      </c>
      <c r="C444" s="175" t="s">
        <v>47</v>
      </c>
      <c r="D444" s="176" t="s">
        <v>173</v>
      </c>
      <c r="E444" s="175" t="s">
        <v>455</v>
      </c>
      <c r="F444" s="13" t="s">
        <v>456</v>
      </c>
      <c r="G444" s="263"/>
      <c r="H444" s="15"/>
      <c r="I444" s="174" t="s">
        <v>183</v>
      </c>
      <c r="J444" s="174" t="s">
        <v>184</v>
      </c>
      <c r="K444" s="174" t="s">
        <v>184</v>
      </c>
      <c r="L444" s="4" t="s">
        <v>198</v>
      </c>
      <c r="M444" s="174" t="s">
        <v>21</v>
      </c>
      <c r="N444" s="174">
        <v>1</v>
      </c>
    </row>
    <row r="445" spans="1:14" s="260" customFormat="1" ht="52.5" outlineLevel="1" collapsed="1" thickBot="1">
      <c r="A445" s="256" t="s">
        <v>114</v>
      </c>
      <c r="B445" s="149"/>
      <c r="C445" s="150" t="s">
        <v>47</v>
      </c>
      <c r="D445" s="151"/>
      <c r="E445" s="152"/>
      <c r="F445" s="257" t="s">
        <v>457</v>
      </c>
      <c r="G445" s="259" t="s">
        <v>176</v>
      </c>
      <c r="H445" s="259"/>
      <c r="I445" s="152" t="s">
        <v>64</v>
      </c>
      <c r="J445" s="152"/>
      <c r="K445" s="152"/>
      <c r="L445" s="235" t="str">
        <f>CONCATENATE(L446," ",N446,M446," ",L447," ",N447,M447," ",L448," ",N448,M448," ",L449," ",N449,M449)</f>
        <v>Ремонт силового трансформатора 35 кВ. 1шт. Ремонт силового трансформатора 35 кВ. 2шт. Ремонт силового трансформатора 6-10 кВ. 1шт. Ремонт трансформаторов напряжения 6-10 кВ. 1шт.</v>
      </c>
      <c r="M445" s="152"/>
      <c r="N445" s="152"/>
    </row>
    <row r="446" spans="1:14" s="262" customFormat="1" ht="38.25" hidden="1" customHeight="1" outlineLevel="2">
      <c r="A446" s="16"/>
      <c r="B446" s="175" t="s">
        <v>48</v>
      </c>
      <c r="C446" s="175" t="s">
        <v>47</v>
      </c>
      <c r="D446" s="176" t="s">
        <v>173</v>
      </c>
      <c r="E446" s="175" t="s">
        <v>458</v>
      </c>
      <c r="F446" s="13" t="s">
        <v>459</v>
      </c>
      <c r="G446" s="263"/>
      <c r="H446" s="15"/>
      <c r="I446" s="174" t="s">
        <v>183</v>
      </c>
      <c r="J446" s="174" t="s">
        <v>233</v>
      </c>
      <c r="K446" s="174" t="s">
        <v>233</v>
      </c>
      <c r="L446" s="4" t="s">
        <v>198</v>
      </c>
      <c r="M446" s="174" t="s">
        <v>21</v>
      </c>
      <c r="N446" s="174">
        <v>1</v>
      </c>
    </row>
    <row r="447" spans="1:14" s="262" customFormat="1" ht="38.25" hidden="1" customHeight="1" outlineLevel="2">
      <c r="A447" s="16"/>
      <c r="B447" s="175" t="s">
        <v>48</v>
      </c>
      <c r="C447" s="175" t="s">
        <v>47</v>
      </c>
      <c r="D447" s="176" t="s">
        <v>173</v>
      </c>
      <c r="E447" s="175" t="s">
        <v>460</v>
      </c>
      <c r="F447" s="13" t="s">
        <v>461</v>
      </c>
      <c r="G447" s="263"/>
      <c r="H447" s="15"/>
      <c r="I447" s="174" t="s">
        <v>183</v>
      </c>
      <c r="J447" s="174" t="s">
        <v>178</v>
      </c>
      <c r="K447" s="174" t="s">
        <v>178</v>
      </c>
      <c r="L447" s="4" t="s">
        <v>198</v>
      </c>
      <c r="M447" s="174" t="s">
        <v>21</v>
      </c>
      <c r="N447" s="174">
        <v>2</v>
      </c>
    </row>
    <row r="448" spans="1:14" s="262" customFormat="1" ht="25.5" hidden="1" customHeight="1" outlineLevel="2">
      <c r="A448" s="16"/>
      <c r="B448" s="175" t="s">
        <v>56</v>
      </c>
      <c r="C448" s="175" t="s">
        <v>47</v>
      </c>
      <c r="D448" s="176" t="s">
        <v>173</v>
      </c>
      <c r="E448" s="175" t="s">
        <v>462</v>
      </c>
      <c r="F448" s="13" t="s">
        <v>463</v>
      </c>
      <c r="G448" s="263"/>
      <c r="H448" s="15"/>
      <c r="I448" s="174" t="s">
        <v>183</v>
      </c>
      <c r="J448" s="174" t="s">
        <v>233</v>
      </c>
      <c r="K448" s="174" t="s">
        <v>233</v>
      </c>
      <c r="L448" s="4" t="s">
        <v>199</v>
      </c>
      <c r="M448" s="174" t="s">
        <v>21</v>
      </c>
      <c r="N448" s="174">
        <v>1</v>
      </c>
    </row>
    <row r="449" spans="1:14" s="262" customFormat="1" ht="26.25" hidden="1" customHeight="1" outlineLevel="2" thickBot="1">
      <c r="A449" s="16"/>
      <c r="B449" s="175" t="s">
        <v>56</v>
      </c>
      <c r="C449" s="175" t="s">
        <v>47</v>
      </c>
      <c r="D449" s="176" t="s">
        <v>173</v>
      </c>
      <c r="E449" s="175" t="s">
        <v>464</v>
      </c>
      <c r="F449" s="13" t="s">
        <v>465</v>
      </c>
      <c r="G449" s="263"/>
      <c r="H449" s="15"/>
      <c r="I449" s="174" t="s">
        <v>183</v>
      </c>
      <c r="J449" s="174" t="s">
        <v>233</v>
      </c>
      <c r="K449" s="174" t="s">
        <v>233</v>
      </c>
      <c r="L449" s="4" t="s">
        <v>200</v>
      </c>
      <c r="M449" s="174" t="s">
        <v>21</v>
      </c>
      <c r="N449" s="174">
        <v>1</v>
      </c>
    </row>
    <row r="450" spans="1:14" s="260" customFormat="1" ht="90.75" outlineLevel="1" collapsed="1" thickBot="1">
      <c r="A450" s="256" t="s">
        <v>115</v>
      </c>
      <c r="B450" s="149"/>
      <c r="C450" s="150" t="s">
        <v>47</v>
      </c>
      <c r="D450" s="151"/>
      <c r="E450" s="152"/>
      <c r="F450" s="257" t="s">
        <v>466</v>
      </c>
      <c r="G450" s="259" t="s">
        <v>176</v>
      </c>
      <c r="H450" s="259"/>
      <c r="I450" s="152" t="s">
        <v>110</v>
      </c>
      <c r="J450" s="152"/>
      <c r="K450" s="152"/>
      <c r="L450" s="235" t="str">
        <f>CONCATENATE(L451," ",N451,M451," ",L452," ",N452,M452," ",L453," ",N453,M453," ",L454," ",N454,M454," ",L455," ",N455,M455," ",L456," ",N456,M456," ",L457," ",N457,M457," ",L458," ",N458,M458," ",L459," ",N459,M459)</f>
        <v>Ремонт выключателей 35 кВ. 1шт. Ремонт выключателей 35 кВ. 1шт. Ремонт выключателей 35 кВ. 1шт. Ремонт выключателей 35 кВ. 1шт. Ремонт выключателей 35 кВ. 1шт. Ремонт силового трансформатора 110 кВ. 1шт. Ремонт силового трансформатора 110 кВ. 1шт. Ремонт трансформаторов напряжения 110 кВ. 1шт. Ремонт силового трансформатора 6-10 кВ. 1шт.</v>
      </c>
      <c r="M450" s="152"/>
      <c r="N450" s="152"/>
    </row>
    <row r="451" spans="1:14" s="262" customFormat="1" ht="25.5" hidden="1" customHeight="1" outlineLevel="2">
      <c r="A451" s="16"/>
      <c r="B451" s="175" t="s">
        <v>48</v>
      </c>
      <c r="C451" s="175" t="s">
        <v>47</v>
      </c>
      <c r="D451" s="176" t="s">
        <v>173</v>
      </c>
      <c r="E451" s="175" t="s">
        <v>467</v>
      </c>
      <c r="F451" s="13" t="s">
        <v>468</v>
      </c>
      <c r="G451" s="263"/>
      <c r="H451" s="15"/>
      <c r="I451" s="174" t="s">
        <v>183</v>
      </c>
      <c r="J451" s="174" t="s">
        <v>205</v>
      </c>
      <c r="K451" s="174" t="s">
        <v>205</v>
      </c>
      <c r="L451" s="4" t="s">
        <v>179</v>
      </c>
      <c r="M451" s="174" t="s">
        <v>21</v>
      </c>
      <c r="N451" s="174">
        <v>1</v>
      </c>
    </row>
    <row r="452" spans="1:14" s="262" customFormat="1" ht="25.5" hidden="1" customHeight="1" outlineLevel="2">
      <c r="A452" s="16"/>
      <c r="B452" s="175" t="s">
        <v>48</v>
      </c>
      <c r="C452" s="175" t="s">
        <v>47</v>
      </c>
      <c r="D452" s="176" t="s">
        <v>173</v>
      </c>
      <c r="E452" s="175" t="s">
        <v>469</v>
      </c>
      <c r="F452" s="13" t="s">
        <v>470</v>
      </c>
      <c r="G452" s="263"/>
      <c r="H452" s="15"/>
      <c r="I452" s="174" t="s">
        <v>183</v>
      </c>
      <c r="J452" s="174" t="s">
        <v>205</v>
      </c>
      <c r="K452" s="174" t="s">
        <v>205</v>
      </c>
      <c r="L452" s="4" t="s">
        <v>179</v>
      </c>
      <c r="M452" s="174" t="s">
        <v>21</v>
      </c>
      <c r="N452" s="174">
        <v>1</v>
      </c>
    </row>
    <row r="453" spans="1:14" s="262" customFormat="1" ht="25.5" hidden="1" customHeight="1" outlineLevel="2">
      <c r="A453" s="16"/>
      <c r="B453" s="175" t="s">
        <v>48</v>
      </c>
      <c r="C453" s="175" t="s">
        <v>47</v>
      </c>
      <c r="D453" s="176" t="s">
        <v>173</v>
      </c>
      <c r="E453" s="175" t="s">
        <v>471</v>
      </c>
      <c r="F453" s="13" t="s">
        <v>472</v>
      </c>
      <c r="G453" s="263"/>
      <c r="H453" s="15"/>
      <c r="I453" s="174" t="s">
        <v>183</v>
      </c>
      <c r="J453" s="174" t="s">
        <v>233</v>
      </c>
      <c r="K453" s="174" t="s">
        <v>233</v>
      </c>
      <c r="L453" s="4" t="s">
        <v>179</v>
      </c>
      <c r="M453" s="174" t="s">
        <v>21</v>
      </c>
      <c r="N453" s="174">
        <v>1</v>
      </c>
    </row>
    <row r="454" spans="1:14" s="262" customFormat="1" ht="25.5" hidden="1" customHeight="1" outlineLevel="2">
      <c r="A454" s="16"/>
      <c r="B454" s="175" t="s">
        <v>48</v>
      </c>
      <c r="C454" s="175" t="s">
        <v>47</v>
      </c>
      <c r="D454" s="176" t="s">
        <v>173</v>
      </c>
      <c r="E454" s="175" t="s">
        <v>473</v>
      </c>
      <c r="F454" s="13" t="s">
        <v>474</v>
      </c>
      <c r="G454" s="263"/>
      <c r="H454" s="15"/>
      <c r="I454" s="174" t="s">
        <v>177</v>
      </c>
      <c r="J454" s="174" t="s">
        <v>233</v>
      </c>
      <c r="K454" s="174" t="s">
        <v>233</v>
      </c>
      <c r="L454" s="4" t="s">
        <v>179</v>
      </c>
      <c r="M454" s="174" t="s">
        <v>21</v>
      </c>
      <c r="N454" s="174">
        <v>1</v>
      </c>
    </row>
    <row r="455" spans="1:14" s="262" customFormat="1" ht="25.5" hidden="1" customHeight="1" outlineLevel="2">
      <c r="A455" s="16"/>
      <c r="B455" s="175" t="s">
        <v>48</v>
      </c>
      <c r="C455" s="175" t="s">
        <v>47</v>
      </c>
      <c r="D455" s="176" t="s">
        <v>173</v>
      </c>
      <c r="E455" s="175" t="s">
        <v>475</v>
      </c>
      <c r="F455" s="13" t="s">
        <v>476</v>
      </c>
      <c r="G455" s="263"/>
      <c r="H455" s="15"/>
      <c r="I455" s="174" t="s">
        <v>183</v>
      </c>
      <c r="J455" s="174" t="s">
        <v>205</v>
      </c>
      <c r="K455" s="174" t="s">
        <v>205</v>
      </c>
      <c r="L455" s="4" t="s">
        <v>179</v>
      </c>
      <c r="M455" s="174" t="s">
        <v>21</v>
      </c>
      <c r="N455" s="174">
        <v>1</v>
      </c>
    </row>
    <row r="456" spans="1:14" s="262" customFormat="1" ht="25.5" hidden="1" customHeight="1" outlineLevel="2">
      <c r="A456" s="16"/>
      <c r="B456" s="175" t="s">
        <v>40</v>
      </c>
      <c r="C456" s="175" t="s">
        <v>47</v>
      </c>
      <c r="D456" s="176" t="s">
        <v>173</v>
      </c>
      <c r="E456" s="175" t="s">
        <v>477</v>
      </c>
      <c r="F456" s="13" t="s">
        <v>478</v>
      </c>
      <c r="G456" s="263"/>
      <c r="H456" s="15"/>
      <c r="I456" s="174" t="s">
        <v>183</v>
      </c>
      <c r="J456" s="174" t="s">
        <v>184</v>
      </c>
      <c r="K456" s="174" t="s">
        <v>184</v>
      </c>
      <c r="L456" s="4" t="s">
        <v>185</v>
      </c>
      <c r="M456" s="174" t="s">
        <v>21</v>
      </c>
      <c r="N456" s="174">
        <v>1</v>
      </c>
    </row>
    <row r="457" spans="1:14" s="262" customFormat="1" ht="25.5" hidden="1" customHeight="1" outlineLevel="2">
      <c r="A457" s="16"/>
      <c r="B457" s="175" t="s">
        <v>40</v>
      </c>
      <c r="C457" s="175" t="s">
        <v>47</v>
      </c>
      <c r="D457" s="176" t="s">
        <v>173</v>
      </c>
      <c r="E457" s="175" t="s">
        <v>479</v>
      </c>
      <c r="F457" s="13" t="s">
        <v>480</v>
      </c>
      <c r="G457" s="263"/>
      <c r="H457" s="15"/>
      <c r="I457" s="174" t="s">
        <v>183</v>
      </c>
      <c r="J457" s="174" t="s">
        <v>205</v>
      </c>
      <c r="K457" s="174" t="s">
        <v>205</v>
      </c>
      <c r="L457" s="4" t="s">
        <v>185</v>
      </c>
      <c r="M457" s="174" t="s">
        <v>21</v>
      </c>
      <c r="N457" s="174">
        <v>1</v>
      </c>
    </row>
    <row r="458" spans="1:14" s="262" customFormat="1" ht="25.5" hidden="1" customHeight="1" outlineLevel="2">
      <c r="A458" s="16"/>
      <c r="B458" s="175" t="s">
        <v>40</v>
      </c>
      <c r="C458" s="175" t="s">
        <v>47</v>
      </c>
      <c r="D458" s="176" t="s">
        <v>173</v>
      </c>
      <c r="E458" s="175" t="s">
        <v>481</v>
      </c>
      <c r="F458" s="13" t="s">
        <v>482</v>
      </c>
      <c r="G458" s="263"/>
      <c r="H458" s="15"/>
      <c r="I458" s="174" t="s">
        <v>177</v>
      </c>
      <c r="J458" s="174" t="s">
        <v>178</v>
      </c>
      <c r="K458" s="174" t="s">
        <v>178</v>
      </c>
      <c r="L458" s="4" t="s">
        <v>214</v>
      </c>
      <c r="M458" s="174" t="s">
        <v>21</v>
      </c>
      <c r="N458" s="174">
        <v>1</v>
      </c>
    </row>
    <row r="459" spans="1:14" s="262" customFormat="1" ht="26.25" hidden="1" customHeight="1" outlineLevel="2" thickBot="1">
      <c r="A459" s="16"/>
      <c r="B459" s="175" t="s">
        <v>56</v>
      </c>
      <c r="C459" s="175" t="s">
        <v>47</v>
      </c>
      <c r="D459" s="176" t="s">
        <v>173</v>
      </c>
      <c r="E459" s="175" t="s">
        <v>483</v>
      </c>
      <c r="F459" s="13" t="s">
        <v>484</v>
      </c>
      <c r="G459" s="263"/>
      <c r="H459" s="15"/>
      <c r="I459" s="174" t="s">
        <v>177</v>
      </c>
      <c r="J459" s="174" t="s">
        <v>178</v>
      </c>
      <c r="K459" s="174" t="s">
        <v>178</v>
      </c>
      <c r="L459" s="4" t="s">
        <v>199</v>
      </c>
      <c r="M459" s="174" t="s">
        <v>21</v>
      </c>
      <c r="N459" s="174">
        <v>1</v>
      </c>
    </row>
    <row r="460" spans="1:14" s="260" customFormat="1" ht="14.25" outlineLevel="1" collapsed="1" thickBot="1">
      <c r="A460" s="256" t="s">
        <v>125</v>
      </c>
      <c r="B460" s="149"/>
      <c r="C460" s="150" t="s">
        <v>47</v>
      </c>
      <c r="D460" s="151"/>
      <c r="E460" s="152"/>
      <c r="F460" s="257" t="s">
        <v>486</v>
      </c>
      <c r="G460" s="259" t="s">
        <v>176</v>
      </c>
      <c r="H460" s="259"/>
      <c r="I460" s="152" t="s">
        <v>64</v>
      </c>
      <c r="J460" s="152"/>
      <c r="K460" s="152"/>
      <c r="L460" s="235" t="str">
        <f>CONCATENATE(L461," ",N461,M461)</f>
        <v>Ремонт силового трансформатора 35 кВ. 1шт.</v>
      </c>
      <c r="M460" s="152"/>
      <c r="N460" s="152"/>
    </row>
    <row r="461" spans="1:14" s="262" customFormat="1" ht="26.25" hidden="1" customHeight="1" outlineLevel="2" thickBot="1">
      <c r="A461" s="16"/>
      <c r="B461" s="175" t="s">
        <v>48</v>
      </c>
      <c r="C461" s="175" t="s">
        <v>47</v>
      </c>
      <c r="D461" s="176" t="s">
        <v>173</v>
      </c>
      <c r="E461" s="175" t="s">
        <v>487</v>
      </c>
      <c r="F461" s="13" t="s">
        <v>488</v>
      </c>
      <c r="G461" s="263"/>
      <c r="H461" s="15"/>
      <c r="I461" s="174" t="s">
        <v>183</v>
      </c>
      <c r="J461" s="174" t="s">
        <v>184</v>
      </c>
      <c r="K461" s="174" t="s">
        <v>184</v>
      </c>
      <c r="L461" s="4" t="s">
        <v>198</v>
      </c>
      <c r="M461" s="174" t="s">
        <v>21</v>
      </c>
      <c r="N461" s="174">
        <v>1</v>
      </c>
    </row>
    <row r="462" spans="1:14" s="260" customFormat="1" ht="65.25" outlineLevel="1" collapsed="1" thickBot="1">
      <c r="A462" s="256" t="s">
        <v>485</v>
      </c>
      <c r="B462" s="149"/>
      <c r="C462" s="150" t="s">
        <v>47</v>
      </c>
      <c r="D462" s="151"/>
      <c r="E462" s="152"/>
      <c r="F462" s="257" t="s">
        <v>490</v>
      </c>
      <c r="G462" s="259" t="s">
        <v>176</v>
      </c>
      <c r="H462" s="259"/>
      <c r="I462" s="152" t="s">
        <v>64</v>
      </c>
      <c r="J462" s="152"/>
      <c r="K462" s="152"/>
      <c r="L462" s="235" t="str">
        <f>CONCATENATE(L463," ",N463,M463," ",L464," ",N464,M464," ",L465," ",N465,M465," ",L466," ",N466,M466," ",L467," ",N467,M467," ",L468," ",N468,M468)</f>
        <v>Ремонт трансформаторов напряжения 110 кВ. 1шт. Ремонт разъединителя 35 кВ. 1шт. Ремонт разъединителя 35 кВ. 1шт. Ремонт трансформаторов тока 35 кВ. 2шт. Ремонт силового трансформатора 110 кВ. 1шт. Ремонт силового трансформатора 110 кВ. 1шт.</v>
      </c>
      <c r="M462" s="152"/>
      <c r="N462" s="152"/>
    </row>
    <row r="463" spans="1:14" s="262" customFormat="1" ht="38.25" hidden="1" customHeight="1" outlineLevel="2">
      <c r="A463" s="16"/>
      <c r="B463" s="175" t="s">
        <v>40</v>
      </c>
      <c r="C463" s="175" t="s">
        <v>47</v>
      </c>
      <c r="D463" s="176" t="s">
        <v>173</v>
      </c>
      <c r="E463" s="175" t="s">
        <v>491</v>
      </c>
      <c r="F463" s="13" t="s">
        <v>492</v>
      </c>
      <c r="G463" s="263"/>
      <c r="H463" s="15"/>
      <c r="I463" s="174" t="s">
        <v>183</v>
      </c>
      <c r="J463" s="174" t="s">
        <v>233</v>
      </c>
      <c r="K463" s="174" t="s">
        <v>233</v>
      </c>
      <c r="L463" s="4" t="s">
        <v>214</v>
      </c>
      <c r="M463" s="174" t="s">
        <v>21</v>
      </c>
      <c r="N463" s="174">
        <v>1</v>
      </c>
    </row>
    <row r="464" spans="1:14" s="262" customFormat="1" ht="38.25" hidden="1" customHeight="1" outlineLevel="2">
      <c r="A464" s="16"/>
      <c r="B464" s="175" t="s">
        <v>48</v>
      </c>
      <c r="C464" s="175" t="s">
        <v>47</v>
      </c>
      <c r="D464" s="176" t="s">
        <v>173</v>
      </c>
      <c r="E464" s="175" t="s">
        <v>493</v>
      </c>
      <c r="F464" s="13" t="s">
        <v>494</v>
      </c>
      <c r="G464" s="263"/>
      <c r="H464" s="15"/>
      <c r="I464" s="174" t="s">
        <v>183</v>
      </c>
      <c r="J464" s="174" t="s">
        <v>205</v>
      </c>
      <c r="K464" s="174" t="s">
        <v>205</v>
      </c>
      <c r="L464" s="4" t="s">
        <v>180</v>
      </c>
      <c r="M464" s="174" t="s">
        <v>21</v>
      </c>
      <c r="N464" s="174">
        <v>1</v>
      </c>
    </row>
    <row r="465" spans="1:14" s="262" customFormat="1" ht="38.25" hidden="1" customHeight="1" outlineLevel="2">
      <c r="A465" s="16"/>
      <c r="B465" s="175" t="s">
        <v>48</v>
      </c>
      <c r="C465" s="175" t="s">
        <v>47</v>
      </c>
      <c r="D465" s="176" t="s">
        <v>173</v>
      </c>
      <c r="E465" s="175" t="s">
        <v>495</v>
      </c>
      <c r="F465" s="13" t="s">
        <v>496</v>
      </c>
      <c r="G465" s="263"/>
      <c r="H465" s="15"/>
      <c r="I465" s="174" t="s">
        <v>183</v>
      </c>
      <c r="J465" s="174" t="s">
        <v>205</v>
      </c>
      <c r="K465" s="174" t="s">
        <v>205</v>
      </c>
      <c r="L465" s="4" t="s">
        <v>180</v>
      </c>
      <c r="M465" s="174" t="s">
        <v>21</v>
      </c>
      <c r="N465" s="174">
        <v>1</v>
      </c>
    </row>
    <row r="466" spans="1:14" s="262" customFormat="1" ht="25.5" hidden="1" customHeight="1" outlineLevel="2">
      <c r="A466" s="16"/>
      <c r="B466" s="175" t="s">
        <v>48</v>
      </c>
      <c r="C466" s="175" t="s">
        <v>47</v>
      </c>
      <c r="D466" s="176" t="s">
        <v>173</v>
      </c>
      <c r="E466" s="175" t="s">
        <v>497</v>
      </c>
      <c r="F466" s="13" t="s">
        <v>498</v>
      </c>
      <c r="G466" s="263"/>
      <c r="H466" s="15"/>
      <c r="I466" s="174" t="s">
        <v>183</v>
      </c>
      <c r="J466" s="174" t="s">
        <v>233</v>
      </c>
      <c r="K466" s="174" t="s">
        <v>233</v>
      </c>
      <c r="L466" s="4" t="s">
        <v>349</v>
      </c>
      <c r="M466" s="174" t="s">
        <v>21</v>
      </c>
      <c r="N466" s="174">
        <v>2</v>
      </c>
    </row>
    <row r="467" spans="1:14" s="262" customFormat="1" ht="50.25" hidden="1" customHeight="1" outlineLevel="2">
      <c r="A467" s="16"/>
      <c r="B467" s="175" t="s">
        <v>40</v>
      </c>
      <c r="C467" s="175" t="s">
        <v>47</v>
      </c>
      <c r="D467" s="176" t="s">
        <v>173</v>
      </c>
      <c r="E467" s="175" t="s">
        <v>499</v>
      </c>
      <c r="F467" s="13" t="s">
        <v>500</v>
      </c>
      <c r="G467" s="263"/>
      <c r="H467" s="15"/>
      <c r="I467" s="174" t="s">
        <v>183</v>
      </c>
      <c r="J467" s="174" t="s">
        <v>184</v>
      </c>
      <c r="K467" s="174" t="s">
        <v>184</v>
      </c>
      <c r="L467" s="4" t="s">
        <v>185</v>
      </c>
      <c r="M467" s="174" t="s">
        <v>21</v>
      </c>
      <c r="N467" s="174">
        <v>1</v>
      </c>
    </row>
    <row r="468" spans="1:14" s="262" customFormat="1" ht="26.25" hidden="1" customHeight="1" outlineLevel="2" thickBot="1">
      <c r="A468" s="16"/>
      <c r="B468" s="175" t="s">
        <v>40</v>
      </c>
      <c r="C468" s="175" t="s">
        <v>47</v>
      </c>
      <c r="D468" s="176" t="s">
        <v>173</v>
      </c>
      <c r="E468" s="175" t="s">
        <v>501</v>
      </c>
      <c r="F468" s="13" t="s">
        <v>502</v>
      </c>
      <c r="G468" s="263"/>
      <c r="H468" s="15"/>
      <c r="I468" s="174" t="s">
        <v>183</v>
      </c>
      <c r="J468" s="174" t="s">
        <v>205</v>
      </c>
      <c r="K468" s="174" t="s">
        <v>205</v>
      </c>
      <c r="L468" s="4" t="s">
        <v>185</v>
      </c>
      <c r="M468" s="174" t="s">
        <v>21</v>
      </c>
      <c r="N468" s="174">
        <v>1</v>
      </c>
    </row>
    <row r="469" spans="1:14" s="260" customFormat="1" ht="26.25" outlineLevel="1" collapsed="1">
      <c r="A469" s="256" t="s">
        <v>489</v>
      </c>
      <c r="B469" s="149"/>
      <c r="C469" s="150" t="s">
        <v>47</v>
      </c>
      <c r="D469" s="151"/>
      <c r="E469" s="152"/>
      <c r="F469" s="257" t="s">
        <v>503</v>
      </c>
      <c r="G469" s="259" t="s">
        <v>176</v>
      </c>
      <c r="H469" s="259"/>
      <c r="I469" s="152" t="s">
        <v>64</v>
      </c>
      <c r="J469" s="152"/>
      <c r="K469" s="152"/>
      <c r="L469" s="235" t="str">
        <f>CONCATENATE(L470," ",N470,M470," ",L471," ",N471,M471)</f>
        <v>Ремонт силового трансформатора 35 кВ. 1шт. Ремонт силового трансформатора 35 кВ. 1шт.</v>
      </c>
      <c r="M469" s="152"/>
      <c r="N469" s="152"/>
    </row>
    <row r="470" spans="1:14" s="262" customFormat="1" ht="25.5" hidden="1" customHeight="1" outlineLevel="2">
      <c r="A470" s="16"/>
      <c r="B470" s="175" t="s">
        <v>48</v>
      </c>
      <c r="C470" s="175" t="s">
        <v>47</v>
      </c>
      <c r="D470" s="176" t="s">
        <v>173</v>
      </c>
      <c r="E470" s="175" t="s">
        <v>504</v>
      </c>
      <c r="F470" s="13" t="s">
        <v>505</v>
      </c>
      <c r="G470" s="263"/>
      <c r="H470" s="15"/>
      <c r="I470" s="174" t="s">
        <v>183</v>
      </c>
      <c r="J470" s="174" t="s">
        <v>205</v>
      </c>
      <c r="K470" s="174" t="s">
        <v>205</v>
      </c>
      <c r="L470" s="4" t="s">
        <v>198</v>
      </c>
      <c r="M470" s="174" t="s">
        <v>21</v>
      </c>
      <c r="N470" s="174">
        <v>1</v>
      </c>
    </row>
    <row r="471" spans="1:14" s="262" customFormat="1" ht="25.5" hidden="1" customHeight="1" outlineLevel="2">
      <c r="A471" s="16"/>
      <c r="B471" s="175" t="s">
        <v>48</v>
      </c>
      <c r="C471" s="175" t="s">
        <v>47</v>
      </c>
      <c r="D471" s="176" t="s">
        <v>173</v>
      </c>
      <c r="E471" s="175" t="s">
        <v>506</v>
      </c>
      <c r="F471" s="13" t="s">
        <v>507</v>
      </c>
      <c r="G471" s="263"/>
      <c r="H471" s="15"/>
      <c r="I471" s="174" t="s">
        <v>183</v>
      </c>
      <c r="J471" s="174" t="s">
        <v>178</v>
      </c>
      <c r="K471" s="174" t="s">
        <v>178</v>
      </c>
      <c r="L471" s="4" t="s">
        <v>198</v>
      </c>
      <c r="M471" s="174" t="s">
        <v>21</v>
      </c>
      <c r="N471" s="174">
        <v>1</v>
      </c>
    </row>
    <row r="472" spans="1:14" ht="21" customHeight="1" outlineLevel="1" thickBot="1">
      <c r="A472" s="156"/>
      <c r="B472" s="9"/>
      <c r="C472" s="157"/>
      <c r="D472" s="9"/>
      <c r="E472" s="270"/>
      <c r="F472" s="158"/>
      <c r="G472" s="271"/>
      <c r="H472" s="9"/>
      <c r="I472" s="24"/>
      <c r="J472" s="24"/>
      <c r="K472" s="24"/>
      <c r="L472" s="156"/>
      <c r="M472" s="24"/>
      <c r="N472" s="25"/>
    </row>
    <row r="473" spans="1:14" ht="13.5" thickBot="1">
      <c r="A473" s="287">
        <v>3</v>
      </c>
      <c r="B473" s="288"/>
      <c r="C473" s="288"/>
      <c r="D473" s="288"/>
      <c r="E473" s="229" t="s">
        <v>75</v>
      </c>
      <c r="F473" s="113"/>
      <c r="G473" s="230"/>
      <c r="H473" s="114"/>
      <c r="I473" s="115"/>
      <c r="J473" s="115"/>
      <c r="K473" s="115"/>
      <c r="L473" s="116"/>
      <c r="M473" s="114"/>
      <c r="N473" s="114"/>
    </row>
    <row r="474" spans="1:14" s="236" customFormat="1" ht="39" outlineLevel="1" collapsed="1" thickBot="1">
      <c r="A474" s="117" t="s">
        <v>628</v>
      </c>
      <c r="B474" s="118"/>
      <c r="C474" s="119" t="s">
        <v>44</v>
      </c>
      <c r="D474" s="140" t="s">
        <v>669</v>
      </c>
      <c r="E474" s="231" t="s">
        <v>629</v>
      </c>
      <c r="F474" s="232" t="s">
        <v>630</v>
      </c>
      <c r="G474" s="239" t="s">
        <v>201</v>
      </c>
      <c r="H474" s="239"/>
      <c r="I474" s="118" t="s">
        <v>39</v>
      </c>
      <c r="J474" s="118" t="s">
        <v>146</v>
      </c>
      <c r="K474" s="120" t="s">
        <v>146</v>
      </c>
      <c r="L474" s="235" t="str">
        <f>CONCATENATE(L475," ",N475,M475," ",)</f>
        <v xml:space="preserve">Замена камеры КСО 2шт. </v>
      </c>
      <c r="M474" s="152"/>
      <c r="N474" s="152"/>
    </row>
    <row r="475" spans="1:14" ht="21" hidden="1" customHeight="1" outlineLevel="2" thickBot="1">
      <c r="A475" s="1"/>
      <c r="B475" s="1"/>
      <c r="C475" s="1"/>
      <c r="D475" s="1"/>
      <c r="E475" s="162"/>
      <c r="F475" s="31"/>
      <c r="G475" s="31"/>
      <c r="H475" s="1"/>
      <c r="I475" s="36"/>
      <c r="J475" s="36" t="s">
        <v>146</v>
      </c>
      <c r="K475" s="36" t="s">
        <v>146</v>
      </c>
      <c r="L475" s="142" t="s">
        <v>631</v>
      </c>
      <c r="M475" s="36" t="s">
        <v>21</v>
      </c>
      <c r="N475" s="147">
        <v>2</v>
      </c>
    </row>
    <row r="476" spans="1:14" s="236" customFormat="1" ht="39" outlineLevel="1" collapsed="1" thickBot="1">
      <c r="A476" s="117" t="s">
        <v>632</v>
      </c>
      <c r="B476" s="118"/>
      <c r="C476" s="119" t="s">
        <v>44</v>
      </c>
      <c r="D476" s="140" t="s">
        <v>669</v>
      </c>
      <c r="E476" s="231" t="s">
        <v>633</v>
      </c>
      <c r="F476" s="232" t="s">
        <v>634</v>
      </c>
      <c r="G476" s="239" t="s">
        <v>201</v>
      </c>
      <c r="H476" s="239"/>
      <c r="I476" s="118" t="s">
        <v>39</v>
      </c>
      <c r="J476" s="118" t="s">
        <v>147</v>
      </c>
      <c r="K476" s="120" t="s">
        <v>147</v>
      </c>
      <c r="L476" s="235" t="str">
        <f>CONCATENATE(L477," ",N477,M477," ",)</f>
        <v xml:space="preserve">Замена камеры КСО 2шт. </v>
      </c>
      <c r="M476" s="152"/>
      <c r="N476" s="152"/>
    </row>
    <row r="477" spans="1:14" ht="21" hidden="1" customHeight="1" outlineLevel="2" thickBot="1">
      <c r="A477" s="1"/>
      <c r="B477" s="1"/>
      <c r="C477" s="1"/>
      <c r="D477" s="1"/>
      <c r="E477" s="162"/>
      <c r="F477" s="31"/>
      <c r="G477" s="31"/>
      <c r="H477" s="1"/>
      <c r="I477" s="36"/>
      <c r="J477" s="36" t="s">
        <v>147</v>
      </c>
      <c r="K477" s="36" t="s">
        <v>147</v>
      </c>
      <c r="L477" s="142" t="s">
        <v>631</v>
      </c>
      <c r="M477" s="36" t="s">
        <v>21</v>
      </c>
      <c r="N477" s="147">
        <v>2</v>
      </c>
    </row>
    <row r="478" spans="1:14" ht="13.5" thickBot="1">
      <c r="A478" s="287">
        <v>4</v>
      </c>
      <c r="B478" s="288"/>
      <c r="C478" s="288"/>
      <c r="D478" s="288"/>
      <c r="E478" s="229" t="s">
        <v>76</v>
      </c>
      <c r="F478" s="113"/>
      <c r="G478" s="230"/>
      <c r="H478" s="114"/>
      <c r="I478" s="115"/>
      <c r="J478" s="115"/>
      <c r="K478" s="115"/>
      <c r="L478" s="116"/>
      <c r="M478" s="114"/>
      <c r="N478" s="114"/>
    </row>
    <row r="479" spans="1:14" s="236" customFormat="1" ht="14.25" outlineLevel="1" collapsed="1" thickBot="1">
      <c r="A479" s="117" t="s">
        <v>787</v>
      </c>
      <c r="B479" s="118"/>
      <c r="C479" s="119" t="s">
        <v>38</v>
      </c>
      <c r="D479" s="140"/>
      <c r="E479" s="231" t="s">
        <v>540</v>
      </c>
      <c r="F479" s="232" t="s">
        <v>539</v>
      </c>
      <c r="G479" s="239" t="s">
        <v>201</v>
      </c>
      <c r="H479" s="239"/>
      <c r="I479" s="118" t="s">
        <v>39</v>
      </c>
      <c r="J479" s="118" t="s">
        <v>178</v>
      </c>
      <c r="K479" s="120" t="s">
        <v>205</v>
      </c>
      <c r="L479" s="235" t="str">
        <f>CONCATENATE(" ",L480," ",N480,M480)</f>
        <v xml:space="preserve"> Ремонт трубопровода 0,08км.</v>
      </c>
      <c r="M479" s="152"/>
      <c r="N479" s="152"/>
    </row>
    <row r="480" spans="1:14" s="262" customFormat="1" ht="13.5" hidden="1" outlineLevel="2" thickBot="1">
      <c r="A480" s="16"/>
      <c r="B480" s="175"/>
      <c r="C480" s="175"/>
      <c r="D480" s="176"/>
      <c r="E480" s="175"/>
      <c r="F480" s="13" t="s">
        <v>548</v>
      </c>
      <c r="G480" s="263"/>
      <c r="H480" s="15"/>
      <c r="I480" s="174"/>
      <c r="J480" s="174" t="s">
        <v>178</v>
      </c>
      <c r="K480" s="174" t="s">
        <v>205</v>
      </c>
      <c r="L480" s="4" t="s">
        <v>549</v>
      </c>
      <c r="M480" s="174" t="s">
        <v>32</v>
      </c>
      <c r="N480" s="174">
        <v>0.08</v>
      </c>
    </row>
    <row r="481" spans="1:14" s="236" customFormat="1" ht="14.25" outlineLevel="1" collapsed="1" thickBot="1">
      <c r="A481" s="117" t="s">
        <v>788</v>
      </c>
      <c r="B481" s="118"/>
      <c r="C481" s="119" t="s">
        <v>47</v>
      </c>
      <c r="D481" s="140"/>
      <c r="E481" s="231" t="s">
        <v>543</v>
      </c>
      <c r="F481" s="232" t="s">
        <v>542</v>
      </c>
      <c r="G481" s="239" t="s">
        <v>201</v>
      </c>
      <c r="H481" s="239"/>
      <c r="I481" s="118" t="s">
        <v>39</v>
      </c>
      <c r="J481" s="118" t="s">
        <v>140</v>
      </c>
      <c r="K481" s="120" t="s">
        <v>317</v>
      </c>
      <c r="L481" s="235" t="str">
        <f>CONCATENATE(L482," ",N482,M482)</f>
        <v>Ремонт внутрених помещений 114,92м2</v>
      </c>
      <c r="M481" s="152"/>
      <c r="N481" s="152"/>
    </row>
    <row r="482" spans="1:14" s="262" customFormat="1" ht="13.5" hidden="1" outlineLevel="2" thickBot="1">
      <c r="A482" s="16"/>
      <c r="B482" s="175"/>
      <c r="C482" s="175"/>
      <c r="D482" s="176"/>
      <c r="E482" s="175"/>
      <c r="F482" s="13" t="s">
        <v>544</v>
      </c>
      <c r="G482" s="263"/>
      <c r="H482" s="15"/>
      <c r="I482" s="174"/>
      <c r="J482" s="174" t="s">
        <v>140</v>
      </c>
      <c r="K482" s="174" t="s">
        <v>317</v>
      </c>
      <c r="L482" s="4" t="s">
        <v>541</v>
      </c>
      <c r="M482" s="174" t="s">
        <v>538</v>
      </c>
      <c r="N482" s="174">
        <v>114.92</v>
      </c>
    </row>
    <row r="483" spans="1:14" s="236" customFormat="1" ht="14.25" outlineLevel="1" collapsed="1" thickBot="1">
      <c r="A483" s="117" t="s">
        <v>789</v>
      </c>
      <c r="B483" s="118"/>
      <c r="C483" s="119" t="s">
        <v>44</v>
      </c>
      <c r="D483" s="140"/>
      <c r="E483" s="231" t="s">
        <v>744</v>
      </c>
      <c r="F483" s="232" t="s">
        <v>745</v>
      </c>
      <c r="G483" s="239" t="s">
        <v>201</v>
      </c>
      <c r="H483" s="239"/>
      <c r="I483" s="118"/>
      <c r="J483" s="118" t="s">
        <v>205</v>
      </c>
      <c r="K483" s="120" t="s">
        <v>233</v>
      </c>
      <c r="L483" s="235" t="str">
        <f>CONCATENATE(L484," ",N484,M484)</f>
        <v>Ремонт фасадов 140,9м2</v>
      </c>
      <c r="M483" s="152"/>
      <c r="N483" s="152"/>
    </row>
    <row r="484" spans="1:14" s="262" customFormat="1" ht="13.5" hidden="1" outlineLevel="2" thickBot="1">
      <c r="A484" s="16"/>
      <c r="B484" s="175"/>
      <c r="C484" s="175"/>
      <c r="D484" s="176"/>
      <c r="E484" s="175"/>
      <c r="F484" s="13"/>
      <c r="G484" s="263"/>
      <c r="H484" s="266"/>
      <c r="I484" s="174"/>
      <c r="J484" s="118" t="s">
        <v>205</v>
      </c>
      <c r="K484" s="120" t="s">
        <v>233</v>
      </c>
      <c r="L484" s="4" t="s">
        <v>826</v>
      </c>
      <c r="M484" s="174" t="s">
        <v>538</v>
      </c>
      <c r="N484" s="174">
        <v>140.9</v>
      </c>
    </row>
    <row r="485" spans="1:14" s="236" customFormat="1" ht="13.5" outlineLevel="1" collapsed="1">
      <c r="A485" s="117" t="s">
        <v>790</v>
      </c>
      <c r="B485" s="118"/>
      <c r="C485" s="119" t="s">
        <v>47</v>
      </c>
      <c r="D485" s="140"/>
      <c r="E485" s="231" t="s">
        <v>546</v>
      </c>
      <c r="F485" s="232" t="s">
        <v>545</v>
      </c>
      <c r="G485" s="239" t="s">
        <v>890</v>
      </c>
      <c r="H485" s="239"/>
      <c r="I485" s="118"/>
      <c r="J485" s="118" t="s">
        <v>178</v>
      </c>
      <c r="K485" s="120" t="s">
        <v>178</v>
      </c>
      <c r="L485" s="235" t="str">
        <f>CONCATENATE(L486," ",N486,M486)</f>
        <v>Ремонт маслоприёмных устройств  2шт.</v>
      </c>
      <c r="M485" s="152"/>
      <c r="N485" s="152"/>
    </row>
    <row r="486" spans="1:14" s="262" customFormat="1" hidden="1" outlineLevel="2">
      <c r="A486" s="16"/>
      <c r="B486" s="175"/>
      <c r="C486" s="175"/>
      <c r="D486" s="176"/>
      <c r="E486" s="175"/>
      <c r="F486" s="13" t="s">
        <v>547</v>
      </c>
      <c r="G486" s="263"/>
      <c r="H486" s="266" t="s">
        <v>712</v>
      </c>
      <c r="I486" s="174"/>
      <c r="J486" s="174" t="s">
        <v>178</v>
      </c>
      <c r="K486" s="174" t="s">
        <v>178</v>
      </c>
      <c r="L486" s="4" t="s">
        <v>828</v>
      </c>
      <c r="M486" s="174" t="s">
        <v>21</v>
      </c>
      <c r="N486" s="174">
        <v>2</v>
      </c>
    </row>
    <row r="487" spans="1:14" s="251" customFormat="1" ht="13.5" outlineLevel="1" thickBot="1">
      <c r="A487" s="199"/>
      <c r="B487" s="199"/>
      <c r="C487" s="199"/>
      <c r="D487" s="199"/>
      <c r="E487" s="199"/>
      <c r="F487" s="199"/>
      <c r="G487" s="250"/>
      <c r="H487" s="199"/>
      <c r="I487" s="250"/>
      <c r="J487" s="250"/>
      <c r="K487" s="250"/>
      <c r="L487" s="199"/>
      <c r="M487" s="199"/>
      <c r="N487" s="199"/>
    </row>
    <row r="488" spans="1:14" ht="13.5" thickBot="1">
      <c r="A488" s="287">
        <v>5</v>
      </c>
      <c r="B488" s="288"/>
      <c r="C488" s="288"/>
      <c r="D488" s="288"/>
      <c r="E488" s="229" t="s">
        <v>59</v>
      </c>
      <c r="F488" s="113"/>
      <c r="G488" s="230"/>
      <c r="H488" s="114"/>
      <c r="I488" s="115"/>
      <c r="J488" s="115"/>
      <c r="K488" s="115"/>
      <c r="L488" s="115"/>
      <c r="M488" s="114"/>
      <c r="N488" s="114"/>
    </row>
    <row r="489" spans="1:14" s="236" customFormat="1" ht="26.25" outlineLevel="1" thickBot="1">
      <c r="A489" s="117" t="s">
        <v>791</v>
      </c>
      <c r="B489" s="118"/>
      <c r="C489" s="119" t="s">
        <v>38</v>
      </c>
      <c r="D489" s="140" t="s">
        <v>581</v>
      </c>
      <c r="E489" s="231" t="s">
        <v>582</v>
      </c>
      <c r="F489" s="232" t="s">
        <v>720</v>
      </c>
      <c r="G489" s="239" t="s">
        <v>201</v>
      </c>
      <c r="H489" s="239"/>
      <c r="I489" s="118" t="s">
        <v>39</v>
      </c>
      <c r="J489" s="118" t="s">
        <v>147</v>
      </c>
      <c r="K489" s="120" t="s">
        <v>713</v>
      </c>
      <c r="L489" s="235" t="s">
        <v>721</v>
      </c>
      <c r="M489" s="152"/>
      <c r="N489" s="152"/>
    </row>
    <row r="490" spans="1:14" s="236" customFormat="1" ht="51.75" outlineLevel="1" thickBot="1">
      <c r="A490" s="117" t="s">
        <v>792</v>
      </c>
      <c r="B490" s="118"/>
      <c r="C490" s="119" t="s">
        <v>38</v>
      </c>
      <c r="D490" s="140" t="s">
        <v>581</v>
      </c>
      <c r="E490" s="231" t="s">
        <v>705</v>
      </c>
      <c r="F490" s="232" t="s">
        <v>714</v>
      </c>
      <c r="G490" s="239" t="s">
        <v>201</v>
      </c>
      <c r="H490" s="239"/>
      <c r="I490" s="118" t="s">
        <v>39</v>
      </c>
      <c r="J490" s="118" t="s">
        <v>147</v>
      </c>
      <c r="K490" s="120" t="s">
        <v>713</v>
      </c>
      <c r="L490" s="235" t="s">
        <v>831</v>
      </c>
      <c r="M490" s="152"/>
      <c r="N490" s="152"/>
    </row>
    <row r="491" spans="1:14" s="236" customFormat="1" ht="64.5" outlineLevel="1" thickBot="1">
      <c r="A491" s="117" t="s">
        <v>793</v>
      </c>
      <c r="B491" s="118"/>
      <c r="C491" s="119" t="s">
        <v>38</v>
      </c>
      <c r="D491" s="140" t="s">
        <v>581</v>
      </c>
      <c r="E491" s="231" t="s">
        <v>706</v>
      </c>
      <c r="F491" s="232" t="s">
        <v>708</v>
      </c>
      <c r="G491" s="239" t="s">
        <v>201</v>
      </c>
      <c r="H491" s="239"/>
      <c r="I491" s="118" t="s">
        <v>39</v>
      </c>
      <c r="J491" s="118" t="s">
        <v>147</v>
      </c>
      <c r="K491" s="120" t="s">
        <v>713</v>
      </c>
      <c r="L491" s="235" t="s">
        <v>583</v>
      </c>
      <c r="M491" s="152"/>
      <c r="N491" s="152"/>
    </row>
    <row r="492" spans="1:14" s="236" customFormat="1" ht="39" outlineLevel="1" thickBot="1">
      <c r="A492" s="117" t="s">
        <v>794</v>
      </c>
      <c r="B492" s="118"/>
      <c r="C492" s="119" t="s">
        <v>47</v>
      </c>
      <c r="D492" s="140" t="s">
        <v>581</v>
      </c>
      <c r="E492" s="231" t="s">
        <v>584</v>
      </c>
      <c r="F492" s="232" t="s">
        <v>585</v>
      </c>
      <c r="G492" s="239" t="s">
        <v>201</v>
      </c>
      <c r="H492" s="239"/>
      <c r="I492" s="118" t="s">
        <v>39</v>
      </c>
      <c r="J492" s="118" t="s">
        <v>147</v>
      </c>
      <c r="K492" s="120" t="s">
        <v>713</v>
      </c>
      <c r="L492" s="235" t="s">
        <v>832</v>
      </c>
      <c r="M492" s="152"/>
      <c r="N492" s="152"/>
    </row>
    <row r="493" spans="1:14" s="236" customFormat="1" ht="14.25" outlineLevel="1" thickBot="1">
      <c r="A493" s="117" t="s">
        <v>795</v>
      </c>
      <c r="B493" s="118"/>
      <c r="C493" s="119" t="s">
        <v>47</v>
      </c>
      <c r="D493" s="140" t="s">
        <v>581</v>
      </c>
      <c r="E493" s="231" t="s">
        <v>587</v>
      </c>
      <c r="F493" s="232" t="s">
        <v>586</v>
      </c>
      <c r="G493" s="239" t="s">
        <v>201</v>
      </c>
      <c r="H493" s="239"/>
      <c r="I493" s="118" t="s">
        <v>39</v>
      </c>
      <c r="J493" s="118" t="s">
        <v>147</v>
      </c>
      <c r="K493" s="120" t="s">
        <v>713</v>
      </c>
      <c r="L493" s="235" t="s">
        <v>588</v>
      </c>
      <c r="M493" s="152"/>
      <c r="N493" s="152"/>
    </row>
    <row r="494" spans="1:14" s="236" customFormat="1" ht="26.25" outlineLevel="1" thickBot="1">
      <c r="A494" s="117" t="s">
        <v>796</v>
      </c>
      <c r="B494" s="118"/>
      <c r="C494" s="119" t="s">
        <v>47</v>
      </c>
      <c r="D494" s="140" t="s">
        <v>581</v>
      </c>
      <c r="E494" s="231" t="s">
        <v>590</v>
      </c>
      <c r="F494" s="232" t="s">
        <v>589</v>
      </c>
      <c r="G494" s="239" t="s">
        <v>201</v>
      </c>
      <c r="H494" s="239"/>
      <c r="I494" s="118" t="s">
        <v>39</v>
      </c>
      <c r="J494" s="118" t="s">
        <v>147</v>
      </c>
      <c r="K494" s="120" t="s">
        <v>713</v>
      </c>
      <c r="L494" s="235" t="s">
        <v>623</v>
      </c>
      <c r="M494" s="152"/>
      <c r="N494" s="152"/>
    </row>
    <row r="495" spans="1:14" s="236" customFormat="1" ht="26.25" outlineLevel="1" thickBot="1">
      <c r="A495" s="117" t="s">
        <v>797</v>
      </c>
      <c r="B495" s="118"/>
      <c r="C495" s="119" t="s">
        <v>47</v>
      </c>
      <c r="D495" s="140" t="s">
        <v>581</v>
      </c>
      <c r="E495" s="231" t="s">
        <v>707</v>
      </c>
      <c r="F495" s="232" t="s">
        <v>591</v>
      </c>
      <c r="G495" s="239" t="s">
        <v>201</v>
      </c>
      <c r="H495" s="239"/>
      <c r="I495" s="118" t="s">
        <v>39</v>
      </c>
      <c r="J495" s="118" t="s">
        <v>147</v>
      </c>
      <c r="K495" s="120" t="s">
        <v>713</v>
      </c>
      <c r="L495" s="235" t="s">
        <v>703</v>
      </c>
      <c r="M495" s="152"/>
      <c r="N495" s="152"/>
    </row>
    <row r="496" spans="1:14" s="236" customFormat="1" ht="39" outlineLevel="1" thickBot="1">
      <c r="A496" s="117" t="s">
        <v>798</v>
      </c>
      <c r="B496" s="118"/>
      <c r="C496" s="119" t="s">
        <v>47</v>
      </c>
      <c r="D496" s="140" t="s">
        <v>581</v>
      </c>
      <c r="E496" s="231" t="s">
        <v>593</v>
      </c>
      <c r="F496" s="232" t="s">
        <v>592</v>
      </c>
      <c r="G496" s="239" t="s">
        <v>201</v>
      </c>
      <c r="H496" s="239"/>
      <c r="I496" s="118" t="s">
        <v>39</v>
      </c>
      <c r="J496" s="118" t="s">
        <v>147</v>
      </c>
      <c r="K496" s="120" t="s">
        <v>713</v>
      </c>
      <c r="L496" s="235" t="s">
        <v>594</v>
      </c>
      <c r="M496" s="152"/>
      <c r="N496" s="152"/>
    </row>
    <row r="497" spans="1:14" s="236" customFormat="1" ht="90" outlineLevel="1" thickBot="1">
      <c r="A497" s="117" t="s">
        <v>799</v>
      </c>
      <c r="B497" s="118"/>
      <c r="C497" s="119" t="s">
        <v>44</v>
      </c>
      <c r="D497" s="140" t="s">
        <v>595</v>
      </c>
      <c r="E497" s="231" t="s">
        <v>597</v>
      </c>
      <c r="F497" s="232" t="s">
        <v>596</v>
      </c>
      <c r="G497" s="239" t="s">
        <v>201</v>
      </c>
      <c r="H497" s="239"/>
      <c r="I497" s="118" t="s">
        <v>39</v>
      </c>
      <c r="J497" s="118" t="s">
        <v>147</v>
      </c>
      <c r="K497" s="120" t="s">
        <v>713</v>
      </c>
      <c r="L497" s="235" t="s">
        <v>833</v>
      </c>
      <c r="M497" s="152"/>
      <c r="N497" s="152"/>
    </row>
    <row r="498" spans="1:14" s="236" customFormat="1" ht="51.75" outlineLevel="1" thickBot="1">
      <c r="A498" s="117" t="s">
        <v>800</v>
      </c>
      <c r="B498" s="118"/>
      <c r="C498" s="119" t="s">
        <v>44</v>
      </c>
      <c r="D498" s="140" t="s">
        <v>595</v>
      </c>
      <c r="E498" s="231" t="s">
        <v>598</v>
      </c>
      <c r="F498" s="232" t="s">
        <v>599</v>
      </c>
      <c r="G498" s="239" t="s">
        <v>201</v>
      </c>
      <c r="H498" s="239"/>
      <c r="I498" s="118" t="s">
        <v>39</v>
      </c>
      <c r="J498" s="118" t="s">
        <v>147</v>
      </c>
      <c r="K498" s="120" t="s">
        <v>713</v>
      </c>
      <c r="L498" s="235" t="s">
        <v>704</v>
      </c>
      <c r="M498" s="152"/>
      <c r="N498" s="152"/>
    </row>
    <row r="499" spans="1:14" s="236" customFormat="1" ht="51.75" outlineLevel="1" thickBot="1">
      <c r="A499" s="117" t="s">
        <v>801</v>
      </c>
      <c r="B499" s="118"/>
      <c r="C499" s="119" t="s">
        <v>44</v>
      </c>
      <c r="D499" s="140" t="s">
        <v>595</v>
      </c>
      <c r="E499" s="231" t="s">
        <v>600</v>
      </c>
      <c r="F499" s="232" t="s">
        <v>601</v>
      </c>
      <c r="G499" s="239" t="s">
        <v>201</v>
      </c>
      <c r="H499" s="239"/>
      <c r="I499" s="118" t="s">
        <v>39</v>
      </c>
      <c r="J499" s="118" t="s">
        <v>147</v>
      </c>
      <c r="K499" s="120" t="s">
        <v>713</v>
      </c>
      <c r="L499" s="235" t="s">
        <v>602</v>
      </c>
      <c r="M499" s="152"/>
      <c r="N499" s="152"/>
    </row>
    <row r="500" spans="1:14" s="236" customFormat="1" ht="90" outlineLevel="1" thickBot="1">
      <c r="A500" s="117" t="s">
        <v>802</v>
      </c>
      <c r="B500" s="118"/>
      <c r="C500" s="119" t="s">
        <v>44</v>
      </c>
      <c r="D500" s="140" t="s">
        <v>595</v>
      </c>
      <c r="E500" s="231" t="s">
        <v>603</v>
      </c>
      <c r="F500" s="232" t="s">
        <v>604</v>
      </c>
      <c r="G500" s="239" t="s">
        <v>201</v>
      </c>
      <c r="H500" s="239"/>
      <c r="I500" s="118" t="s">
        <v>39</v>
      </c>
      <c r="J500" s="118" t="s">
        <v>147</v>
      </c>
      <c r="K500" s="120" t="s">
        <v>713</v>
      </c>
      <c r="L500" s="235" t="s">
        <v>605</v>
      </c>
      <c r="M500" s="152"/>
      <c r="N500" s="152"/>
    </row>
    <row r="501" spans="1:14" s="236" customFormat="1" ht="64.5" outlineLevel="1" thickBot="1">
      <c r="A501" s="117" t="s">
        <v>803</v>
      </c>
      <c r="B501" s="118"/>
      <c r="C501" s="119" t="s">
        <v>44</v>
      </c>
      <c r="D501" s="140" t="s">
        <v>595</v>
      </c>
      <c r="E501" s="231" t="s">
        <v>606</v>
      </c>
      <c r="F501" s="232" t="s">
        <v>607</v>
      </c>
      <c r="G501" s="239" t="s">
        <v>201</v>
      </c>
      <c r="H501" s="239"/>
      <c r="I501" s="118" t="s">
        <v>39</v>
      </c>
      <c r="J501" s="118" t="s">
        <v>147</v>
      </c>
      <c r="K501" s="120" t="s">
        <v>713</v>
      </c>
      <c r="L501" s="235" t="s">
        <v>608</v>
      </c>
      <c r="M501" s="152"/>
      <c r="N501" s="152"/>
    </row>
    <row r="502" spans="1:14" s="236" customFormat="1" ht="51.75" outlineLevel="1" thickBot="1">
      <c r="A502" s="117" t="s">
        <v>804</v>
      </c>
      <c r="B502" s="118"/>
      <c r="C502" s="119" t="s">
        <v>44</v>
      </c>
      <c r="D502" s="140" t="s">
        <v>595</v>
      </c>
      <c r="E502" s="231" t="s">
        <v>609</v>
      </c>
      <c r="F502" s="232" t="s">
        <v>610</v>
      </c>
      <c r="G502" s="239" t="s">
        <v>201</v>
      </c>
      <c r="H502" s="239"/>
      <c r="I502" s="118" t="s">
        <v>39</v>
      </c>
      <c r="J502" s="118" t="s">
        <v>147</v>
      </c>
      <c r="K502" s="120" t="s">
        <v>713</v>
      </c>
      <c r="L502" s="235" t="s">
        <v>834</v>
      </c>
      <c r="M502" s="152"/>
      <c r="N502" s="152"/>
    </row>
    <row r="503" spans="1:14" s="236" customFormat="1" ht="90" outlineLevel="1" thickBot="1">
      <c r="A503" s="117" t="s">
        <v>805</v>
      </c>
      <c r="B503" s="118"/>
      <c r="C503" s="119" t="s">
        <v>44</v>
      </c>
      <c r="D503" s="140" t="s">
        <v>595</v>
      </c>
      <c r="E503" s="231" t="s">
        <v>709</v>
      </c>
      <c r="F503" s="232" t="s">
        <v>611</v>
      </c>
      <c r="G503" s="239" t="s">
        <v>201</v>
      </c>
      <c r="H503" s="239"/>
      <c r="I503" s="118" t="s">
        <v>39</v>
      </c>
      <c r="J503" s="118" t="s">
        <v>147</v>
      </c>
      <c r="K503" s="120" t="s">
        <v>713</v>
      </c>
      <c r="L503" s="235" t="s">
        <v>835</v>
      </c>
      <c r="M503" s="152"/>
      <c r="N503" s="152"/>
    </row>
    <row r="504" spans="1:14" s="236" customFormat="1" ht="77.25" outlineLevel="1" thickBot="1">
      <c r="A504" s="117" t="s">
        <v>806</v>
      </c>
      <c r="B504" s="118"/>
      <c r="C504" s="119" t="s">
        <v>44</v>
      </c>
      <c r="D504" s="140" t="s">
        <v>595</v>
      </c>
      <c r="E504" s="231" t="s">
        <v>613</v>
      </c>
      <c r="F504" s="232" t="s">
        <v>612</v>
      </c>
      <c r="G504" s="239" t="s">
        <v>201</v>
      </c>
      <c r="H504" s="239"/>
      <c r="I504" s="118" t="s">
        <v>39</v>
      </c>
      <c r="J504" s="118" t="s">
        <v>147</v>
      </c>
      <c r="K504" s="120" t="s">
        <v>713</v>
      </c>
      <c r="L504" s="235" t="s">
        <v>614</v>
      </c>
      <c r="M504" s="152"/>
      <c r="N504" s="152"/>
    </row>
    <row r="505" spans="1:14" s="236" customFormat="1" ht="26.25" outlineLevel="1" thickBot="1">
      <c r="A505" s="117" t="s">
        <v>807</v>
      </c>
      <c r="B505" s="118"/>
      <c r="C505" s="119" t="s">
        <v>44</v>
      </c>
      <c r="D505" s="140" t="s">
        <v>595</v>
      </c>
      <c r="E505" s="231" t="s">
        <v>616</v>
      </c>
      <c r="F505" s="232" t="s">
        <v>615</v>
      </c>
      <c r="G505" s="239" t="s">
        <v>201</v>
      </c>
      <c r="H505" s="239"/>
      <c r="I505" s="118" t="s">
        <v>39</v>
      </c>
      <c r="J505" s="118" t="s">
        <v>147</v>
      </c>
      <c r="K505" s="120" t="s">
        <v>713</v>
      </c>
      <c r="L505" s="235" t="s">
        <v>617</v>
      </c>
      <c r="M505" s="152"/>
      <c r="N505" s="152"/>
    </row>
    <row r="506" spans="1:14" s="236" customFormat="1" ht="14.25" outlineLevel="1" thickBot="1">
      <c r="A506" s="117" t="s">
        <v>808</v>
      </c>
      <c r="B506" s="118"/>
      <c r="C506" s="119" t="s">
        <v>44</v>
      </c>
      <c r="D506" s="140" t="s">
        <v>595</v>
      </c>
      <c r="E506" s="231" t="s">
        <v>619</v>
      </c>
      <c r="F506" s="232" t="s">
        <v>618</v>
      </c>
      <c r="G506" s="239" t="s">
        <v>201</v>
      </c>
      <c r="H506" s="239"/>
      <c r="I506" s="118" t="s">
        <v>39</v>
      </c>
      <c r="J506" s="118" t="s">
        <v>147</v>
      </c>
      <c r="K506" s="120" t="s">
        <v>713</v>
      </c>
      <c r="L506" s="235" t="s">
        <v>620</v>
      </c>
      <c r="M506" s="152"/>
      <c r="N506" s="152"/>
    </row>
    <row r="507" spans="1:14" s="236" customFormat="1" ht="58.15" customHeight="1" outlineLevel="1" thickBot="1">
      <c r="A507" s="117" t="s">
        <v>809</v>
      </c>
      <c r="B507" s="118"/>
      <c r="C507" s="119" t="s">
        <v>44</v>
      </c>
      <c r="D507" s="140" t="s">
        <v>595</v>
      </c>
      <c r="E507" s="231" t="s">
        <v>622</v>
      </c>
      <c r="F507" s="232" t="s">
        <v>621</v>
      </c>
      <c r="G507" s="239" t="s">
        <v>201</v>
      </c>
      <c r="H507" s="239"/>
      <c r="I507" s="118" t="s">
        <v>39</v>
      </c>
      <c r="J507" s="118" t="s">
        <v>147</v>
      </c>
      <c r="K507" s="120" t="s">
        <v>713</v>
      </c>
      <c r="L507" s="235" t="s">
        <v>623</v>
      </c>
      <c r="M507" s="152"/>
      <c r="N507" s="152"/>
    </row>
    <row r="508" spans="1:14" s="236" customFormat="1" ht="51" customHeight="1" outlineLevel="1" thickBot="1">
      <c r="A508" s="117" t="s">
        <v>810</v>
      </c>
      <c r="B508" s="118"/>
      <c r="C508" s="119" t="s">
        <v>44</v>
      </c>
      <c r="D508" s="140" t="s">
        <v>595</v>
      </c>
      <c r="E508" s="231" t="s">
        <v>625</v>
      </c>
      <c r="F508" s="232" t="s">
        <v>624</v>
      </c>
      <c r="G508" s="239" t="s">
        <v>201</v>
      </c>
      <c r="H508" s="239"/>
      <c r="I508" s="118" t="s">
        <v>39</v>
      </c>
      <c r="J508" s="118" t="s">
        <v>147</v>
      </c>
      <c r="K508" s="120" t="s">
        <v>713</v>
      </c>
      <c r="L508" s="235" t="s">
        <v>623</v>
      </c>
      <c r="M508" s="152"/>
      <c r="N508" s="152"/>
    </row>
    <row r="509" spans="1:14" s="236" customFormat="1" ht="64.150000000000006" customHeight="1" outlineLevel="1" thickBot="1">
      <c r="A509" s="117" t="s">
        <v>811</v>
      </c>
      <c r="B509" s="118"/>
      <c r="C509" s="119" t="s">
        <v>44</v>
      </c>
      <c r="D509" s="140" t="s">
        <v>595</v>
      </c>
      <c r="E509" s="231" t="s">
        <v>627</v>
      </c>
      <c r="F509" s="232" t="s">
        <v>626</v>
      </c>
      <c r="G509" s="239" t="s">
        <v>201</v>
      </c>
      <c r="H509" s="239"/>
      <c r="I509" s="118" t="s">
        <v>39</v>
      </c>
      <c r="J509" s="118" t="s">
        <v>147</v>
      </c>
      <c r="K509" s="120" t="s">
        <v>713</v>
      </c>
      <c r="L509" s="235" t="s">
        <v>836</v>
      </c>
      <c r="M509" s="152"/>
      <c r="N509" s="152"/>
    </row>
    <row r="510" spans="1:14" s="236" customFormat="1" ht="37.9" customHeight="1" outlineLevel="1" thickBot="1">
      <c r="A510" s="159" t="s">
        <v>812</v>
      </c>
      <c r="B510" s="160"/>
      <c r="C510" s="119" t="s">
        <v>44</v>
      </c>
      <c r="D510" s="140" t="s">
        <v>595</v>
      </c>
      <c r="E510" s="272" t="s">
        <v>722</v>
      </c>
      <c r="F510" s="273" t="s">
        <v>723</v>
      </c>
      <c r="G510" s="274" t="s">
        <v>201</v>
      </c>
      <c r="H510" s="274"/>
      <c r="I510" s="118" t="s">
        <v>39</v>
      </c>
      <c r="J510" s="118" t="s">
        <v>147</v>
      </c>
      <c r="K510" s="120" t="s">
        <v>713</v>
      </c>
      <c r="L510" s="275" t="s">
        <v>837</v>
      </c>
      <c r="M510" s="276"/>
      <c r="N510" s="276"/>
    </row>
    <row r="511" spans="1:14" ht="13.5" thickBot="1">
      <c r="A511" s="287">
        <v>6</v>
      </c>
      <c r="B511" s="288"/>
      <c r="C511" s="288"/>
      <c r="D511" s="289"/>
      <c r="E511" s="229" t="s">
        <v>18</v>
      </c>
      <c r="F511" s="161"/>
      <c r="G511" s="230"/>
      <c r="H511" s="114"/>
      <c r="I511" s="115"/>
      <c r="J511" s="115"/>
      <c r="K511" s="115"/>
      <c r="L511" s="115"/>
      <c r="M511" s="114"/>
      <c r="N511" s="114"/>
    </row>
    <row r="512" spans="1:14" s="236" customFormat="1" ht="27" outlineLevel="1" collapsed="1">
      <c r="A512" s="117" t="s">
        <v>104</v>
      </c>
      <c r="B512" s="118"/>
      <c r="C512" s="119" t="s">
        <v>44</v>
      </c>
      <c r="D512" s="140" t="s">
        <v>60</v>
      </c>
      <c r="E512" s="231" t="s">
        <v>635</v>
      </c>
      <c r="F512" s="232" t="s">
        <v>636</v>
      </c>
      <c r="G512" s="239" t="s">
        <v>201</v>
      </c>
      <c r="H512" s="239"/>
      <c r="I512" s="118" t="s">
        <v>39</v>
      </c>
      <c r="J512" s="118" t="s">
        <v>144</v>
      </c>
      <c r="K512" s="120" t="s">
        <v>147</v>
      </c>
      <c r="L512" s="235" t="s">
        <v>637</v>
      </c>
      <c r="M512" s="152" t="s">
        <v>129</v>
      </c>
      <c r="N512" s="152">
        <v>1</v>
      </c>
    </row>
    <row r="513" spans="1:14" ht="15" hidden="1" customHeight="1" outlineLevel="2">
      <c r="A513" s="200"/>
      <c r="B513" s="200"/>
      <c r="C513" s="200"/>
      <c r="D513" s="200"/>
      <c r="E513" s="200"/>
      <c r="F513" s="200"/>
      <c r="G513" s="173"/>
      <c r="H513" s="200"/>
      <c r="I513" s="3" t="s">
        <v>39</v>
      </c>
      <c r="J513" s="173"/>
      <c r="K513" s="173"/>
      <c r="L513" s="142" t="s">
        <v>638</v>
      </c>
      <c r="M513" s="3" t="s">
        <v>21</v>
      </c>
      <c r="N513" s="147">
        <v>1</v>
      </c>
    </row>
    <row r="514" spans="1:14" s="251" customFormat="1" ht="15" customHeight="1" outlineLevel="1" thickBot="1">
      <c r="A514" s="199"/>
      <c r="B514" s="199"/>
      <c r="C514" s="199"/>
      <c r="D514" s="199"/>
      <c r="E514" s="199"/>
      <c r="F514" s="199"/>
      <c r="G514" s="250"/>
      <c r="H514" s="199"/>
      <c r="I514" s="250"/>
      <c r="J514" s="250"/>
      <c r="K514" s="250"/>
      <c r="L514" s="199"/>
      <c r="M514" s="199"/>
      <c r="N514" s="199"/>
    </row>
    <row r="515" spans="1:14" ht="46.15" customHeight="1" thickBot="1">
      <c r="A515" s="287">
        <v>7</v>
      </c>
      <c r="B515" s="288"/>
      <c r="C515" s="288"/>
      <c r="D515" s="288"/>
      <c r="E515" s="277" t="s">
        <v>77</v>
      </c>
      <c r="F515" s="113"/>
      <c r="G515" s="230"/>
      <c r="H515" s="114"/>
      <c r="I515" s="115"/>
      <c r="J515" s="115"/>
      <c r="K515" s="115"/>
      <c r="L515" s="115"/>
      <c r="M515" s="114"/>
      <c r="N515" s="114"/>
    </row>
    <row r="516" spans="1:14" s="236" customFormat="1" ht="25.5" outlineLevel="1" collapsed="1">
      <c r="A516" s="117" t="s">
        <v>105</v>
      </c>
      <c r="B516" s="118"/>
      <c r="C516" s="119" t="s">
        <v>44</v>
      </c>
      <c r="D516" s="140" t="s">
        <v>639</v>
      </c>
      <c r="E516" s="231" t="s">
        <v>57</v>
      </c>
      <c r="F516" s="232"/>
      <c r="G516" s="239" t="s">
        <v>201</v>
      </c>
      <c r="H516" s="239"/>
      <c r="I516" s="118" t="s">
        <v>39</v>
      </c>
      <c r="J516" s="118" t="s">
        <v>144</v>
      </c>
      <c r="K516" s="120" t="s">
        <v>142</v>
      </c>
      <c r="L516" s="235" t="str">
        <f>CONCATENATE(L517," ",N517,M517,)</f>
        <v>Замена счетчиков эл.энергии -  21шт., Замена трансформаторов тока-6  шт   27шт.</v>
      </c>
      <c r="M516" s="152"/>
      <c r="N516" s="152"/>
    </row>
    <row r="517" spans="1:14" ht="32.25" hidden="1" customHeight="1" outlineLevel="2">
      <c r="A517" s="142"/>
      <c r="B517" s="1"/>
      <c r="C517" s="1"/>
      <c r="D517" s="1"/>
      <c r="E517" s="162"/>
      <c r="F517" s="31"/>
      <c r="G517" s="174"/>
      <c r="H517" s="1"/>
      <c r="I517" s="36" t="s">
        <v>39</v>
      </c>
      <c r="J517" s="36" t="s">
        <v>144</v>
      </c>
      <c r="K517" s="36" t="s">
        <v>142</v>
      </c>
      <c r="L517" s="162" t="s">
        <v>640</v>
      </c>
      <c r="M517" s="36" t="s">
        <v>21</v>
      </c>
      <c r="N517" s="36">
        <v>27</v>
      </c>
    </row>
    <row r="518" spans="1:14" ht="18.75" customHeight="1" outlineLevel="1" thickBot="1">
      <c r="A518" s="164"/>
      <c r="B518" s="32"/>
      <c r="C518" s="32"/>
      <c r="D518" s="32"/>
      <c r="E518" s="166"/>
      <c r="F518" s="165"/>
      <c r="G518" s="35"/>
      <c r="H518" s="32"/>
      <c r="I518" s="182"/>
      <c r="J518" s="182"/>
      <c r="K518" s="182"/>
      <c r="L518" s="166"/>
      <c r="M518" s="182"/>
      <c r="N518" s="182"/>
    </row>
    <row r="519" spans="1:14" ht="14.25" collapsed="1" thickBot="1">
      <c r="A519" s="287">
        <v>8</v>
      </c>
      <c r="B519" s="288"/>
      <c r="C519" s="288"/>
      <c r="D519" s="288"/>
      <c r="E519" s="277"/>
      <c r="F519" s="113"/>
      <c r="G519" s="230"/>
      <c r="H519" s="114"/>
      <c r="I519" s="115"/>
      <c r="J519" s="167"/>
      <c r="K519" s="167"/>
      <c r="L519" s="116"/>
      <c r="M519" s="114"/>
      <c r="N519" s="114"/>
    </row>
    <row r="520" spans="1:14" ht="13.5" hidden="1" outlineLevel="2">
      <c r="A520" s="180"/>
      <c r="B520" s="183"/>
      <c r="C520" s="33"/>
      <c r="D520" s="183"/>
      <c r="E520" s="278"/>
      <c r="F520" s="279"/>
      <c r="G520" s="280"/>
      <c r="H520" s="154"/>
      <c r="I520" s="183"/>
      <c r="J520" s="36" t="s">
        <v>816</v>
      </c>
      <c r="K520" s="36" t="s">
        <v>140</v>
      </c>
      <c r="L520" s="281" t="s">
        <v>78</v>
      </c>
      <c r="M520" s="154"/>
      <c r="N520" s="154"/>
    </row>
    <row r="521" spans="1:14" ht="13.5" hidden="1" outlineLevel="2">
      <c r="A521" s="3"/>
      <c r="B521" s="36"/>
      <c r="C521" s="11"/>
      <c r="D521" s="36"/>
      <c r="E521" s="282"/>
      <c r="F521" s="283"/>
      <c r="G521" s="186"/>
      <c r="H521" s="174"/>
      <c r="I521" s="36"/>
      <c r="J521" s="36" t="s">
        <v>170</v>
      </c>
      <c r="K521" s="36" t="s">
        <v>144</v>
      </c>
      <c r="L521" s="281" t="s">
        <v>78</v>
      </c>
      <c r="M521" s="174"/>
      <c r="N521" s="174"/>
    </row>
    <row r="522" spans="1:14" ht="13.5" hidden="1" outlineLevel="2">
      <c r="A522" s="3"/>
      <c r="B522" s="36"/>
      <c r="C522" s="11"/>
      <c r="D522" s="36"/>
      <c r="E522" s="282"/>
      <c r="F522" s="283"/>
      <c r="G522" s="186"/>
      <c r="H522" s="174"/>
      <c r="I522" s="36"/>
      <c r="J522" s="36" t="s">
        <v>146</v>
      </c>
      <c r="K522" s="36" t="s">
        <v>141</v>
      </c>
      <c r="L522" s="281" t="s">
        <v>78</v>
      </c>
      <c r="M522" s="174"/>
      <c r="N522" s="174"/>
    </row>
    <row r="523" spans="1:14" ht="13.5" hidden="1" outlineLevel="2">
      <c r="A523" s="168"/>
      <c r="B523" s="1"/>
      <c r="C523" s="122"/>
      <c r="D523" s="1"/>
      <c r="E523" s="1"/>
      <c r="F523" s="31"/>
      <c r="G523" s="186"/>
      <c r="H523" s="1"/>
      <c r="I523" s="174"/>
      <c r="J523" s="36" t="s">
        <v>142</v>
      </c>
      <c r="K523" s="36" t="s">
        <v>713</v>
      </c>
      <c r="L523" s="281" t="s">
        <v>78</v>
      </c>
      <c r="M523" s="1"/>
      <c r="N523" s="1"/>
    </row>
    <row r="524" spans="1:14">
      <c r="A524" s="169"/>
      <c r="B524" s="9"/>
      <c r="C524" s="157"/>
      <c r="D524" s="9"/>
      <c r="E524" s="9"/>
      <c r="F524" s="170"/>
      <c r="G524" s="284"/>
      <c r="H524" s="9"/>
      <c r="I524" s="26"/>
      <c r="J524" s="26"/>
      <c r="K524" s="26"/>
      <c r="L524" s="171"/>
      <c r="M524" s="9"/>
      <c r="N524" s="9"/>
    </row>
    <row r="525" spans="1:14">
      <c r="A525" s="169"/>
      <c r="B525" s="9"/>
      <c r="C525" s="157"/>
      <c r="D525" s="9"/>
      <c r="E525" s="9"/>
      <c r="F525" s="170"/>
      <c r="G525" s="284"/>
      <c r="H525" s="9"/>
      <c r="I525" s="26"/>
      <c r="J525" s="26"/>
      <c r="K525" s="26"/>
      <c r="L525" s="171"/>
      <c r="M525" s="9"/>
      <c r="N525" s="9"/>
    </row>
    <row r="526" spans="1:14">
      <c r="A526" s="169"/>
      <c r="B526" s="9"/>
      <c r="C526" s="157"/>
      <c r="D526" s="9"/>
      <c r="E526" s="9"/>
      <c r="F526" s="170"/>
      <c r="G526" s="284"/>
      <c r="H526" s="9"/>
      <c r="I526" s="26"/>
      <c r="J526" s="26"/>
      <c r="K526" s="26"/>
      <c r="L526" s="171"/>
      <c r="M526" s="9"/>
      <c r="N526" s="9"/>
    </row>
    <row r="527" spans="1:14">
      <c r="A527" s="169"/>
      <c r="B527" s="9"/>
      <c r="C527" s="157"/>
      <c r="D527" s="9"/>
      <c r="E527" s="9"/>
      <c r="F527" s="170"/>
      <c r="G527" s="284"/>
      <c r="H527" s="9"/>
      <c r="I527" s="26"/>
      <c r="J527" s="26"/>
      <c r="K527" s="26"/>
      <c r="L527" s="171"/>
      <c r="M527" s="9"/>
      <c r="N527" s="9"/>
    </row>
    <row r="528" spans="1:14">
      <c r="A528" s="169"/>
      <c r="B528" s="9"/>
      <c r="C528" s="157"/>
      <c r="D528" s="9"/>
      <c r="E528" s="9"/>
      <c r="F528" s="170"/>
      <c r="G528" s="284"/>
      <c r="H528" s="9"/>
      <c r="I528" s="26"/>
      <c r="J528" s="26"/>
      <c r="K528" s="26"/>
      <c r="L528" s="171"/>
      <c r="M528" s="9"/>
      <c r="N528" s="9"/>
    </row>
    <row r="529" spans="1:14">
      <c r="A529" s="169"/>
      <c r="B529" s="9"/>
      <c r="C529" s="157"/>
      <c r="D529" s="9"/>
      <c r="E529" s="9"/>
      <c r="F529" s="170"/>
      <c r="G529" s="284"/>
      <c r="H529" s="9"/>
      <c r="I529" s="26"/>
      <c r="J529" s="26"/>
      <c r="K529" s="26"/>
      <c r="L529" s="171"/>
      <c r="M529" s="9"/>
      <c r="N529" s="9"/>
    </row>
    <row r="530" spans="1:14">
      <c r="A530" s="169"/>
      <c r="B530" s="9"/>
      <c r="C530" s="157"/>
      <c r="D530" s="9"/>
      <c r="E530" s="9"/>
      <c r="F530" s="170"/>
      <c r="G530" s="284"/>
      <c r="H530" s="9"/>
      <c r="I530" s="26"/>
      <c r="J530" s="26"/>
      <c r="K530" s="26"/>
      <c r="L530" s="171"/>
      <c r="M530" s="9"/>
      <c r="N530" s="9"/>
    </row>
    <row r="531" spans="1:14">
      <c r="A531" s="169"/>
      <c r="B531" s="9"/>
      <c r="C531" s="157"/>
      <c r="D531" s="9"/>
      <c r="E531" s="9"/>
      <c r="F531" s="170"/>
      <c r="G531" s="284"/>
      <c r="H531" s="9"/>
      <c r="I531" s="26"/>
      <c r="J531" s="26"/>
      <c r="K531" s="26"/>
      <c r="L531" s="171"/>
      <c r="M531" s="9"/>
      <c r="N531" s="9"/>
    </row>
    <row r="532" spans="1:14">
      <c r="A532" s="169"/>
      <c r="B532" s="9"/>
      <c r="C532" s="157"/>
      <c r="D532" s="9"/>
      <c r="E532" s="9"/>
      <c r="F532" s="170"/>
      <c r="G532" s="284"/>
      <c r="H532" s="9"/>
      <c r="I532" s="26"/>
      <c r="J532" s="26"/>
      <c r="K532" s="26"/>
      <c r="L532" s="171"/>
      <c r="M532" s="9"/>
      <c r="N532" s="9"/>
    </row>
    <row r="533" spans="1:14">
      <c r="A533" s="169"/>
      <c r="B533" s="9"/>
      <c r="C533" s="157"/>
      <c r="D533" s="9"/>
      <c r="E533" s="9"/>
      <c r="F533" s="170"/>
      <c r="G533" s="284"/>
      <c r="H533" s="9"/>
      <c r="I533" s="26"/>
      <c r="J533" s="26"/>
      <c r="K533" s="26"/>
      <c r="L533" s="171"/>
      <c r="M533" s="9"/>
      <c r="N533" s="9"/>
    </row>
    <row r="534" spans="1:14">
      <c r="A534" s="169"/>
      <c r="B534" s="9"/>
      <c r="C534" s="157"/>
      <c r="D534" s="9"/>
      <c r="E534" s="9"/>
      <c r="F534" s="170"/>
      <c r="G534" s="284"/>
      <c r="H534" s="9"/>
      <c r="I534" s="26"/>
      <c r="J534" s="26"/>
      <c r="K534" s="26"/>
      <c r="L534" s="171"/>
      <c r="M534" s="9"/>
      <c r="N534" s="9"/>
    </row>
    <row r="535" spans="1:14">
      <c r="A535" s="5"/>
      <c r="B535" s="6"/>
      <c r="C535" s="7"/>
      <c r="D535" s="6"/>
      <c r="E535" s="6"/>
      <c r="F535" s="8"/>
      <c r="G535" s="285"/>
      <c r="H535" s="6"/>
      <c r="I535" s="26"/>
      <c r="J535" s="37"/>
      <c r="K535" s="37"/>
      <c r="L535" s="10"/>
      <c r="M535" s="6"/>
      <c r="N535" s="6"/>
    </row>
    <row r="536" spans="1:14">
      <c r="A536" s="5"/>
      <c r="B536" s="6"/>
      <c r="C536" s="7"/>
      <c r="D536" s="6"/>
      <c r="E536" s="6"/>
      <c r="F536" s="8"/>
      <c r="G536" s="285"/>
      <c r="H536" s="6"/>
      <c r="I536" s="26"/>
      <c r="J536" s="37"/>
      <c r="K536" s="37"/>
      <c r="L536" s="10"/>
      <c r="M536" s="6"/>
      <c r="N536" s="6"/>
    </row>
    <row r="537" spans="1:14">
      <c r="A537" s="5"/>
      <c r="B537" s="6"/>
      <c r="C537" s="7"/>
      <c r="D537" s="6"/>
      <c r="E537" s="6"/>
      <c r="F537" s="8"/>
      <c r="G537" s="285"/>
      <c r="H537" s="6"/>
      <c r="I537" s="26"/>
      <c r="J537" s="37"/>
      <c r="K537" s="37"/>
      <c r="L537" s="10"/>
      <c r="M537" s="6"/>
      <c r="N537" s="6"/>
    </row>
    <row r="538" spans="1:14">
      <c r="A538" s="5"/>
      <c r="B538" s="6"/>
      <c r="C538" s="7"/>
      <c r="D538" s="6"/>
      <c r="E538" s="6"/>
      <c r="F538" s="8"/>
      <c r="G538" s="285"/>
      <c r="H538" s="6"/>
      <c r="I538" s="26"/>
      <c r="J538" s="37"/>
      <c r="K538" s="37"/>
      <c r="L538" s="10"/>
      <c r="M538" s="6"/>
      <c r="N538" s="6"/>
    </row>
    <row r="539" spans="1:14">
      <c r="A539" s="5"/>
      <c r="B539" s="6"/>
      <c r="C539" s="7"/>
      <c r="D539" s="6"/>
      <c r="E539" s="6"/>
      <c r="F539" s="8"/>
      <c r="G539" s="285"/>
      <c r="H539" s="6"/>
      <c r="I539" s="26"/>
      <c r="J539" s="37"/>
      <c r="K539" s="37"/>
      <c r="L539" s="10"/>
      <c r="M539" s="6"/>
      <c r="N539" s="6"/>
    </row>
    <row r="540" spans="1:14">
      <c r="A540" s="5"/>
      <c r="B540" s="6"/>
      <c r="C540" s="7"/>
      <c r="D540" s="6"/>
      <c r="E540" s="6"/>
      <c r="F540" s="8"/>
      <c r="G540" s="285"/>
      <c r="H540" s="6"/>
      <c r="I540" s="26"/>
      <c r="J540" s="37"/>
      <c r="K540" s="37"/>
      <c r="L540" s="10"/>
      <c r="M540" s="6"/>
      <c r="N540" s="6"/>
    </row>
    <row r="541" spans="1:14">
      <c r="A541" s="5"/>
      <c r="B541" s="6"/>
      <c r="C541" s="7"/>
      <c r="D541" s="6"/>
      <c r="E541" s="6"/>
      <c r="F541" s="8"/>
      <c r="G541" s="285"/>
      <c r="H541" s="6"/>
      <c r="I541" s="26"/>
      <c r="J541" s="37"/>
      <c r="K541" s="37"/>
      <c r="L541" s="10"/>
      <c r="M541" s="6"/>
      <c r="N541" s="6"/>
    </row>
    <row r="542" spans="1:14">
      <c r="A542" s="5"/>
      <c r="B542" s="6"/>
      <c r="C542" s="7"/>
      <c r="D542" s="6"/>
      <c r="E542" s="6"/>
      <c r="F542" s="8"/>
      <c r="G542" s="285"/>
      <c r="H542" s="6"/>
      <c r="I542" s="26"/>
      <c r="J542" s="37"/>
      <c r="K542" s="37"/>
      <c r="L542" s="10"/>
      <c r="M542" s="6"/>
      <c r="N542" s="6"/>
    </row>
    <row r="543" spans="1:14">
      <c r="A543" s="5"/>
      <c r="B543" s="6"/>
      <c r="C543" s="7"/>
      <c r="D543" s="6"/>
      <c r="E543" s="6"/>
      <c r="F543" s="8"/>
      <c r="G543" s="285"/>
      <c r="H543" s="6"/>
      <c r="I543" s="26"/>
      <c r="J543" s="37"/>
      <c r="K543" s="37"/>
      <c r="L543" s="10"/>
      <c r="M543" s="6"/>
      <c r="N543" s="6"/>
    </row>
    <row r="544" spans="1:14">
      <c r="A544" s="5"/>
      <c r="B544" s="6"/>
      <c r="C544" s="7"/>
      <c r="D544" s="6"/>
      <c r="E544" s="6"/>
      <c r="F544" s="8"/>
      <c r="G544" s="285"/>
      <c r="H544" s="6"/>
      <c r="I544" s="26"/>
      <c r="J544" s="37"/>
      <c r="K544" s="37"/>
      <c r="L544" s="10"/>
      <c r="M544" s="6"/>
      <c r="N544" s="6"/>
    </row>
    <row r="545" spans="1:14">
      <c r="A545" s="5"/>
      <c r="B545" s="6"/>
      <c r="C545" s="7"/>
      <c r="D545" s="6"/>
      <c r="E545" s="6"/>
      <c r="F545" s="8"/>
      <c r="G545" s="285"/>
      <c r="H545" s="6"/>
      <c r="I545" s="26"/>
      <c r="J545" s="37"/>
      <c r="K545" s="37"/>
      <c r="L545" s="10"/>
      <c r="M545" s="6"/>
      <c r="N545" s="6"/>
    </row>
    <row r="546" spans="1:14">
      <c r="A546" s="5"/>
      <c r="B546" s="6"/>
      <c r="C546" s="7"/>
      <c r="D546" s="6"/>
      <c r="E546" s="6"/>
      <c r="F546" s="8"/>
      <c r="G546" s="285"/>
      <c r="H546" s="6"/>
      <c r="I546" s="26"/>
      <c r="J546" s="37"/>
      <c r="K546" s="37"/>
      <c r="L546" s="10"/>
      <c r="M546" s="6"/>
      <c r="N546" s="6"/>
    </row>
    <row r="547" spans="1:14">
      <c r="A547" s="5"/>
      <c r="B547" s="6"/>
      <c r="C547" s="7"/>
      <c r="D547" s="6"/>
      <c r="E547" s="6"/>
      <c r="F547" s="8"/>
      <c r="G547" s="285"/>
      <c r="H547" s="6"/>
      <c r="I547" s="26"/>
      <c r="J547" s="37"/>
      <c r="K547" s="37"/>
      <c r="L547" s="10"/>
      <c r="M547" s="6"/>
      <c r="N547" s="6"/>
    </row>
    <row r="548" spans="1:14">
      <c r="A548" s="5"/>
      <c r="B548" s="6"/>
      <c r="C548" s="7"/>
      <c r="D548" s="6"/>
      <c r="E548" s="6"/>
      <c r="F548" s="8"/>
      <c r="G548" s="285"/>
      <c r="H548" s="6"/>
      <c r="I548" s="26"/>
      <c r="J548" s="37"/>
      <c r="K548" s="37"/>
      <c r="L548" s="10"/>
      <c r="M548" s="6"/>
      <c r="N548" s="6"/>
    </row>
    <row r="549" spans="1:14">
      <c r="A549" s="5"/>
      <c r="B549" s="6"/>
      <c r="C549" s="7"/>
      <c r="D549" s="6"/>
      <c r="E549" s="6"/>
      <c r="F549" s="8"/>
      <c r="G549" s="285"/>
      <c r="H549" s="6"/>
      <c r="I549" s="26"/>
      <c r="J549" s="37"/>
      <c r="K549" s="37"/>
      <c r="L549" s="10"/>
      <c r="M549" s="6"/>
      <c r="N549" s="6"/>
    </row>
    <row r="550" spans="1:14">
      <c r="A550" s="5"/>
      <c r="B550" s="6"/>
      <c r="C550" s="7"/>
      <c r="D550" s="6"/>
      <c r="E550" s="6"/>
      <c r="F550" s="8"/>
      <c r="G550" s="285"/>
      <c r="H550" s="6"/>
      <c r="I550" s="26"/>
      <c r="J550" s="37"/>
      <c r="K550" s="37"/>
      <c r="L550" s="10"/>
      <c r="M550" s="6"/>
      <c r="N550" s="6"/>
    </row>
    <row r="551" spans="1:14">
      <c r="A551" s="5"/>
      <c r="B551" s="6"/>
      <c r="C551" s="7"/>
      <c r="D551" s="6"/>
      <c r="E551" s="6"/>
      <c r="F551" s="8"/>
      <c r="G551" s="285"/>
      <c r="H551" s="6"/>
      <c r="I551" s="26"/>
      <c r="J551" s="37"/>
      <c r="K551" s="37"/>
      <c r="L551" s="10"/>
      <c r="M551" s="6"/>
      <c r="N551" s="6"/>
    </row>
    <row r="552" spans="1:14">
      <c r="A552" s="5"/>
      <c r="B552" s="6"/>
      <c r="C552" s="7"/>
      <c r="D552" s="6"/>
      <c r="E552" s="6"/>
      <c r="F552" s="8"/>
      <c r="G552" s="285"/>
      <c r="H552" s="6"/>
      <c r="I552" s="26"/>
      <c r="J552" s="37"/>
      <c r="K552" s="37"/>
      <c r="L552" s="10"/>
      <c r="M552" s="6"/>
      <c r="N552" s="6"/>
    </row>
    <row r="553" spans="1:14">
      <c r="A553" s="5"/>
      <c r="B553" s="6"/>
      <c r="C553" s="7"/>
      <c r="D553" s="6"/>
      <c r="E553" s="6"/>
      <c r="F553" s="8"/>
      <c r="G553" s="285"/>
      <c r="H553" s="6"/>
      <c r="I553" s="26"/>
      <c r="J553" s="37"/>
      <c r="K553" s="37"/>
      <c r="L553" s="10"/>
      <c r="M553" s="6"/>
      <c r="N553" s="6"/>
    </row>
    <row r="554" spans="1:14">
      <c r="A554" s="5"/>
      <c r="B554" s="6"/>
      <c r="C554" s="7"/>
      <c r="D554" s="6"/>
      <c r="E554" s="6"/>
      <c r="F554" s="8"/>
      <c r="G554" s="285"/>
      <c r="H554" s="6"/>
      <c r="I554" s="26"/>
      <c r="J554" s="37"/>
      <c r="K554" s="37"/>
      <c r="L554" s="10"/>
      <c r="M554" s="6"/>
      <c r="N554" s="6"/>
    </row>
    <row r="555" spans="1:14">
      <c r="A555" s="5"/>
      <c r="B555" s="6"/>
      <c r="C555" s="7"/>
      <c r="D555" s="6"/>
      <c r="E555" s="6"/>
      <c r="F555" s="8"/>
      <c r="G555" s="285"/>
      <c r="H555" s="6"/>
      <c r="I555" s="26"/>
      <c r="J555" s="37"/>
      <c r="K555" s="37"/>
      <c r="L555" s="10"/>
      <c r="M555" s="6"/>
      <c r="N555" s="6"/>
    </row>
    <row r="556" spans="1:14">
      <c r="A556" s="5"/>
      <c r="B556" s="6"/>
      <c r="C556" s="7"/>
      <c r="D556" s="6"/>
      <c r="E556" s="6"/>
      <c r="F556" s="8"/>
      <c r="G556" s="285"/>
      <c r="H556" s="6"/>
      <c r="I556" s="26"/>
      <c r="J556" s="37"/>
      <c r="K556" s="37"/>
      <c r="L556" s="10"/>
      <c r="M556" s="6"/>
      <c r="N556" s="6"/>
    </row>
    <row r="557" spans="1:14">
      <c r="A557" s="5"/>
      <c r="B557" s="6"/>
      <c r="C557" s="7"/>
      <c r="D557" s="6"/>
      <c r="E557" s="6"/>
      <c r="F557" s="8"/>
      <c r="G557" s="285"/>
      <c r="H557" s="6"/>
      <c r="I557" s="26"/>
      <c r="J557" s="37"/>
      <c r="K557" s="37"/>
      <c r="L557" s="10"/>
      <c r="M557" s="6"/>
      <c r="N557" s="6"/>
    </row>
    <row r="558" spans="1:14">
      <c r="A558" s="5"/>
      <c r="B558" s="6"/>
      <c r="C558" s="7"/>
      <c r="D558" s="6"/>
      <c r="E558" s="6"/>
      <c r="F558" s="8"/>
      <c r="G558" s="285"/>
      <c r="H558" s="6"/>
      <c r="I558" s="26"/>
      <c r="J558" s="37"/>
      <c r="K558" s="37"/>
      <c r="L558" s="10"/>
      <c r="M558" s="6"/>
      <c r="N558" s="6"/>
    </row>
    <row r="559" spans="1:14">
      <c r="A559" s="5"/>
      <c r="B559" s="6"/>
      <c r="C559" s="7"/>
      <c r="D559" s="6"/>
      <c r="E559" s="6"/>
      <c r="F559" s="8"/>
      <c r="G559" s="285"/>
      <c r="H559" s="6"/>
      <c r="I559" s="26"/>
      <c r="J559" s="37"/>
      <c r="K559" s="37"/>
      <c r="L559" s="10"/>
      <c r="M559" s="6"/>
      <c r="N559" s="6"/>
    </row>
    <row r="560" spans="1:14">
      <c r="A560" s="5"/>
      <c r="B560" s="6"/>
      <c r="C560" s="7"/>
      <c r="D560" s="6"/>
      <c r="E560" s="6"/>
      <c r="F560" s="8"/>
      <c r="G560" s="285"/>
      <c r="H560" s="6"/>
      <c r="I560" s="26"/>
      <c r="J560" s="37"/>
      <c r="K560" s="37"/>
      <c r="L560" s="10"/>
      <c r="M560" s="6"/>
      <c r="N560" s="6"/>
    </row>
    <row r="561" spans="1:14">
      <c r="A561" s="5"/>
      <c r="B561" s="6"/>
      <c r="C561" s="7"/>
      <c r="D561" s="6"/>
      <c r="E561" s="6"/>
      <c r="F561" s="8"/>
      <c r="G561" s="285"/>
      <c r="H561" s="6"/>
      <c r="I561" s="26"/>
      <c r="J561" s="37"/>
      <c r="K561" s="37"/>
      <c r="L561" s="10"/>
      <c r="M561" s="6"/>
      <c r="N561" s="6"/>
    </row>
    <row r="562" spans="1:14">
      <c r="A562" s="5"/>
      <c r="B562" s="6"/>
      <c r="C562" s="7"/>
      <c r="D562" s="6"/>
      <c r="E562" s="6"/>
      <c r="F562" s="8"/>
      <c r="G562" s="285"/>
      <c r="H562" s="6"/>
      <c r="I562" s="26"/>
      <c r="J562" s="37"/>
      <c r="K562" s="37"/>
      <c r="L562" s="10"/>
      <c r="M562" s="6"/>
      <c r="N562" s="6"/>
    </row>
    <row r="563" spans="1:14">
      <c r="A563" s="5"/>
      <c r="B563" s="6"/>
      <c r="C563" s="7"/>
      <c r="D563" s="6"/>
      <c r="E563" s="6"/>
      <c r="F563" s="8"/>
      <c r="G563" s="285"/>
      <c r="H563" s="6"/>
      <c r="I563" s="26"/>
      <c r="J563" s="37"/>
      <c r="K563" s="37"/>
      <c r="L563" s="10"/>
      <c r="M563" s="6"/>
      <c r="N563" s="6"/>
    </row>
    <row r="564" spans="1:14">
      <c r="A564" s="5"/>
      <c r="B564" s="6"/>
      <c r="C564" s="7"/>
      <c r="D564" s="6"/>
      <c r="E564" s="6"/>
      <c r="F564" s="8"/>
      <c r="G564" s="285"/>
      <c r="H564" s="6"/>
      <c r="I564" s="26"/>
      <c r="J564" s="37"/>
      <c r="K564" s="37"/>
      <c r="L564" s="10"/>
      <c r="M564" s="6"/>
      <c r="N564" s="6"/>
    </row>
    <row r="565" spans="1:14">
      <c r="A565" s="5"/>
      <c r="B565" s="6"/>
      <c r="C565" s="7"/>
      <c r="D565" s="6"/>
      <c r="E565" s="6"/>
      <c r="F565" s="8"/>
      <c r="G565" s="285"/>
      <c r="H565" s="6"/>
      <c r="I565" s="26"/>
      <c r="J565" s="37"/>
      <c r="K565" s="37"/>
      <c r="L565" s="10"/>
      <c r="M565" s="6"/>
      <c r="N565" s="6"/>
    </row>
    <row r="566" spans="1:14">
      <c r="A566" s="5"/>
      <c r="B566" s="6"/>
      <c r="C566" s="7"/>
      <c r="D566" s="6"/>
      <c r="E566" s="6"/>
      <c r="F566" s="8"/>
      <c r="G566" s="285"/>
      <c r="H566" s="6"/>
      <c r="I566" s="26"/>
      <c r="J566" s="37"/>
      <c r="K566" s="37"/>
      <c r="L566" s="10"/>
      <c r="M566" s="6"/>
      <c r="N566" s="6"/>
    </row>
    <row r="567" spans="1:14">
      <c r="A567" s="5"/>
      <c r="B567" s="6"/>
      <c r="C567" s="7"/>
      <c r="D567" s="6"/>
      <c r="E567" s="6"/>
      <c r="F567" s="8"/>
      <c r="G567" s="285"/>
      <c r="H567" s="6"/>
      <c r="I567" s="26"/>
      <c r="J567" s="37"/>
      <c r="K567" s="37"/>
      <c r="L567" s="10"/>
      <c r="M567" s="6"/>
      <c r="N567" s="6"/>
    </row>
    <row r="568" spans="1:14">
      <c r="A568" s="5"/>
      <c r="B568" s="6"/>
      <c r="C568" s="7"/>
      <c r="D568" s="6"/>
      <c r="E568" s="6"/>
      <c r="F568" s="8"/>
      <c r="G568" s="285"/>
      <c r="H568" s="6"/>
      <c r="I568" s="26"/>
      <c r="J568" s="37"/>
      <c r="K568" s="37"/>
      <c r="L568" s="10"/>
      <c r="M568" s="6"/>
      <c r="N568" s="6"/>
    </row>
    <row r="569" spans="1:14">
      <c r="A569" s="5"/>
      <c r="B569" s="6"/>
      <c r="C569" s="7"/>
      <c r="D569" s="6"/>
      <c r="E569" s="6"/>
      <c r="F569" s="8"/>
      <c r="G569" s="285"/>
      <c r="H569" s="6"/>
      <c r="I569" s="26"/>
      <c r="J569" s="37"/>
      <c r="K569" s="37"/>
      <c r="L569" s="10"/>
      <c r="M569" s="6"/>
      <c r="N569" s="6"/>
    </row>
    <row r="570" spans="1:14">
      <c r="A570" s="5"/>
      <c r="B570" s="6"/>
      <c r="C570" s="7"/>
      <c r="D570" s="6"/>
      <c r="E570" s="6"/>
      <c r="F570" s="8"/>
      <c r="G570" s="285"/>
      <c r="H570" s="6"/>
      <c r="I570" s="26"/>
      <c r="J570" s="37"/>
      <c r="K570" s="37"/>
      <c r="L570" s="10"/>
      <c r="M570" s="6"/>
      <c r="N570" s="6"/>
    </row>
    <row r="571" spans="1:14">
      <c r="A571" s="5"/>
      <c r="B571" s="6"/>
      <c r="C571" s="7"/>
      <c r="D571" s="6"/>
      <c r="E571" s="6"/>
      <c r="F571" s="8"/>
      <c r="G571" s="285"/>
      <c r="H571" s="6"/>
      <c r="I571" s="26"/>
      <c r="J571" s="37"/>
      <c r="K571" s="37"/>
      <c r="L571" s="10"/>
      <c r="M571" s="6"/>
      <c r="N571" s="6"/>
    </row>
    <row r="572" spans="1:14">
      <c r="A572" s="5"/>
      <c r="B572" s="6"/>
      <c r="C572" s="7"/>
      <c r="D572" s="6"/>
      <c r="E572" s="6"/>
      <c r="F572" s="8"/>
      <c r="G572" s="285"/>
      <c r="H572" s="6"/>
      <c r="I572" s="26"/>
      <c r="J572" s="37"/>
      <c r="K572" s="37"/>
      <c r="L572" s="10"/>
      <c r="M572" s="6"/>
      <c r="N572" s="6"/>
    </row>
    <row r="573" spans="1:14">
      <c r="A573" s="5"/>
      <c r="B573" s="6"/>
      <c r="C573" s="7"/>
      <c r="D573" s="6"/>
      <c r="E573" s="6"/>
      <c r="F573" s="8"/>
      <c r="G573" s="285"/>
      <c r="H573" s="6"/>
      <c r="I573" s="26"/>
      <c r="J573" s="37"/>
      <c r="K573" s="37"/>
      <c r="L573" s="10"/>
      <c r="M573" s="6"/>
      <c r="N573" s="6"/>
    </row>
    <row r="574" spans="1:14">
      <c r="A574" s="5"/>
      <c r="B574" s="6"/>
      <c r="C574" s="7"/>
      <c r="D574" s="6"/>
      <c r="E574" s="6"/>
      <c r="F574" s="8"/>
      <c r="G574" s="285"/>
      <c r="H574" s="6"/>
      <c r="I574" s="26"/>
      <c r="J574" s="37"/>
      <c r="K574" s="37"/>
      <c r="L574" s="10"/>
      <c r="M574" s="6"/>
      <c r="N574" s="6"/>
    </row>
    <row r="575" spans="1:14">
      <c r="A575" s="5"/>
      <c r="B575" s="6"/>
      <c r="C575" s="7"/>
      <c r="D575" s="6"/>
      <c r="E575" s="6"/>
      <c r="F575" s="8"/>
      <c r="G575" s="285"/>
      <c r="H575" s="6"/>
      <c r="I575" s="26"/>
      <c r="J575" s="37"/>
      <c r="K575" s="37"/>
      <c r="L575" s="10"/>
      <c r="M575" s="6"/>
      <c r="N575" s="6"/>
    </row>
    <row r="576" spans="1:14">
      <c r="A576" s="5"/>
      <c r="B576" s="6"/>
      <c r="C576" s="7"/>
      <c r="D576" s="6"/>
      <c r="E576" s="6"/>
      <c r="F576" s="8"/>
      <c r="G576" s="285"/>
      <c r="H576" s="6"/>
      <c r="I576" s="26"/>
      <c r="J576" s="37"/>
      <c r="K576" s="37"/>
      <c r="L576" s="10"/>
      <c r="M576" s="6"/>
      <c r="N576" s="6"/>
    </row>
    <row r="577" spans="1:14">
      <c r="A577" s="5"/>
      <c r="B577" s="6"/>
      <c r="C577" s="7"/>
      <c r="D577" s="6"/>
      <c r="E577" s="6"/>
      <c r="F577" s="8"/>
      <c r="G577" s="285"/>
      <c r="H577" s="6"/>
      <c r="I577" s="26"/>
      <c r="J577" s="37"/>
      <c r="K577" s="37"/>
      <c r="L577" s="10"/>
      <c r="M577" s="6"/>
      <c r="N577" s="6"/>
    </row>
    <row r="578" spans="1:14">
      <c r="A578" s="5"/>
      <c r="B578" s="6"/>
      <c r="C578" s="7"/>
      <c r="D578" s="6"/>
      <c r="E578" s="6"/>
      <c r="F578" s="8"/>
      <c r="G578" s="285"/>
      <c r="H578" s="6"/>
      <c r="I578" s="26"/>
      <c r="J578" s="37"/>
      <c r="K578" s="37"/>
      <c r="L578" s="10"/>
      <c r="M578" s="6"/>
      <c r="N578" s="6"/>
    </row>
    <row r="579" spans="1:14">
      <c r="A579" s="5"/>
      <c r="B579" s="6"/>
      <c r="C579" s="7"/>
      <c r="D579" s="6"/>
      <c r="E579" s="6"/>
      <c r="F579" s="8"/>
      <c r="G579" s="285"/>
      <c r="H579" s="6"/>
      <c r="I579" s="26"/>
      <c r="J579" s="37"/>
      <c r="K579" s="37"/>
      <c r="L579" s="10"/>
      <c r="M579" s="6"/>
      <c r="N579" s="6"/>
    </row>
    <row r="580" spans="1:14">
      <c r="A580" s="5"/>
      <c r="B580" s="6"/>
      <c r="C580" s="7"/>
      <c r="D580" s="6"/>
      <c r="E580" s="6"/>
      <c r="F580" s="8"/>
      <c r="G580" s="285"/>
      <c r="H580" s="6"/>
      <c r="I580" s="26"/>
      <c r="J580" s="37"/>
      <c r="K580" s="37"/>
      <c r="L580" s="10"/>
      <c r="M580" s="6"/>
      <c r="N580" s="6"/>
    </row>
    <row r="581" spans="1:14">
      <c r="A581" s="5"/>
      <c r="B581" s="6"/>
      <c r="C581" s="7"/>
      <c r="D581" s="6"/>
      <c r="E581" s="6"/>
      <c r="F581" s="8"/>
      <c r="G581" s="285"/>
      <c r="H581" s="6"/>
      <c r="I581" s="26"/>
      <c r="J581" s="37"/>
      <c r="K581" s="37"/>
      <c r="L581" s="10"/>
      <c r="M581" s="6"/>
      <c r="N581" s="6"/>
    </row>
    <row r="582" spans="1:14">
      <c r="A582" s="5"/>
      <c r="B582" s="6"/>
      <c r="C582" s="7"/>
      <c r="D582" s="6"/>
      <c r="E582" s="6"/>
      <c r="F582" s="8"/>
      <c r="G582" s="285"/>
      <c r="H582" s="6"/>
      <c r="I582" s="26"/>
      <c r="J582" s="37"/>
      <c r="K582" s="37"/>
      <c r="L582" s="10"/>
      <c r="M582" s="6"/>
      <c r="N582" s="6"/>
    </row>
    <row r="583" spans="1:14">
      <c r="A583" s="5"/>
      <c r="B583" s="6"/>
      <c r="C583" s="7"/>
      <c r="D583" s="6"/>
      <c r="E583" s="6"/>
      <c r="F583" s="8"/>
      <c r="G583" s="285"/>
      <c r="H583" s="6"/>
      <c r="I583" s="26"/>
      <c r="J583" s="37"/>
      <c r="K583" s="37"/>
      <c r="L583" s="10"/>
      <c r="M583" s="6"/>
      <c r="N583" s="6"/>
    </row>
    <row r="584" spans="1:14">
      <c r="A584" s="5"/>
      <c r="B584" s="6"/>
      <c r="C584" s="7"/>
      <c r="D584" s="6"/>
      <c r="E584" s="6"/>
      <c r="F584" s="8"/>
      <c r="G584" s="285"/>
      <c r="H584" s="6"/>
      <c r="I584" s="26"/>
      <c r="J584" s="37"/>
      <c r="K584" s="37"/>
      <c r="L584" s="10"/>
      <c r="M584" s="6"/>
      <c r="N584" s="6"/>
    </row>
    <row r="585" spans="1:14">
      <c r="A585" s="5"/>
      <c r="B585" s="6"/>
      <c r="C585" s="7"/>
      <c r="D585" s="6"/>
      <c r="E585" s="6"/>
      <c r="F585" s="8"/>
      <c r="G585" s="285"/>
      <c r="H585" s="6"/>
      <c r="I585" s="26"/>
      <c r="J585" s="37"/>
      <c r="K585" s="37"/>
      <c r="L585" s="10"/>
      <c r="M585" s="6"/>
      <c r="N585" s="6"/>
    </row>
    <row r="586" spans="1:14">
      <c r="A586" s="5"/>
      <c r="B586" s="6"/>
      <c r="C586" s="7"/>
      <c r="D586" s="6"/>
      <c r="E586" s="6"/>
      <c r="F586" s="8"/>
      <c r="G586" s="285"/>
      <c r="H586" s="6"/>
      <c r="I586" s="26"/>
      <c r="J586" s="37"/>
      <c r="K586" s="37"/>
      <c r="L586" s="10"/>
      <c r="M586" s="6"/>
      <c r="N586" s="6"/>
    </row>
    <row r="587" spans="1:14">
      <c r="A587" s="5"/>
      <c r="B587" s="6"/>
      <c r="C587" s="7"/>
      <c r="D587" s="6"/>
      <c r="E587" s="6"/>
      <c r="F587" s="8"/>
      <c r="G587" s="285"/>
      <c r="H587" s="6"/>
      <c r="I587" s="26"/>
      <c r="J587" s="37"/>
      <c r="K587" s="37"/>
      <c r="L587" s="10"/>
      <c r="M587" s="6"/>
      <c r="N587" s="6"/>
    </row>
    <row r="588" spans="1:14">
      <c r="A588" s="5"/>
      <c r="B588" s="6"/>
      <c r="C588" s="7"/>
      <c r="D588" s="6"/>
      <c r="E588" s="6"/>
      <c r="F588" s="8"/>
      <c r="G588" s="285"/>
      <c r="H588" s="6"/>
      <c r="I588" s="26"/>
      <c r="J588" s="37"/>
      <c r="K588" s="37"/>
      <c r="L588" s="10"/>
      <c r="M588" s="6"/>
      <c r="N588" s="6"/>
    </row>
    <row r="589" spans="1:14">
      <c r="A589" s="5"/>
      <c r="B589" s="6"/>
      <c r="C589" s="7"/>
      <c r="D589" s="6"/>
      <c r="E589" s="6"/>
      <c r="F589" s="8"/>
      <c r="G589" s="285"/>
      <c r="H589" s="6"/>
      <c r="I589" s="26"/>
      <c r="J589" s="37"/>
      <c r="K589" s="37"/>
      <c r="L589" s="10"/>
      <c r="M589" s="6"/>
      <c r="N589" s="6"/>
    </row>
    <row r="590" spans="1:14">
      <c r="A590" s="5"/>
      <c r="B590" s="6"/>
      <c r="C590" s="7"/>
      <c r="D590" s="6"/>
      <c r="E590" s="6"/>
      <c r="F590" s="8"/>
      <c r="G590" s="285"/>
      <c r="H590" s="6"/>
      <c r="I590" s="26"/>
      <c r="J590" s="37"/>
      <c r="K590" s="37"/>
      <c r="L590" s="10"/>
      <c r="M590" s="6"/>
      <c r="N590" s="6"/>
    </row>
    <row r="591" spans="1:14">
      <c r="A591" s="5"/>
      <c r="B591" s="6"/>
      <c r="C591" s="7"/>
      <c r="D591" s="6"/>
      <c r="E591" s="6"/>
      <c r="F591" s="8"/>
      <c r="G591" s="285"/>
      <c r="H591" s="6"/>
      <c r="I591" s="26"/>
      <c r="J591" s="37"/>
      <c r="K591" s="37"/>
      <c r="L591" s="10"/>
      <c r="M591" s="6"/>
      <c r="N591" s="6"/>
    </row>
    <row r="592" spans="1:14">
      <c r="A592" s="5"/>
      <c r="B592" s="6"/>
      <c r="C592" s="7"/>
      <c r="D592" s="6"/>
      <c r="E592" s="6"/>
      <c r="F592" s="8"/>
      <c r="G592" s="285"/>
      <c r="H592" s="6"/>
      <c r="I592" s="26"/>
      <c r="J592" s="37"/>
      <c r="K592" s="37"/>
      <c r="L592" s="10"/>
      <c r="M592" s="6"/>
      <c r="N592" s="6"/>
    </row>
    <row r="593" spans="1:14">
      <c r="A593" s="5"/>
      <c r="B593" s="6"/>
      <c r="C593" s="7"/>
      <c r="D593" s="6"/>
      <c r="E593" s="6"/>
      <c r="F593" s="8"/>
      <c r="G593" s="285"/>
      <c r="H593" s="6"/>
      <c r="I593" s="26"/>
      <c r="J593" s="37"/>
      <c r="K593" s="37"/>
      <c r="L593" s="10"/>
      <c r="M593" s="6"/>
      <c r="N593" s="6"/>
    </row>
    <row r="594" spans="1:14">
      <c r="A594" s="5"/>
      <c r="B594" s="6"/>
      <c r="C594" s="7"/>
      <c r="D594" s="6"/>
      <c r="E594" s="6"/>
      <c r="F594" s="8"/>
      <c r="G594" s="285"/>
      <c r="H594" s="6"/>
      <c r="I594" s="26"/>
      <c r="J594" s="37"/>
      <c r="K594" s="37"/>
      <c r="L594" s="10"/>
      <c r="M594" s="6"/>
      <c r="N594" s="6"/>
    </row>
    <row r="595" spans="1:14">
      <c r="A595" s="5"/>
      <c r="B595" s="6"/>
      <c r="C595" s="7"/>
      <c r="D595" s="6"/>
      <c r="E595" s="6"/>
      <c r="F595" s="8"/>
      <c r="G595" s="285"/>
      <c r="H595" s="6"/>
      <c r="I595" s="26"/>
      <c r="J595" s="37"/>
      <c r="K595" s="37"/>
      <c r="L595" s="10"/>
      <c r="M595" s="6"/>
      <c r="N595" s="6"/>
    </row>
    <row r="596" spans="1:14">
      <c r="A596" s="5"/>
      <c r="B596" s="6"/>
      <c r="C596" s="7"/>
      <c r="D596" s="6"/>
      <c r="E596" s="6"/>
      <c r="F596" s="8"/>
      <c r="G596" s="285"/>
      <c r="H596" s="6"/>
      <c r="I596" s="26"/>
      <c r="J596" s="37"/>
      <c r="K596" s="37"/>
      <c r="L596" s="10"/>
      <c r="M596" s="6"/>
      <c r="N596" s="6"/>
    </row>
    <row r="597" spans="1:14">
      <c r="A597" s="5"/>
      <c r="B597" s="6"/>
      <c r="C597" s="7"/>
      <c r="D597" s="6"/>
      <c r="E597" s="6"/>
      <c r="F597" s="8"/>
      <c r="G597" s="285"/>
      <c r="H597" s="6"/>
      <c r="I597" s="26"/>
      <c r="J597" s="37"/>
      <c r="K597" s="37"/>
      <c r="L597" s="10"/>
      <c r="M597" s="6"/>
      <c r="N597" s="6"/>
    </row>
    <row r="598" spans="1:14">
      <c r="A598" s="5"/>
      <c r="B598" s="6"/>
      <c r="C598" s="7"/>
      <c r="D598" s="6"/>
      <c r="E598" s="6"/>
      <c r="F598" s="8"/>
      <c r="G598" s="285"/>
      <c r="H598" s="6"/>
      <c r="I598" s="26"/>
      <c r="J598" s="37"/>
      <c r="K598" s="37"/>
      <c r="L598" s="10"/>
      <c r="M598" s="6"/>
      <c r="N598" s="6"/>
    </row>
    <row r="599" spans="1:14">
      <c r="A599" s="5"/>
      <c r="B599" s="6"/>
      <c r="C599" s="7"/>
      <c r="D599" s="6"/>
      <c r="E599" s="6"/>
      <c r="F599" s="8"/>
      <c r="G599" s="285"/>
      <c r="H599" s="6"/>
      <c r="I599" s="26"/>
      <c r="J599" s="37"/>
      <c r="K599" s="37"/>
      <c r="L599" s="10"/>
      <c r="M599" s="6"/>
      <c r="N599" s="6"/>
    </row>
    <row r="600" spans="1:14">
      <c r="A600" s="5"/>
      <c r="B600" s="6"/>
      <c r="C600" s="7"/>
      <c r="D600" s="6"/>
      <c r="E600" s="6"/>
      <c r="F600" s="8"/>
      <c r="G600" s="285"/>
      <c r="H600" s="6"/>
      <c r="I600" s="26"/>
      <c r="J600" s="37"/>
      <c r="K600" s="37"/>
      <c r="L600" s="10"/>
      <c r="M600" s="6"/>
      <c r="N600" s="6"/>
    </row>
    <row r="601" spans="1:14">
      <c r="A601" s="5"/>
      <c r="B601" s="6"/>
      <c r="C601" s="7"/>
      <c r="D601" s="6"/>
      <c r="E601" s="6"/>
      <c r="F601" s="8"/>
      <c r="G601" s="285"/>
      <c r="H601" s="6"/>
      <c r="I601" s="26"/>
      <c r="J601" s="37"/>
      <c r="K601" s="37"/>
      <c r="L601" s="10"/>
      <c r="M601" s="6"/>
      <c r="N601" s="6"/>
    </row>
    <row r="602" spans="1:14">
      <c r="A602" s="5"/>
      <c r="B602" s="6"/>
      <c r="C602" s="7"/>
      <c r="D602" s="6"/>
      <c r="E602" s="6"/>
      <c r="F602" s="8"/>
      <c r="G602" s="285"/>
      <c r="H602" s="6"/>
      <c r="I602" s="26"/>
      <c r="J602" s="37"/>
      <c r="K602" s="37"/>
      <c r="L602" s="10"/>
      <c r="M602" s="6"/>
      <c r="N602" s="6"/>
    </row>
    <row r="603" spans="1:14">
      <c r="A603" s="5"/>
      <c r="B603" s="6"/>
      <c r="C603" s="7"/>
      <c r="D603" s="6"/>
      <c r="E603" s="6"/>
      <c r="F603" s="8"/>
      <c r="G603" s="285"/>
      <c r="H603" s="6"/>
      <c r="I603" s="26"/>
      <c r="J603" s="37"/>
      <c r="K603" s="37"/>
      <c r="L603" s="10"/>
      <c r="M603" s="6"/>
      <c r="N603" s="6"/>
    </row>
    <row r="604" spans="1:14">
      <c r="A604" s="5"/>
      <c r="B604" s="6"/>
      <c r="C604" s="7"/>
      <c r="D604" s="6"/>
      <c r="E604" s="6"/>
      <c r="F604" s="8"/>
      <c r="G604" s="285"/>
      <c r="H604" s="6"/>
      <c r="I604" s="26"/>
      <c r="J604" s="37"/>
      <c r="K604" s="37"/>
      <c r="L604" s="10"/>
      <c r="M604" s="6"/>
      <c r="N604" s="6"/>
    </row>
    <row r="605" spans="1:14">
      <c r="A605" s="5"/>
      <c r="B605" s="6"/>
      <c r="C605" s="7"/>
      <c r="D605" s="6"/>
      <c r="E605" s="6"/>
      <c r="F605" s="8"/>
      <c r="G605" s="285"/>
      <c r="H605" s="6"/>
      <c r="I605" s="26"/>
      <c r="J605" s="37"/>
      <c r="K605" s="37"/>
      <c r="L605" s="10"/>
      <c r="M605" s="6"/>
      <c r="N605" s="6"/>
    </row>
    <row r="606" spans="1:14">
      <c r="A606" s="5"/>
      <c r="B606" s="6"/>
      <c r="C606" s="7"/>
      <c r="D606" s="6"/>
      <c r="E606" s="6"/>
      <c r="F606" s="8"/>
      <c r="G606" s="285"/>
      <c r="H606" s="6"/>
      <c r="I606" s="26"/>
      <c r="J606" s="37"/>
      <c r="K606" s="37"/>
      <c r="L606" s="10"/>
      <c r="M606" s="6"/>
      <c r="N606" s="6"/>
    </row>
    <row r="607" spans="1:14">
      <c r="A607" s="5"/>
      <c r="B607" s="6"/>
      <c r="C607" s="7"/>
      <c r="D607" s="6"/>
      <c r="E607" s="6"/>
      <c r="F607" s="8"/>
      <c r="G607" s="285"/>
      <c r="H607" s="6"/>
      <c r="I607" s="26"/>
      <c r="J607" s="37"/>
      <c r="K607" s="37"/>
      <c r="L607" s="10"/>
      <c r="M607" s="6"/>
      <c r="N607" s="6"/>
    </row>
    <row r="608" spans="1:14">
      <c r="A608" s="5"/>
      <c r="B608" s="6"/>
      <c r="C608" s="7"/>
      <c r="D608" s="6"/>
      <c r="E608" s="6"/>
      <c r="F608" s="8"/>
      <c r="G608" s="285"/>
      <c r="H608" s="6"/>
      <c r="I608" s="26"/>
      <c r="J608" s="37"/>
      <c r="K608" s="37"/>
      <c r="L608" s="10"/>
      <c r="M608" s="6"/>
      <c r="N608" s="6"/>
    </row>
    <row r="609" spans="1:14">
      <c r="A609" s="5"/>
      <c r="B609" s="6"/>
      <c r="C609" s="7"/>
      <c r="D609" s="6"/>
      <c r="E609" s="6"/>
      <c r="F609" s="8"/>
      <c r="G609" s="285"/>
      <c r="H609" s="6"/>
      <c r="I609" s="26"/>
      <c r="J609" s="37"/>
      <c r="K609" s="37"/>
      <c r="L609" s="10"/>
      <c r="M609" s="6"/>
      <c r="N609" s="6"/>
    </row>
    <row r="610" spans="1:14">
      <c r="A610" s="5"/>
      <c r="B610" s="6"/>
      <c r="C610" s="7"/>
      <c r="D610" s="6"/>
      <c r="E610" s="6"/>
      <c r="F610" s="8"/>
      <c r="G610" s="285"/>
      <c r="H610" s="6"/>
      <c r="I610" s="26"/>
      <c r="J610" s="37"/>
      <c r="K610" s="37"/>
      <c r="L610" s="10"/>
      <c r="M610" s="6"/>
      <c r="N610" s="6"/>
    </row>
    <row r="611" spans="1:14">
      <c r="A611" s="5"/>
      <c r="B611" s="6"/>
      <c r="C611" s="7"/>
      <c r="D611" s="6"/>
      <c r="E611" s="6"/>
      <c r="F611" s="8"/>
      <c r="G611" s="285"/>
      <c r="H611" s="6"/>
      <c r="I611" s="26"/>
      <c r="J611" s="37"/>
      <c r="K611" s="37"/>
      <c r="L611" s="10"/>
      <c r="M611" s="6"/>
      <c r="N611" s="6"/>
    </row>
    <row r="612" spans="1:14">
      <c r="A612" s="5"/>
      <c r="B612" s="6"/>
      <c r="C612" s="7"/>
      <c r="D612" s="6"/>
      <c r="E612" s="6"/>
      <c r="F612" s="8"/>
      <c r="G612" s="285"/>
      <c r="H612" s="6"/>
      <c r="I612" s="26"/>
      <c r="J612" s="37"/>
      <c r="K612" s="37"/>
      <c r="L612" s="10"/>
      <c r="M612" s="6"/>
      <c r="N612" s="6"/>
    </row>
    <row r="613" spans="1:14">
      <c r="A613" s="5"/>
      <c r="B613" s="6"/>
      <c r="C613" s="7"/>
      <c r="D613" s="6"/>
      <c r="E613" s="6"/>
      <c r="F613" s="8"/>
      <c r="G613" s="285"/>
      <c r="H613" s="6"/>
      <c r="I613" s="26"/>
      <c r="J613" s="37"/>
      <c r="K613" s="37"/>
      <c r="L613" s="10"/>
      <c r="M613" s="6"/>
      <c r="N613" s="6"/>
    </row>
    <row r="614" spans="1:14">
      <c r="A614" s="5"/>
      <c r="B614" s="6"/>
      <c r="C614" s="7"/>
      <c r="D614" s="6"/>
      <c r="E614" s="6"/>
      <c r="F614" s="8"/>
      <c r="G614" s="285"/>
      <c r="H614" s="6"/>
      <c r="I614" s="26"/>
      <c r="J614" s="37"/>
      <c r="K614" s="37"/>
      <c r="L614" s="10"/>
      <c r="M614" s="6"/>
      <c r="N614" s="6"/>
    </row>
    <row r="615" spans="1:14">
      <c r="A615" s="5"/>
      <c r="B615" s="6"/>
      <c r="C615" s="7"/>
      <c r="D615" s="6"/>
      <c r="E615" s="6"/>
      <c r="F615" s="8"/>
      <c r="G615" s="285"/>
      <c r="H615" s="6"/>
      <c r="I615" s="26"/>
      <c r="J615" s="37"/>
      <c r="K615" s="37"/>
      <c r="L615" s="10"/>
      <c r="M615" s="6"/>
      <c r="N615" s="6"/>
    </row>
    <row r="616" spans="1:14">
      <c r="A616" s="5"/>
      <c r="B616" s="6"/>
      <c r="C616" s="7"/>
      <c r="D616" s="6"/>
      <c r="E616" s="6"/>
      <c r="F616" s="8"/>
      <c r="G616" s="285"/>
      <c r="H616" s="6"/>
      <c r="I616" s="26"/>
      <c r="J616" s="37"/>
      <c r="K616" s="37"/>
      <c r="L616" s="10"/>
      <c r="M616" s="6"/>
      <c r="N616" s="6"/>
    </row>
    <row r="617" spans="1:14">
      <c r="A617" s="5"/>
      <c r="B617" s="6"/>
      <c r="C617" s="7"/>
      <c r="D617" s="6"/>
      <c r="E617" s="6"/>
      <c r="F617" s="8"/>
      <c r="G617" s="285"/>
      <c r="H617" s="6"/>
      <c r="I617" s="26"/>
      <c r="J617" s="37"/>
      <c r="K617" s="37"/>
      <c r="L617" s="10"/>
      <c r="M617" s="6"/>
      <c r="N617" s="6"/>
    </row>
    <row r="618" spans="1:14">
      <c r="A618" s="5"/>
      <c r="B618" s="6"/>
      <c r="C618" s="7"/>
      <c r="D618" s="6"/>
      <c r="E618" s="6"/>
      <c r="F618" s="8"/>
      <c r="G618" s="285"/>
      <c r="H618" s="6"/>
      <c r="I618" s="26"/>
      <c r="J618" s="37"/>
      <c r="K618" s="37"/>
      <c r="L618" s="10"/>
      <c r="M618" s="6"/>
      <c r="N618" s="6"/>
    </row>
    <row r="619" spans="1:14">
      <c r="A619" s="5"/>
      <c r="B619" s="6"/>
      <c r="C619" s="7"/>
      <c r="D619" s="6"/>
      <c r="E619" s="6"/>
      <c r="F619" s="8"/>
      <c r="G619" s="285"/>
      <c r="H619" s="6"/>
      <c r="I619" s="26"/>
      <c r="J619" s="37"/>
      <c r="K619" s="37"/>
      <c r="L619" s="10"/>
      <c r="M619" s="6"/>
      <c r="N619" s="6"/>
    </row>
    <row r="620" spans="1:14">
      <c r="A620" s="5"/>
      <c r="B620" s="6"/>
      <c r="C620" s="7"/>
      <c r="D620" s="6"/>
      <c r="E620" s="6"/>
      <c r="F620" s="8"/>
      <c r="G620" s="285"/>
      <c r="H620" s="6"/>
      <c r="I620" s="26"/>
      <c r="J620" s="37"/>
      <c r="K620" s="37"/>
      <c r="L620" s="10"/>
      <c r="M620" s="6"/>
      <c r="N620" s="6"/>
    </row>
    <row r="621" spans="1:14">
      <c r="A621" s="5"/>
      <c r="B621" s="6"/>
      <c r="C621" s="7"/>
      <c r="D621" s="6"/>
      <c r="E621" s="6"/>
      <c r="F621" s="8"/>
      <c r="G621" s="285"/>
      <c r="H621" s="6"/>
      <c r="I621" s="26"/>
      <c r="J621" s="37"/>
      <c r="K621" s="37"/>
      <c r="L621" s="10"/>
      <c r="M621" s="6"/>
      <c r="N621" s="6"/>
    </row>
    <row r="622" spans="1:14">
      <c r="A622" s="5"/>
      <c r="B622" s="6"/>
      <c r="C622" s="7"/>
      <c r="D622" s="6"/>
      <c r="E622" s="6"/>
      <c r="F622" s="8"/>
      <c r="G622" s="285"/>
      <c r="H622" s="6"/>
      <c r="I622" s="26"/>
      <c r="J622" s="37"/>
      <c r="K622" s="37"/>
      <c r="L622" s="10"/>
      <c r="M622" s="6"/>
      <c r="N622" s="6"/>
    </row>
    <row r="623" spans="1:14">
      <c r="A623" s="5"/>
      <c r="B623" s="6"/>
      <c r="C623" s="7"/>
      <c r="D623" s="6"/>
      <c r="E623" s="6"/>
      <c r="F623" s="8"/>
      <c r="G623" s="285"/>
      <c r="H623" s="6"/>
      <c r="I623" s="26"/>
      <c r="J623" s="37"/>
      <c r="K623" s="37"/>
      <c r="L623" s="10"/>
      <c r="M623" s="6"/>
      <c r="N623" s="6"/>
    </row>
    <row r="624" spans="1:14">
      <c r="A624" s="5"/>
      <c r="B624" s="6"/>
      <c r="C624" s="7"/>
      <c r="D624" s="6"/>
      <c r="E624" s="6"/>
      <c r="F624" s="8"/>
      <c r="G624" s="285"/>
      <c r="H624" s="6"/>
      <c r="I624" s="26"/>
      <c r="J624" s="37"/>
      <c r="K624" s="37"/>
      <c r="L624" s="10"/>
      <c r="M624" s="6"/>
      <c r="N624" s="6"/>
    </row>
    <row r="625" spans="1:14">
      <c r="A625" s="5"/>
      <c r="B625" s="6"/>
      <c r="C625" s="7"/>
      <c r="D625" s="6"/>
      <c r="E625" s="6"/>
      <c r="F625" s="8"/>
      <c r="G625" s="285"/>
      <c r="H625" s="6"/>
      <c r="I625" s="26"/>
      <c r="J625" s="37"/>
      <c r="K625" s="37"/>
      <c r="L625" s="10"/>
      <c r="M625" s="6"/>
      <c r="N625" s="6"/>
    </row>
    <row r="626" spans="1:14">
      <c r="A626" s="5"/>
      <c r="B626" s="6"/>
      <c r="C626" s="7"/>
      <c r="D626" s="6"/>
      <c r="E626" s="6"/>
      <c r="F626" s="8"/>
      <c r="G626" s="285"/>
      <c r="H626" s="6"/>
      <c r="I626" s="26"/>
      <c r="J626" s="37"/>
      <c r="K626" s="37"/>
      <c r="L626" s="10"/>
      <c r="M626" s="6"/>
      <c r="N626" s="6"/>
    </row>
    <row r="627" spans="1:14">
      <c r="A627" s="5"/>
      <c r="B627" s="6"/>
      <c r="C627" s="7"/>
      <c r="D627" s="6"/>
      <c r="E627" s="6"/>
      <c r="F627" s="8"/>
      <c r="G627" s="285"/>
      <c r="H627" s="6"/>
      <c r="I627" s="26"/>
      <c r="J627" s="37"/>
      <c r="K627" s="37"/>
      <c r="L627" s="10"/>
      <c r="M627" s="6"/>
      <c r="N627" s="6"/>
    </row>
    <row r="628" spans="1:14">
      <c r="A628" s="5"/>
      <c r="B628" s="6"/>
      <c r="C628" s="7"/>
      <c r="D628" s="6"/>
      <c r="E628" s="6"/>
      <c r="F628" s="8"/>
      <c r="G628" s="285"/>
      <c r="H628" s="6"/>
      <c r="I628" s="26"/>
      <c r="J628" s="37"/>
      <c r="K628" s="37"/>
      <c r="L628" s="10"/>
      <c r="M628" s="6"/>
      <c r="N628" s="6"/>
    </row>
    <row r="629" spans="1:14">
      <c r="A629" s="5"/>
      <c r="B629" s="6"/>
      <c r="C629" s="7"/>
      <c r="D629" s="6"/>
      <c r="E629" s="6"/>
      <c r="F629" s="8"/>
      <c r="G629" s="285"/>
      <c r="H629" s="6"/>
      <c r="I629" s="26"/>
      <c r="J629" s="37"/>
      <c r="K629" s="37"/>
      <c r="L629" s="10"/>
      <c r="M629" s="6"/>
      <c r="N629" s="6"/>
    </row>
  </sheetData>
  <dataConsolidate/>
  <customSheetViews>
    <customSheetView guid="{CB05DF4C-FEDB-43E3-82AB-A00D464DEBAB}" scale="85" showPageBreaks="1" fitToPage="1" printArea="1" view="pageBreakPreview" topLeftCell="G274">
      <selection activeCell="Y284" sqref="Y284"/>
      <pageMargins left="0.25" right="0.25" top="0.75" bottom="0.75" header="0.3" footer="0.3"/>
      <pageSetup paperSize="8" scale="46" fitToHeight="0" orientation="landscape" r:id="rId1"/>
    </customSheetView>
    <customSheetView guid="{0943F56E-2267-4333-AC70-CA4FAC995AA9}" scale="70" showPageBreaks="1" fitToPage="1" printArea="1" hiddenRows="1" view="pageBreakPreview" topLeftCell="A9">
      <pane xSplit="6" ySplit="6" topLeftCell="G185" activePane="bottomRight" state="frozen"/>
      <selection pane="bottomRight" activeCell="K139" sqref="K139"/>
      <pageMargins left="0.25" right="0.25" top="0.75" bottom="0.75" header="0.3" footer="0.3"/>
      <pageSetup paperSize="8" scale="49" fitToHeight="0" orientation="landscape" r:id="rId2"/>
    </customSheetView>
    <customSheetView guid="{F387C196-EB8F-4F17-8A3D-CFA67F3B2FD1}" scale="85" showPageBreaks="1" fitToPage="1" printArea="1" view="pageBreakPreview" topLeftCell="A84">
      <pane xSplit="6" ySplit="8" topLeftCell="U171" activePane="bottomRight" state="frozen"/>
      <selection pane="bottomRight" activeCell="AB183" sqref="AB183"/>
      <pageMargins left="0.25" right="0.25" top="0.75" bottom="0.75" header="0.3" footer="0.3"/>
      <pageSetup paperSize="8" scale="49" fitToHeight="0" orientation="landscape" r:id="rId3"/>
    </customSheetView>
    <customSheetView guid="{A6591927-B6A0-4F29-ACFB-86D4B856E06A}" scale="70" showPageBreaks="1" fitToPage="1" printArea="1" view="pageBreakPreview" topLeftCell="A31">
      <selection activeCell="D73" sqref="D73"/>
      <pageMargins left="0.25" right="0.25" top="0.75" bottom="0.75" header="0.3" footer="0.3"/>
      <pageSetup paperSize="8" scale="46" fitToHeight="0" orientation="landscape" r:id="rId4"/>
    </customSheetView>
    <customSheetView guid="{D529A7A1-1933-4765-AA36-44D0FD87D7B1}" scale="60" showPageBreaks="1" fitToPage="1" printArea="1" hiddenRows="1" view="pageBreakPreview" topLeftCell="A9">
      <pane xSplit="6" ySplit="6" topLeftCell="N15" activePane="bottomRight" state="frozen"/>
      <selection pane="bottomRight" activeCell="P93" sqref="P93"/>
      <pageMargins left="0.25" right="0.25" top="0.75" bottom="0.75" header="0.3" footer="0.3"/>
      <pageSetup paperSize="8" scale="46" fitToHeight="0" orientation="landscape" r:id="rId5"/>
    </customSheetView>
  </customSheetViews>
  <mergeCells count="56">
    <mergeCell ref="A217:D217"/>
    <mergeCell ref="A173:D173"/>
    <mergeCell ref="A116:D116"/>
    <mergeCell ref="A7:A9"/>
    <mergeCell ref="B7:B9"/>
    <mergeCell ref="C7:C9"/>
    <mergeCell ref="D7:D9"/>
    <mergeCell ref="E7:E9"/>
    <mergeCell ref="A60:D60"/>
    <mergeCell ref="N7:N9"/>
    <mergeCell ref="F4:N4"/>
    <mergeCell ref="F7:F9"/>
    <mergeCell ref="G7:H8"/>
    <mergeCell ref="I7:I9"/>
    <mergeCell ref="J7:K7"/>
    <mergeCell ref="L7:L9"/>
    <mergeCell ref="M7:M9"/>
    <mergeCell ref="B413:B414"/>
    <mergeCell ref="G413:G414"/>
    <mergeCell ref="E413:E414"/>
    <mergeCell ref="A432:A433"/>
    <mergeCell ref="B432:B433"/>
    <mergeCell ref="C432:C433"/>
    <mergeCell ref="C413:C414"/>
    <mergeCell ref="D413:D414"/>
    <mergeCell ref="F413:F414"/>
    <mergeCell ref="D432:D433"/>
    <mergeCell ref="E432:E433"/>
    <mergeCell ref="F432:F433"/>
    <mergeCell ref="G432:G433"/>
    <mergeCell ref="A413:A414"/>
    <mergeCell ref="H413:H414"/>
    <mergeCell ref="I413:I414"/>
    <mergeCell ref="J432:J433"/>
    <mergeCell ref="K432:K433"/>
    <mergeCell ref="N290:N293"/>
    <mergeCell ref="I290:I293"/>
    <mergeCell ref="H432:H433"/>
    <mergeCell ref="I432:I433"/>
    <mergeCell ref="J413:J414"/>
    <mergeCell ref="J290:J293"/>
    <mergeCell ref="K290:K293"/>
    <mergeCell ref="L290:L293"/>
    <mergeCell ref="M290:M293"/>
    <mergeCell ref="K413:K414"/>
    <mergeCell ref="A290:D293"/>
    <mergeCell ref="E290:E293"/>
    <mergeCell ref="F290:F293"/>
    <mergeCell ref="G290:G293"/>
    <mergeCell ref="H290:H293"/>
    <mergeCell ref="A519:D519"/>
    <mergeCell ref="A515:D515"/>
    <mergeCell ref="A473:D473"/>
    <mergeCell ref="A511:D511"/>
    <mergeCell ref="A488:D488"/>
    <mergeCell ref="A478:D478"/>
  </mergeCells>
  <dataValidations count="6">
    <dataValidation type="list" allowBlank="1" showInputMessage="1" showErrorMessage="1" sqref="D294:D471 D479:D486">
      <mc:AlternateContent xmlns:x12ac="http://schemas.microsoft.com/office/spreadsheetml/2011/1/ac" xmlns:mc="http://schemas.openxmlformats.org/markup-compatibility/2006">
        <mc:Choice Requires="x12ac">
          <x12ac:list>- ,ГЭП,ГП,СПсЦЦР,"АРРС""Ц""","АРРС""С""",ТУРС, РС НРЭС,АРВС,ВЭС НРЭС,ТРЭС ВС,</x12ac:list>
        </mc:Choice>
        <mc:Fallback>
          <formula1>"- ,ГЭП,ГП,СПсЦЦР,АРРС""Ц"",АРРС""С"",ТУРС, РС НРЭС,АРВС,ВЭС НРЭС,ТРЭС ВС,"</formula1>
        </mc:Fallback>
      </mc:AlternateContent>
    </dataValidation>
    <dataValidation type="list" allowBlank="1" showInputMessage="1" showErrorMessage="1" sqref="C490:C510 C294:C471 C479:C486">
      <formula1>"- ,НРЭС,ТРЭС,АРЭС,"</formula1>
    </dataValidation>
    <dataValidation type="list" allowBlank="1" showInputMessage="1" showErrorMessage="1" sqref="G386:G391 G371:G372 G470:G471 G398:G400 G420:G423 G368:G369 G442 G437:G440 G461 G446:G449 G444 G451:G459 G463:G468 G484 G486 G480 G61:G66 G374:G384 G402:G404 G406:G409 G411:G418 G425:G430 G432:G435 G69 G482 G393:G396 G490:G510 G78 G71:G76 G294:G315 G318:G366">
      <formula1>"- ,Предписание, По состоянию,ПОН,МГ,Аварии,Треб.зав.,Уач. э/э,ППСЛ,"</formula1>
    </dataValidation>
    <dataValidation type="list" errorStyle="information" allowBlank="1" showErrorMessage="1" sqref="B294:B471 B479:B486">
      <formula1>"- ,110кВ.,35кВ.,6-10кВ.,0,4кВ.,"</formula1>
    </dataValidation>
    <dataValidation type="list" errorStyle="information" allowBlank="1" showInputMessage="1" showErrorMessage="1" sqref="J492:K510 J294:K471 J479:K486">
      <formula1>"- ,Январь,Февраль,март,Апрель,Май,Июнь,Июль,Август,Сентябрь,Октябрь,Ноябрь,Декабрь"</formula1>
    </dataValidation>
    <dataValidation type="list" allowBlank="1" showInputMessage="1" showErrorMessage="1" sqref="I490:I510 I294:I471 I479:I486">
      <formula1>"- ,К.Т.С,К.Т,К,Т,С,КАП,СРЕД,ТЕК"</formula1>
    </dataValidation>
  </dataValidations>
  <pageMargins left="0.23622047244094491" right="0.23622047244094491" top="0.62992125984251968" bottom="0.74803149606299213" header="0.31496062992125984" footer="0.31496062992125984"/>
  <pageSetup paperSize="8" scale="68" fitToWidth="0" fitToHeight="0" orientation="landscape" r:id="rId6"/>
  <rowBreaks count="1" manualBreakCount="1">
    <brk id="480" max="13" man="1"/>
  </rowBreaks>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topLeftCell="A25" zoomScale="90" zoomScaleNormal="90" workbookViewId="0">
      <selection activeCell="B5" sqref="B5"/>
    </sheetView>
  </sheetViews>
  <sheetFormatPr defaultColWidth="10.5703125" defaultRowHeight="15"/>
  <cols>
    <col min="1" max="1" width="31.85546875" style="60" customWidth="1"/>
    <col min="2" max="3" width="18.140625" style="60" customWidth="1"/>
    <col min="4" max="4" width="10.5703125" style="60"/>
    <col min="5" max="5" width="14" style="60" customWidth="1"/>
    <col min="6" max="6" width="11.85546875" style="60" customWidth="1"/>
    <col min="7" max="7" width="12.28515625" style="60" customWidth="1"/>
    <col min="8" max="8" width="16.42578125" style="60" customWidth="1"/>
    <col min="9" max="9" width="21.7109375" style="60" customWidth="1"/>
    <col min="10" max="10" width="11.42578125" style="60" customWidth="1"/>
    <col min="11" max="11" width="11.140625" style="60" customWidth="1"/>
    <col min="12" max="12" width="11" style="60" customWidth="1"/>
    <col min="13" max="13" width="8.85546875" style="60" customWidth="1"/>
    <col min="14" max="15" width="10.5703125" style="60"/>
    <col min="16" max="16" width="8.85546875" style="60" customWidth="1"/>
    <col min="17" max="17" width="11.28515625" style="60" customWidth="1"/>
    <col min="18" max="18" width="12" style="60" customWidth="1"/>
    <col min="19" max="19" width="10.140625" style="60" customWidth="1"/>
    <col min="20" max="16384" width="10.5703125" style="60"/>
  </cols>
  <sheetData>
    <row r="1" spans="1:17" ht="15.75">
      <c r="A1" s="344" t="s">
        <v>857</v>
      </c>
      <c r="B1" s="344"/>
      <c r="C1" s="344"/>
      <c r="D1" s="344"/>
      <c r="E1" s="344"/>
      <c r="F1" s="344"/>
      <c r="G1" s="344"/>
      <c r="H1" s="344"/>
      <c r="I1" s="344"/>
      <c r="J1" s="344"/>
      <c r="K1" s="344"/>
      <c r="L1" s="344"/>
      <c r="M1" s="344"/>
      <c r="N1" s="344"/>
      <c r="O1" s="344"/>
      <c r="P1" s="344"/>
      <c r="Q1" s="344"/>
    </row>
    <row r="2" spans="1:17" ht="18.75">
      <c r="A2" s="335" t="s">
        <v>840</v>
      </c>
      <c r="B2" s="335"/>
      <c r="C2" s="335"/>
      <c r="D2" s="335"/>
      <c r="E2" s="335"/>
      <c r="F2" s="335"/>
      <c r="G2" s="335"/>
      <c r="H2" s="335"/>
      <c r="I2" s="335"/>
      <c r="J2" s="335"/>
      <c r="K2" s="335"/>
      <c r="L2" s="335"/>
      <c r="M2" s="335"/>
      <c r="N2" s="335"/>
      <c r="O2" s="335"/>
      <c r="P2" s="335"/>
      <c r="Q2" s="335"/>
    </row>
    <row r="3" spans="1:17" ht="42" customHeight="1">
      <c r="A3" s="337"/>
      <c r="B3" s="357" t="s">
        <v>854</v>
      </c>
      <c r="C3" s="357"/>
      <c r="D3" s="334" t="s">
        <v>849</v>
      </c>
      <c r="E3" s="334"/>
      <c r="F3" s="338" t="s">
        <v>130</v>
      </c>
      <c r="G3" s="338"/>
      <c r="H3" s="79" t="s">
        <v>838</v>
      </c>
      <c r="I3" s="79" t="s">
        <v>138</v>
      </c>
      <c r="J3" s="339" t="s">
        <v>132</v>
      </c>
      <c r="K3" s="340"/>
      <c r="L3" s="336" t="s">
        <v>133</v>
      </c>
      <c r="M3" s="336"/>
      <c r="N3" s="332" t="s">
        <v>855</v>
      </c>
      <c r="O3" s="333"/>
      <c r="P3" s="334" t="s">
        <v>856</v>
      </c>
      <c r="Q3" s="334"/>
    </row>
    <row r="4" spans="1:17">
      <c r="A4" s="337"/>
      <c r="B4" s="110" t="s">
        <v>877</v>
      </c>
      <c r="C4" s="110" t="s">
        <v>878</v>
      </c>
      <c r="D4" s="78" t="s">
        <v>846</v>
      </c>
      <c r="E4" s="78" t="s">
        <v>848</v>
      </c>
      <c r="F4" s="79" t="s">
        <v>21</v>
      </c>
      <c r="G4" s="78" t="s">
        <v>847</v>
      </c>
      <c r="H4" s="79" t="s">
        <v>21</v>
      </c>
      <c r="I4" s="79" t="s">
        <v>21</v>
      </c>
      <c r="J4" s="79" t="s">
        <v>21</v>
      </c>
      <c r="K4" s="80" t="s">
        <v>847</v>
      </c>
      <c r="L4" s="79" t="s">
        <v>21</v>
      </c>
      <c r="M4" s="78" t="s">
        <v>847</v>
      </c>
      <c r="N4" s="78" t="s">
        <v>33</v>
      </c>
      <c r="O4" s="78" t="s">
        <v>847</v>
      </c>
      <c r="P4" s="78" t="s">
        <v>33</v>
      </c>
      <c r="Q4" s="78" t="s">
        <v>847</v>
      </c>
    </row>
    <row r="5" spans="1:17" s="64" customFormat="1" ht="14.25">
      <c r="A5" s="98" t="s">
        <v>844</v>
      </c>
      <c r="B5" s="99" t="e">
        <f>SUM('В-4'!#REF!,'В-4'!#REF!,'В-4'!#REF!,'В-4'!#REF!,'В-4'!#REF!,'В-4'!#REF!,'В-4'!#REF!,'В-4'!#REF!,'В-4'!#REF!,'В-4'!#REF!,'В-4'!#REF!,'В-4'!#REF!,'В-4'!#REF!,'В-4'!#REF!,'В-4'!#REF!,'В-4'!#REF!,'В-4'!#REF!,'В-4'!#REF!)</f>
        <v>#REF!</v>
      </c>
      <c r="C5" s="99"/>
      <c r="D5" s="100">
        <f>'В-4'!N63+'В-4'!N72+'В-4'!N82</f>
        <v>83</v>
      </c>
      <c r="E5" s="101" t="e">
        <f>SUM('В-4'!#REF!,'В-4'!#REF!,'В-4'!#REF!,)</f>
        <v>#REF!</v>
      </c>
      <c r="F5" s="100">
        <f>'В-4'!N64+'В-4'!N73+'В-4'!N83</f>
        <v>21</v>
      </c>
      <c r="G5" s="100" t="e">
        <f>SUM('В-4'!#REF!+'В-4'!#REF!+'В-4'!#REF!)</f>
        <v>#REF!</v>
      </c>
      <c r="H5" s="100">
        <f>'В-4'!N65+'В-4'!N75</f>
        <v>30</v>
      </c>
      <c r="I5" s="100">
        <f>'В-4'!N66+'В-4'!N76+'В-4'!N84</f>
        <v>172</v>
      </c>
      <c r="J5" s="100">
        <f>'В-4'!N74+'В-4'!N87</f>
        <v>2</v>
      </c>
      <c r="K5" s="102" t="e">
        <f>SUM('В-4'!#REF!,'В-4'!#REF!)</f>
        <v>#REF!</v>
      </c>
      <c r="L5" s="100">
        <f>'В-4'!N78</f>
        <v>1</v>
      </c>
      <c r="M5" s="101" t="e">
        <f>'В-4'!#REF!</f>
        <v>#REF!</v>
      </c>
      <c r="N5" s="100">
        <f>SUM('В-4'!N69,'В-4'!N79,'В-4'!N88,'В-4'!N90,)</f>
        <v>33.76</v>
      </c>
      <c r="O5" s="100" t="e">
        <f>SUM('В-4'!#REF!,'В-4'!#REF!,'В-4'!#REF!,'В-4'!#REF!,)</f>
        <v>#REF!</v>
      </c>
      <c r="P5" s="100" t="e">
        <f>SUM('В-4'!#REF!,'В-4'!#REF!,'В-4'!#REF!,'В-4'!#REF!,'В-4'!#REF!)</f>
        <v>#REF!</v>
      </c>
      <c r="Q5" s="100" t="e">
        <f>SUM('В-4'!#REF!,'В-4'!#REF!,'В-4'!#REF!,'В-4'!#REF!,'В-4'!#REF!)</f>
        <v>#REF!</v>
      </c>
    </row>
    <row r="6" spans="1:17">
      <c r="A6" s="88" t="s">
        <v>864</v>
      </c>
      <c r="B6" s="62" t="e">
        <f>SUM('В-4'!#REF!,'В-4'!#REF!,'В-4'!#REF!)</f>
        <v>#REF!</v>
      </c>
      <c r="C6" s="62"/>
      <c r="D6" s="78">
        <f>'В-4'!N63</f>
        <v>43</v>
      </c>
      <c r="E6" s="63" t="e">
        <f>SUM('В-4'!#REF!)</f>
        <v>#REF!</v>
      </c>
      <c r="F6" s="78">
        <f>'В-4'!N64</f>
        <v>12</v>
      </c>
      <c r="G6" s="78" t="e">
        <f>'В-4'!#REF!</f>
        <v>#REF!</v>
      </c>
      <c r="H6" s="78">
        <f>'В-4'!N65</f>
        <v>18</v>
      </c>
      <c r="I6" s="78">
        <f>'В-4'!N66</f>
        <v>74</v>
      </c>
      <c r="J6" s="78"/>
      <c r="K6" s="81"/>
      <c r="L6" s="78"/>
      <c r="M6" s="63"/>
      <c r="N6" s="78">
        <f>'В-4'!N69</f>
        <v>12.2</v>
      </c>
      <c r="O6" s="78" t="e">
        <f>'В-4'!#REF!</f>
        <v>#REF!</v>
      </c>
      <c r="P6" s="78"/>
      <c r="Q6" s="78"/>
    </row>
    <row r="7" spans="1:17">
      <c r="A7" s="88" t="s">
        <v>866</v>
      </c>
      <c r="B7" s="62" t="e">
        <f>SUM('В-4'!#REF!,'В-4'!#REF!,'В-4'!#REF!,'В-4'!#REF!,'В-4'!#REF!)</f>
        <v>#REF!</v>
      </c>
      <c r="C7" s="62"/>
      <c r="D7" s="78">
        <f>'В-4'!N72</f>
        <v>28</v>
      </c>
      <c r="E7" s="63" t="e">
        <f>SUM('В-4'!#REF!)</f>
        <v>#REF!</v>
      </c>
      <c r="F7" s="78">
        <f>'В-4'!N73</f>
        <v>6</v>
      </c>
      <c r="G7" s="78" t="e">
        <f>SUM('В-4'!#REF!)</f>
        <v>#REF!</v>
      </c>
      <c r="H7" s="78">
        <f>'В-4'!N75</f>
        <v>12</v>
      </c>
      <c r="I7" s="78">
        <f>'В-4'!N76</f>
        <v>62</v>
      </c>
      <c r="J7" s="78">
        <f>'В-4'!N74</f>
        <v>1</v>
      </c>
      <c r="K7" s="81" t="e">
        <f>'В-4'!#REF!</f>
        <v>#REF!</v>
      </c>
      <c r="L7" s="78">
        <f>'В-4'!N78</f>
        <v>1</v>
      </c>
      <c r="M7" s="63" t="e">
        <f>'В-4'!#REF!</f>
        <v>#REF!</v>
      </c>
      <c r="N7" s="78">
        <f>'В-4'!N79</f>
        <v>12.1</v>
      </c>
      <c r="O7" s="62" t="e">
        <f>'В-4'!#REF!</f>
        <v>#REF!</v>
      </c>
      <c r="P7" s="78"/>
      <c r="Q7" s="78"/>
    </row>
    <row r="8" spans="1:17">
      <c r="A8" s="88" t="s">
        <v>865</v>
      </c>
      <c r="B8" s="62" t="e">
        <f>SUM('В-4'!#REF!,'В-4'!#REF!)</f>
        <v>#REF!</v>
      </c>
      <c r="C8" s="62"/>
      <c r="D8" s="78">
        <f>'В-4'!N82</f>
        <v>12</v>
      </c>
      <c r="E8" s="63" t="e">
        <f>SUM('В-4'!#REF!)</f>
        <v>#REF!</v>
      </c>
      <c r="F8" s="78">
        <f>'В-4'!N83</f>
        <v>3</v>
      </c>
      <c r="G8" s="78" t="e">
        <f>SUM('В-4'!#REF!,)</f>
        <v>#REF!</v>
      </c>
      <c r="H8" s="78"/>
      <c r="I8" s="78">
        <f>'В-4'!N84</f>
        <v>36</v>
      </c>
      <c r="J8" s="78"/>
      <c r="K8" s="81"/>
      <c r="L8" s="78"/>
      <c r="M8" s="63"/>
      <c r="N8" s="78"/>
      <c r="O8" s="78"/>
      <c r="P8" s="78"/>
      <c r="Q8" s="78"/>
    </row>
    <row r="9" spans="1:17">
      <c r="A9" s="88" t="s">
        <v>867</v>
      </c>
      <c r="B9" s="62" t="e">
        <f>'В-4'!#REF!+'В-4'!#REF!+'В-4'!#REF!</f>
        <v>#REF!</v>
      </c>
      <c r="C9" s="62"/>
      <c r="D9" s="78"/>
      <c r="E9" s="63"/>
      <c r="F9" s="78"/>
      <c r="G9" s="78"/>
      <c r="H9" s="78"/>
      <c r="I9" s="78"/>
      <c r="J9" s="78">
        <f>'В-4'!N87</f>
        <v>1</v>
      </c>
      <c r="K9" s="81" t="e">
        <f>'В-4'!#REF!</f>
        <v>#REF!</v>
      </c>
      <c r="L9" s="78"/>
      <c r="M9" s="63"/>
      <c r="N9" s="78">
        <f>'В-4'!N88</f>
        <v>5.76</v>
      </c>
      <c r="O9" s="78" t="e">
        <f>'В-4'!#REF!</f>
        <v>#REF!</v>
      </c>
      <c r="P9" s="78" t="e">
        <f>'В-4'!#REF!</f>
        <v>#REF!</v>
      </c>
      <c r="Q9" s="78" t="e">
        <f>'В-4'!#REF!</f>
        <v>#REF!</v>
      </c>
    </row>
    <row r="10" spans="1:17">
      <c r="A10" s="88" t="s">
        <v>868</v>
      </c>
      <c r="B10" s="62" t="e">
        <f>'В-4'!#REF!</f>
        <v>#REF!</v>
      </c>
      <c r="C10" s="62"/>
      <c r="D10" s="78"/>
      <c r="E10" s="63"/>
      <c r="F10" s="78"/>
      <c r="G10" s="78"/>
      <c r="H10" s="78"/>
      <c r="I10" s="78"/>
      <c r="J10" s="78"/>
      <c r="K10" s="81"/>
      <c r="L10" s="78"/>
      <c r="M10" s="63"/>
      <c r="N10" s="78"/>
      <c r="O10" s="78"/>
      <c r="P10" s="78" t="e">
        <f>'В-4'!#REF!</f>
        <v>#REF!</v>
      </c>
      <c r="Q10" s="62" t="e">
        <f>'В-4'!#REF!</f>
        <v>#REF!</v>
      </c>
    </row>
    <row r="11" spans="1:17">
      <c r="A11" s="88" t="s">
        <v>869</v>
      </c>
      <c r="B11" s="62" t="e">
        <f>'В-4'!#REF!</f>
        <v>#REF!</v>
      </c>
      <c r="C11" s="62"/>
      <c r="D11" s="78"/>
      <c r="E11" s="63"/>
      <c r="F11" s="78"/>
      <c r="G11" s="78"/>
      <c r="H11" s="78"/>
      <c r="I11" s="78"/>
      <c r="J11" s="78"/>
      <c r="K11" s="81"/>
      <c r="L11" s="78"/>
      <c r="M11" s="63"/>
      <c r="N11" s="78"/>
      <c r="O11" s="78"/>
      <c r="P11" s="78" t="e">
        <f>'В-4'!#REF!</f>
        <v>#REF!</v>
      </c>
      <c r="Q11" s="62" t="e">
        <f>'В-4'!#REF!</f>
        <v>#REF!</v>
      </c>
    </row>
    <row r="12" spans="1:17">
      <c r="A12" s="88" t="s">
        <v>870</v>
      </c>
      <c r="B12" s="62" t="e">
        <f>'В-4'!#REF!</f>
        <v>#REF!</v>
      </c>
      <c r="C12" s="62"/>
      <c r="D12" s="78"/>
      <c r="E12" s="63"/>
      <c r="F12" s="78"/>
      <c r="G12" s="78"/>
      <c r="H12" s="78"/>
      <c r="I12" s="78"/>
      <c r="J12" s="78"/>
      <c r="K12" s="81"/>
      <c r="L12" s="78"/>
      <c r="M12" s="63"/>
      <c r="N12" s="78"/>
      <c r="O12" s="78"/>
      <c r="P12" s="78" t="e">
        <f>'В-4'!#REF!</f>
        <v>#REF!</v>
      </c>
      <c r="Q12" s="62" t="e">
        <f>'В-4'!#REF!</f>
        <v>#REF!</v>
      </c>
    </row>
    <row r="13" spans="1:17">
      <c r="A13" s="88" t="s">
        <v>871</v>
      </c>
      <c r="B13" s="62" t="e">
        <f>'В-4'!#REF!</f>
        <v>#REF!</v>
      </c>
      <c r="C13" s="62"/>
      <c r="D13" s="78"/>
      <c r="E13" s="63"/>
      <c r="F13" s="78"/>
      <c r="G13" s="78"/>
      <c r="H13" s="78"/>
      <c r="I13" s="78"/>
      <c r="J13" s="78"/>
      <c r="K13" s="81"/>
      <c r="L13" s="78"/>
      <c r="M13" s="63"/>
      <c r="N13" s="78"/>
      <c r="O13" s="78"/>
      <c r="P13" s="78" t="e">
        <f>'В-4'!#REF!</f>
        <v>#REF!</v>
      </c>
      <c r="Q13" s="62" t="e">
        <f>'В-4'!#REF!</f>
        <v>#REF!</v>
      </c>
    </row>
    <row r="14" spans="1:17">
      <c r="A14" s="88" t="s">
        <v>872</v>
      </c>
      <c r="B14" s="62" t="e">
        <f>'В-4'!#REF!</f>
        <v>#REF!</v>
      </c>
      <c r="C14" s="62"/>
      <c r="D14" s="78"/>
      <c r="E14" s="63"/>
      <c r="F14" s="78"/>
      <c r="G14" s="78"/>
      <c r="H14" s="78"/>
      <c r="I14" s="78"/>
      <c r="J14" s="78"/>
      <c r="K14" s="81"/>
      <c r="L14" s="78"/>
      <c r="M14" s="63"/>
      <c r="N14" s="78">
        <f>'В-4'!N90</f>
        <v>3.7</v>
      </c>
      <c r="O14" s="62" t="e">
        <f>'В-4'!#REF!</f>
        <v>#REF!</v>
      </c>
      <c r="P14" s="78"/>
      <c r="Q14" s="78"/>
    </row>
    <row r="15" spans="1:17" s="64" customFormat="1" ht="14.25">
      <c r="A15" s="98" t="s">
        <v>843</v>
      </c>
      <c r="B15" s="99" t="e">
        <f>SUM('В-4'!#REF!,'В-4'!#REF!,'В-4'!#REF!,'В-4'!#REF!)</f>
        <v>#REF!</v>
      </c>
      <c r="C15" s="99"/>
      <c r="D15" s="100">
        <f>'В-4'!N119</f>
        <v>4</v>
      </c>
      <c r="E15" s="100" t="e">
        <f>SUM('В-4'!#REF!)</f>
        <v>#REF!</v>
      </c>
      <c r="F15" s="100">
        <f>'В-4'!N120</f>
        <v>3</v>
      </c>
      <c r="G15" s="100" t="e">
        <f>'В-4'!#REF!</f>
        <v>#REF!</v>
      </c>
      <c r="H15" s="100">
        <f>'В-4'!N121</f>
        <v>6</v>
      </c>
      <c r="I15" s="100" t="s">
        <v>851</v>
      </c>
      <c r="J15" s="100" t="s">
        <v>851</v>
      </c>
      <c r="K15" s="103" t="s">
        <v>851</v>
      </c>
      <c r="L15" s="100" t="s">
        <v>851</v>
      </c>
      <c r="M15" s="100" t="s">
        <v>851</v>
      </c>
      <c r="N15" s="100">
        <f>SUM('В-4'!N123,'В-4'!N125,'В-4'!N127)</f>
        <v>11.3</v>
      </c>
      <c r="O15" s="100" t="e">
        <f>SUM('В-4'!#REF!,'В-4'!#REF!,'В-4'!#REF!)</f>
        <v>#REF!</v>
      </c>
      <c r="P15" s="100" t="s">
        <v>851</v>
      </c>
      <c r="Q15" s="100" t="s">
        <v>851</v>
      </c>
    </row>
    <row r="16" spans="1:17" s="106" customFormat="1">
      <c r="A16" s="105" t="s">
        <v>873</v>
      </c>
      <c r="B16" s="43" t="e">
        <f>SUM('В-4'!#REF!)</f>
        <v>#REF!</v>
      </c>
      <c r="C16" s="43"/>
      <c r="D16" s="42">
        <f>'В-4'!N119</f>
        <v>4</v>
      </c>
      <c r="E16" s="42" t="e">
        <f>SUM('В-4'!#REF!)</f>
        <v>#REF!</v>
      </c>
      <c r="F16" s="42">
        <f>'В-4'!N120</f>
        <v>3</v>
      </c>
      <c r="G16" s="42" t="e">
        <f>SUM('В-4'!#REF!)</f>
        <v>#REF!</v>
      </c>
      <c r="H16" s="42">
        <f>'В-4'!N121</f>
        <v>6</v>
      </c>
      <c r="I16" s="42"/>
      <c r="J16" s="42"/>
      <c r="K16" s="107"/>
      <c r="L16" s="42"/>
      <c r="M16" s="42"/>
      <c r="N16" s="42"/>
      <c r="O16" s="42"/>
      <c r="P16" s="42"/>
      <c r="Q16" s="42"/>
    </row>
    <row r="17" spans="1:17" s="106" customFormat="1">
      <c r="A17" s="105" t="s">
        <v>874</v>
      </c>
      <c r="B17" s="43" t="e">
        <f>SUM('В-4'!#REF!)</f>
        <v>#REF!</v>
      </c>
      <c r="C17" s="43"/>
      <c r="D17" s="42"/>
      <c r="E17" s="42"/>
      <c r="F17" s="42"/>
      <c r="G17" s="42"/>
      <c r="H17" s="42"/>
      <c r="I17" s="42"/>
      <c r="J17" s="42"/>
      <c r="K17" s="107"/>
      <c r="L17" s="42"/>
      <c r="M17" s="42"/>
      <c r="N17" s="42">
        <f>'В-4'!N123</f>
        <v>5</v>
      </c>
      <c r="O17" s="43" t="e">
        <f>'В-4'!#REF!</f>
        <v>#REF!</v>
      </c>
      <c r="P17" s="42"/>
      <c r="Q17" s="42"/>
    </row>
    <row r="18" spans="1:17" s="106" customFormat="1">
      <c r="A18" s="105" t="s">
        <v>875</v>
      </c>
      <c r="B18" s="43" t="e">
        <f>SUM('В-4'!#REF!)</f>
        <v>#REF!</v>
      </c>
      <c r="C18" s="43"/>
      <c r="D18" s="42"/>
      <c r="E18" s="42"/>
      <c r="F18" s="42"/>
      <c r="G18" s="42"/>
      <c r="H18" s="42"/>
      <c r="I18" s="42"/>
      <c r="J18" s="42"/>
      <c r="K18" s="107"/>
      <c r="L18" s="42"/>
      <c r="M18" s="42"/>
      <c r="N18" s="42">
        <f>'В-4'!N125</f>
        <v>5</v>
      </c>
      <c r="O18" s="43" t="e">
        <f>'В-4'!#REF!</f>
        <v>#REF!</v>
      </c>
      <c r="P18" s="42"/>
      <c r="Q18" s="42"/>
    </row>
    <row r="19" spans="1:17" s="106" customFormat="1">
      <c r="A19" s="105" t="s">
        <v>876</v>
      </c>
      <c r="B19" s="43" t="e">
        <f>SUM('В-4'!#REF!)</f>
        <v>#REF!</v>
      </c>
      <c r="C19" s="43"/>
      <c r="D19" s="42"/>
      <c r="E19" s="42"/>
      <c r="F19" s="42"/>
      <c r="G19" s="42"/>
      <c r="H19" s="42"/>
      <c r="I19" s="42"/>
      <c r="J19" s="42"/>
      <c r="K19" s="107"/>
      <c r="L19" s="42"/>
      <c r="M19" s="42"/>
      <c r="N19" s="42">
        <f>'В-4'!N127</f>
        <v>1.3</v>
      </c>
      <c r="O19" s="43" t="e">
        <f>'В-4'!#REF!</f>
        <v>#REF!</v>
      </c>
      <c r="P19" s="42"/>
      <c r="Q19" s="42"/>
    </row>
    <row r="20" spans="1:17" s="64" customFormat="1" ht="14.25">
      <c r="A20" s="98" t="s">
        <v>842</v>
      </c>
      <c r="B20" s="99" t="e">
        <f>SUM('В-4'!#REF!,'В-4'!#REF!)</f>
        <v>#REF!</v>
      </c>
      <c r="C20" s="99"/>
      <c r="D20" s="100">
        <f>'В-4'!N194+'В-4'!N196</f>
        <v>4</v>
      </c>
      <c r="E20" s="99" t="e">
        <f>SUM('В-4'!#REF!,'В-4'!#REF!,)</f>
        <v>#REF!</v>
      </c>
      <c r="F20" s="100" t="s">
        <v>851</v>
      </c>
      <c r="G20" s="100" t="s">
        <v>851</v>
      </c>
      <c r="H20" s="100" t="s">
        <v>851</v>
      </c>
      <c r="I20" s="100" t="s">
        <v>851</v>
      </c>
      <c r="J20" s="100" t="s">
        <v>851</v>
      </c>
      <c r="K20" s="103" t="s">
        <v>851</v>
      </c>
      <c r="L20" s="100" t="s">
        <v>851</v>
      </c>
      <c r="M20" s="100" t="s">
        <v>851</v>
      </c>
      <c r="N20" s="100" t="s">
        <v>851</v>
      </c>
      <c r="O20" s="100" t="s">
        <v>851</v>
      </c>
      <c r="P20" s="100" t="s">
        <v>851</v>
      </c>
      <c r="Q20" s="100" t="s">
        <v>851</v>
      </c>
    </row>
    <row r="21" spans="1:17" s="106" customFormat="1" ht="27.75" customHeight="1">
      <c r="A21" s="108" t="str">
        <f>'В-4'!F193</f>
        <v>ЛЭП-6 кВ Сер.Бор ф.Больничный комплекс L=3000 м</v>
      </c>
      <c r="B21" s="104" t="e">
        <f>'В-4'!#REF!</f>
        <v>#REF!</v>
      </c>
      <c r="C21" s="104"/>
      <c r="D21" s="42">
        <f>'В-4'!N194</f>
        <v>3</v>
      </c>
      <c r="E21" s="42" t="e">
        <f>'В-4'!#REF!</f>
        <v>#REF!</v>
      </c>
      <c r="F21" s="42"/>
      <c r="G21" s="42"/>
      <c r="H21" s="42"/>
      <c r="I21" s="42"/>
      <c r="J21" s="42"/>
      <c r="K21" s="107"/>
      <c r="L21" s="42"/>
      <c r="M21" s="42"/>
      <c r="N21" s="42"/>
      <c r="O21" s="42"/>
      <c r="P21" s="42"/>
      <c r="Q21" s="42"/>
    </row>
    <row r="22" spans="1:17" s="106" customFormat="1" ht="15.75" customHeight="1">
      <c r="A22" s="108" t="str">
        <f>'В-4'!F195</f>
        <v>ЛЭП-6 кВ УПТК L=2050 м</v>
      </c>
      <c r="B22" s="104" t="e">
        <f>'В-4'!#REF!</f>
        <v>#REF!</v>
      </c>
      <c r="C22" s="104"/>
      <c r="D22" s="42">
        <f>'В-4'!N196</f>
        <v>1</v>
      </c>
      <c r="E22" s="42" t="e">
        <f>'В-4'!#REF!</f>
        <v>#REF!</v>
      </c>
      <c r="F22" s="42"/>
      <c r="G22" s="42"/>
      <c r="H22" s="42"/>
      <c r="I22" s="42"/>
      <c r="J22" s="42"/>
      <c r="K22" s="107"/>
      <c r="L22" s="42"/>
      <c r="M22" s="42"/>
      <c r="N22" s="42"/>
      <c r="O22" s="42"/>
      <c r="P22" s="42"/>
      <c r="Q22" s="42"/>
    </row>
    <row r="23" spans="1:17" s="64" customFormat="1" ht="14.25">
      <c r="A23" s="98" t="s">
        <v>841</v>
      </c>
      <c r="B23" s="99" t="e">
        <f>SUM('В-4'!#REF!,'В-4'!#REF!,'В-4'!#REF!,'В-4'!#REF!,'В-4'!#REF!,'В-4'!#REF!)</f>
        <v>#REF!</v>
      </c>
      <c r="C23" s="99"/>
      <c r="D23" s="100">
        <f>'В-4'!N268+'В-4'!N270+'В-4'!N272+'В-4'!N274+'В-4'!N276+'В-4'!N278</f>
        <v>6</v>
      </c>
      <c r="E23" s="99" t="e">
        <f>SUM('В-4'!#REF!,'В-4'!#REF!,'В-4'!#REF!,'В-4'!#REF!,'В-4'!#REF!,'В-4'!#REF!)</f>
        <v>#REF!</v>
      </c>
      <c r="F23" s="100" t="s">
        <v>851</v>
      </c>
      <c r="G23" s="100" t="s">
        <v>851</v>
      </c>
      <c r="H23" s="100" t="s">
        <v>851</v>
      </c>
      <c r="I23" s="100" t="s">
        <v>851</v>
      </c>
      <c r="J23" s="100" t="s">
        <v>851</v>
      </c>
      <c r="K23" s="103" t="s">
        <v>851</v>
      </c>
      <c r="L23" s="100" t="s">
        <v>851</v>
      </c>
      <c r="M23" s="100" t="s">
        <v>851</v>
      </c>
      <c r="N23" s="100" t="s">
        <v>851</v>
      </c>
      <c r="O23" s="100" t="s">
        <v>851</v>
      </c>
      <c r="P23" s="100" t="s">
        <v>851</v>
      </c>
      <c r="Q23" s="100" t="s">
        <v>851</v>
      </c>
    </row>
    <row r="24" spans="1:17" s="106" customFormat="1" ht="28.5">
      <c r="A24" s="108" t="str">
        <f>'В-4'!F267</f>
        <v>ЛЭП-0,4 кВ НЕРЭС от ТП №131 ф.5 L=340 м</v>
      </c>
      <c r="B24" s="104" t="e">
        <f>'В-4'!#REF!</f>
        <v>#REF!</v>
      </c>
      <c r="C24" s="104"/>
      <c r="D24" s="42">
        <f>'В-4'!N268</f>
        <v>1</v>
      </c>
      <c r="E24" s="42" t="e">
        <f>'В-4'!#REF!</f>
        <v>#REF!</v>
      </c>
      <c r="F24" s="42"/>
      <c r="G24" s="42"/>
      <c r="H24" s="42"/>
      <c r="I24" s="42"/>
      <c r="J24" s="42"/>
      <c r="K24" s="107"/>
      <c r="L24" s="42"/>
      <c r="M24" s="42"/>
      <c r="N24" s="42"/>
      <c r="O24" s="42"/>
      <c r="P24" s="42"/>
      <c r="Q24" s="42"/>
    </row>
    <row r="25" spans="1:17" s="106" customFormat="1" ht="28.5">
      <c r="A25" s="108" t="str">
        <f>'В-4'!F269</f>
        <v>ЛЭП-0,4 кВ НЕРЭС от ТП №368 ф.15 L=820 м</v>
      </c>
      <c r="B25" s="104" t="e">
        <f>'В-4'!#REF!</f>
        <v>#REF!</v>
      </c>
      <c r="C25" s="104"/>
      <c r="D25" s="42">
        <f>'В-4'!N270</f>
        <v>1</v>
      </c>
      <c r="E25" s="42" t="e">
        <f>'В-4'!#REF!</f>
        <v>#REF!</v>
      </c>
      <c r="F25" s="42"/>
      <c r="G25" s="42"/>
      <c r="H25" s="42"/>
      <c r="I25" s="42"/>
      <c r="J25" s="42"/>
      <c r="K25" s="107"/>
      <c r="L25" s="42"/>
      <c r="M25" s="42"/>
      <c r="N25" s="42"/>
      <c r="O25" s="42"/>
      <c r="P25" s="42"/>
      <c r="Q25" s="42"/>
    </row>
    <row r="26" spans="1:17" s="106" customFormat="1" ht="28.5">
      <c r="A26" s="108" t="str">
        <f>'В-4'!F271</f>
        <v>ЛЭП-0,4 кВ НЕРЭС от ТП №142 ф.7 L=800 м</v>
      </c>
      <c r="B26" s="104" t="e">
        <f>'В-4'!#REF!</f>
        <v>#REF!</v>
      </c>
      <c r="C26" s="104"/>
      <c r="D26" s="42">
        <f>'В-4'!N272</f>
        <v>1</v>
      </c>
      <c r="E26" s="42" t="e">
        <f>'В-4'!#REF!</f>
        <v>#REF!</v>
      </c>
      <c r="F26" s="42"/>
      <c r="G26" s="42"/>
      <c r="H26" s="42"/>
      <c r="I26" s="42"/>
      <c r="J26" s="42"/>
      <c r="K26" s="107"/>
      <c r="L26" s="42"/>
      <c r="M26" s="42"/>
      <c r="N26" s="42"/>
      <c r="O26" s="42"/>
      <c r="P26" s="42"/>
      <c r="Q26" s="42"/>
    </row>
    <row r="27" spans="1:17" s="106" customFormat="1" ht="28.5">
      <c r="A27" s="108" t="str">
        <f>'В-4'!F273</f>
        <v>ЛЭП-0,4 кВ НЕРЭС от ТП №139 ф.1 L=600 м</v>
      </c>
      <c r="B27" s="104" t="e">
        <f>'В-4'!#REF!</f>
        <v>#REF!</v>
      </c>
      <c r="C27" s="104"/>
      <c r="D27" s="42">
        <f>'В-4'!N274</f>
        <v>1</v>
      </c>
      <c r="E27" s="42" t="e">
        <f>'В-4'!#REF!</f>
        <v>#REF!</v>
      </c>
      <c r="F27" s="42"/>
      <c r="G27" s="42"/>
      <c r="H27" s="42"/>
      <c r="I27" s="42"/>
      <c r="J27" s="42"/>
      <c r="K27" s="107"/>
      <c r="L27" s="42"/>
      <c r="M27" s="42"/>
      <c r="N27" s="42"/>
      <c r="O27" s="42"/>
      <c r="P27" s="42"/>
      <c r="Q27" s="42"/>
    </row>
    <row r="28" spans="1:17" s="106" customFormat="1" ht="28.5">
      <c r="A28" s="108" t="str">
        <f>'В-4'!F275</f>
        <v>ЛЭП-0,4 кВ НЕРЭС от ТП №136 ф.7 L=240м</v>
      </c>
      <c r="B28" s="104" t="e">
        <f>'В-4'!#REF!</f>
        <v>#REF!</v>
      </c>
      <c r="C28" s="104"/>
      <c r="D28" s="42">
        <f>'В-4'!N276</f>
        <v>1</v>
      </c>
      <c r="E28" s="42" t="e">
        <f>'В-4'!#REF!</f>
        <v>#REF!</v>
      </c>
      <c r="F28" s="42"/>
      <c r="G28" s="42"/>
      <c r="H28" s="42"/>
      <c r="I28" s="42"/>
      <c r="J28" s="42"/>
      <c r="K28" s="107"/>
      <c r="L28" s="42"/>
      <c r="M28" s="42"/>
      <c r="N28" s="42"/>
      <c r="O28" s="42"/>
      <c r="P28" s="42"/>
      <c r="Q28" s="42"/>
    </row>
    <row r="29" spans="1:17" s="106" customFormat="1" ht="28.5">
      <c r="A29" s="108" t="str">
        <f>'В-4'!F277</f>
        <v>ЛЭП-0,4 кВ НЕРЭС от ТП №142 ф.19 L=300 м</v>
      </c>
      <c r="B29" s="104" t="e">
        <f>'В-4'!#REF!</f>
        <v>#REF!</v>
      </c>
      <c r="C29" s="104"/>
      <c r="D29" s="42">
        <f>'В-4'!N278</f>
        <v>1</v>
      </c>
      <c r="E29" s="42" t="e">
        <f>'В-4'!#REF!</f>
        <v>#REF!</v>
      </c>
      <c r="F29" s="42"/>
      <c r="G29" s="42"/>
      <c r="H29" s="42"/>
      <c r="I29" s="42"/>
      <c r="J29" s="42"/>
      <c r="K29" s="107"/>
      <c r="L29" s="42"/>
      <c r="M29" s="42"/>
      <c r="N29" s="42"/>
      <c r="O29" s="42"/>
      <c r="P29" s="42"/>
      <c r="Q29" s="42"/>
    </row>
    <row r="30" spans="1:17" s="64" customFormat="1" ht="14.25">
      <c r="A30" s="98" t="s">
        <v>858</v>
      </c>
      <c r="B30" s="99" t="e">
        <f>SUM('В-4'!#REF!,'В-4'!#REF!,'В-4'!#REF!,'В-4'!#REF!,'В-4'!#REF!,'В-4'!#REF!,'В-4'!#REF!,'В-4'!#REF!,'В-4'!#REF!,'В-4'!#REF!,'В-4'!#REF!,'В-4'!#REF!,'В-4'!#REF!,)</f>
        <v>#REF!</v>
      </c>
      <c r="C30" s="99"/>
      <c r="D30" s="100"/>
      <c r="E30" s="99"/>
      <c r="F30" s="100"/>
      <c r="G30" s="100"/>
      <c r="H30" s="100"/>
      <c r="I30" s="100"/>
      <c r="J30" s="100"/>
      <c r="K30" s="103"/>
      <c r="L30" s="100"/>
      <c r="M30" s="100"/>
      <c r="N30" s="100"/>
      <c r="O30" s="100"/>
      <c r="P30" s="100"/>
      <c r="Q30" s="100"/>
    </row>
    <row r="31" spans="1:17" s="64" customFormat="1" ht="14.25">
      <c r="A31" s="98" t="s">
        <v>76</v>
      </c>
      <c r="B31" s="99" t="e">
        <f>SUM('В-4'!#REF!,)</f>
        <v>#REF!</v>
      </c>
      <c r="C31" s="99"/>
      <c r="D31" s="100"/>
      <c r="E31" s="99"/>
      <c r="F31" s="100"/>
      <c r="G31" s="100"/>
      <c r="H31" s="100"/>
      <c r="I31" s="100"/>
      <c r="J31" s="100"/>
      <c r="K31" s="103"/>
      <c r="L31" s="100"/>
      <c r="M31" s="100"/>
      <c r="N31" s="100"/>
      <c r="O31" s="100"/>
      <c r="P31" s="100"/>
      <c r="Q31" s="100"/>
    </row>
    <row r="32" spans="1:17" s="64" customFormat="1" ht="14.25">
      <c r="A32" s="98" t="s">
        <v>595</v>
      </c>
      <c r="B32" s="99" t="e">
        <f>SUM('В-4'!#REF!,'В-4'!#REF!,'В-4'!#REF!)</f>
        <v>#REF!</v>
      </c>
      <c r="C32" s="99"/>
      <c r="D32" s="100"/>
      <c r="E32" s="99"/>
      <c r="F32" s="100"/>
      <c r="G32" s="100"/>
      <c r="H32" s="100"/>
      <c r="I32" s="100"/>
      <c r="J32" s="100"/>
      <c r="K32" s="103"/>
      <c r="L32" s="100"/>
      <c r="M32" s="100"/>
      <c r="N32" s="100"/>
      <c r="O32" s="100"/>
      <c r="P32" s="100"/>
      <c r="Q32" s="100"/>
    </row>
    <row r="33" spans="1:17" s="97" customFormat="1">
      <c r="A33" s="92" t="s">
        <v>14</v>
      </c>
      <c r="B33" s="93" t="e">
        <f>B32+B31+B30+B23+B20+B15+B5</f>
        <v>#REF!</v>
      </c>
      <c r="C33" s="93"/>
      <c r="D33" s="94">
        <f>D5+D15+D20+D23</f>
        <v>97</v>
      </c>
      <c r="E33" s="95" t="e">
        <f>E5+E15+E20+E23</f>
        <v>#REF!</v>
      </c>
      <c r="F33" s="94">
        <f>F5+F15</f>
        <v>24</v>
      </c>
      <c r="G33" s="94" t="e">
        <f>G5+G15</f>
        <v>#REF!</v>
      </c>
      <c r="H33" s="94">
        <f>H5+H15</f>
        <v>36</v>
      </c>
      <c r="I33" s="94">
        <f>I5</f>
        <v>172</v>
      </c>
      <c r="J33" s="94">
        <f>J5</f>
        <v>2</v>
      </c>
      <c r="K33" s="96" t="e">
        <f>K5</f>
        <v>#REF!</v>
      </c>
      <c r="L33" s="94">
        <f>L5</f>
        <v>1</v>
      </c>
      <c r="M33" s="94" t="e">
        <f>M5</f>
        <v>#REF!</v>
      </c>
      <c r="N33" s="94">
        <f>N15+N5</f>
        <v>45.06</v>
      </c>
      <c r="O33" s="94" t="e">
        <f>O15+O5</f>
        <v>#REF!</v>
      </c>
      <c r="P33" s="94" t="e">
        <f>P5</f>
        <v>#REF!</v>
      </c>
      <c r="Q33" s="94" t="e">
        <f>Q5</f>
        <v>#REF!</v>
      </c>
    </row>
    <row r="35" spans="1:17" ht="18.75">
      <c r="A35" s="335" t="s">
        <v>845</v>
      </c>
      <c r="B35" s="335"/>
      <c r="C35" s="335"/>
      <c r="D35" s="335"/>
      <c r="E35" s="335"/>
      <c r="F35" s="335"/>
      <c r="G35" s="335"/>
      <c r="H35" s="335"/>
      <c r="I35" s="335"/>
      <c r="J35" s="335"/>
      <c r="K35" s="335"/>
      <c r="L35" s="335"/>
      <c r="M35" s="335"/>
      <c r="N35" s="335"/>
      <c r="O35" s="335"/>
      <c r="P35" s="335"/>
      <c r="Q35" s="335"/>
    </row>
    <row r="36" spans="1:17" ht="42" customHeight="1">
      <c r="A36" s="337"/>
      <c r="B36" s="341" t="s">
        <v>854</v>
      </c>
      <c r="C36" s="109"/>
      <c r="D36" s="334" t="s">
        <v>849</v>
      </c>
      <c r="E36" s="334"/>
      <c r="F36" s="338" t="s">
        <v>130</v>
      </c>
      <c r="G36" s="338"/>
      <c r="H36" s="79" t="s">
        <v>838</v>
      </c>
      <c r="I36" s="79" t="s">
        <v>138</v>
      </c>
      <c r="J36" s="336" t="s">
        <v>30</v>
      </c>
      <c r="K36" s="336"/>
      <c r="L36" s="79" t="s">
        <v>28</v>
      </c>
      <c r="M36" s="79" t="s">
        <v>685</v>
      </c>
      <c r="N36" s="332" t="s">
        <v>855</v>
      </c>
      <c r="O36" s="333"/>
      <c r="P36" s="334" t="s">
        <v>856</v>
      </c>
      <c r="Q36" s="334"/>
    </row>
    <row r="37" spans="1:17">
      <c r="A37" s="337"/>
      <c r="B37" s="342"/>
      <c r="C37" s="110"/>
      <c r="D37" s="78" t="s">
        <v>846</v>
      </c>
      <c r="E37" s="78" t="s">
        <v>848</v>
      </c>
      <c r="F37" s="79" t="s">
        <v>21</v>
      </c>
      <c r="G37" s="78" t="s">
        <v>847</v>
      </c>
      <c r="H37" s="79" t="s">
        <v>21</v>
      </c>
      <c r="I37" s="79" t="s">
        <v>21</v>
      </c>
      <c r="J37" s="79" t="s">
        <v>21</v>
      </c>
      <c r="K37" s="78" t="s">
        <v>847</v>
      </c>
      <c r="L37" s="78" t="s">
        <v>32</v>
      </c>
      <c r="M37" s="79" t="s">
        <v>21</v>
      </c>
      <c r="N37" s="78" t="s">
        <v>33</v>
      </c>
      <c r="O37" s="78" t="s">
        <v>847</v>
      </c>
      <c r="P37" s="78" t="s">
        <v>33</v>
      </c>
      <c r="Q37" s="78" t="s">
        <v>847</v>
      </c>
    </row>
    <row r="38" spans="1:17">
      <c r="A38" s="61" t="s">
        <v>844</v>
      </c>
      <c r="B38" s="62" t="e">
        <f>SUM('В-4'!#REF!,'В-4'!#REF!,'В-4'!#REF!,'В-4'!#REF!,'В-4'!#REF!,'В-4'!#REF!,'В-4'!#REF!,'В-4'!#REF!,'В-4'!#REF!)</f>
        <v>#REF!</v>
      </c>
      <c r="C38" s="62"/>
      <c r="D38" s="78">
        <f>'В-4'!N94+'В-4'!N99+'В-4'!N105+'В-4'!N111</f>
        <v>26</v>
      </c>
      <c r="E38" s="63" t="e">
        <f>SUM('В-4'!#REF!,'В-4'!#REF!,'В-4'!#REF!,'В-4'!#REF!,)</f>
        <v>#REF!</v>
      </c>
      <c r="F38" s="78">
        <f>'В-4'!N100+'В-4'!N112</f>
        <v>15</v>
      </c>
      <c r="G38" s="78" t="e">
        <f>SUM('В-4'!#REF!+'В-4'!#REF!)</f>
        <v>#REF!</v>
      </c>
      <c r="H38" s="78" t="s">
        <v>851</v>
      </c>
      <c r="I38" s="78">
        <f>'В-4'!N95+'В-4'!N101+'В-4'!N113</f>
        <v>56</v>
      </c>
      <c r="J38" s="78" t="s">
        <v>851</v>
      </c>
      <c r="K38" s="78" t="s">
        <v>851</v>
      </c>
      <c r="L38" s="78" t="s">
        <v>851</v>
      </c>
      <c r="M38" s="78" t="s">
        <v>851</v>
      </c>
      <c r="N38" s="78">
        <f>SUM('В-4'!N102,'В-4'!N107,'В-4'!N114,)</f>
        <v>7.8</v>
      </c>
      <c r="O38" s="78" t="e">
        <f>SUM('В-4'!#REF!,'В-4'!#REF!,'В-4'!#REF!,)</f>
        <v>#REF!</v>
      </c>
      <c r="P38" s="78" t="s">
        <v>851</v>
      </c>
      <c r="Q38" s="78" t="s">
        <v>851</v>
      </c>
    </row>
    <row r="39" spans="1:17">
      <c r="A39" s="61" t="s">
        <v>843</v>
      </c>
      <c r="B39" s="62" t="e">
        <f>SUM('В-4'!#REF!,'В-4'!#REF!,'В-4'!#REF!,'В-4'!#REF!,'В-4'!#REF!,'В-4'!#REF!,'В-4'!#REF!,'В-4'!#REF!,'В-4'!#REF!,'В-4'!#REF!,'В-4'!#REF!)</f>
        <v>#REF!</v>
      </c>
      <c r="C39" s="62"/>
      <c r="D39" s="78">
        <f>'В-4'!N132+'В-4'!N137+'В-4'!N148</f>
        <v>46</v>
      </c>
      <c r="E39" s="63" t="e">
        <f>SUM('В-4'!#REF!,'В-4'!#REF!,'В-4'!#REF!,)</f>
        <v>#REF!</v>
      </c>
      <c r="F39" s="78" t="s">
        <v>851</v>
      </c>
      <c r="G39" s="78" t="s">
        <v>851</v>
      </c>
      <c r="H39" s="78">
        <f>'В-4'!N133+'В-4'!N138+'В-4'!N149</f>
        <v>80</v>
      </c>
      <c r="I39" s="78">
        <f>'В-4'!N139+'В-4'!N150</f>
        <v>22</v>
      </c>
      <c r="J39" s="78" t="s">
        <v>851</v>
      </c>
      <c r="K39" s="78" t="s">
        <v>851</v>
      </c>
      <c r="L39" s="78" t="s">
        <v>851</v>
      </c>
      <c r="M39" s="78" t="s">
        <v>851</v>
      </c>
      <c r="N39" s="62">
        <f>SUM('В-4'!N129,'В-4'!N134,'В-4'!N141,'В-4'!N143,'В-4'!N145,)</f>
        <v>19</v>
      </c>
      <c r="O39" s="62" t="e">
        <f>SUM('В-4'!#REF!,'В-4'!#REF!,'В-4'!#REF!,'В-4'!#REF!,'В-4'!#REF!,)</f>
        <v>#REF!</v>
      </c>
      <c r="P39" s="78" t="e">
        <f>SUM('В-4'!#REF!,'В-4'!#REF!,'В-4'!#REF!,)</f>
        <v>#REF!</v>
      </c>
      <c r="Q39" s="78" t="e">
        <f>SUM('В-4'!#REF!,'В-4'!#REF!,'В-4'!#REF!,)</f>
        <v>#REF!</v>
      </c>
    </row>
    <row r="40" spans="1:17">
      <c r="A40" s="61" t="s">
        <v>842</v>
      </c>
      <c r="B40" s="62" t="e">
        <f>SUM('В-4'!#REF!,'В-4'!#REF!,'В-4'!#REF!,'В-4'!#REF!,'В-4'!#REF!)</f>
        <v>#REF!</v>
      </c>
      <c r="C40" s="62"/>
      <c r="D40" s="78">
        <f>SUM('В-4'!N198+'В-4'!N202+'В-4'!N206+'В-4'!N209+'В-4'!N213)</f>
        <v>16</v>
      </c>
      <c r="E40" s="62" t="e">
        <f>SUM('В-4'!#REF!,'В-4'!#REF!,'В-4'!#REF!,'В-4'!#REF!,'В-4'!#REF!,)</f>
        <v>#REF!</v>
      </c>
      <c r="F40" s="78" t="s">
        <v>851</v>
      </c>
      <c r="G40" s="78" t="s">
        <v>851</v>
      </c>
      <c r="H40" s="78" t="s">
        <v>851</v>
      </c>
      <c r="I40" s="78" t="s">
        <v>851</v>
      </c>
      <c r="J40" s="78">
        <f>'В-4'!N199+'В-4'!N204+'В-4'!N211+'В-4'!N215</f>
        <v>5</v>
      </c>
      <c r="K40" s="62" t="e">
        <f>SUM('В-4'!#REF!,'В-4'!#REF!,'В-4'!#REF!,'В-4'!#REF!,)</f>
        <v>#REF!</v>
      </c>
      <c r="L40" s="78">
        <f>'В-4'!N203+'В-4'!N210+'В-4'!N214</f>
        <v>0.66100000000000003</v>
      </c>
      <c r="M40" s="78" t="s">
        <v>851</v>
      </c>
      <c r="N40" s="78" t="s">
        <v>851</v>
      </c>
      <c r="O40" s="78" t="s">
        <v>851</v>
      </c>
      <c r="P40" s="78" t="s">
        <v>851</v>
      </c>
      <c r="Q40" s="78" t="s">
        <v>851</v>
      </c>
    </row>
    <row r="41" spans="1:17">
      <c r="A41" s="61" t="s">
        <v>841</v>
      </c>
      <c r="B41" s="62" t="e">
        <f>SUM('В-4'!#REF!,'В-4'!#REF!,'В-4'!#REF!)</f>
        <v>#REF!</v>
      </c>
      <c r="C41" s="62"/>
      <c r="D41" s="78">
        <f>'В-4'!N280+'В-4'!N283+'В-4'!N284+'В-4'!N288</f>
        <v>23</v>
      </c>
      <c r="E41" s="63" t="e">
        <f>SUM('В-4'!#REF!,'В-4'!#REF!,'В-4'!#REF!,'В-4'!#REF!)</f>
        <v>#REF!</v>
      </c>
      <c r="F41" s="78" t="s">
        <v>851</v>
      </c>
      <c r="G41" s="78" t="s">
        <v>851</v>
      </c>
      <c r="H41" s="78" t="s">
        <v>851</v>
      </c>
      <c r="I41" s="78" t="s">
        <v>851</v>
      </c>
      <c r="J41" s="78" t="s">
        <v>851</v>
      </c>
      <c r="K41" s="78" t="s">
        <v>851</v>
      </c>
      <c r="L41" s="78">
        <f>'В-4'!N281+'В-4'!N285+'В-4'!N289</f>
        <v>1.1000000000000001</v>
      </c>
      <c r="M41" s="78">
        <f>'В-4'!N286</f>
        <v>3</v>
      </c>
      <c r="N41" s="78" t="s">
        <v>851</v>
      </c>
      <c r="O41" s="78" t="s">
        <v>851</v>
      </c>
      <c r="P41" s="78" t="s">
        <v>851</v>
      </c>
      <c r="Q41" s="78" t="s">
        <v>851</v>
      </c>
    </row>
    <row r="42" spans="1:17">
      <c r="A42" s="61" t="s">
        <v>859</v>
      </c>
      <c r="B42" s="62" t="e">
        <f>SUM('В-4'!#REF!,'В-4'!#REF!,'В-4'!#REF!,'В-4'!#REF!,'В-4'!#REF!,'В-4'!#REF!,'В-4'!#REF!,'В-4'!#REF!,'В-4'!#REF!,'В-4'!#REF!,'В-4'!#REF!,'В-4'!#REF!,'В-4'!#REF!)</f>
        <v>#REF!</v>
      </c>
      <c r="C42" s="62"/>
      <c r="D42" s="78"/>
      <c r="E42" s="63"/>
      <c r="F42" s="78"/>
      <c r="G42" s="78"/>
      <c r="H42" s="78"/>
      <c r="I42" s="78"/>
      <c r="J42" s="78"/>
      <c r="K42" s="78"/>
      <c r="L42" s="78"/>
      <c r="M42" s="78"/>
      <c r="N42" s="78"/>
      <c r="O42" s="78"/>
      <c r="P42" s="78"/>
      <c r="Q42" s="78"/>
    </row>
    <row r="43" spans="1:17">
      <c r="A43" s="61" t="s">
        <v>861</v>
      </c>
      <c r="B43" s="62" t="e">
        <f>SUM('В-4'!#REF!,'В-4'!#REF!,)</f>
        <v>#REF!</v>
      </c>
      <c r="C43" s="62"/>
      <c r="D43" s="78"/>
      <c r="E43" s="63"/>
      <c r="F43" s="78"/>
      <c r="G43" s="78"/>
      <c r="H43" s="78"/>
      <c r="I43" s="78"/>
      <c r="J43" s="78"/>
      <c r="K43" s="78"/>
      <c r="L43" s="78"/>
      <c r="M43" s="78"/>
      <c r="N43" s="78"/>
      <c r="O43" s="78"/>
      <c r="P43" s="78"/>
      <c r="Q43" s="78"/>
    </row>
    <row r="44" spans="1:17">
      <c r="A44" s="61" t="s">
        <v>76</v>
      </c>
      <c r="B44" s="62" t="e">
        <f>SUM('В-4'!#REF!,'В-4'!#REF!,)</f>
        <v>#REF!</v>
      </c>
      <c r="C44" s="62"/>
      <c r="D44" s="78"/>
      <c r="E44" s="63"/>
      <c r="F44" s="78"/>
      <c r="G44" s="78"/>
      <c r="H44" s="78"/>
      <c r="I44" s="78"/>
      <c r="J44" s="78"/>
      <c r="K44" s="78"/>
      <c r="L44" s="78"/>
      <c r="M44" s="78"/>
      <c r="N44" s="78"/>
      <c r="O44" s="78"/>
      <c r="P44" s="78"/>
      <c r="Q44" s="78"/>
    </row>
    <row r="45" spans="1:17">
      <c r="A45" s="61" t="s">
        <v>595</v>
      </c>
      <c r="B45" s="62" t="e">
        <f>SUM('В-4'!#REF!,'В-4'!#REF!,'В-4'!#REF!,'В-4'!#REF!,'В-4'!#REF!,'В-4'!#REF!,'В-4'!#REF!,'В-4'!#REF!,'В-4'!#REF!,'В-4'!#REF!,'В-4'!#REF!,'В-4'!#REF!,'В-4'!#REF!,'В-4'!#REF!)</f>
        <v>#REF!</v>
      </c>
      <c r="C45" s="62"/>
      <c r="D45" s="78"/>
      <c r="E45" s="63"/>
      <c r="F45" s="78"/>
      <c r="G45" s="78"/>
      <c r="H45" s="78"/>
      <c r="I45" s="78"/>
      <c r="J45" s="78"/>
      <c r="K45" s="78"/>
      <c r="L45" s="78"/>
      <c r="M45" s="78"/>
      <c r="N45" s="78"/>
      <c r="O45" s="78"/>
      <c r="P45" s="78"/>
      <c r="Q45" s="78"/>
    </row>
    <row r="46" spans="1:17">
      <c r="A46" s="61" t="s">
        <v>85</v>
      </c>
      <c r="B46" s="62" t="e">
        <f>SUM('В-4'!#REF!)</f>
        <v>#REF!</v>
      </c>
      <c r="C46" s="62"/>
      <c r="D46" s="78"/>
      <c r="E46" s="63"/>
      <c r="F46" s="78"/>
      <c r="G46" s="78"/>
      <c r="H46" s="78"/>
      <c r="I46" s="78"/>
      <c r="J46" s="78"/>
      <c r="K46" s="78"/>
      <c r="L46" s="78"/>
      <c r="M46" s="78"/>
      <c r="N46" s="78"/>
      <c r="O46" s="78"/>
      <c r="P46" s="78"/>
      <c r="Q46" s="78"/>
    </row>
    <row r="47" spans="1:17">
      <c r="A47" s="61" t="s">
        <v>77</v>
      </c>
      <c r="B47" s="62" t="e">
        <f>SUM('В-4'!#REF!)</f>
        <v>#REF!</v>
      </c>
      <c r="C47" s="62"/>
      <c r="D47" s="78"/>
      <c r="E47" s="63"/>
      <c r="F47" s="78"/>
      <c r="G47" s="78"/>
      <c r="H47" s="78"/>
      <c r="I47" s="78"/>
      <c r="J47" s="78"/>
      <c r="K47" s="78"/>
      <c r="L47" s="78"/>
      <c r="M47" s="78"/>
      <c r="N47" s="78"/>
      <c r="O47" s="78"/>
      <c r="P47" s="78"/>
      <c r="Q47" s="78"/>
    </row>
    <row r="48" spans="1:17" s="64" customFormat="1" ht="14.25">
      <c r="A48" s="65" t="s">
        <v>14</v>
      </c>
      <c r="B48" s="68" t="e">
        <f>B38+B39+B40+B41+B42+B43+B44+B45+B46+B47</f>
        <v>#REF!</v>
      </c>
      <c r="C48" s="68"/>
      <c r="D48" s="66">
        <f>D38+D39+D40+D41</f>
        <v>111</v>
      </c>
      <c r="E48" s="66" t="e">
        <f>E38+E39+E40+E41</f>
        <v>#REF!</v>
      </c>
      <c r="F48" s="66">
        <f>F38</f>
        <v>15</v>
      </c>
      <c r="G48" s="66" t="e">
        <f>G38</f>
        <v>#REF!</v>
      </c>
      <c r="H48" s="66">
        <f>H39</f>
        <v>80</v>
      </c>
      <c r="I48" s="66">
        <f>I38+I39</f>
        <v>78</v>
      </c>
      <c r="J48" s="66">
        <f>J40</f>
        <v>5</v>
      </c>
      <c r="K48" s="68" t="e">
        <f>K40</f>
        <v>#REF!</v>
      </c>
      <c r="L48" s="66">
        <f>L40+L41</f>
        <v>1.7610000000000001</v>
      </c>
      <c r="M48" s="66">
        <f>M41</f>
        <v>3</v>
      </c>
      <c r="N48" s="68">
        <f>N39+N38</f>
        <v>26.8</v>
      </c>
      <c r="O48" s="68" t="e">
        <f t="shared" ref="O48" si="0">O39+O38</f>
        <v>#REF!</v>
      </c>
      <c r="P48" s="68" t="e">
        <f>P39</f>
        <v>#REF!</v>
      </c>
      <c r="Q48" s="68" t="e">
        <f>Q39</f>
        <v>#REF!</v>
      </c>
    </row>
    <row r="49" spans="1:18">
      <c r="A49" s="346" t="s">
        <v>852</v>
      </c>
      <c r="B49" s="346"/>
      <c r="C49" s="346"/>
      <c r="D49" s="346"/>
      <c r="E49" s="346"/>
      <c r="F49" s="346"/>
      <c r="G49" s="346"/>
    </row>
    <row r="50" spans="1:18" ht="42" customHeight="1">
      <c r="A50" s="337"/>
      <c r="B50" s="341" t="s">
        <v>854</v>
      </c>
      <c r="C50" s="109"/>
      <c r="D50" s="334" t="s">
        <v>849</v>
      </c>
      <c r="E50" s="334"/>
      <c r="F50" s="79" t="s">
        <v>514</v>
      </c>
      <c r="G50" s="79" t="s">
        <v>685</v>
      </c>
      <c r="I50" s="73"/>
    </row>
    <row r="51" spans="1:18">
      <c r="A51" s="337"/>
      <c r="B51" s="342"/>
      <c r="C51" s="110"/>
      <c r="D51" s="78" t="s">
        <v>846</v>
      </c>
      <c r="E51" s="78" t="s">
        <v>848</v>
      </c>
      <c r="F51" s="79" t="s">
        <v>21</v>
      </c>
      <c r="G51" s="79" t="s">
        <v>21</v>
      </c>
    </row>
    <row r="52" spans="1:18">
      <c r="A52" s="61" t="s">
        <v>842</v>
      </c>
      <c r="B52" s="62" t="e">
        <f>SUM('В-4'!#REF!,'В-4'!#REF!,'В-4'!#REF!,'В-4'!#REF!,'В-4'!#REF!)</f>
        <v>#REF!</v>
      </c>
      <c r="C52" s="62"/>
      <c r="D52" s="78">
        <f>'В-4'!N175+'В-4'!N178+'В-4'!N181</f>
        <v>55</v>
      </c>
      <c r="E52" s="62" t="e">
        <f>SUM('В-4'!#REF!,'В-4'!#REF!,'В-4'!#REF!,)</f>
        <v>#REF!</v>
      </c>
      <c r="F52" s="78">
        <f>'В-4'!N176+'В-4'!N179</f>
        <v>3</v>
      </c>
      <c r="G52" s="78" t="s">
        <v>851</v>
      </c>
    </row>
    <row r="53" spans="1:18">
      <c r="A53" s="61" t="s">
        <v>841</v>
      </c>
      <c r="B53" s="62" t="e">
        <f>SUM('В-4'!#REF!,'В-4'!#REF!,'В-4'!#REF!,'В-4'!#REF!,'В-4'!#REF!,'В-4'!#REF!,'В-4'!#REF!,'В-4'!#REF!)</f>
        <v>#REF!</v>
      </c>
      <c r="C53" s="62"/>
      <c r="D53" s="69">
        <f>SUM('В-4'!N219,'В-4'!N221,'В-4'!N224,'В-4'!N227,'В-4'!N229,'В-4'!N231,'В-4'!N233,'В-4'!N235)</f>
        <v>10</v>
      </c>
      <c r="E53" s="82" t="e">
        <f>SUM('В-4'!#REF!,'В-4'!#REF!,'В-4'!#REF!,'В-4'!#REF!,'В-4'!#REF!,'В-4'!#REF!,'В-4'!#REF!,'В-4'!#REF!)</f>
        <v>#REF!</v>
      </c>
      <c r="F53" s="78" t="s">
        <v>851</v>
      </c>
      <c r="G53" s="69">
        <f>'В-4'!N222+'В-4'!N225</f>
        <v>3</v>
      </c>
    </row>
    <row r="54" spans="1:18" s="70" customFormat="1" ht="14.25">
      <c r="A54" s="71" t="s">
        <v>14</v>
      </c>
      <c r="B54" s="68" t="e">
        <f>B52+B53</f>
        <v>#REF!</v>
      </c>
      <c r="C54" s="68"/>
      <c r="D54" s="66">
        <f>D52+D53</f>
        <v>65</v>
      </c>
      <c r="E54" s="66" t="e">
        <f>E52+E53</f>
        <v>#REF!</v>
      </c>
      <c r="F54" s="66">
        <f>F52</f>
        <v>3</v>
      </c>
      <c r="G54" s="72">
        <f>G53</f>
        <v>3</v>
      </c>
    </row>
    <row r="55" spans="1:18">
      <c r="A55" s="346" t="s">
        <v>853</v>
      </c>
      <c r="B55" s="346"/>
      <c r="C55" s="346"/>
      <c r="D55" s="346"/>
      <c r="E55" s="346"/>
      <c r="F55" s="84"/>
      <c r="G55" s="85"/>
    </row>
    <row r="56" spans="1:18">
      <c r="A56" s="337"/>
      <c r="B56" s="341" t="s">
        <v>854</v>
      </c>
      <c r="C56" s="109"/>
      <c r="D56" s="334" t="s">
        <v>849</v>
      </c>
      <c r="E56" s="334"/>
      <c r="F56" s="86"/>
      <c r="G56" s="83"/>
      <c r="H56" s="75"/>
    </row>
    <row r="57" spans="1:18">
      <c r="A57" s="337"/>
      <c r="B57" s="342"/>
      <c r="C57" s="110"/>
      <c r="D57" s="78" t="s">
        <v>846</v>
      </c>
      <c r="E57" s="78" t="s">
        <v>848</v>
      </c>
    </row>
    <row r="58" spans="1:18">
      <c r="A58" s="61" t="s">
        <v>842</v>
      </c>
      <c r="B58" s="62" t="e">
        <f>'В-4'!#REF!</f>
        <v>#REF!</v>
      </c>
      <c r="C58" s="62"/>
      <c r="D58" s="78">
        <f>'В-4'!N183</f>
        <v>18</v>
      </c>
      <c r="E58" s="78" t="e">
        <f>'В-4'!#REF!</f>
        <v>#REF!</v>
      </c>
    </row>
    <row r="59" spans="1:18">
      <c r="A59" s="61" t="s">
        <v>841</v>
      </c>
      <c r="B59" s="62" t="e">
        <f>SUM('В-4'!#REF!,'В-4'!#REF!,'В-4'!#REF!)</f>
        <v>#REF!</v>
      </c>
      <c r="C59" s="62"/>
      <c r="D59" s="78">
        <f>'В-4'!N237+'В-4'!N239+'В-4'!N241</f>
        <v>22</v>
      </c>
      <c r="E59" s="78" t="e">
        <f>'В-4'!#REF!+'В-4'!#REF!+'В-4'!#REF!</f>
        <v>#REF!</v>
      </c>
    </row>
    <row r="60" spans="1:18" s="64" customFormat="1" ht="14.25">
      <c r="A60" s="65" t="s">
        <v>14</v>
      </c>
      <c r="B60" s="68" t="e">
        <f>B58+B59</f>
        <v>#REF!</v>
      </c>
      <c r="C60" s="68"/>
      <c r="D60" s="66">
        <f>D58+D59</f>
        <v>40</v>
      </c>
      <c r="E60" s="66" t="e">
        <f t="shared" ref="E60" si="1">E58+E59</f>
        <v>#REF!</v>
      </c>
    </row>
    <row r="61" spans="1:18">
      <c r="E61" s="75"/>
    </row>
    <row r="62" spans="1:18" ht="18.75">
      <c r="A62" s="343" t="s">
        <v>850</v>
      </c>
      <c r="B62" s="343"/>
      <c r="C62" s="343"/>
      <c r="D62" s="343"/>
      <c r="E62" s="343"/>
      <c r="F62" s="343"/>
      <c r="G62" s="343"/>
      <c r="H62" s="343"/>
      <c r="I62" s="343"/>
      <c r="J62" s="343"/>
      <c r="K62" s="343"/>
      <c r="L62" s="343"/>
      <c r="M62" s="343"/>
      <c r="N62" s="343"/>
      <c r="O62" s="343"/>
      <c r="P62" s="343"/>
      <c r="Q62" s="343"/>
      <c r="R62" s="343"/>
    </row>
    <row r="63" spans="1:18" ht="42" customHeight="1">
      <c r="A63" s="348"/>
      <c r="B63" s="341" t="s">
        <v>854</v>
      </c>
      <c r="C63" s="111"/>
      <c r="D63" s="349" t="s">
        <v>849</v>
      </c>
      <c r="E63" s="349"/>
      <c r="F63" s="350" t="s">
        <v>130</v>
      </c>
      <c r="G63" s="350"/>
      <c r="H63" s="76" t="s">
        <v>838</v>
      </c>
      <c r="I63" s="76" t="s">
        <v>138</v>
      </c>
      <c r="J63" s="347" t="s">
        <v>30</v>
      </c>
      <c r="K63" s="347"/>
      <c r="L63" s="76" t="s">
        <v>28</v>
      </c>
      <c r="M63" s="347" t="s">
        <v>738</v>
      </c>
      <c r="N63" s="347"/>
      <c r="O63" s="332" t="s">
        <v>855</v>
      </c>
      <c r="P63" s="333"/>
      <c r="Q63" s="334" t="s">
        <v>856</v>
      </c>
      <c r="R63" s="334"/>
    </row>
    <row r="64" spans="1:18">
      <c r="A64" s="337"/>
      <c r="B64" s="342"/>
      <c r="C64" s="110"/>
      <c r="D64" s="78" t="s">
        <v>846</v>
      </c>
      <c r="E64" s="78" t="s">
        <v>848</v>
      </c>
      <c r="F64" s="79" t="s">
        <v>21</v>
      </c>
      <c r="G64" s="78" t="s">
        <v>847</v>
      </c>
      <c r="H64" s="79" t="s">
        <v>21</v>
      </c>
      <c r="I64" s="79" t="s">
        <v>21</v>
      </c>
      <c r="J64" s="79" t="s">
        <v>21</v>
      </c>
      <c r="K64" s="78" t="s">
        <v>847</v>
      </c>
      <c r="L64" s="78" t="s">
        <v>32</v>
      </c>
      <c r="M64" s="79" t="s">
        <v>21</v>
      </c>
      <c r="N64" s="78" t="s">
        <v>847</v>
      </c>
      <c r="O64" s="78" t="s">
        <v>33</v>
      </c>
      <c r="P64" s="78" t="s">
        <v>847</v>
      </c>
      <c r="Q64" s="78" t="s">
        <v>33</v>
      </c>
      <c r="R64" s="78" t="s">
        <v>847</v>
      </c>
    </row>
    <row r="65" spans="1:18">
      <c r="A65" s="61" t="s">
        <v>844</v>
      </c>
      <c r="B65" s="62" t="e">
        <f>SUM('В-4'!#REF!)</f>
        <v>#REF!</v>
      </c>
      <c r="C65" s="62"/>
      <c r="D65" s="78" t="s">
        <v>851</v>
      </c>
      <c r="E65" s="78" t="s">
        <v>851</v>
      </c>
      <c r="F65" s="78" t="s">
        <v>851</v>
      </c>
      <c r="G65" s="78" t="s">
        <v>851</v>
      </c>
      <c r="H65" s="78" t="s">
        <v>851</v>
      </c>
      <c r="I65" s="78" t="s">
        <v>851</v>
      </c>
      <c r="J65" s="78" t="s">
        <v>851</v>
      </c>
      <c r="K65" s="78" t="s">
        <v>851</v>
      </c>
      <c r="L65" s="78" t="s">
        <v>851</v>
      </c>
      <c r="M65" s="78" t="s">
        <v>851</v>
      </c>
      <c r="N65" s="78" t="s">
        <v>851</v>
      </c>
      <c r="O65" s="78" t="s">
        <v>851</v>
      </c>
      <c r="P65" s="78" t="s">
        <v>851</v>
      </c>
      <c r="Q65" s="78" t="e">
        <f>'В-4'!#REF!</f>
        <v>#REF!</v>
      </c>
      <c r="R65" s="78" t="e">
        <f>'В-4'!#REF!</f>
        <v>#REF!</v>
      </c>
    </row>
    <row r="66" spans="1:18">
      <c r="A66" s="61" t="s">
        <v>843</v>
      </c>
      <c r="B66" s="62" t="e">
        <f>SUM('В-4'!#REF!,'В-4'!#REF!,'В-4'!#REF!,'В-4'!#REF!,'В-4'!#REF!,'В-4'!#REF!,'В-4'!#REF!)</f>
        <v>#REF!</v>
      </c>
      <c r="C66" s="62"/>
      <c r="D66" s="78">
        <f>'В-4'!N153+'В-4'!N159+'В-4'!N165+'В-4'!N171</f>
        <v>33</v>
      </c>
      <c r="E66" s="78" t="e">
        <f>SUM('В-4'!#REF!,'В-4'!#REF!,'В-4'!#REF!,'В-4'!#REF!,)</f>
        <v>#REF!</v>
      </c>
      <c r="F66" s="78">
        <f>'В-4'!N154+'В-4'!N166</f>
        <v>24</v>
      </c>
      <c r="G66" s="63" t="e">
        <f>SUM('В-4'!#REF!,'В-4'!#REF!,)</f>
        <v>#REF!</v>
      </c>
      <c r="H66" s="78">
        <f>'В-4'!N155+'В-4'!N160+'В-4'!N167</f>
        <v>44</v>
      </c>
      <c r="I66" s="78">
        <f>'В-4'!N156+'В-4'!N161+'В-4'!N168+'В-4'!N172</f>
        <v>32</v>
      </c>
      <c r="J66" s="78" t="s">
        <v>851</v>
      </c>
      <c r="K66" s="78" t="s">
        <v>851</v>
      </c>
      <c r="L66" s="78" t="s">
        <v>851</v>
      </c>
      <c r="M66" s="78" t="s">
        <v>851</v>
      </c>
      <c r="N66" s="78" t="s">
        <v>851</v>
      </c>
      <c r="O66" s="62">
        <f>SUM('В-4'!N162,)</f>
        <v>8</v>
      </c>
      <c r="P66" s="62" t="e">
        <f>SUM('В-4'!#REF!,)</f>
        <v>#REF!</v>
      </c>
      <c r="Q66" s="78" t="e">
        <f>SUM('В-4'!#REF!,'В-4'!#REF!,)</f>
        <v>#REF!</v>
      </c>
      <c r="R66" s="78" t="e">
        <f>SUM('В-4'!#REF!,'В-4'!#REF!,)</f>
        <v>#REF!</v>
      </c>
    </row>
    <row r="67" spans="1:18">
      <c r="A67" s="61" t="s">
        <v>842</v>
      </c>
      <c r="B67" s="87" t="e">
        <f>SUM('В-4'!#REF!,'В-4'!#REF!,'В-4'!#REF!)</f>
        <v>#REF!</v>
      </c>
      <c r="C67" s="87"/>
      <c r="D67" s="77">
        <f>'В-4'!N185+'В-4'!N188+'В-4'!N190</f>
        <v>27</v>
      </c>
      <c r="E67" s="74" t="e">
        <f>SUM('В-4'!#REF!,'В-4'!#REF!,'В-4'!#REF!)</f>
        <v>#REF!</v>
      </c>
      <c r="F67" s="78" t="s">
        <v>851</v>
      </c>
      <c r="G67" s="78" t="s">
        <v>851</v>
      </c>
      <c r="H67" s="78" t="s">
        <v>851</v>
      </c>
      <c r="I67" s="78" t="s">
        <v>851</v>
      </c>
      <c r="J67" s="78">
        <f>'В-4'!N186+'В-4'!N192</f>
        <v>3</v>
      </c>
      <c r="K67" s="78" t="e">
        <f>SUM('В-4'!#REF!,'В-4'!#REF!,)</f>
        <v>#REF!</v>
      </c>
      <c r="L67" s="78">
        <f>'В-4'!N191</f>
        <v>5.5E-2</v>
      </c>
      <c r="M67" s="78" t="s">
        <v>851</v>
      </c>
      <c r="N67" s="78" t="s">
        <v>851</v>
      </c>
      <c r="O67" s="78" t="s">
        <v>851</v>
      </c>
      <c r="P67" s="78" t="s">
        <v>851</v>
      </c>
      <c r="Q67" s="78" t="s">
        <v>851</v>
      </c>
      <c r="R67" s="78" t="s">
        <v>851</v>
      </c>
    </row>
    <row r="68" spans="1:18">
      <c r="A68" s="61" t="s">
        <v>841</v>
      </c>
      <c r="B68" s="62" t="e">
        <f>SUM('В-4'!#REF!,'В-4'!#REF!,'В-4'!#REF!,'В-4'!#REF!,'В-4'!#REF!,'В-4'!#REF!,'В-4'!#REF!,'В-4'!#REF!)</f>
        <v>#REF!</v>
      </c>
      <c r="C68" s="62"/>
      <c r="D68" s="69">
        <f>'В-4'!N243+'В-4'!N246+'В-4'!N248+'В-4'!N251+'В-4'!N255+'В-4'!N258+'В-4'!N260+'В-4'!N263+'В-4'!N266</f>
        <v>49</v>
      </c>
      <c r="E68" s="78" t="e">
        <f>SUM('В-4'!#REF!,'В-4'!#REF!,'В-4'!#REF!,'В-4'!#REF!,'В-4'!#REF!,'В-4'!#REF!,'В-4'!#REF!,'В-4'!#REF!,'В-4'!#REF!)</f>
        <v>#REF!</v>
      </c>
      <c r="F68" s="78" t="s">
        <v>851</v>
      </c>
      <c r="G68" s="78" t="s">
        <v>851</v>
      </c>
      <c r="H68" s="78" t="s">
        <v>851</v>
      </c>
      <c r="I68" s="78" t="s">
        <v>851</v>
      </c>
      <c r="J68" s="78" t="s">
        <v>851</v>
      </c>
      <c r="K68" s="78" t="s">
        <v>851</v>
      </c>
      <c r="L68" s="78">
        <f>'В-4'!N244+'В-4'!N249+'В-4'!N253+'В-4'!N256+'В-4'!N261</f>
        <v>1.5340000000000003</v>
      </c>
      <c r="M68" s="69">
        <f>'В-4'!N247+'В-4'!N252</f>
        <v>3</v>
      </c>
      <c r="N68" s="78" t="e">
        <f>SUM('В-4'!#REF!,'В-4'!#REF!,)</f>
        <v>#REF!</v>
      </c>
      <c r="O68" s="78" t="s">
        <v>851</v>
      </c>
      <c r="P68" s="78" t="s">
        <v>851</v>
      </c>
      <c r="Q68" s="78" t="s">
        <v>851</v>
      </c>
      <c r="R68" s="78" t="s">
        <v>851</v>
      </c>
    </row>
    <row r="69" spans="1:18">
      <c r="A69" s="61" t="s">
        <v>860</v>
      </c>
      <c r="B69" s="62" t="e">
        <f>SUM('В-4'!#REF!,'В-4'!#REF!,'В-4'!#REF!,'В-4'!#REF!,'В-4'!#REF!,'В-4'!#REF!,'В-4'!#REF!,'В-4'!#REF!)</f>
        <v>#REF!</v>
      </c>
      <c r="C69" s="62"/>
      <c r="D69" s="69"/>
      <c r="E69" s="78"/>
      <c r="F69" s="78"/>
      <c r="G69" s="78"/>
      <c r="H69" s="78"/>
      <c r="I69" s="78"/>
      <c r="J69" s="78"/>
      <c r="K69" s="78"/>
      <c r="L69" s="78"/>
      <c r="M69" s="69"/>
      <c r="N69" s="78"/>
      <c r="O69" s="78"/>
      <c r="P69" s="78"/>
      <c r="Q69" s="78"/>
      <c r="R69" s="78"/>
    </row>
    <row r="70" spans="1:18">
      <c r="A70" s="61" t="s">
        <v>76</v>
      </c>
      <c r="B70" s="62" t="e">
        <f>SUM('В-4'!#REF!,'В-4'!#REF!,)</f>
        <v>#REF!</v>
      </c>
      <c r="C70" s="62"/>
      <c r="D70" s="69"/>
      <c r="E70" s="78"/>
      <c r="F70" s="78"/>
      <c r="G70" s="78"/>
      <c r="H70" s="78"/>
      <c r="I70" s="78"/>
      <c r="J70" s="78"/>
      <c r="K70" s="78"/>
      <c r="L70" s="78"/>
      <c r="M70" s="69"/>
      <c r="N70" s="78"/>
      <c r="O70" s="78"/>
      <c r="P70" s="78"/>
      <c r="Q70" s="78"/>
      <c r="R70" s="78"/>
    </row>
    <row r="71" spans="1:18">
      <c r="A71" s="61" t="s">
        <v>595</v>
      </c>
      <c r="B71" s="62" t="e">
        <f>SUM('В-4'!#REF!,'В-4'!#REF!,'В-4'!#REF!,'В-4'!#REF!,'В-4'!#REF!)</f>
        <v>#REF!</v>
      </c>
      <c r="C71" s="62"/>
      <c r="D71" s="69"/>
      <c r="E71" s="78"/>
      <c r="F71" s="78"/>
      <c r="G71" s="78"/>
      <c r="H71" s="78"/>
      <c r="I71" s="78"/>
      <c r="J71" s="78"/>
      <c r="K71" s="78"/>
      <c r="L71" s="78"/>
      <c r="M71" s="69"/>
      <c r="N71" s="78"/>
      <c r="O71" s="78"/>
      <c r="P71" s="78"/>
      <c r="Q71" s="78"/>
      <c r="R71" s="78"/>
    </row>
    <row r="72" spans="1:18" s="64" customFormat="1" ht="14.25">
      <c r="A72" s="65" t="s">
        <v>14</v>
      </c>
      <c r="B72" s="68" t="e">
        <f>B65+B66+B67+B68+B69+B70+B71</f>
        <v>#REF!</v>
      </c>
      <c r="C72" s="68"/>
      <c r="D72" s="72">
        <f>D66+D67+D68</f>
        <v>109</v>
      </c>
      <c r="E72" s="67" t="e">
        <f>E66+E67+E68</f>
        <v>#REF!</v>
      </c>
      <c r="F72" s="72">
        <f>F66</f>
        <v>24</v>
      </c>
      <c r="G72" s="67" t="e">
        <f>G66</f>
        <v>#REF!</v>
      </c>
      <c r="H72" s="72">
        <f>H66</f>
        <v>44</v>
      </c>
      <c r="I72" s="72">
        <f>I66</f>
        <v>32</v>
      </c>
      <c r="J72" s="72">
        <f>J67</f>
        <v>3</v>
      </c>
      <c r="K72" s="68" t="e">
        <f>K67</f>
        <v>#REF!</v>
      </c>
      <c r="L72" s="67">
        <f>L67+L68</f>
        <v>1.5890000000000002</v>
      </c>
      <c r="M72" s="72">
        <f>M68</f>
        <v>3</v>
      </c>
      <c r="N72" s="68" t="e">
        <f>N68</f>
        <v>#REF!</v>
      </c>
      <c r="O72" s="68">
        <f>O66</f>
        <v>8</v>
      </c>
      <c r="P72" s="68" t="e">
        <f>P66</f>
        <v>#REF!</v>
      </c>
      <c r="Q72" s="68" t="e">
        <f>Q65+Q66</f>
        <v>#REF!</v>
      </c>
      <c r="R72" s="68" t="e">
        <f>R65+R66</f>
        <v>#REF!</v>
      </c>
    </row>
    <row r="75" spans="1:18">
      <c r="A75" s="89"/>
      <c r="B75" s="89" t="s">
        <v>862</v>
      </c>
      <c r="C75" s="89"/>
      <c r="D75" s="345" t="s">
        <v>863</v>
      </c>
      <c r="E75" s="345"/>
    </row>
    <row r="76" spans="1:18">
      <c r="A76" s="61" t="str">
        <f>A5</f>
        <v>110 кВ.</v>
      </c>
      <c r="B76" s="78">
        <f>'В-4'!N63+'В-4'!N72+'В-4'!N82+'В-4'!N94+'В-4'!N99+'В-4'!N105+'В-4'!N111</f>
        <v>109</v>
      </c>
      <c r="C76" s="78"/>
      <c r="D76" s="358" t="e">
        <f>SUM('В-4'!#REF!,'В-4'!#REF!,'В-4'!#REF!,'В-4'!#REF!,'В-4'!#REF!,'В-4'!#REF!,'В-4'!#REF!,'В-4'!#REF!,'В-4'!#REF!,'В-4'!#REF!,'В-4'!#REF!,'В-4'!#REF!,'В-4'!#REF!,'В-4'!#REF!,)</f>
        <v>#REF!</v>
      </c>
      <c r="E76" s="334"/>
      <c r="F76" s="73" t="b">
        <f>B76=SUM(D38,D5)</f>
        <v>1</v>
      </c>
      <c r="G76" s="60" t="e">
        <f>D76=SUM(B65,B38,B5)</f>
        <v>#REF!</v>
      </c>
    </row>
    <row r="77" spans="1:18">
      <c r="A77" s="61" t="str">
        <f>A15</f>
        <v>35 кВ.</v>
      </c>
      <c r="B77" s="78">
        <f>SUM('В-4'!N119,'В-4'!N132,'В-4'!N137,'В-4'!N148,'В-4'!N153,'В-4'!N159,'В-4'!N165,'В-4'!N171)</f>
        <v>83</v>
      </c>
      <c r="C77" s="78"/>
      <c r="D77" s="358" t="e">
        <f>SUM('В-4'!#REF!,'В-4'!#REF!,'В-4'!#REF!,'В-4'!#REF!,'В-4'!#REF!,'В-4'!#REF!,'В-4'!#REF!,'В-4'!#REF!,'В-4'!#REF!,'В-4'!#REF!,'В-4'!#REF!,'В-4'!#REF!,'В-4'!#REF!,'В-4'!#REF!,'В-4'!#REF!,'В-4'!#REF!,'В-4'!#REF!,'В-4'!#REF!,'В-4'!#REF!,'В-4'!#REF!,'В-4'!#REF!,'В-4'!#REF!)</f>
        <v>#REF!</v>
      </c>
      <c r="E77" s="334"/>
      <c r="F77" s="60" t="b">
        <f>B77=SUM(D66,D39,D15,)</f>
        <v>1</v>
      </c>
      <c r="G77" s="60" t="e">
        <f>D77=SUM(B66,B39,B15)</f>
        <v>#REF!</v>
      </c>
    </row>
    <row r="78" spans="1:18">
      <c r="A78" s="61" t="str">
        <f>A20</f>
        <v>6-10 кВ.</v>
      </c>
      <c r="B78" s="78">
        <f>SUM('В-4'!N175,'В-4'!N178,'В-4'!N181,'В-4'!N183,'В-4'!N185,'В-4'!N188,'В-4'!N190,'В-4'!N194,'В-4'!N196,'В-4'!N198,'В-4'!N202,'В-4'!N206,'В-4'!N209,'В-4'!N213)</f>
        <v>120</v>
      </c>
      <c r="C78" s="78"/>
      <c r="D78" s="358" t="e">
        <f>SUM('В-4'!#REF!,'В-4'!#REF!,'В-4'!#REF!,'В-4'!#REF!,'В-4'!#REF!,'В-4'!#REF!,'В-4'!#REF!,'В-4'!#REF!,'В-4'!#REF!,'В-4'!#REF!,'В-4'!#REF!,'В-4'!#REF!,'В-4'!#REF!,'В-4'!#REF!,'В-4'!#REF!,'В-4'!#REF!)</f>
        <v>#REF!</v>
      </c>
      <c r="E78" s="334"/>
      <c r="F78" s="60" t="b">
        <f>B78=SUM(D67,D58,D52,D40,D20)</f>
        <v>1</v>
      </c>
      <c r="G78" s="60" t="e">
        <f>D78=SUM(B67,B58,B52,B40,B20)</f>
        <v>#REF!</v>
      </c>
    </row>
    <row r="79" spans="1:18">
      <c r="A79" s="61" t="str">
        <f>A23</f>
        <v>0,4 кВ.</v>
      </c>
      <c r="B79" s="69">
        <f>SUM('В-4'!N219,'В-4'!N221,'В-4'!N224,'В-4'!N227,'В-4'!N229,'В-4'!N231,'В-4'!N233,'В-4'!N235,'В-4'!N237,'В-4'!N239,'В-4'!N241,'В-4'!N243,'В-4'!N246,'В-4'!N248,'В-4'!N251,'В-4'!N255,'В-4'!N258,'В-4'!N260,'В-4'!N263,'В-4'!N266,'В-4'!N268,'В-4'!N270,'В-4'!N272,'В-4'!N274,'В-4'!N276,'В-4'!N278,'В-4'!N280,'В-4'!N283,'В-4'!N284,'В-4'!N288)</f>
        <v>110</v>
      </c>
      <c r="C79" s="69"/>
      <c r="D79" s="358" t="e">
        <f>SUM('В-4'!#REF!,'В-4'!#REF!,'В-4'!#REF!,'В-4'!#REF!,'В-4'!#REF!,'В-4'!#REF!,'В-4'!#REF!,'В-4'!#REF!,'В-4'!#REF!,'В-4'!#REF!,'В-4'!#REF!,'В-4'!#REF!,'В-4'!#REF!,'В-4'!#REF!,'В-4'!#REF!,'В-4'!#REF!,'В-4'!#REF!,'В-4'!#REF!,'В-4'!#REF!,'В-4'!#REF!,'В-4'!#REF!,'В-4'!#REF!,'В-4'!#REF!,'В-4'!#REF!,'В-4'!#REF!,'В-4'!#REF!,'В-4'!#REF!,'В-4'!#REF!)</f>
        <v>#REF!</v>
      </c>
      <c r="E79" s="334"/>
      <c r="F79" s="60" t="b">
        <f>B79=SUM(D68,D59,D53,D41,D23)</f>
        <v>1</v>
      </c>
      <c r="G79" s="60" t="e">
        <f>D79=SUM(B68,B59,B53,B41,B23)</f>
        <v>#REF!</v>
      </c>
    </row>
    <row r="80" spans="1:18">
      <c r="A80" s="61" t="s">
        <v>173</v>
      </c>
      <c r="B80" s="78"/>
      <c r="C80" s="78"/>
      <c r="D80" s="358" t="e">
        <f>SUM('В-4'!#REF!,'В-4'!#REF!,'В-4'!#REF!,'В-4'!#REF!,'В-4'!#REF!,'В-4'!#REF!,'В-4'!#REF!,'В-4'!#REF!,'В-4'!#REF!,'В-4'!#REF!,'В-4'!#REF!,'В-4'!#REF!,'В-4'!#REF!,'В-4'!#REF!,'В-4'!#REF!,'В-4'!#REF!,'В-4'!#REF!,'В-4'!#REF!,'В-4'!#REF!,'В-4'!#REF!,'В-4'!#REF!,'В-4'!#REF!,'В-4'!#REF!,'В-4'!#REF!,'В-4'!#REF!,'В-4'!#REF!,'В-4'!#REF!,'В-4'!#REF!,'В-4'!#REF!,'В-4'!#REF!,'В-4'!#REF!,'В-4'!#REF!,'В-4'!#REF!,'В-4'!#REF!,'В-4'!#REF!,)</f>
        <v>#REF!</v>
      </c>
      <c r="E80" s="334"/>
      <c r="G80" s="60" t="e">
        <f>D80=SUM(B69,B42,B30)</f>
        <v>#REF!</v>
      </c>
    </row>
    <row r="81" spans="1:7">
      <c r="A81" s="61" t="s">
        <v>861</v>
      </c>
      <c r="B81" s="78"/>
      <c r="C81" s="80"/>
      <c r="D81" s="355" t="e">
        <f>SUM('В-4'!#REF!,'В-4'!#REF!)</f>
        <v>#REF!</v>
      </c>
      <c r="E81" s="356"/>
      <c r="G81" s="60" t="e">
        <f>D81=B43</f>
        <v>#REF!</v>
      </c>
    </row>
    <row r="82" spans="1:7">
      <c r="A82" s="61" t="str">
        <f>A31</f>
        <v>ЗиС</v>
      </c>
      <c r="B82" s="78"/>
      <c r="C82" s="78"/>
      <c r="D82" s="358" t="e">
        <f>SUM('В-4'!#REF!,'В-4'!#REF!,'В-4'!#REF!,'В-4'!#REF!,'В-4'!#REF!)</f>
        <v>#REF!</v>
      </c>
      <c r="E82" s="334"/>
      <c r="G82" s="60" t="e">
        <f>D82=SUM(B70,B44,B31)</f>
        <v>#REF!</v>
      </c>
    </row>
    <row r="83" spans="1:7">
      <c r="A83" s="61" t="str">
        <f>A32</f>
        <v>СМиТ</v>
      </c>
      <c r="B83" s="78"/>
      <c r="C83" s="78"/>
      <c r="D83" s="358" t="e">
        <f>SUM('В-4'!#REF!)</f>
        <v>#REF!</v>
      </c>
      <c r="E83" s="334"/>
      <c r="G83" s="60" t="e">
        <f>D83=SUM(B71,B45,B32)</f>
        <v>#REF!</v>
      </c>
    </row>
    <row r="84" spans="1:7">
      <c r="A84" s="61" t="str">
        <f>A46</f>
        <v>Прочие (СДТУ)</v>
      </c>
      <c r="B84" s="78"/>
      <c r="C84" s="78"/>
      <c r="D84" s="358" t="e">
        <f>'В-4'!#REF!</f>
        <v>#REF!</v>
      </c>
      <c r="E84" s="334"/>
      <c r="G84" s="60" t="e">
        <f>D84=B46</f>
        <v>#REF!</v>
      </c>
    </row>
    <row r="85" spans="1:7">
      <c r="A85" s="61" t="str">
        <f>A47</f>
        <v>АИИС КУЭ</v>
      </c>
      <c r="B85" s="78"/>
      <c r="C85" s="78"/>
      <c r="D85" s="358" t="e">
        <f>B47</f>
        <v>#REF!</v>
      </c>
      <c r="E85" s="334"/>
      <c r="G85" s="91" t="e">
        <f>D85=B47</f>
        <v>#REF!</v>
      </c>
    </row>
    <row r="86" spans="1:7">
      <c r="A86" s="61" t="s">
        <v>78</v>
      </c>
      <c r="B86" s="78"/>
      <c r="C86" s="78"/>
      <c r="D86" s="358" t="e">
        <f>SUM('В-4'!#REF!)</f>
        <v>#REF!</v>
      </c>
      <c r="E86" s="334"/>
      <c r="G86" s="60" t="e">
        <f>D86='В-4'!#REF!</f>
        <v>#REF!</v>
      </c>
    </row>
    <row r="87" spans="1:7">
      <c r="A87" s="90" t="s">
        <v>14</v>
      </c>
      <c r="B87" s="351" t="e">
        <f>'В-4'!#REF!+'В-4'!#REF!+'В-4'!#REF!+'В-4'!#REF!+'В-4'!#REF!+'В-4'!#REF!+'В-4'!#REF!+'В-4'!#REF!+'В-4'!#REF!+'В-4'!#REF!+'В-4'!#REF!+'В-4'!#REF!</f>
        <v>#REF!</v>
      </c>
      <c r="C87" s="352"/>
      <c r="D87" s="353"/>
      <c r="E87" s="354"/>
      <c r="G87" s="60" t="e">
        <f>B87=SUM(D86,B72,B60,B54,B48,B33)</f>
        <v>#REF!</v>
      </c>
    </row>
  </sheetData>
  <customSheetViews>
    <customSheetView guid="{A6591927-B6A0-4F29-ACFB-86D4B856E06A}">
      <selection activeCell="L18" sqref="L18"/>
      <pageMargins left="0.7" right="0.7" top="0.75" bottom="0.75" header="0.3" footer="0.3"/>
    </customSheetView>
    <customSheetView guid="{D529A7A1-1933-4765-AA36-44D0FD87D7B1}">
      <selection activeCell="A4" sqref="A4:J4"/>
      <pageMargins left="0.7" right="0.7" top="0.75" bottom="0.75" header="0.3" footer="0.3"/>
    </customSheetView>
  </customSheetViews>
  <mergeCells count="48">
    <mergeCell ref="B87:E87"/>
    <mergeCell ref="D81:E81"/>
    <mergeCell ref="B3:C3"/>
    <mergeCell ref="D80:E80"/>
    <mergeCell ref="D79:E79"/>
    <mergeCell ref="D78:E78"/>
    <mergeCell ref="D76:E76"/>
    <mergeCell ref="D77:E77"/>
    <mergeCell ref="D86:E86"/>
    <mergeCell ref="D85:E85"/>
    <mergeCell ref="D84:E84"/>
    <mergeCell ref="D83:E83"/>
    <mergeCell ref="D82:E82"/>
    <mergeCell ref="O63:P63"/>
    <mergeCell ref="Q63:R63"/>
    <mergeCell ref="A62:R62"/>
    <mergeCell ref="A1:Q1"/>
    <mergeCell ref="D75:E75"/>
    <mergeCell ref="N36:O36"/>
    <mergeCell ref="P36:Q36"/>
    <mergeCell ref="A35:Q35"/>
    <mergeCell ref="A55:E55"/>
    <mergeCell ref="J63:K63"/>
    <mergeCell ref="M63:N63"/>
    <mergeCell ref="A63:A64"/>
    <mergeCell ref="D63:E63"/>
    <mergeCell ref="F63:G63"/>
    <mergeCell ref="B63:B64"/>
    <mergeCell ref="A49:G49"/>
    <mergeCell ref="A56:A57"/>
    <mergeCell ref="D56:E56"/>
    <mergeCell ref="A50:A51"/>
    <mergeCell ref="D50:E50"/>
    <mergeCell ref="J36:K36"/>
    <mergeCell ref="A36:A37"/>
    <mergeCell ref="D36:E36"/>
    <mergeCell ref="F36:G36"/>
    <mergeCell ref="B36:B37"/>
    <mergeCell ref="B50:B51"/>
    <mergeCell ref="B56:B57"/>
    <mergeCell ref="N3:O3"/>
    <mergeCell ref="P3:Q3"/>
    <mergeCell ref="A2:Q2"/>
    <mergeCell ref="L3:M3"/>
    <mergeCell ref="D3:E3"/>
    <mergeCell ref="A3:A4"/>
    <mergeCell ref="F3:G3"/>
    <mergeCell ref="J3:K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
  <sheetViews>
    <sheetView workbookViewId="0">
      <selection activeCell="D8" sqref="D8"/>
    </sheetView>
  </sheetViews>
  <sheetFormatPr defaultColWidth="10.5703125" defaultRowHeight="15"/>
  <cols>
    <col min="1" max="16384" width="10.5703125" style="60"/>
  </cols>
  <sheetData>
    <row r="1" spans="1:25" ht="48">
      <c r="A1" s="44" t="s">
        <v>839</v>
      </c>
      <c r="B1" s="45" t="s">
        <v>641</v>
      </c>
      <c r="C1" s="46" t="s">
        <v>44</v>
      </c>
      <c r="D1" s="47" t="s">
        <v>669</v>
      </c>
      <c r="E1" s="48" t="s">
        <v>675</v>
      </c>
      <c r="F1" s="49" t="s">
        <v>676</v>
      </c>
      <c r="G1" s="50" t="s">
        <v>201</v>
      </c>
      <c r="H1" s="51"/>
      <c r="I1" s="45" t="s">
        <v>39</v>
      </c>
      <c r="J1" s="45" t="s">
        <v>141</v>
      </c>
      <c r="K1" s="52" t="s">
        <v>142</v>
      </c>
      <c r="L1" s="53" t="str">
        <f>CONCATENATE(L2," ",N2,M2," ",)</f>
        <v xml:space="preserve">Замена опор 2шт. </v>
      </c>
      <c r="M1" s="54"/>
      <c r="N1" s="54"/>
      <c r="O1" s="55">
        <f>SUM(O2:O2)</f>
        <v>0.12</v>
      </c>
      <c r="P1" s="56" t="s">
        <v>22</v>
      </c>
      <c r="Q1" s="57">
        <f t="shared" ref="Q1" si="0">R1+U1</f>
        <v>219.56900999999999</v>
      </c>
      <c r="R1" s="57">
        <f>SUM(S1:T1)</f>
        <v>0</v>
      </c>
      <c r="S1" s="57">
        <f>SUM(S2:S2)</f>
        <v>0</v>
      </c>
      <c r="T1" s="57">
        <f>SUM(T2:T2)</f>
        <v>0</v>
      </c>
      <c r="U1" s="57">
        <f>SUM(V1:Y1)</f>
        <v>219.56900999999999</v>
      </c>
      <c r="V1" s="57">
        <f>SUM(V2:V2)</f>
        <v>38.616679447852761</v>
      </c>
      <c r="W1" s="57">
        <f>SUM(W2:W2)</f>
        <v>11.739470552147239</v>
      </c>
      <c r="X1" s="57">
        <f>SUM(X2:X2)</f>
        <v>0</v>
      </c>
      <c r="Y1" s="57">
        <f>SUM(Y2:Y2)</f>
        <v>169.21286000000001</v>
      </c>
    </row>
    <row r="2" spans="1:25">
      <c r="A2" s="29"/>
      <c r="B2" s="39"/>
      <c r="C2" s="2"/>
      <c r="D2" s="39"/>
      <c r="E2" s="30" t="s">
        <v>737</v>
      </c>
      <c r="F2" s="31"/>
      <c r="G2" s="1"/>
      <c r="H2" s="1"/>
      <c r="I2" s="36" t="s">
        <v>39</v>
      </c>
      <c r="J2" s="14" t="s">
        <v>141</v>
      </c>
      <c r="K2" s="14" t="s">
        <v>142</v>
      </c>
      <c r="L2" s="34" t="s">
        <v>25</v>
      </c>
      <c r="M2" s="14" t="s">
        <v>21</v>
      </c>
      <c r="N2" s="14">
        <v>2</v>
      </c>
      <c r="O2" s="28">
        <f>N2*0.06</f>
        <v>0.12</v>
      </c>
      <c r="P2" s="59" t="s">
        <v>22</v>
      </c>
      <c r="Q2" s="58">
        <f>R2+U2</f>
        <v>219.56900999999999</v>
      </c>
      <c r="R2" s="58">
        <f>S2+T2</f>
        <v>0</v>
      </c>
      <c r="S2" s="58"/>
      <c r="T2" s="58"/>
      <c r="U2" s="58">
        <f>SUM(V2:Y2)</f>
        <v>219.56900999999999</v>
      </c>
      <c r="V2" s="58">
        <f>50.35615/1.304</f>
        <v>38.616679447852761</v>
      </c>
      <c r="W2" s="58">
        <f>V2*0.304</f>
        <v>11.739470552147239</v>
      </c>
      <c r="X2" s="58"/>
      <c r="Y2" s="58">
        <v>169.21286000000001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В-4</vt:lpstr>
      <vt:lpstr>Усл.км по РЭСам (18.07)</vt:lpstr>
      <vt:lpstr>Лист3</vt:lpstr>
      <vt:lpstr>'В-4'!Область_печати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Аушев Игорь Юрьевич</dc:creator>
  <cp:lastModifiedBy>Елфимов Александр Валерьевич</cp:lastModifiedBy>
  <cp:lastPrinted>2018-03-01T04:34:54Z</cp:lastPrinted>
  <dcterms:created xsi:type="dcterms:W3CDTF">2006-09-16T00:00:00Z</dcterms:created>
  <dcterms:modified xsi:type="dcterms:W3CDTF">2018-03-01T06:52:35Z</dcterms:modified>
</cp:coreProperties>
</file>