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4400" windowHeight="12495" activeTab="1"/>
  </bookViews>
  <sheets>
    <sheet name="прил 2 Титул" sheetId="1" r:id="rId1"/>
    <sheet name="3" sheetId="2" r:id="rId2"/>
    <sheet name="4" sheetId="3" r:id="rId3"/>
    <sheet name="5" sheetId="4" r:id="rId4"/>
    <sheet name="6" sheetId="5" r:id="rId5"/>
    <sheet name="7" sheetId="6" r:id="rId6"/>
    <sheet name="8" sheetId="7" r:id="rId7"/>
    <sheet name="9" sheetId="8" r:id="rId8"/>
  </sheets>
  <externalReferences>
    <externalReference r:id="rId9"/>
  </externalReferences>
  <definedNames>
    <definedName name="Z_1F1EC9A1_559B_45BE_A366_DE40EA2885B6_.wvu.PrintArea" localSheetId="1" hidden="1">'3'!$A$1:$N$113</definedName>
    <definedName name="Z_1F1EC9A1_559B_45BE_A366_DE40EA2885B6_.wvu.PrintArea" localSheetId="2" hidden="1">'4'!$A$1:$E$135</definedName>
    <definedName name="Z_1F1EC9A1_559B_45BE_A366_DE40EA2885B6_.wvu.PrintArea" localSheetId="4" hidden="1">'6'!$A$1:$D$43</definedName>
    <definedName name="Z_1F1EC9A1_559B_45BE_A366_DE40EA2885B6_.wvu.PrintTitles" localSheetId="1" hidden="1">'3'!$19:$23</definedName>
    <definedName name="Z_1F1EC9A1_559B_45BE_A366_DE40EA2885B6_.wvu.PrintTitles" localSheetId="2" hidden="1">'4'!$13:$13</definedName>
    <definedName name="Z_1F1EC9A1_559B_45BE_A366_DE40EA2885B6_.wvu.Rows" localSheetId="1" hidden="1">'3'!$1:$2,'3'!$7:$10</definedName>
    <definedName name="Z_1F1EC9A1_559B_45BE_A366_DE40EA2885B6_.wvu.Rows" localSheetId="2" hidden="1">'4'!$1:$2,'4'!$8:$8</definedName>
    <definedName name="Z_1F1EC9A1_559B_45BE_A366_DE40EA2885B6_.wvu.Rows" localSheetId="3" hidden="1">'5'!$1:$2,'5'!$8:$8</definedName>
    <definedName name="Z_1F1EC9A1_559B_45BE_A366_DE40EA2885B6_.wvu.Rows" localSheetId="4" hidden="1">'6'!$6:$6</definedName>
    <definedName name="Z_1F1EC9A1_559B_45BE_A366_DE40EA2885B6_.wvu.Rows" localSheetId="5" hidden="1">'7'!$6:$6</definedName>
    <definedName name="Z_1F1EC9A1_559B_45BE_A366_DE40EA2885B6_.wvu.Rows" localSheetId="6" hidden="1">'8'!$6:$6</definedName>
    <definedName name="Z_1F1EC9A1_559B_45BE_A366_DE40EA2885B6_.wvu.Rows" localSheetId="7" hidden="1">'9'!$6:$6</definedName>
    <definedName name="Z_590CC574_4B1C_4AB8_AB4D_7FAB395FC0A2_.wvu.PrintArea" localSheetId="1" hidden="1">'3'!$A$1:$N$113</definedName>
    <definedName name="Z_590CC574_4B1C_4AB8_AB4D_7FAB395FC0A2_.wvu.PrintArea" localSheetId="2" hidden="1">'4'!$A$1:$E$135</definedName>
    <definedName name="Z_590CC574_4B1C_4AB8_AB4D_7FAB395FC0A2_.wvu.PrintArea" localSheetId="4" hidden="1">'6'!$A$1:$D$43</definedName>
    <definedName name="Z_590CC574_4B1C_4AB8_AB4D_7FAB395FC0A2_.wvu.PrintTitles" localSheetId="1" hidden="1">'3'!$19:$23</definedName>
    <definedName name="Z_590CC574_4B1C_4AB8_AB4D_7FAB395FC0A2_.wvu.PrintTitles" localSheetId="2" hidden="1">'4'!$13:$13</definedName>
    <definedName name="Z_590CC574_4B1C_4AB8_AB4D_7FAB395FC0A2_.wvu.Rows" localSheetId="1" hidden="1">'3'!$1:$2,'3'!$7:$10</definedName>
    <definedName name="Z_590CC574_4B1C_4AB8_AB4D_7FAB395FC0A2_.wvu.Rows" localSheetId="2" hidden="1">'4'!$1:$2,'4'!$8:$8</definedName>
    <definedName name="Z_590CC574_4B1C_4AB8_AB4D_7FAB395FC0A2_.wvu.Rows" localSheetId="3" hidden="1">'5'!$1:$2,'5'!$8:$8</definedName>
    <definedName name="Z_590CC574_4B1C_4AB8_AB4D_7FAB395FC0A2_.wvu.Rows" localSheetId="4" hidden="1">'6'!$6:$6</definedName>
    <definedName name="Z_590CC574_4B1C_4AB8_AB4D_7FAB395FC0A2_.wvu.Rows" localSheetId="5" hidden="1">'7'!$6:$6</definedName>
    <definedName name="Z_590CC574_4B1C_4AB8_AB4D_7FAB395FC0A2_.wvu.Rows" localSheetId="6" hidden="1">'8'!$6:$6</definedName>
    <definedName name="Z_590CC574_4B1C_4AB8_AB4D_7FAB395FC0A2_.wvu.Rows" localSheetId="7" hidden="1">'9'!$6:$6</definedName>
    <definedName name="_xlnm.Print_Titles" localSheetId="1">'3'!$32:$33</definedName>
    <definedName name="_xlnm.Print_Titles" localSheetId="2">'4'!$13:$13</definedName>
    <definedName name="_xlnm.Print_Area" localSheetId="1">'3'!$A$1:$N$113</definedName>
    <definedName name="_xlnm.Print_Area" localSheetId="2">'4'!$A$1:$E$135</definedName>
    <definedName name="_xlnm.Print_Area" localSheetId="4">'6'!$A$1:$D$43</definedName>
  </definedNames>
  <calcPr calcId="145621"/>
  <customWorkbookViews>
    <customWorkbookView name="Кириленко Елена Евгеньевна - Личное представление" guid="{1F1EC9A1-559B-45BE-A366-DE40EA2885B6}" mergeInterval="0" personalView="1" maximized="1" windowWidth="1916" windowHeight="795" activeSheetId="2"/>
    <customWorkbookView name="Пользователь Windows - Личное представление" guid="{590CC574-4B1C-4AB8-AB4D-7FAB395FC0A2}" mergeInterval="0" personalView="1" maximized="1" yWindow="-4" windowWidth="1676" windowHeight="829" activeSheetId="1"/>
  </customWorkbookViews>
</workbook>
</file>

<file path=xl/calcChain.xml><?xml version="1.0" encoding="utf-8"?>
<calcChain xmlns="http://schemas.openxmlformats.org/spreadsheetml/2006/main">
  <c r="D41" i="4" l="1"/>
  <c r="D33" i="4"/>
  <c r="D16" i="4" s="1"/>
  <c r="D42" i="4" s="1"/>
  <c r="C33" i="4"/>
  <c r="D26" i="4"/>
  <c r="C26" i="4"/>
  <c r="C22" i="4"/>
  <c r="C16" i="4" s="1"/>
  <c r="C42" i="4" s="1"/>
  <c r="C122" i="3"/>
  <c r="C112" i="3"/>
  <c r="C102" i="3"/>
  <c r="E96" i="3"/>
  <c r="C96" i="3"/>
  <c r="E90" i="3"/>
  <c r="C90" i="3"/>
  <c r="E84" i="3"/>
  <c r="C84" i="3"/>
  <c r="E77" i="3"/>
  <c r="C77" i="3"/>
  <c r="E71" i="3"/>
  <c r="C71" i="3"/>
  <c r="C63" i="3" s="1"/>
  <c r="E65" i="3"/>
  <c r="C65" i="3"/>
  <c r="E51" i="3"/>
  <c r="C51" i="3"/>
  <c r="E45" i="3"/>
  <c r="C45" i="3"/>
  <c r="E38" i="3"/>
  <c r="C38" i="3"/>
  <c r="E32" i="3"/>
  <c r="C32" i="3"/>
  <c r="C24" i="3" s="1"/>
  <c r="E26" i="3"/>
  <c r="C26" i="3"/>
  <c r="C14" i="3"/>
  <c r="C109" i="2"/>
  <c r="D109" i="2" s="1"/>
  <c r="C108" i="2"/>
  <c r="D108" i="2" s="1"/>
  <c r="C107" i="2"/>
  <c r="D107" i="2" s="1"/>
  <c r="C106" i="2"/>
  <c r="D106" i="2" s="1"/>
  <c r="C105" i="2"/>
  <c r="D105" i="2" s="1"/>
  <c r="C104" i="2"/>
  <c r="D104" i="2" s="1"/>
  <c r="C103" i="2"/>
  <c r="D103" i="2" s="1"/>
  <c r="C102" i="2"/>
  <c r="D102" i="2" s="1"/>
  <c r="C101" i="2"/>
  <c r="D101" i="2" s="1"/>
  <c r="C100" i="2"/>
  <c r="D100" i="2" s="1"/>
  <c r="C99" i="2"/>
  <c r="D99" i="2" s="1"/>
  <c r="C98" i="2"/>
  <c r="D98" i="2" s="1"/>
  <c r="C97" i="2"/>
  <c r="D97" i="2" s="1"/>
  <c r="C96" i="2"/>
  <c r="D96" i="2" s="1"/>
  <c r="C95" i="2"/>
  <c r="D95" i="2" s="1"/>
  <c r="C94" i="2"/>
  <c r="D94" i="2" s="1"/>
  <c r="C93" i="2"/>
  <c r="D93" i="2" s="1"/>
  <c r="C92" i="2"/>
  <c r="D92" i="2" s="1"/>
  <c r="C91" i="2"/>
  <c r="D91" i="2" s="1"/>
  <c r="C90" i="2"/>
  <c r="D90" i="2" s="1"/>
  <c r="C89" i="2"/>
  <c r="D89" i="2" s="1"/>
  <c r="C88" i="2"/>
  <c r="D88" i="2" s="1"/>
  <c r="C87" i="2"/>
  <c r="D87" i="2" s="1"/>
  <c r="C86" i="2"/>
  <c r="D86" i="2" s="1"/>
  <c r="C85" i="2"/>
  <c r="D85" i="2" s="1"/>
  <c r="C84" i="2"/>
  <c r="D84" i="2" s="1"/>
  <c r="C83" i="2"/>
  <c r="D83" i="2" s="1"/>
  <c r="C82" i="2"/>
  <c r="D82" i="2" s="1"/>
  <c r="C81" i="2"/>
  <c r="D81" i="2" s="1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D72" i="2" s="1"/>
  <c r="C71" i="2"/>
  <c r="D71" i="2" s="1"/>
  <c r="C70" i="2"/>
  <c r="D70" i="2" s="1"/>
  <c r="C69" i="2"/>
  <c r="D69" i="2" s="1"/>
  <c r="C68" i="2"/>
  <c r="D68" i="2" s="1"/>
  <c r="C67" i="2"/>
  <c r="D67" i="2" s="1"/>
  <c r="C66" i="2"/>
  <c r="D66" i="2" s="1"/>
  <c r="C65" i="2"/>
  <c r="D65" i="2" s="1"/>
  <c r="C64" i="2"/>
  <c r="D64" i="2" s="1"/>
  <c r="C63" i="2"/>
  <c r="D63" i="2" s="1"/>
  <c r="C62" i="2"/>
  <c r="D62" i="2" s="1"/>
  <c r="C61" i="2"/>
  <c r="D61" i="2" s="1"/>
  <c r="C60" i="2"/>
  <c r="D60" i="2" s="1"/>
  <c r="C58" i="2"/>
  <c r="D58" i="2" s="1"/>
  <c r="C57" i="2"/>
  <c r="D57" i="2" s="1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N24" i="2"/>
  <c r="M24" i="2"/>
  <c r="L24" i="2"/>
  <c r="K24" i="2"/>
  <c r="J24" i="2"/>
  <c r="I24" i="2"/>
  <c r="H24" i="2"/>
  <c r="G24" i="2"/>
  <c r="F24" i="2"/>
  <c r="E24" i="2"/>
  <c r="D24" i="2"/>
  <c r="C24" i="2"/>
</calcChain>
</file>

<file path=xl/sharedStrings.xml><?xml version="1.0" encoding="utf-8"?>
<sst xmlns="http://schemas.openxmlformats.org/spreadsheetml/2006/main" count="681" uniqueCount="246">
  <si>
    <t xml:space="preserve">              (наименование сетевой организации)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</si>
  <si>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</si>
  <si>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</si>
  <si>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</si>
  <si>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>(форма)</t>
  </si>
  <si>
    <t>СТАНДАРТИЗИРОВАННЫЕ ТАРИФНЫЕ СТАВКИ</t>
  </si>
  <si>
    <t>для расчета платы за технологическое присоединение</t>
  </si>
  <si>
    <t>(наименование сетевой организации)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</si>
  <si>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</si>
  <si>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</si>
  <si>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</si>
  <si>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по постоянной схеме</t>
  </si>
  <si>
    <t>по временной схеме</t>
  </si>
  <si>
    <t>рублей/кВт</t>
  </si>
  <si>
    <t>рублей/км</t>
  </si>
  <si>
    <t>--------------------------------</t>
  </si>
  <si>
    <t>&lt;*&gt; Ставки платы ,  и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</si>
  <si>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к территориальным распределительным сетям на уровне напряжения</t>
  </si>
  <si>
    <t>ниже 35 кВ и присоединяемой мощностью менее 8900 кВт</t>
  </si>
  <si>
    <t>С 1 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</si>
  <si>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 1.1 Стандартизированная тарифная ставка на покрытие расходов на подготовку и выдачу сетевой организацией технических условий заявителю</t>
  </si>
  <si>
    <t>С 1.2 Стандартизированная тарифная ставка на покрытие расходов на проверку сетевой организацией выполнения заявителем технических условий</t>
  </si>
  <si>
    <t>С 1.3 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</si>
  <si>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 1.4 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</si>
  <si>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РАСХОДЫ НА МЕРОПРИЯТИЯ,</t>
  </si>
  <si>
    <t>Наименование мероприятий</t>
  </si>
  <si>
    <t>Распределение необходимой валовой выручки &lt;*&gt;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</si>
  <si>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</si>
  <si>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</si>
  <si>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</si>
  <si>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</si>
  <si>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</si>
  <si>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</si>
  <si>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</si>
  <si>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</si>
  <si>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</si>
  <si>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</si>
  <si>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</si>
  <si>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</si>
  <si>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</si>
  <si>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</si>
  <si>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№ п/п</t>
  </si>
  <si>
    <t>РАСЧЕТ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</si>
  <si>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</si>
  <si>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</si>
  <si>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</si>
  <si>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</si>
  <si>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</si>
  <si>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</si>
  <si>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</si>
  <si>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</si>
  <si>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</si>
  <si>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</si>
  <si>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</si>
  <si>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</si>
  <si>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</si>
  <si>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</si>
  <si>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</si>
  <si>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</si>
  <si>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</si>
  <si>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</si>
  <si>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</si>
  <si>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</si>
  <si>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</si>
  <si>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</si>
  <si>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</si>
  <si>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</si>
  <si>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</si>
  <si>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расходы на информационное обслуживание, консультационные и юридические услуги</t>
  </si>
  <si>
    <t>ФАКТИЧЕСКИЕ СРЕДНИЕ ДАННЫЕ</t>
  </si>
  <si>
    <t>о присоединенных объемах максимальной мощности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</si>
  <si>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</si>
  <si>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</si>
  <si>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</si>
  <si>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</si>
  <si>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</si>
  <si>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</si>
  <si>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</si>
  <si>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</si>
  <si>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</si>
  <si>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</si>
  <si>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</si>
  <si>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</si>
  <si>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</si>
  <si>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</si>
  <si>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</si>
  <si>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</si>
  <si>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</si>
  <si>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</si>
  <si>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</si>
  <si>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</si>
  <si>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</si>
  <si>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</si>
  <si>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</si>
  <si>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</si>
  <si>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</si>
  <si>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</si>
  <si>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</si>
  <si>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</si>
  <si>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</si>
  <si>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</si>
  <si>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</si>
  <si>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</si>
  <si>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</si>
  <si>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</si>
  <si>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о поданных заявках на технологическое присоединение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</si>
  <si>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</si>
  <si>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</si>
  <si>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ПРОГНОЗНЫЕ СВЕДЕНИЯ</t>
  </si>
  <si>
    <t>о расходах за технологическое присоединение</t>
  </si>
  <si>
    <t>1. Полное наименование:</t>
  </si>
  <si>
    <t>2. Сокращенное наименование:</t>
  </si>
  <si>
    <t>3. Место нахождения:</t>
  </si>
  <si>
    <t>4. Адрес юридического лица:</t>
  </si>
  <si>
    <t>5. ИНН:</t>
  </si>
  <si>
    <t>6. КПП:</t>
  </si>
  <si>
    <t>7. Ф.И.О. руководителя:</t>
  </si>
  <si>
    <t>8. Адрес электронной почты:</t>
  </si>
  <si>
    <t>9. Контактный телефон:</t>
  </si>
  <si>
    <t>10. Факс:</t>
  </si>
  <si>
    <t>675000, Российская Федерация, Амурская область, г. Благовещенск, ул. Шевченко, 28</t>
  </si>
  <si>
    <t>2801108200</t>
  </si>
  <si>
    <t>272402001</t>
  </si>
  <si>
    <t>Кузнецов Андрей Евгеньевич</t>
  </si>
  <si>
    <t xml:space="preserve">doc@khab.drsk.ru </t>
  </si>
  <si>
    <t xml:space="preserve">  АО "ДРСК" (филиал "Хабаровские электрические сети") </t>
  </si>
  <si>
    <t>Напряжение до 1 кВ</t>
  </si>
  <si>
    <t>Напряжение 6-10 кВ</t>
  </si>
  <si>
    <t>Максимальная мощность:</t>
  </si>
  <si>
    <t>до 15 кВт включительно</t>
  </si>
  <si>
    <t>свыше 15 и до 150 кВт включительно</t>
  </si>
  <si>
    <t>свыше 150 и менее 670 кВт</t>
  </si>
  <si>
    <t>до 150 кВт включительно</t>
  </si>
  <si>
    <t>не менее 670 и менее 8900 кВт</t>
  </si>
  <si>
    <t>х</t>
  </si>
  <si>
    <t>Уровень напряжения до 1 кВ</t>
  </si>
  <si>
    <t>мощность до 15 кВт включительно</t>
  </si>
  <si>
    <t>мощность свыше 15 кВт и до 150 кВт включительно</t>
  </si>
  <si>
    <t>мощность свыше 150 кВт и менее 670 кВт</t>
  </si>
  <si>
    <t>Уровень напряжения от 6 до 35 кВ</t>
  </si>
  <si>
    <t>мощность до 150 кВт включительно</t>
  </si>
  <si>
    <t>мощность не менее 670 кВт и менее 8 900 кВт</t>
  </si>
  <si>
    <t>по форме Приложения N 3</t>
  </si>
  <si>
    <t>по форме Приложения N 4</t>
  </si>
  <si>
    <t>по форме Приложения N 5</t>
  </si>
  <si>
    <t>по форме Приложения N 6</t>
  </si>
  <si>
    <t>по форме Приложения N 7</t>
  </si>
  <si>
    <t>по форме Приложения N 8</t>
  </si>
  <si>
    <t>по форме Приложения N 9</t>
  </si>
  <si>
    <t>по постоянной схеме, по временной схеме</t>
  </si>
  <si>
    <t>Приложение 1</t>
  </si>
  <si>
    <t>к пояснительной записке</t>
  </si>
  <si>
    <t>Приложение 2</t>
  </si>
  <si>
    <t>Приложение 3</t>
  </si>
  <si>
    <t>(4162) 27-16-77</t>
  </si>
  <si>
    <t>(4162) 59-91-59</t>
  </si>
  <si>
    <r>
      <t xml:space="preserve">на </t>
    </r>
    <r>
      <rPr>
        <u/>
        <sz val="11"/>
        <color theme="1"/>
        <rFont val="Calibri"/>
        <family val="2"/>
        <charset val="204"/>
        <scheme val="minor"/>
      </rPr>
      <t xml:space="preserve"> 2017 </t>
    </r>
    <r>
      <rPr>
        <sz val="11"/>
        <color theme="1"/>
        <rFont val="Calibri"/>
        <family val="2"/>
        <charset val="204"/>
        <scheme val="minor"/>
      </rPr>
      <t xml:space="preserve"> год</t>
    </r>
  </si>
  <si>
    <t>Единица
измерения</t>
  </si>
  <si>
    <r>
      <t xml:space="preserve">С 2,i &lt;*&gt; Стандартизированная тарифная ставка на покрытие расходов сетевой организации на строительство </t>
    </r>
    <r>
      <rPr>
        <b/>
        <u/>
        <sz val="11"/>
        <color theme="1"/>
        <rFont val="Calibri"/>
        <family val="2"/>
        <charset val="204"/>
        <scheme val="minor"/>
      </rPr>
      <t>воздушных линий электропередачи</t>
    </r>
    <r>
      <rPr>
        <b/>
        <sz val="11"/>
        <color theme="1"/>
        <rFont val="Calibri"/>
        <family val="2"/>
        <charset val="204"/>
        <scheme val="minor"/>
      </rPr>
      <t xml:space="preserve">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  </r>
  </si>
  <si>
    <t>ВЛ 0,4 кВ СИП 4х35  на ж/б опорах количество цепей 1 шт.</t>
  </si>
  <si>
    <t>ВЛ 0,4 кВ СИП 4х50 на металических опорах количество цепей 1 шт.</t>
  </si>
  <si>
    <t>ВЛ 0,4 кВ СИП 4х70  на ж/б опорах количество цепей 1 шт.</t>
  </si>
  <si>
    <t>ВЛ 0,4 кВ СИП 4х95 на металических опорах количество цепей 1 шт.</t>
  </si>
  <si>
    <t>ВЛ 0,4 кВ СИП 4х35 на ж/б опорах количество цепей 2 шт.</t>
  </si>
  <si>
    <t>ВЛ 0,4 кВ СИП 4х50 на металических опорах количество цепей 2 шт.</t>
  </si>
  <si>
    <t>ВЛ 0,4 кВ СИП 4х70 на ж/б опорах количество цепей 2 шт.</t>
  </si>
  <si>
    <t>ВЛ 0,4 кВ СИП 4х95 на металических опорах количество цепей 2 шт.</t>
  </si>
  <si>
    <t>ВЛ 6 (10) кВ СИП 3 1х50  на ж/б опорах количество цепей 1 шт.</t>
  </si>
  <si>
    <t>ВЛ 6 (10) кВ СИП 3 1х70  на ж/б опорах количество цепей 1 шт.</t>
  </si>
  <si>
    <t>ВЛ 6 (10) кВ СИП 3 1х120   на ж/б опорах количество цепей 1 шт.</t>
  </si>
  <si>
    <t>ВЛ 6 (10) кВ СИП 3 1х50  на ж/б опорах количество цепей 2 шт.</t>
  </si>
  <si>
    <t>ВЛ 6 (10) кВ СИП 3 1х70  на металических опорах количество цепей 2 шт.</t>
  </si>
  <si>
    <t>ВЛ 6 (10) кВ СИП 3 1х120  на ж/б опорах количество цепей 2 шт.</t>
  </si>
  <si>
    <t>ВЛ 35 кВ АС 150 на ж/б опорах количество цепей 1 шт.</t>
  </si>
  <si>
    <t>ВЛ 35 кВ АС 150 на металических опорах количество цепей 1 шт.</t>
  </si>
  <si>
    <t>ВЛ 35 кВ АС 150 на ж/б опорах количество цепей 2 шт.</t>
  </si>
  <si>
    <t>ВЛ 35 кВ АС 150 на металических опорах количество цепей 2 шт.</t>
  </si>
  <si>
    <t>ВЛ  110 кВ АС 120 на металических опорах количество цепей 1 шт.</t>
  </si>
  <si>
    <t>ВЛ 110 кВ АС 120 на ж/б опорах количество цепей 1 шт.</t>
  </si>
  <si>
    <t>ВЛ  110 кВ АС 240 на металических опорах количество цепей 1 шт.</t>
  </si>
  <si>
    <t>ВЛ 110 кВ АС 120 на ж/б опорах количество цепей 2 шт.</t>
  </si>
  <si>
    <t>ВЛ 110 кВ АС 120 на металических опорах количество цепей 2 шт.</t>
  </si>
  <si>
    <t>ВЛ 110 кВ АС 240 на металических опорах количество цепей 2 шт.</t>
  </si>
  <si>
    <r>
      <t xml:space="preserve">C 3,i &lt;*&gt; Стандартизированная тарифная ставка на покрытие расходов сетевой организации на строительство </t>
    </r>
    <r>
      <rPr>
        <b/>
        <u/>
        <sz val="11"/>
        <color theme="1"/>
        <rFont val="Calibri"/>
        <family val="2"/>
        <charset val="204"/>
        <scheme val="minor"/>
      </rPr>
      <t>кабельных линий электропередачи</t>
    </r>
    <r>
      <rPr>
        <b/>
        <sz val="11"/>
        <color theme="1"/>
        <rFont val="Calibri"/>
        <family val="2"/>
        <charset val="204"/>
        <scheme val="minor"/>
      </rPr>
      <t xml:space="preserve">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  </r>
  </si>
  <si>
    <t xml:space="preserve">КЛ 0,4 кВ   4х50  </t>
  </si>
  <si>
    <t xml:space="preserve">КЛ 0,4 кВ   4х70 </t>
  </si>
  <si>
    <t xml:space="preserve">КЛ 0,4 кВ   4х120  </t>
  </si>
  <si>
    <t xml:space="preserve">КЛ 0,4 кВ  4х240 </t>
  </si>
  <si>
    <t>КЛ 6 (10) кВ  3х50     1 кабель в одной траншее.</t>
  </si>
  <si>
    <t>КЛ 6 (10) кВ 3х70      1 кабель в одной траншее.</t>
  </si>
  <si>
    <t>КЛ 6 (10) кВ  3х120   1 кабель в одной траншее.</t>
  </si>
  <si>
    <t>КЛ 6 (10) кВ 3х50    2 кабеля в одной траншее .</t>
  </si>
  <si>
    <t>КЛ 6 (10) кВ  3х70  2 кабеля в одной траншее.</t>
  </si>
  <si>
    <t>КЛ 6 (10) кВ  3х120  2 кабеля в одной траншее.</t>
  </si>
  <si>
    <t>КЛ 35 кВ (одна цепь (3 фазы), с алюминиевой жилой  120 мм 2, прокладка в земле (в лотках), с ВОЛС)</t>
  </si>
  <si>
    <t>КЛ 35 кВ (одна цепь (3 фазы), с алюминиевой жилой  240 мм 2, прокладка в земле (в лотках), с ВОЛС)</t>
  </si>
  <si>
    <t>КЛ 35 кВ (одна цепь (3 фазы), с алюминиевой жилой 120 мм 2 , прокладка в земле (в лотках), с ВОЛС, с переходом через препятствия (метод ГНБ)</t>
  </si>
  <si>
    <t>КЛ 35 кВ (одна цепь (3 фазы), с алюминиевой жилой 240 мм 2 , прокладка в земле (в лотках), с ВОЛС, с переходом через препятствия (метод ГНБ)</t>
  </si>
  <si>
    <t>КЛ 110 кВ (одна цепь (3 фазы), с алюминиевой жилой 185 мм 2, прокладка в земле (в лотках), с ВОЛС)</t>
  </si>
  <si>
    <t>КЛ 110 кВ (одна цепь (3 фазы), с алюминиевой жилой 300 мм 2, прокладка в земле (в лотках), с ВОЛС)</t>
  </si>
  <si>
    <t>КЛ 110 кВ (одна цепь (3 фазы), с алюминиевой жилой 630 мм 2, прокладка в земле (в лотках), с ВОЛС)</t>
  </si>
  <si>
    <t>КЛ 110 кВ (одна цепь (3 фазы), с алюминиевой жилой 185 мм 2, прокладка в земле (в лотках), с ВОЛС, с переходом через препятствия (метод ГНБ)</t>
  </si>
  <si>
    <t>КЛ 110 кВ (одна цепь (3 фазы), с алюминиевой жилой 300 мм 2, прокладка в земле (в лотках), с ВОЛС, с переходом через препятствия (метод ГНБ)</t>
  </si>
  <si>
    <t>КЛ 110 кВ (одна цепь (3 фазы), с алюминиевой жилой 630 мм 2, прокладка в земле (в лотках), с ВОЛС, с переходом через препятствия (метод ГНБ)</t>
  </si>
  <si>
    <t>ТП 6(10)/0,4 кВ с силовым трансформатором мощностью 25 кВА 1 шт</t>
  </si>
  <si>
    <t>ТП 6(10)/0,4 кВ с силовым трансформатором мощностью 40 кВА 1 шт</t>
  </si>
  <si>
    <t>ТП 6(10)/0,4 кВ с силовым трансформатором мощностью 63 кВА 1 шт</t>
  </si>
  <si>
    <t>ТП 6(10)/0,4 кВ с силовым трансформатором мощностью 100 кВА 1 шт</t>
  </si>
  <si>
    <t>ТП 6(10)/0,4 кВ с силовым трансформатором мощностью 160 кВА 1 шт</t>
  </si>
  <si>
    <t>ТП 6(10)/0,4 кВ с силовым трансформатором мощностью 250 кВА 1 шт</t>
  </si>
  <si>
    <t>ТП 6(10)/0,4 кВ с силовым трансформатором мощностью 400 кВА 1 шт</t>
  </si>
  <si>
    <t>ТП 6(10)/0,4 кВ с силовым трансформатором мощностью 630 кВА 1 шт</t>
  </si>
  <si>
    <t>ТП 6(10)/0,4 кВ с силовым трансформатором мощностью 1000 кВА 1 шт</t>
  </si>
  <si>
    <t>ТП 6(10)/0,4 кВ с силовым трансформатором мощностью 160 кВА 2 шт</t>
  </si>
  <si>
    <t>ТП 6(10)/0,4 кВ с силовым трансформатором мощностью 250 кВА 2 шт</t>
  </si>
  <si>
    <t>ТП 6(10)/0,4 кВ с силовым трансформатором мощностью 400 кВА 2 шт</t>
  </si>
  <si>
    <t>ТП 6(10)/0,4 кВ с силовым трансформатором мощностью 630 кВА 2 шт</t>
  </si>
  <si>
    <t>ТП 6(10)/0,4 кВ с силовым трансформатором мощностью 1000 кВА 2 шт</t>
  </si>
  <si>
    <t>ПС 35/10(6) кВ 1х6300 кВА Схема РУ 35 кВ по типовой схеме 3Н</t>
  </si>
  <si>
    <t>ПС 35/10(6) кВ 1х10000 кВА Схема РУ 35 кВ по типовой схеме 3Н</t>
  </si>
  <si>
    <t>ПС 35/10(6) кВ 2х6300 кВА Схема РУ 35 кВ по типовой схеме 5(А)Н</t>
  </si>
  <si>
    <t>ПС 35/10(6) кВ 2х10000 кВА Схема РУ 35 кВ по типовой схеме 5(А)Н</t>
  </si>
  <si>
    <t>ПС 35/10(6) кВ 2х16000 кВА Схема РУ 35 кВ по типовой схеме 5(А)Н</t>
  </si>
  <si>
    <t>ПС 110 кВ 1х6300 кВА Схема РУ 110 кВ по типовой схеме 3Н</t>
  </si>
  <si>
    <t>ПС 110 кВ 1х10000кВА Схема РУ 110 кВ по типовой схеме 3Н</t>
  </si>
  <si>
    <t>ПС 110 кВ 1х16000 кВА Схема РУ 110 кВ по типовой схеме 3Н</t>
  </si>
  <si>
    <t>ПС 110 кВ 1х25000 кВА Схема РУ 110 кВ по типовой схеме 3Н</t>
  </si>
  <si>
    <t>ПС 110 кВ 1х40000 кВА Схема РУ 110 кВ по типовой схеме 3Н</t>
  </si>
  <si>
    <t>ПС 110 кВ 2х6300 кВА Схема РУ 110 кВ по типовой схеме 5(А)Н</t>
  </si>
  <si>
    <t>ПС 110 кВ 2х10000 кВА Схема РУ 110 кВ по типовой схеме 5(А)Н</t>
  </si>
  <si>
    <t>ПС 110 кВ 2х16000 кВА Схема РУ 110 кВ по типовой схеме 5(А)Н</t>
  </si>
  <si>
    <t>ПС 110 кВ 2х25000 кВА Схема РУ 110 кВ по типовой схеме 5(А)Н</t>
  </si>
  <si>
    <t>ПС 110 кВ 2х40000 кВА Схема РУ 110 кВ по типовой схеме 5(А)Н</t>
  </si>
  <si>
    <r>
      <rPr>
        <u/>
        <sz val="13"/>
        <color theme="1"/>
        <rFont val="Times New Roman"/>
        <family val="1"/>
        <charset val="204"/>
      </rPr>
      <t xml:space="preserve">  АО "ДРСК" (филиал</t>
    </r>
    <r>
      <rPr>
        <b/>
        <u/>
        <sz val="13"/>
        <color theme="1"/>
        <rFont val="Times New Roman"/>
        <family val="1"/>
        <charset val="204"/>
      </rPr>
      <t xml:space="preserve"> "Хабаровские электрические сети"</t>
    </r>
    <r>
      <rPr>
        <u/>
        <sz val="13"/>
        <color theme="1"/>
        <rFont val="Times New Roman"/>
        <family val="1"/>
        <charset val="204"/>
      </rPr>
      <t xml:space="preserve">)  </t>
    </r>
    <r>
      <rPr>
        <sz val="13"/>
        <color theme="1"/>
        <rFont val="Times New Roman"/>
        <family val="1"/>
        <charset val="204"/>
      </rPr>
      <t xml:space="preserve"> на </t>
    </r>
    <r>
      <rPr>
        <u/>
        <sz val="13"/>
        <color theme="1"/>
        <rFont val="Times New Roman"/>
        <family val="1"/>
        <charset val="204"/>
      </rPr>
      <t xml:space="preserve"> 2017 </t>
    </r>
    <r>
      <rPr>
        <sz val="13"/>
        <color theme="1"/>
        <rFont val="Times New Roman"/>
        <family val="1"/>
        <charset val="204"/>
      </rPr>
      <t xml:space="preserve"> год</t>
    </r>
  </si>
  <si>
    <r>
      <t xml:space="preserve">C 4,i &lt;*&gt; Стандартизированная тарифная ставка на покрытие расходов сетевой организации на строительство </t>
    </r>
    <r>
      <rPr>
        <b/>
        <u/>
        <sz val="11"/>
        <color theme="1"/>
        <rFont val="Calibri"/>
        <family val="2"/>
        <charset val="204"/>
        <scheme val="minor"/>
      </rPr>
      <t>подстанций</t>
    </r>
    <r>
      <rPr>
        <b/>
        <sz val="11"/>
        <color theme="1"/>
        <rFont val="Calibri"/>
        <family val="2"/>
        <charset val="204"/>
        <scheme val="minor"/>
      </rPr>
      <t xml:space="preserve">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  </r>
  </si>
  <si>
    <t>осуществляемые при технологическом присоединении на 2017 год</t>
  </si>
  <si>
    <t>Ожидаемые данные 
за текущий период
(2016 год)</t>
  </si>
  <si>
    <t>необходимой валовой выручки сетевой организации на технологическое присоединение по филиалу АО "ДРСК" - "Хабаровские электрические сети" на 2017 год</t>
  </si>
  <si>
    <t>по договорам, заключенным за текущий 2016 год</t>
  </si>
  <si>
    <t>за текущий 2016 год</t>
  </si>
  <si>
    <t>Плановые показатели 
на следующий период
(2017 год)</t>
  </si>
  <si>
    <t>за 3 предыдущих года по каждому мероприятию (2013-2015 гг.)</t>
  </si>
  <si>
    <t>мощности построенных объектов за 3 предыдущих года (2013-2015 гг.)</t>
  </si>
  <si>
    <t>Акционерное общество "Дальневосточная распределительная сетевая компания"
Joint Stock Company "Far-Eastern Grids Company"</t>
  </si>
  <si>
    <t xml:space="preserve"> АО "ДРСК"  JSC "FEGC" </t>
  </si>
  <si>
    <t>680009, Российская Федерация, Хабаровский край, г.Хабаровск, ул. Промышленная,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</si>
</sst>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i/>
      <sz val="11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vertical="top"/>
    </xf>
    <xf numFmtId="0" fontId="0" fillId="0" borderId="1" xfId="0" applyBorder="1" applyAlignment="1"/>
    <xf numFmtId="0" fontId="0" fillId="0" borderId="1" xfId="0" applyBorder="1" applyAlignment="1">
      <alignment horizontal="left" wrapText="1" indent="2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 wrapText="1" indent="3"/>
    </xf>
    <xf numFmtId="0" fontId="0" fillId="0" borderId="1" xfId="0" applyBorder="1" applyAlignment="1">
      <alignment horizontal="left" wrapText="1" indent="4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6" xfId="0" applyFont="1" applyBorder="1"/>
    <xf numFmtId="0" fontId="4" fillId="0" borderId="5" xfId="0" applyFont="1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4" fontId="0" fillId="0" borderId="9" xfId="0" applyNumberFormat="1" applyFont="1" applyBorder="1" applyAlignment="1">
      <alignment vertical="center"/>
    </xf>
    <xf numFmtId="0" fontId="1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Font="1" applyBorder="1" applyAlignment="1">
      <alignment wrapText="1"/>
    </xf>
    <xf numFmtId="0" fontId="1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top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1" fillId="0" borderId="0" xfId="0" applyFont="1"/>
    <xf numFmtId="164" fontId="0" fillId="3" borderId="1" xfId="0" applyNumberFormat="1" applyFill="1" applyBorder="1"/>
    <xf numFmtId="0" fontId="0" fillId="3" borderId="1" xfId="0" applyFill="1" applyBorder="1" applyAlignment="1">
      <alignment horizontal="left" wrapText="1" indent="1"/>
    </xf>
    <xf numFmtId="0" fontId="0" fillId="3" borderId="1" xfId="0" applyFill="1" applyBorder="1" applyAlignment="1">
      <alignment horizontal="left" wrapText="1" indent="3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/>
    <xf numFmtId="49" fontId="4" fillId="0" borderId="6" xfId="0" applyNumberFormat="1" applyFont="1" applyBorder="1" applyAlignment="1">
      <alignment horizontal="left"/>
    </xf>
    <xf numFmtId="0" fontId="3" fillId="0" borderId="6" xfId="1" applyBorder="1"/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24" xfId="0" applyBorder="1" applyAlignment="1">
      <alignment vertical="center"/>
    </xf>
    <xf numFmtId="4" fontId="0" fillId="0" borderId="15" xfId="0" applyNumberForma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7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0" fillId="0" borderId="10" xfId="0" applyNumberFormat="1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20" xfId="0" applyFont="1" applyBorder="1" applyAlignment="1">
      <alignment wrapText="1"/>
    </xf>
    <xf numFmtId="0" fontId="0" fillId="0" borderId="24" xfId="0" applyFont="1" applyBorder="1" applyAlignment="1">
      <alignment vertical="center"/>
    </xf>
    <xf numFmtId="4" fontId="0" fillId="0" borderId="15" xfId="0" applyNumberFormat="1" applyFont="1" applyBorder="1" applyAlignment="1">
      <alignment vertical="center"/>
    </xf>
    <xf numFmtId="4" fontId="0" fillId="0" borderId="17" xfId="0" applyNumberFormat="1" applyFont="1" applyFill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164" fontId="0" fillId="0" borderId="1" xfId="0" applyNumberFormat="1" applyFill="1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0" fillId="0" borderId="19" xfId="0" applyNumberFormat="1" applyFill="1" applyBorder="1" applyAlignment="1">
      <alignment horizontal="center" vertical="center" wrapText="1"/>
    </xf>
    <xf numFmtId="4" fontId="0" fillId="0" borderId="14" xfId="0" applyNumberForma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ova_ev/AppData/Local/Microsoft/Windows/Temporary%20Internet%20Files/Content.Outlook/HDDSFWTR/1%20&#1055;&#1088;&#1080;&#1083;&#1086;&#1078;&#1077;&#1085;&#1080;&#1103;%20&#1082;%20&#1055;&#1086;&#1103;&#1089;&#1085;&#1080;&#1090;&#1077;&#1083;&#1100;&#1085;&#1086;&#1081;%20&#1079;&#1072;&#1087;&#1080;&#1089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 1"/>
      <sheetName val="Прил. 2"/>
      <sheetName val="Прил. 3"/>
      <sheetName val="Прил. 4"/>
      <sheetName val="Прил. 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">
          <cell r="L50">
            <v>217794.00944851828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c@khab.drsk.ru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view="pageBreakPreview" zoomScaleNormal="100" zoomScaleSheetLayoutView="100" workbookViewId="0">
      <selection activeCell="L11" sqref="L11"/>
    </sheetView>
  </sheetViews>
  <sheetFormatPr defaultColWidth="9.140625" defaultRowHeight="16.5" x14ac:dyDescent="0.25"/>
  <cols>
    <col min="1" max="2" width="11.42578125" style="13" customWidth="1"/>
    <col min="3" max="3" width="15.28515625" style="13" customWidth="1"/>
    <col min="4" max="7" width="9.140625" style="13"/>
    <col min="8" max="8" width="10.7109375" style="13" customWidth="1"/>
    <col min="9" max="16384" width="9.140625" style="13"/>
  </cols>
  <sheetData>
    <row r="2" spans="1:8" x14ac:dyDescent="0.25">
      <c r="A2" s="105" t="s">
        <v>108</v>
      </c>
      <c r="B2" s="105"/>
      <c r="C2" s="105"/>
      <c r="D2" s="105"/>
      <c r="E2" s="105"/>
      <c r="F2" s="105"/>
      <c r="G2" s="105"/>
      <c r="H2" s="105"/>
    </row>
    <row r="3" spans="1:8" x14ac:dyDescent="0.25">
      <c r="A3" s="105" t="s">
        <v>109</v>
      </c>
      <c r="B3" s="105"/>
      <c r="C3" s="105"/>
      <c r="D3" s="105"/>
      <c r="E3" s="105"/>
      <c r="F3" s="105"/>
      <c r="G3" s="105"/>
      <c r="H3" s="105"/>
    </row>
    <row r="4" spans="1:8" x14ac:dyDescent="0.25">
      <c r="A4" s="105" t="s">
        <v>233</v>
      </c>
      <c r="B4" s="105"/>
      <c r="C4" s="105"/>
      <c r="D4" s="105"/>
      <c r="E4" s="105"/>
      <c r="F4" s="105"/>
      <c r="G4" s="105"/>
      <c r="H4" s="105"/>
    </row>
    <row r="5" spans="1:8" x14ac:dyDescent="0.25">
      <c r="A5" s="105" t="s">
        <v>0</v>
      </c>
      <c r="B5" s="105"/>
      <c r="C5" s="105"/>
      <c r="D5" s="105"/>
      <c r="E5" s="105"/>
      <c r="F5" s="105"/>
    </row>
    <row r="7" spans="1:8" ht="64.5" customHeight="1" x14ac:dyDescent="0.25">
      <c r="A7" s="14" t="s">
        <v>110</v>
      </c>
      <c r="D7" s="104" t="s">
        <v>243</v>
      </c>
      <c r="E7" s="104"/>
      <c r="F7" s="104"/>
      <c r="G7" s="104"/>
      <c r="H7" s="104"/>
    </row>
    <row r="8" spans="1:8" ht="23.45" customHeight="1" x14ac:dyDescent="0.25">
      <c r="A8" s="14" t="s">
        <v>111</v>
      </c>
      <c r="D8" s="15" t="s">
        <v>244</v>
      </c>
      <c r="E8" s="15"/>
      <c r="F8" s="15"/>
      <c r="G8" s="15"/>
      <c r="H8" s="15"/>
    </row>
    <row r="9" spans="1:8" ht="48.75" customHeight="1" x14ac:dyDescent="0.25">
      <c r="A9" s="106" t="s">
        <v>112</v>
      </c>
      <c r="B9" s="106"/>
      <c r="C9" s="106"/>
      <c r="D9" s="104" t="s">
        <v>245</v>
      </c>
      <c r="E9" s="104"/>
      <c r="F9" s="104"/>
      <c r="G9" s="104"/>
      <c r="H9" s="104"/>
    </row>
    <row r="10" spans="1:8" ht="33" customHeight="1" x14ac:dyDescent="0.25">
      <c r="A10" s="14" t="s">
        <v>113</v>
      </c>
      <c r="D10" s="104" t="s">
        <v>120</v>
      </c>
      <c r="E10" s="104"/>
      <c r="F10" s="104"/>
      <c r="G10" s="104"/>
      <c r="H10" s="104"/>
    </row>
    <row r="11" spans="1:8" x14ac:dyDescent="0.25">
      <c r="A11" s="13" t="s">
        <v>114</v>
      </c>
      <c r="B11" s="59"/>
      <c r="C11" s="60"/>
      <c r="D11" s="61" t="s">
        <v>121</v>
      </c>
      <c r="E11" s="16"/>
      <c r="F11" s="16"/>
      <c r="G11" s="16"/>
      <c r="H11" s="16"/>
    </row>
    <row r="12" spans="1:8" x14ac:dyDescent="0.25">
      <c r="A12" s="13" t="s">
        <v>115</v>
      </c>
      <c r="B12" s="59"/>
      <c r="C12" s="60"/>
      <c r="D12" s="59" t="s">
        <v>122</v>
      </c>
      <c r="E12" s="15"/>
      <c r="F12" s="15"/>
      <c r="G12" s="15"/>
      <c r="H12" s="15"/>
    </row>
    <row r="13" spans="1:8" x14ac:dyDescent="0.25">
      <c r="A13" s="13" t="s">
        <v>116</v>
      </c>
      <c r="D13" s="15" t="s">
        <v>123</v>
      </c>
      <c r="E13" s="15"/>
      <c r="F13" s="15"/>
      <c r="G13" s="15"/>
      <c r="H13" s="15"/>
    </row>
    <row r="14" spans="1:8" x14ac:dyDescent="0.25">
      <c r="A14" s="13" t="s">
        <v>117</v>
      </c>
      <c r="D14" s="62" t="s">
        <v>124</v>
      </c>
      <c r="E14" s="15"/>
      <c r="F14" s="15"/>
      <c r="G14" s="15"/>
      <c r="H14" s="15"/>
    </row>
    <row r="15" spans="1:8" ht="23.45" customHeight="1" x14ac:dyDescent="0.25">
      <c r="A15" s="13" t="s">
        <v>118</v>
      </c>
      <c r="D15" s="15" t="s">
        <v>155</v>
      </c>
      <c r="E15" s="15"/>
      <c r="F15" s="15"/>
      <c r="G15" s="15"/>
      <c r="H15" s="15"/>
    </row>
    <row r="16" spans="1:8" ht="26.45" customHeight="1" x14ac:dyDescent="0.25">
      <c r="A16" s="13" t="s">
        <v>119</v>
      </c>
      <c r="B16" s="60"/>
      <c r="C16" s="60"/>
      <c r="D16" s="16" t="s">
        <v>154</v>
      </c>
      <c r="E16" s="16"/>
      <c r="F16" s="16"/>
      <c r="G16" s="16"/>
      <c r="H16" s="16"/>
    </row>
  </sheetData>
  <customSheetViews>
    <customSheetView guid="{1F1EC9A1-559B-45BE-A366-DE40EA2885B6}" showPageBreaks="1" fitToPage="1" view="pageBreakPreview">
      <selection activeCell="N7" sqref="N7"/>
      <pageMargins left="0.98425196850393704" right="0.11811023622047245" top="0.78740157480314965" bottom="0.78740157480314965" header="0" footer="0"/>
      <pageSetup paperSize="9" orientation="portrait" r:id="rId1"/>
    </customSheetView>
    <customSheetView guid="{590CC574-4B1C-4AB8-AB4D-7FAB395FC0A2}" showPageBreaks="1" fitToPage="1" view="pageBreakPreview">
      <selection activeCell="L5" sqref="L5"/>
      <pageMargins left="0.98425196850393704" right="0.11811023622047245" top="0.78740157480314965" bottom="0.78740157480314965" header="0" footer="0"/>
      <pageSetup paperSize="9" orientation="portrait" r:id="rId2"/>
    </customSheetView>
  </customSheetViews>
  <mergeCells count="8">
    <mergeCell ref="D10:H10"/>
    <mergeCell ref="A2:H2"/>
    <mergeCell ref="A3:H3"/>
    <mergeCell ref="A4:H4"/>
    <mergeCell ref="A5:F5"/>
    <mergeCell ref="D7:H7"/>
    <mergeCell ref="D9:H9"/>
    <mergeCell ref="A9:C9"/>
  </mergeCells>
  <hyperlinks>
    <hyperlink ref="D14" r:id="rId3"/>
  </hyperlinks>
  <pageMargins left="0.98425196850393704" right="0.11811023622047245" top="0.78740157480314965" bottom="0.78740157480314965" header="0" footer="0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tabSelected="1" view="pageBreakPreview" topLeftCell="A3" zoomScale="93" zoomScaleNormal="100" zoomScaleSheetLayoutView="93" workbookViewId="0">
      <selection activeCell="F80" sqref="F80"/>
    </sheetView>
  </sheetViews>
  <sheetFormatPr defaultRowHeight="15" outlineLevelRow="1" x14ac:dyDescent="0.25"/>
  <cols>
    <col min="1" max="1" width="83.85546875" customWidth="1"/>
    <col min="2" max="2" width="12.5703125" customWidth="1"/>
    <col min="3" max="14" width="14.28515625" customWidth="1"/>
  </cols>
  <sheetData>
    <row r="1" spans="1:14" hidden="1" outlineLevel="1" x14ac:dyDescent="0.25">
      <c r="L1" t="s">
        <v>152</v>
      </c>
    </row>
    <row r="2" spans="1:14" hidden="1" outlineLevel="1" x14ac:dyDescent="0.25">
      <c r="L2" t="s">
        <v>151</v>
      </c>
    </row>
    <row r="3" spans="1:14" collapsed="1" x14ac:dyDescent="0.25">
      <c r="L3" t="s">
        <v>142</v>
      </c>
    </row>
    <row r="4" spans="1:14" x14ac:dyDescent="0.25">
      <c r="L4" t="s">
        <v>1</v>
      </c>
    </row>
    <row r="5" spans="1:14" x14ac:dyDescent="0.25">
      <c r="L5" t="s">
        <v>2</v>
      </c>
    </row>
    <row r="6" spans="1:14" x14ac:dyDescent="0.25">
      <c r="L6" t="s">
        <v>3</v>
      </c>
    </row>
    <row r="7" spans="1:14" hidden="1" outlineLevel="1" x14ac:dyDescent="0.25"/>
    <row r="8" spans="1:14" hidden="1" outlineLevel="1" x14ac:dyDescent="0.25">
      <c r="L8" t="s">
        <v>4</v>
      </c>
    </row>
    <row r="9" spans="1:14" hidden="1" outlineLevel="1" x14ac:dyDescent="0.25"/>
    <row r="10" spans="1:14" hidden="1" outlineLevel="1" x14ac:dyDescent="0.25"/>
    <row r="11" spans="1:14" collapsed="1" x14ac:dyDescent="0.25">
      <c r="A11" s="115" t="s">
        <v>5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</row>
    <row r="12" spans="1:14" x14ac:dyDescent="0.25">
      <c r="A12" s="115" t="s">
        <v>6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14" x14ac:dyDescent="0.25">
      <c r="A13" s="115" t="s">
        <v>17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spans="1:14" x14ac:dyDescent="0.25">
      <c r="A14" s="115" t="s">
        <v>18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</row>
    <row r="15" spans="1:14" x14ac:dyDescent="0.25">
      <c r="A15" s="116" t="s">
        <v>125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4" x14ac:dyDescent="0.25">
      <c r="A16" s="115" t="s">
        <v>7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spans="1:14" x14ac:dyDescent="0.25">
      <c r="A17" s="115" t="s">
        <v>156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spans="1:14" ht="15.75" thickBot="1" x14ac:dyDescent="0.3"/>
    <row r="19" spans="1:14" x14ac:dyDescent="0.25">
      <c r="A19" s="120" t="s">
        <v>8</v>
      </c>
      <c r="B19" s="120" t="s">
        <v>9</v>
      </c>
      <c r="C19" s="117" t="s">
        <v>10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</row>
    <row r="20" spans="1:14" x14ac:dyDescent="0.25">
      <c r="A20" s="121"/>
      <c r="B20" s="121"/>
      <c r="C20" s="108" t="s">
        <v>11</v>
      </c>
      <c r="D20" s="109"/>
      <c r="E20" s="109"/>
      <c r="F20" s="109"/>
      <c r="G20" s="109"/>
      <c r="H20" s="110"/>
      <c r="I20" s="108" t="s">
        <v>12</v>
      </c>
      <c r="J20" s="109"/>
      <c r="K20" s="109"/>
      <c r="L20" s="109"/>
      <c r="M20" s="109"/>
      <c r="N20" s="110"/>
    </row>
    <row r="21" spans="1:14" x14ac:dyDescent="0.25">
      <c r="A21" s="121"/>
      <c r="B21" s="121"/>
      <c r="C21" s="108" t="s">
        <v>126</v>
      </c>
      <c r="D21" s="109"/>
      <c r="E21" s="110"/>
      <c r="F21" s="108" t="s">
        <v>127</v>
      </c>
      <c r="G21" s="109"/>
      <c r="H21" s="110"/>
      <c r="I21" s="108" t="s">
        <v>126</v>
      </c>
      <c r="J21" s="109"/>
      <c r="K21" s="110"/>
      <c r="L21" s="108" t="s">
        <v>127</v>
      </c>
      <c r="M21" s="109"/>
      <c r="N21" s="110"/>
    </row>
    <row r="22" spans="1:14" x14ac:dyDescent="0.25">
      <c r="A22" s="121"/>
      <c r="B22" s="121"/>
      <c r="C22" s="108" t="s">
        <v>128</v>
      </c>
      <c r="D22" s="109"/>
      <c r="E22" s="110"/>
      <c r="F22" s="108" t="s">
        <v>128</v>
      </c>
      <c r="G22" s="109"/>
      <c r="H22" s="110"/>
      <c r="I22" s="108" t="s">
        <v>128</v>
      </c>
      <c r="J22" s="109"/>
      <c r="K22" s="110"/>
      <c r="L22" s="108" t="s">
        <v>128</v>
      </c>
      <c r="M22" s="109"/>
      <c r="N22" s="110"/>
    </row>
    <row r="23" spans="1:14" ht="60" x14ac:dyDescent="0.25">
      <c r="A23" s="122"/>
      <c r="B23" s="122"/>
      <c r="C23" s="63" t="s">
        <v>129</v>
      </c>
      <c r="D23" s="64" t="s">
        <v>130</v>
      </c>
      <c r="E23" s="65" t="s">
        <v>131</v>
      </c>
      <c r="F23" s="66" t="s">
        <v>132</v>
      </c>
      <c r="G23" s="64" t="s">
        <v>131</v>
      </c>
      <c r="H23" s="65" t="s">
        <v>133</v>
      </c>
      <c r="I23" s="63" t="s">
        <v>129</v>
      </c>
      <c r="J23" s="64" t="s">
        <v>130</v>
      </c>
      <c r="K23" s="65" t="s">
        <v>131</v>
      </c>
      <c r="L23" s="66" t="s">
        <v>132</v>
      </c>
      <c r="M23" s="64" t="s">
        <v>131</v>
      </c>
      <c r="N23" s="65" t="s">
        <v>133</v>
      </c>
    </row>
    <row r="24" spans="1:14" ht="120" x14ac:dyDescent="0.25">
      <c r="A24" s="29" t="s">
        <v>19</v>
      </c>
      <c r="B24" s="32" t="s">
        <v>13</v>
      </c>
      <c r="C24" s="23">
        <f>C25+C26+C27+C28</f>
        <v>3212.9116933787686</v>
      </c>
      <c r="D24" s="19">
        <f t="shared" ref="D24:N24" si="0">D25+D26+D27+D28</f>
        <v>1132.7199041609265</v>
      </c>
      <c r="E24" s="24">
        <f t="shared" si="0"/>
        <v>163.07467942679264</v>
      </c>
      <c r="F24" s="21">
        <f t="shared" si="0"/>
        <v>1197.7234846391464</v>
      </c>
      <c r="G24" s="19">
        <f t="shared" si="0"/>
        <v>183.53988262562189</v>
      </c>
      <c r="H24" s="24">
        <f t="shared" si="0"/>
        <v>84.946398365882828</v>
      </c>
      <c r="I24" s="23">
        <f t="shared" si="0"/>
        <v>3212.9116933787686</v>
      </c>
      <c r="J24" s="19">
        <f t="shared" si="0"/>
        <v>1132.7199041609265</v>
      </c>
      <c r="K24" s="24">
        <f t="shared" si="0"/>
        <v>163.07467942679264</v>
      </c>
      <c r="L24" s="21">
        <f t="shared" si="0"/>
        <v>1197.7234846391464</v>
      </c>
      <c r="M24" s="19">
        <f t="shared" si="0"/>
        <v>183.53988262562189</v>
      </c>
      <c r="N24" s="24">
        <f t="shared" si="0"/>
        <v>84.946398365882828</v>
      </c>
    </row>
    <row r="25" spans="1:14" ht="30" x14ac:dyDescent="0.25">
      <c r="A25" s="30" t="s">
        <v>20</v>
      </c>
      <c r="B25" s="33" t="s">
        <v>13</v>
      </c>
      <c r="C25" s="25">
        <v>1308.986686599073</v>
      </c>
      <c r="D25" s="18">
        <v>484.18477172646391</v>
      </c>
      <c r="E25" s="26">
        <v>69.706797013615642</v>
      </c>
      <c r="F25" s="22">
        <v>531.91726334598411</v>
      </c>
      <c r="G25" s="18">
        <v>81.581960907446785</v>
      </c>
      <c r="H25" s="26">
        <v>40.991687118203792</v>
      </c>
      <c r="I25" s="25">
        <v>1308.986686599073</v>
      </c>
      <c r="J25" s="18">
        <v>484.18477172646391</v>
      </c>
      <c r="K25" s="26">
        <v>69.706797013615642</v>
      </c>
      <c r="L25" s="22">
        <v>531.91726334598411</v>
      </c>
      <c r="M25" s="18">
        <v>81.581960907446785</v>
      </c>
      <c r="N25" s="26">
        <v>40.991687118203792</v>
      </c>
    </row>
    <row r="26" spans="1:14" ht="30" x14ac:dyDescent="0.25">
      <c r="A26" s="30" t="s">
        <v>21</v>
      </c>
      <c r="B26" s="33" t="s">
        <v>13</v>
      </c>
      <c r="C26" s="25">
        <v>988.03984338891041</v>
      </c>
      <c r="D26" s="18">
        <v>312.80024749240607</v>
      </c>
      <c r="E26" s="26">
        <v>45.033021753274078</v>
      </c>
      <c r="F26" s="22">
        <v>273.89652648663252</v>
      </c>
      <c r="G26" s="18">
        <v>41.849398073288029</v>
      </c>
      <c r="H26" s="26">
        <v>17.80209942069764</v>
      </c>
      <c r="I26" s="25">
        <v>988.03984338891041</v>
      </c>
      <c r="J26" s="18">
        <v>312.80024749240607</v>
      </c>
      <c r="K26" s="26">
        <v>45.033021753274078</v>
      </c>
      <c r="L26" s="22">
        <v>273.89652648663252</v>
      </c>
      <c r="M26" s="18">
        <v>41.849398073288029</v>
      </c>
      <c r="N26" s="26">
        <v>17.80209942069764</v>
      </c>
    </row>
    <row r="27" spans="1:14" ht="45" x14ac:dyDescent="0.25">
      <c r="A27" s="30" t="s">
        <v>22</v>
      </c>
      <c r="B27" s="33" t="s">
        <v>13</v>
      </c>
      <c r="C27" s="25">
        <v>0</v>
      </c>
      <c r="D27" s="18">
        <v>89.974479529137085</v>
      </c>
      <c r="E27" s="26">
        <v>12.953387110007034</v>
      </c>
      <c r="F27" s="22">
        <v>111.97310752061144</v>
      </c>
      <c r="G27" s="18">
        <v>17.173696568840313</v>
      </c>
      <c r="H27" s="26">
        <v>9.0964797120835907</v>
      </c>
      <c r="I27" s="25">
        <v>0</v>
      </c>
      <c r="J27" s="18">
        <v>89.974479529137085</v>
      </c>
      <c r="K27" s="26">
        <v>12.953387110007034</v>
      </c>
      <c r="L27" s="22">
        <v>111.97310752061144</v>
      </c>
      <c r="M27" s="18">
        <v>17.173696568840313</v>
      </c>
      <c r="N27" s="26">
        <v>9.0964797120835907</v>
      </c>
    </row>
    <row r="28" spans="1:14" ht="60" x14ac:dyDescent="0.25">
      <c r="A28" s="30" t="s">
        <v>23</v>
      </c>
      <c r="B28" s="33" t="s">
        <v>13</v>
      </c>
      <c r="C28" s="25">
        <v>915.88516339078535</v>
      </c>
      <c r="D28" s="18">
        <v>245.76040541291943</v>
      </c>
      <c r="E28" s="26">
        <v>35.381473549895887</v>
      </c>
      <c r="F28" s="22">
        <v>279.93658728591839</v>
      </c>
      <c r="G28" s="18">
        <v>42.934827076046766</v>
      </c>
      <c r="H28" s="26">
        <v>17.056132114897807</v>
      </c>
      <c r="I28" s="25">
        <v>915.88516339078535</v>
      </c>
      <c r="J28" s="18">
        <v>245.76040541291943</v>
      </c>
      <c r="K28" s="26">
        <v>35.381473549895887</v>
      </c>
      <c r="L28" s="22">
        <v>279.93658728591839</v>
      </c>
      <c r="M28" s="18">
        <v>42.934827076046766</v>
      </c>
      <c r="N28" s="26">
        <v>17.056132114897807</v>
      </c>
    </row>
    <row r="29" spans="1:14" ht="15.75" thickBot="1" x14ac:dyDescent="0.3">
      <c r="A29" s="68"/>
      <c r="B29" s="69"/>
      <c r="C29" s="70"/>
      <c r="D29" s="71"/>
      <c r="E29" s="72"/>
      <c r="F29" s="73"/>
      <c r="G29" s="71"/>
      <c r="H29" s="72"/>
      <c r="I29" s="70"/>
      <c r="J29" s="71"/>
      <c r="K29" s="72"/>
      <c r="L29" s="73"/>
      <c r="M29" s="71"/>
      <c r="N29" s="72"/>
    </row>
    <row r="30" spans="1:14" x14ac:dyDescent="0.25">
      <c r="A30" s="84"/>
      <c r="B30" s="85"/>
      <c r="C30" s="79"/>
      <c r="D30" s="79"/>
      <c r="E30" s="79"/>
      <c r="F30" s="77"/>
      <c r="G30" s="77"/>
      <c r="H30" s="77"/>
      <c r="I30" s="77"/>
      <c r="J30" s="77"/>
      <c r="K30" s="77"/>
      <c r="L30" s="77"/>
      <c r="M30" s="77"/>
      <c r="N30" s="77"/>
    </row>
    <row r="31" spans="1:14" ht="15.75" thickBot="1" x14ac:dyDescent="0.3">
      <c r="A31" s="84"/>
      <c r="B31" s="85"/>
      <c r="C31" s="79"/>
      <c r="D31" s="79"/>
      <c r="E31" s="79"/>
      <c r="F31" s="77"/>
      <c r="G31" s="77"/>
      <c r="H31" s="77"/>
      <c r="I31" s="77"/>
      <c r="J31" s="77"/>
      <c r="K31" s="77"/>
      <c r="L31" s="77"/>
      <c r="M31" s="77"/>
      <c r="N31" s="77"/>
    </row>
    <row r="32" spans="1:14" ht="60" customHeight="1" x14ac:dyDescent="0.25">
      <c r="A32" s="113" t="s">
        <v>8</v>
      </c>
      <c r="B32" s="113" t="s">
        <v>157</v>
      </c>
      <c r="C32" s="111" t="s">
        <v>10</v>
      </c>
      <c r="D32" s="112"/>
      <c r="E32" s="79"/>
      <c r="F32" s="77"/>
      <c r="G32" s="77"/>
      <c r="H32" s="77"/>
      <c r="I32" s="77"/>
      <c r="J32" s="77"/>
      <c r="K32" s="77"/>
      <c r="L32" s="77"/>
      <c r="M32" s="77"/>
      <c r="N32" s="77"/>
    </row>
    <row r="33" spans="1:14" ht="45" x14ac:dyDescent="0.25">
      <c r="A33" s="114"/>
      <c r="B33" s="114"/>
      <c r="C33" s="74" t="s">
        <v>11</v>
      </c>
      <c r="D33" s="75" t="s">
        <v>12</v>
      </c>
      <c r="E33" s="79"/>
      <c r="F33" s="77"/>
      <c r="G33" s="77"/>
      <c r="H33" s="77"/>
      <c r="I33" s="77"/>
      <c r="J33" s="77"/>
      <c r="K33" s="77"/>
      <c r="L33" s="77"/>
      <c r="M33" s="77"/>
      <c r="N33" s="77"/>
    </row>
    <row r="34" spans="1:14" ht="90" x14ac:dyDescent="0.25">
      <c r="A34" s="29" t="s">
        <v>158</v>
      </c>
      <c r="B34" s="32" t="s">
        <v>14</v>
      </c>
      <c r="C34" s="27" t="s">
        <v>134</v>
      </c>
      <c r="D34" s="76" t="s">
        <v>134</v>
      </c>
      <c r="E34" s="79"/>
      <c r="F34" s="77"/>
      <c r="G34" s="77"/>
      <c r="H34" s="77"/>
      <c r="I34" s="77"/>
      <c r="J34" s="77"/>
      <c r="K34" s="77"/>
      <c r="L34" s="77"/>
      <c r="M34" s="77"/>
      <c r="N34" s="77"/>
    </row>
    <row r="35" spans="1:14" x14ac:dyDescent="0.25">
      <c r="A35" s="31" t="s">
        <v>159</v>
      </c>
      <c r="B35" s="34" t="s">
        <v>14</v>
      </c>
      <c r="C35" s="28">
        <f>769.353*1000</f>
        <v>769353</v>
      </c>
      <c r="D35" s="78">
        <f>C35</f>
        <v>769353</v>
      </c>
      <c r="E35" s="79"/>
      <c r="F35" s="77"/>
      <c r="G35" s="77"/>
      <c r="H35" s="77"/>
      <c r="I35" s="77"/>
      <c r="J35" s="77"/>
      <c r="K35" s="77"/>
      <c r="L35" s="77"/>
      <c r="M35" s="77"/>
      <c r="N35" s="77"/>
    </row>
    <row r="36" spans="1:14" x14ac:dyDescent="0.25">
      <c r="A36" s="31" t="s">
        <v>160</v>
      </c>
      <c r="B36" s="34" t="s">
        <v>14</v>
      </c>
      <c r="C36" s="28">
        <f>779.109*1000</f>
        <v>779109</v>
      </c>
      <c r="D36" s="78">
        <f t="shared" ref="D36:D42" si="1">C36</f>
        <v>779109</v>
      </c>
      <c r="E36" s="79"/>
      <c r="F36" s="77"/>
      <c r="G36" s="77"/>
      <c r="H36" s="77"/>
      <c r="I36" s="77"/>
      <c r="J36" s="77"/>
      <c r="K36" s="77"/>
      <c r="L36" s="77"/>
      <c r="M36" s="77"/>
      <c r="N36" s="77"/>
    </row>
    <row r="37" spans="1:14" x14ac:dyDescent="0.25">
      <c r="A37" s="31" t="s">
        <v>161</v>
      </c>
      <c r="B37" s="34" t="s">
        <v>14</v>
      </c>
      <c r="C37" s="28">
        <f>841.552*1000</f>
        <v>841552</v>
      </c>
      <c r="D37" s="78">
        <f t="shared" si="1"/>
        <v>841552</v>
      </c>
      <c r="E37" s="79"/>
      <c r="F37" s="77"/>
      <c r="G37" s="77"/>
      <c r="H37" s="77"/>
      <c r="I37" s="77"/>
      <c r="J37" s="77"/>
      <c r="K37" s="77"/>
      <c r="L37" s="77"/>
      <c r="M37" s="77"/>
      <c r="N37" s="77"/>
    </row>
    <row r="38" spans="1:14" x14ac:dyDescent="0.25">
      <c r="A38" s="31" t="s">
        <v>162</v>
      </c>
      <c r="B38" s="34" t="s">
        <v>14</v>
      </c>
      <c r="C38" s="28">
        <f>872.309*1000</f>
        <v>872309</v>
      </c>
      <c r="D38" s="78">
        <f t="shared" si="1"/>
        <v>872309</v>
      </c>
      <c r="E38" s="79"/>
      <c r="F38" s="77"/>
      <c r="G38" s="77"/>
      <c r="H38" s="77"/>
      <c r="I38" s="77"/>
      <c r="J38" s="77"/>
      <c r="K38" s="77"/>
      <c r="L38" s="77"/>
      <c r="M38" s="77"/>
      <c r="N38" s="77"/>
    </row>
    <row r="39" spans="1:14" x14ac:dyDescent="0.25">
      <c r="A39" s="31" t="s">
        <v>163</v>
      </c>
      <c r="B39" s="34" t="s">
        <v>14</v>
      </c>
      <c r="C39" s="28">
        <f>1019.642*1000</f>
        <v>1019642</v>
      </c>
      <c r="D39" s="78">
        <f t="shared" si="1"/>
        <v>1019642</v>
      </c>
      <c r="E39" s="79"/>
      <c r="F39" s="77"/>
      <c r="G39" s="77"/>
      <c r="H39" s="77"/>
      <c r="I39" s="77"/>
      <c r="J39" s="77"/>
      <c r="K39" s="77"/>
      <c r="L39" s="77"/>
      <c r="M39" s="77"/>
      <c r="N39" s="77"/>
    </row>
    <row r="40" spans="1:14" x14ac:dyDescent="0.25">
      <c r="A40" s="31" t="s">
        <v>164</v>
      </c>
      <c r="B40" s="34" t="s">
        <v>14</v>
      </c>
      <c r="C40" s="28">
        <f>1039.155*1000</f>
        <v>1039155</v>
      </c>
      <c r="D40" s="78">
        <f t="shared" si="1"/>
        <v>1039155</v>
      </c>
      <c r="E40" s="79"/>
      <c r="F40" s="77"/>
      <c r="G40" s="77"/>
      <c r="H40" s="77"/>
      <c r="I40" s="77"/>
      <c r="J40" s="77"/>
      <c r="K40" s="77"/>
      <c r="L40" s="77"/>
      <c r="M40" s="77"/>
      <c r="N40" s="77"/>
    </row>
    <row r="41" spans="1:14" x14ac:dyDescent="0.25">
      <c r="A41" s="31" t="s">
        <v>165</v>
      </c>
      <c r="B41" s="34" t="s">
        <v>14</v>
      </c>
      <c r="C41" s="28">
        <f>1164.04*1000</f>
        <v>1164040</v>
      </c>
      <c r="D41" s="78">
        <f t="shared" si="1"/>
        <v>1164040</v>
      </c>
      <c r="E41" s="79"/>
      <c r="F41" s="77"/>
      <c r="G41" s="77"/>
      <c r="H41" s="77"/>
      <c r="I41" s="77"/>
      <c r="J41" s="77"/>
      <c r="K41" s="77"/>
      <c r="L41" s="77"/>
      <c r="M41" s="77"/>
      <c r="N41" s="77"/>
    </row>
    <row r="42" spans="1:14" x14ac:dyDescent="0.25">
      <c r="A42" s="31" t="s">
        <v>166</v>
      </c>
      <c r="B42" s="34" t="s">
        <v>14</v>
      </c>
      <c r="C42" s="28">
        <f>1225.553*1000</f>
        <v>1225553</v>
      </c>
      <c r="D42" s="78">
        <f t="shared" si="1"/>
        <v>1225553</v>
      </c>
      <c r="E42" s="79"/>
      <c r="F42" s="77"/>
      <c r="G42" s="77"/>
      <c r="H42" s="77"/>
      <c r="I42" s="77"/>
      <c r="J42" s="77"/>
      <c r="K42" s="77"/>
      <c r="L42" s="77"/>
      <c r="M42" s="77"/>
      <c r="N42" s="77"/>
    </row>
    <row r="43" spans="1:14" x14ac:dyDescent="0.25">
      <c r="A43" s="31" t="s">
        <v>167</v>
      </c>
      <c r="B43" s="34" t="s">
        <v>14</v>
      </c>
      <c r="C43" s="28">
        <f>3428*1000</f>
        <v>3428000</v>
      </c>
      <c r="D43" s="78">
        <f>C43</f>
        <v>3428000</v>
      </c>
      <c r="E43" s="79"/>
      <c r="F43" s="77"/>
      <c r="G43" s="77"/>
      <c r="H43" s="77"/>
      <c r="I43" s="77"/>
      <c r="J43" s="77"/>
      <c r="K43" s="77"/>
      <c r="L43" s="77"/>
      <c r="M43" s="77"/>
      <c r="N43" s="77"/>
    </row>
    <row r="44" spans="1:14" x14ac:dyDescent="0.25">
      <c r="A44" s="31" t="s">
        <v>168</v>
      </c>
      <c r="B44" s="34" t="s">
        <v>14</v>
      </c>
      <c r="C44" s="28">
        <f t="shared" ref="C44:C45" si="2">3428*1000</f>
        <v>3428000</v>
      </c>
      <c r="D44" s="78">
        <f t="shared" ref="D44:D45" si="3">C44</f>
        <v>3428000</v>
      </c>
      <c r="E44" s="79"/>
      <c r="F44" s="77"/>
      <c r="G44" s="77"/>
      <c r="H44" s="77"/>
      <c r="I44" s="77"/>
      <c r="J44" s="77"/>
      <c r="K44" s="77"/>
      <c r="L44" s="77"/>
      <c r="M44" s="77"/>
      <c r="N44" s="77"/>
    </row>
    <row r="45" spans="1:14" x14ac:dyDescent="0.25">
      <c r="A45" s="31" t="s">
        <v>169</v>
      </c>
      <c r="B45" s="34" t="s">
        <v>14</v>
      </c>
      <c r="C45" s="28">
        <f t="shared" si="2"/>
        <v>3428000</v>
      </c>
      <c r="D45" s="78">
        <f t="shared" si="3"/>
        <v>3428000</v>
      </c>
      <c r="E45" s="79"/>
      <c r="F45" s="77"/>
      <c r="G45" s="77"/>
      <c r="H45" s="77"/>
      <c r="I45" s="77"/>
      <c r="J45" s="77"/>
      <c r="K45" s="77"/>
      <c r="L45" s="77"/>
      <c r="M45" s="77"/>
      <c r="N45" s="77"/>
    </row>
    <row r="46" spans="1:14" x14ac:dyDescent="0.25">
      <c r="A46" s="31" t="s">
        <v>170</v>
      </c>
      <c r="B46" s="34" t="s">
        <v>14</v>
      </c>
      <c r="C46" s="28">
        <f>3650*1000</f>
        <v>3650000</v>
      </c>
      <c r="D46" s="78">
        <f>C46</f>
        <v>3650000</v>
      </c>
      <c r="E46" s="79"/>
      <c r="F46" s="77"/>
      <c r="G46" s="77"/>
      <c r="H46" s="77"/>
      <c r="I46" s="77"/>
      <c r="J46" s="77"/>
      <c r="K46" s="77"/>
      <c r="L46" s="77"/>
      <c r="M46" s="77"/>
      <c r="N46" s="77"/>
    </row>
    <row r="47" spans="1:14" x14ac:dyDescent="0.25">
      <c r="A47" s="31" t="s">
        <v>171</v>
      </c>
      <c r="B47" s="34" t="s">
        <v>14</v>
      </c>
      <c r="C47" s="28">
        <f t="shared" ref="C47:C48" si="4">3650*1000</f>
        <v>3650000</v>
      </c>
      <c r="D47" s="78">
        <f t="shared" ref="D47:D93" si="5">C47</f>
        <v>3650000</v>
      </c>
      <c r="E47" s="79"/>
      <c r="F47" s="77"/>
      <c r="G47" s="77"/>
      <c r="H47" s="77"/>
      <c r="I47" s="77"/>
      <c r="J47" s="77"/>
      <c r="K47" s="77"/>
      <c r="L47" s="77"/>
      <c r="M47" s="77"/>
      <c r="N47" s="77"/>
    </row>
    <row r="48" spans="1:14" x14ac:dyDescent="0.25">
      <c r="A48" s="31" t="s">
        <v>172</v>
      </c>
      <c r="B48" s="34" t="s">
        <v>14</v>
      </c>
      <c r="C48" s="28">
        <f t="shared" si="4"/>
        <v>3650000</v>
      </c>
      <c r="D48" s="78">
        <f t="shared" si="5"/>
        <v>3650000</v>
      </c>
      <c r="E48" s="79"/>
      <c r="F48" s="77"/>
      <c r="G48" s="77"/>
      <c r="H48" s="77"/>
      <c r="I48" s="77"/>
      <c r="J48" s="77"/>
      <c r="K48" s="77"/>
      <c r="L48" s="77"/>
      <c r="M48" s="77"/>
      <c r="N48" s="77"/>
    </row>
    <row r="49" spans="1:14" x14ac:dyDescent="0.25">
      <c r="A49" s="31" t="s">
        <v>173</v>
      </c>
      <c r="B49" s="34" t="s">
        <v>14</v>
      </c>
      <c r="C49" s="28">
        <f>12544.7593220339*1000</f>
        <v>12544759.322033901</v>
      </c>
      <c r="D49" s="78">
        <f t="shared" si="5"/>
        <v>12544759.322033901</v>
      </c>
      <c r="E49" s="79"/>
      <c r="F49" s="77"/>
      <c r="G49" s="77"/>
      <c r="H49" s="77"/>
      <c r="I49" s="77"/>
      <c r="J49" s="77"/>
      <c r="K49" s="77"/>
      <c r="L49" s="77"/>
      <c r="M49" s="77"/>
      <c r="N49" s="77"/>
    </row>
    <row r="50" spans="1:14" x14ac:dyDescent="0.25">
      <c r="A50" s="31" t="s">
        <v>174</v>
      </c>
      <c r="B50" s="34" t="s">
        <v>14</v>
      </c>
      <c r="C50" s="28">
        <f>12544.7593220339*1000</f>
        <v>12544759.322033901</v>
      </c>
      <c r="D50" s="78">
        <f t="shared" si="5"/>
        <v>12544759.322033901</v>
      </c>
      <c r="E50" s="79"/>
      <c r="F50" s="77"/>
      <c r="G50" s="77"/>
      <c r="H50" s="77"/>
      <c r="I50" s="77"/>
      <c r="J50" s="77"/>
      <c r="K50" s="77"/>
      <c r="L50" s="77"/>
      <c r="M50" s="77"/>
      <c r="N50" s="77"/>
    </row>
    <row r="51" spans="1:14" x14ac:dyDescent="0.25">
      <c r="A51" s="31" t="s">
        <v>175</v>
      </c>
      <c r="B51" s="34" t="s">
        <v>14</v>
      </c>
      <c r="C51" s="28">
        <f>12723.1322033898*1000</f>
        <v>12723132.203389799</v>
      </c>
      <c r="D51" s="78">
        <f t="shared" si="5"/>
        <v>12723132.203389799</v>
      </c>
      <c r="E51" s="79"/>
      <c r="F51" s="77"/>
      <c r="G51" s="77"/>
      <c r="H51" s="77"/>
      <c r="I51" s="77"/>
      <c r="J51" s="77"/>
      <c r="K51" s="77"/>
      <c r="L51" s="77"/>
      <c r="M51" s="77"/>
      <c r="N51" s="77"/>
    </row>
    <row r="52" spans="1:14" x14ac:dyDescent="0.25">
      <c r="A52" s="31" t="s">
        <v>176</v>
      </c>
      <c r="B52" s="34" t="s">
        <v>14</v>
      </c>
      <c r="C52" s="28">
        <f>12723.1322033898*1000</f>
        <v>12723132.203389799</v>
      </c>
      <c r="D52" s="78">
        <f t="shared" si="5"/>
        <v>12723132.203389799</v>
      </c>
      <c r="E52" s="79"/>
      <c r="F52" s="77"/>
      <c r="G52" s="77"/>
      <c r="H52" s="77"/>
      <c r="I52" s="77"/>
      <c r="J52" s="77"/>
      <c r="K52" s="77"/>
      <c r="L52" s="77"/>
      <c r="M52" s="77"/>
      <c r="N52" s="77"/>
    </row>
    <row r="53" spans="1:14" x14ac:dyDescent="0.25">
      <c r="A53" s="31" t="s">
        <v>177</v>
      </c>
      <c r="B53" s="34" t="s">
        <v>14</v>
      </c>
      <c r="C53" s="28">
        <f>13156.6691525424*1000</f>
        <v>13156669.152542399</v>
      </c>
      <c r="D53" s="78">
        <f t="shared" si="5"/>
        <v>13156669.152542399</v>
      </c>
      <c r="E53" s="79"/>
      <c r="F53" s="77"/>
      <c r="G53" s="77"/>
      <c r="H53" s="77"/>
      <c r="I53" s="77"/>
      <c r="J53" s="77"/>
      <c r="K53" s="77"/>
      <c r="L53" s="77"/>
      <c r="M53" s="77"/>
      <c r="N53" s="77"/>
    </row>
    <row r="54" spans="1:14" x14ac:dyDescent="0.25">
      <c r="A54" s="31" t="s">
        <v>178</v>
      </c>
      <c r="B54" s="34" t="s">
        <v>14</v>
      </c>
      <c r="C54" s="28">
        <f>13156.6691525424*1000</f>
        <v>13156669.152542399</v>
      </c>
      <c r="D54" s="78">
        <f t="shared" si="5"/>
        <v>13156669.152542399</v>
      </c>
      <c r="E54" s="79"/>
      <c r="F54" s="77"/>
      <c r="G54" s="77"/>
      <c r="H54" s="77"/>
      <c r="I54" s="77"/>
      <c r="J54" s="77"/>
      <c r="K54" s="77"/>
      <c r="L54" s="77"/>
      <c r="M54" s="77"/>
      <c r="N54" s="77"/>
    </row>
    <row r="55" spans="1:14" x14ac:dyDescent="0.25">
      <c r="A55" s="31" t="s">
        <v>179</v>
      </c>
      <c r="B55" s="34" t="s">
        <v>14</v>
      </c>
      <c r="C55" s="28">
        <f>14325.7793220339*1000</f>
        <v>14325779.322033901</v>
      </c>
      <c r="D55" s="78">
        <f t="shared" si="5"/>
        <v>14325779.322033901</v>
      </c>
      <c r="E55" s="79"/>
      <c r="F55" s="77"/>
      <c r="G55" s="77"/>
      <c r="H55" s="77"/>
      <c r="I55" s="77"/>
      <c r="J55" s="77"/>
      <c r="K55" s="77"/>
      <c r="L55" s="77"/>
      <c r="M55" s="77"/>
      <c r="N55" s="77"/>
    </row>
    <row r="56" spans="1:14" x14ac:dyDescent="0.25">
      <c r="A56" s="31" t="s">
        <v>180</v>
      </c>
      <c r="B56" s="34" t="s">
        <v>14</v>
      </c>
      <c r="C56" s="28">
        <f>13282.6098305084*1000</f>
        <v>13282609.8305084</v>
      </c>
      <c r="D56" s="78">
        <f t="shared" si="5"/>
        <v>13282609.8305084</v>
      </c>
      <c r="E56" s="79"/>
      <c r="F56" s="77"/>
      <c r="G56" s="77"/>
      <c r="H56" s="77"/>
      <c r="I56" s="77"/>
      <c r="J56" s="77"/>
      <c r="K56" s="77"/>
      <c r="L56" s="77"/>
      <c r="M56" s="77"/>
      <c r="N56" s="77"/>
    </row>
    <row r="57" spans="1:14" x14ac:dyDescent="0.25">
      <c r="A57" s="31" t="s">
        <v>181</v>
      </c>
      <c r="B57" s="34" t="s">
        <v>14</v>
      </c>
      <c r="C57" s="28">
        <f>13282.6098305084*1000</f>
        <v>13282609.8305084</v>
      </c>
      <c r="D57" s="78">
        <f t="shared" si="5"/>
        <v>13282609.8305084</v>
      </c>
      <c r="E57" s="79"/>
      <c r="F57" s="77"/>
      <c r="G57" s="77"/>
      <c r="H57" s="77"/>
      <c r="I57" s="77"/>
      <c r="J57" s="77"/>
      <c r="K57" s="77"/>
      <c r="L57" s="77"/>
      <c r="M57" s="77"/>
      <c r="N57" s="77"/>
    </row>
    <row r="58" spans="1:14" x14ac:dyDescent="0.25">
      <c r="A58" s="31" t="s">
        <v>182</v>
      </c>
      <c r="B58" s="34" t="s">
        <v>14</v>
      </c>
      <c r="C58" s="28">
        <f>14684.533559322*1000</f>
        <v>14684533.559322001</v>
      </c>
      <c r="D58" s="78">
        <f t="shared" si="5"/>
        <v>14684533.559322001</v>
      </c>
      <c r="E58" s="79"/>
      <c r="F58" s="77"/>
      <c r="G58" s="77"/>
      <c r="H58" s="77"/>
      <c r="I58" s="77"/>
      <c r="J58" s="77"/>
      <c r="K58" s="77"/>
      <c r="L58" s="77"/>
      <c r="M58" s="77"/>
      <c r="N58" s="77"/>
    </row>
    <row r="59" spans="1:14" ht="90" x14ac:dyDescent="0.25">
      <c r="A59" s="29" t="s">
        <v>183</v>
      </c>
      <c r="B59" s="32" t="s">
        <v>14</v>
      </c>
      <c r="C59" s="27" t="s">
        <v>134</v>
      </c>
      <c r="D59" s="76" t="s">
        <v>134</v>
      </c>
      <c r="E59" s="79"/>
      <c r="F59" s="77"/>
      <c r="G59" s="77"/>
      <c r="H59" s="77"/>
      <c r="I59" s="77"/>
      <c r="J59" s="77"/>
      <c r="K59" s="77"/>
      <c r="L59" s="77"/>
      <c r="M59" s="77"/>
      <c r="N59" s="77"/>
    </row>
    <row r="60" spans="1:14" x14ac:dyDescent="0.25">
      <c r="A60" s="31" t="s">
        <v>184</v>
      </c>
      <c r="B60" s="34" t="s">
        <v>14</v>
      </c>
      <c r="C60" s="28">
        <f>672.907*1000</f>
        <v>672907</v>
      </c>
      <c r="D60" s="78">
        <f t="shared" si="5"/>
        <v>672907</v>
      </c>
      <c r="E60" s="79"/>
      <c r="F60" s="77"/>
      <c r="G60" s="77"/>
      <c r="H60" s="77"/>
      <c r="I60" s="77"/>
      <c r="J60" s="77"/>
      <c r="K60" s="77"/>
      <c r="L60" s="77"/>
      <c r="M60" s="77"/>
      <c r="N60" s="77"/>
    </row>
    <row r="61" spans="1:14" x14ac:dyDescent="0.25">
      <c r="A61" s="31" t="s">
        <v>185</v>
      </c>
      <c r="B61" s="34" t="s">
        <v>14</v>
      </c>
      <c r="C61" s="28">
        <f>848.256*1000</f>
        <v>848256</v>
      </c>
      <c r="D61" s="78">
        <f t="shared" si="5"/>
        <v>848256</v>
      </c>
      <c r="E61" s="79"/>
      <c r="F61" s="77"/>
      <c r="G61" s="77"/>
      <c r="H61" s="77"/>
      <c r="I61" s="77"/>
      <c r="J61" s="77"/>
      <c r="K61" s="77"/>
      <c r="L61" s="77"/>
      <c r="M61" s="77"/>
      <c r="N61" s="77"/>
    </row>
    <row r="62" spans="1:14" x14ac:dyDescent="0.25">
      <c r="A62" s="31" t="s">
        <v>186</v>
      </c>
      <c r="B62" s="34" t="s">
        <v>14</v>
      </c>
      <c r="C62" s="28">
        <f>972.83*1000</f>
        <v>972830</v>
      </c>
      <c r="D62" s="78">
        <f t="shared" si="5"/>
        <v>972830</v>
      </c>
      <c r="E62" s="79"/>
      <c r="F62" s="77"/>
      <c r="G62" s="77"/>
      <c r="H62" s="77"/>
      <c r="I62" s="77"/>
      <c r="J62" s="77"/>
      <c r="K62" s="77"/>
      <c r="L62" s="77"/>
      <c r="M62" s="77"/>
      <c r="N62" s="77"/>
    </row>
    <row r="63" spans="1:14" x14ac:dyDescent="0.25">
      <c r="A63" s="31" t="s">
        <v>187</v>
      </c>
      <c r="B63" s="34" t="s">
        <v>14</v>
      </c>
      <c r="C63" s="28">
        <f>1460.842*1000</f>
        <v>1460842</v>
      </c>
      <c r="D63" s="78">
        <f t="shared" si="5"/>
        <v>1460842</v>
      </c>
      <c r="E63" s="79"/>
      <c r="F63" s="77"/>
      <c r="G63" s="77"/>
      <c r="H63" s="77"/>
      <c r="I63" s="77"/>
      <c r="J63" s="77"/>
      <c r="K63" s="77"/>
      <c r="L63" s="77"/>
      <c r="M63" s="77"/>
      <c r="N63" s="77"/>
    </row>
    <row r="64" spans="1:14" x14ac:dyDescent="0.25">
      <c r="A64" s="31" t="s">
        <v>188</v>
      </c>
      <c r="B64" s="34" t="s">
        <v>14</v>
      </c>
      <c r="C64" s="28">
        <f>2125*1000</f>
        <v>2125000</v>
      </c>
      <c r="D64" s="78">
        <f t="shared" si="5"/>
        <v>2125000</v>
      </c>
      <c r="E64" s="79"/>
      <c r="F64" s="77"/>
      <c r="G64" s="77"/>
      <c r="H64" s="77"/>
      <c r="I64" s="77"/>
      <c r="J64" s="77"/>
      <c r="K64" s="77"/>
      <c r="L64" s="77"/>
      <c r="M64" s="77"/>
      <c r="N64" s="77"/>
    </row>
    <row r="65" spans="1:14" x14ac:dyDescent="0.25">
      <c r="A65" s="31" t="s">
        <v>189</v>
      </c>
      <c r="B65" s="34" t="s">
        <v>14</v>
      </c>
      <c r="C65" s="28">
        <f>2408*1000</f>
        <v>2408000</v>
      </c>
      <c r="D65" s="78">
        <f t="shared" si="5"/>
        <v>2408000</v>
      </c>
      <c r="E65" s="79"/>
      <c r="F65" s="77"/>
      <c r="G65" s="77"/>
      <c r="H65" s="77"/>
      <c r="I65" s="77"/>
      <c r="J65" s="77"/>
      <c r="K65" s="77"/>
      <c r="L65" s="77"/>
      <c r="M65" s="77"/>
      <c r="N65" s="77"/>
    </row>
    <row r="66" spans="1:14" x14ac:dyDescent="0.25">
      <c r="A66" s="31" t="s">
        <v>190</v>
      </c>
      <c r="B66" s="34" t="s">
        <v>14</v>
      </c>
      <c r="C66" s="28">
        <f>2873*1000</f>
        <v>2873000</v>
      </c>
      <c r="D66" s="78">
        <f t="shared" si="5"/>
        <v>2873000</v>
      </c>
      <c r="E66" s="79"/>
      <c r="F66" s="77"/>
      <c r="G66" s="77"/>
      <c r="H66" s="77"/>
      <c r="I66" s="77"/>
      <c r="J66" s="77"/>
      <c r="K66" s="77"/>
      <c r="L66" s="77"/>
      <c r="M66" s="77"/>
      <c r="N66" s="77"/>
    </row>
    <row r="67" spans="1:14" x14ac:dyDescent="0.25">
      <c r="A67" s="31" t="s">
        <v>191</v>
      </c>
      <c r="B67" s="34" t="s">
        <v>14</v>
      </c>
      <c r="C67" s="28">
        <f>4150*1000</f>
        <v>4150000</v>
      </c>
      <c r="D67" s="78">
        <f t="shared" si="5"/>
        <v>4150000</v>
      </c>
      <c r="E67" s="79"/>
      <c r="F67" s="77"/>
      <c r="G67" s="77"/>
      <c r="H67" s="77"/>
      <c r="I67" s="77"/>
      <c r="J67" s="77"/>
      <c r="K67" s="77"/>
      <c r="L67" s="77"/>
      <c r="M67" s="77"/>
      <c r="N67" s="77"/>
    </row>
    <row r="68" spans="1:14" x14ac:dyDescent="0.25">
      <c r="A68" s="31" t="s">
        <v>192</v>
      </c>
      <c r="B68" s="34" t="s">
        <v>14</v>
      </c>
      <c r="C68" s="28">
        <f>4711*1000</f>
        <v>4711000</v>
      </c>
      <c r="D68" s="78">
        <f t="shared" si="5"/>
        <v>4711000</v>
      </c>
      <c r="E68" s="79"/>
      <c r="F68" s="77"/>
      <c r="G68" s="77"/>
      <c r="H68" s="77"/>
      <c r="I68" s="77"/>
      <c r="J68" s="77"/>
      <c r="K68" s="77"/>
      <c r="L68" s="77"/>
      <c r="M68" s="77"/>
      <c r="N68" s="77"/>
    </row>
    <row r="69" spans="1:14" x14ac:dyDescent="0.25">
      <c r="A69" s="31" t="s">
        <v>193</v>
      </c>
      <c r="B69" s="34" t="s">
        <v>14</v>
      </c>
      <c r="C69" s="28">
        <f>5643*1000</f>
        <v>5643000</v>
      </c>
      <c r="D69" s="78">
        <f t="shared" si="5"/>
        <v>5643000</v>
      </c>
      <c r="E69" s="79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30" x14ac:dyDescent="0.25">
      <c r="A70" s="31" t="s">
        <v>194</v>
      </c>
      <c r="B70" s="34" t="s">
        <v>14</v>
      </c>
      <c r="C70" s="28">
        <f>5851*1000</f>
        <v>5851000</v>
      </c>
      <c r="D70" s="78">
        <f t="shared" si="5"/>
        <v>5851000</v>
      </c>
      <c r="E70" s="79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30" x14ac:dyDescent="0.25">
      <c r="A71" s="31" t="s">
        <v>195</v>
      </c>
      <c r="B71" s="34" t="s">
        <v>14</v>
      </c>
      <c r="C71" s="28">
        <f>6869*1000</f>
        <v>6869000</v>
      </c>
      <c r="D71" s="78">
        <f t="shared" si="5"/>
        <v>6869000</v>
      </c>
      <c r="E71" s="79"/>
      <c r="F71" s="77"/>
      <c r="G71" s="77"/>
      <c r="H71" s="77"/>
      <c r="I71" s="77"/>
      <c r="J71" s="77"/>
      <c r="K71" s="77"/>
      <c r="L71" s="77"/>
      <c r="M71" s="77"/>
      <c r="N71" s="77"/>
    </row>
    <row r="72" spans="1:14" ht="30" x14ac:dyDescent="0.25">
      <c r="A72" s="31" t="s">
        <v>196</v>
      </c>
      <c r="B72" s="34" t="s">
        <v>14</v>
      </c>
      <c r="C72" s="28">
        <f>11669*1000</f>
        <v>11669000</v>
      </c>
      <c r="D72" s="78">
        <f t="shared" si="5"/>
        <v>11669000</v>
      </c>
      <c r="E72" s="79"/>
      <c r="F72" s="77"/>
      <c r="G72" s="77"/>
      <c r="H72" s="77"/>
      <c r="I72" s="77"/>
      <c r="J72" s="77"/>
      <c r="K72" s="77"/>
      <c r="L72" s="77"/>
      <c r="M72" s="77"/>
      <c r="N72" s="77"/>
    </row>
    <row r="73" spans="1:14" ht="30" x14ac:dyDescent="0.25">
      <c r="A73" s="31" t="s">
        <v>197</v>
      </c>
      <c r="B73" s="34" t="s">
        <v>14</v>
      </c>
      <c r="C73" s="28">
        <f>12688*1000</f>
        <v>12688000</v>
      </c>
      <c r="D73" s="78">
        <f t="shared" si="5"/>
        <v>12688000</v>
      </c>
      <c r="E73" s="79"/>
      <c r="F73" s="77"/>
      <c r="G73" s="77"/>
      <c r="H73" s="77"/>
      <c r="I73" s="77"/>
      <c r="J73" s="77"/>
      <c r="K73" s="77"/>
      <c r="L73" s="77"/>
      <c r="M73" s="77"/>
      <c r="N73" s="77"/>
    </row>
    <row r="74" spans="1:14" ht="30" x14ac:dyDescent="0.25">
      <c r="A74" s="31" t="s">
        <v>198</v>
      </c>
      <c r="B74" s="34" t="s">
        <v>14</v>
      </c>
      <c r="C74" s="28">
        <f>20358*1000</f>
        <v>20358000</v>
      </c>
      <c r="D74" s="78">
        <f t="shared" si="5"/>
        <v>20358000</v>
      </c>
      <c r="E74" s="79"/>
      <c r="F74" s="77"/>
      <c r="G74" s="77"/>
      <c r="H74" s="77"/>
      <c r="I74" s="77"/>
      <c r="J74" s="77"/>
      <c r="K74" s="77"/>
      <c r="L74" s="77"/>
      <c r="M74" s="77"/>
      <c r="N74" s="77"/>
    </row>
    <row r="75" spans="1:14" ht="30" x14ac:dyDescent="0.25">
      <c r="A75" s="31" t="s">
        <v>199</v>
      </c>
      <c r="B75" s="34" t="s">
        <v>14</v>
      </c>
      <c r="C75" s="28">
        <f>21753*1000</f>
        <v>21753000</v>
      </c>
      <c r="D75" s="78">
        <f t="shared" si="5"/>
        <v>21753000</v>
      </c>
      <c r="E75" s="79"/>
      <c r="F75" s="77"/>
      <c r="G75" s="77"/>
      <c r="H75" s="77"/>
      <c r="I75" s="77"/>
      <c r="J75" s="77"/>
      <c r="K75" s="77"/>
      <c r="L75" s="77"/>
      <c r="M75" s="77"/>
      <c r="N75" s="77"/>
    </row>
    <row r="76" spans="1:14" ht="30" x14ac:dyDescent="0.25">
      <c r="A76" s="31" t="s">
        <v>200</v>
      </c>
      <c r="B76" s="34" t="s">
        <v>14</v>
      </c>
      <c r="C76" s="28">
        <f>23970*1000</f>
        <v>23970000</v>
      </c>
      <c r="D76" s="78">
        <f t="shared" si="5"/>
        <v>23970000</v>
      </c>
      <c r="E76" s="79"/>
      <c r="F76" s="77"/>
      <c r="G76" s="77"/>
      <c r="H76" s="77"/>
      <c r="I76" s="77"/>
      <c r="J76" s="77"/>
      <c r="K76" s="77"/>
      <c r="L76" s="77"/>
      <c r="M76" s="77"/>
      <c r="N76" s="77"/>
    </row>
    <row r="77" spans="1:14" ht="30" x14ac:dyDescent="0.25">
      <c r="A77" s="31" t="s">
        <v>201</v>
      </c>
      <c r="B77" s="34" t="s">
        <v>14</v>
      </c>
      <c r="C77" s="28">
        <f>26315*1000</f>
        <v>26315000</v>
      </c>
      <c r="D77" s="78">
        <f t="shared" si="5"/>
        <v>26315000</v>
      </c>
      <c r="E77" s="79"/>
      <c r="F77" s="77"/>
      <c r="G77" s="77"/>
      <c r="H77" s="77"/>
      <c r="I77" s="77"/>
      <c r="J77" s="77"/>
      <c r="K77" s="77"/>
      <c r="L77" s="77"/>
      <c r="M77" s="77"/>
      <c r="N77" s="77"/>
    </row>
    <row r="78" spans="1:14" ht="30" x14ac:dyDescent="0.25">
      <c r="A78" s="31" t="s">
        <v>202</v>
      </c>
      <c r="B78" s="34" t="s">
        <v>14</v>
      </c>
      <c r="C78" s="28">
        <f>27710*1000</f>
        <v>27710000</v>
      </c>
      <c r="D78" s="78">
        <f t="shared" si="5"/>
        <v>27710000</v>
      </c>
      <c r="E78" s="79"/>
      <c r="F78" s="77"/>
      <c r="G78" s="77"/>
      <c r="H78" s="77"/>
      <c r="I78" s="77"/>
      <c r="J78" s="77"/>
      <c r="K78" s="77"/>
      <c r="L78" s="77"/>
      <c r="M78" s="77"/>
      <c r="N78" s="77"/>
    </row>
    <row r="79" spans="1:14" ht="30" x14ac:dyDescent="0.25">
      <c r="A79" s="31" t="s">
        <v>203</v>
      </c>
      <c r="B79" s="34" t="s">
        <v>14</v>
      </c>
      <c r="C79" s="28">
        <f>29926*1000</f>
        <v>29926000</v>
      </c>
      <c r="D79" s="78">
        <f t="shared" si="5"/>
        <v>29926000</v>
      </c>
      <c r="E79" s="79"/>
      <c r="F79" s="77"/>
      <c r="G79" s="77"/>
      <c r="H79" s="77"/>
      <c r="I79" s="77"/>
      <c r="J79" s="77"/>
      <c r="K79" s="77"/>
      <c r="L79" s="77"/>
      <c r="M79" s="77"/>
      <c r="N79" s="77"/>
    </row>
    <row r="80" spans="1:14" ht="75" x14ac:dyDescent="0.25">
      <c r="A80" s="29" t="s">
        <v>234</v>
      </c>
      <c r="B80" s="32" t="s">
        <v>13</v>
      </c>
      <c r="C80" s="27" t="s">
        <v>134</v>
      </c>
      <c r="D80" s="76" t="s">
        <v>134</v>
      </c>
      <c r="E80" s="79"/>
      <c r="F80" s="77"/>
      <c r="G80" s="77"/>
      <c r="H80" s="77"/>
      <c r="I80" s="77"/>
      <c r="J80" s="77"/>
      <c r="K80" s="77"/>
      <c r="L80" s="77"/>
      <c r="M80" s="77"/>
      <c r="N80" s="77"/>
    </row>
    <row r="81" spans="1:14" x14ac:dyDescent="0.25">
      <c r="A81" s="31" t="s">
        <v>204</v>
      </c>
      <c r="B81" s="34" t="s">
        <v>13</v>
      </c>
      <c r="C81" s="28">
        <f>819*1000</f>
        <v>819000</v>
      </c>
      <c r="D81" s="78">
        <f t="shared" si="5"/>
        <v>819000</v>
      </c>
      <c r="E81" s="79"/>
      <c r="F81" s="77"/>
      <c r="G81" s="77"/>
      <c r="H81" s="77"/>
      <c r="I81" s="77"/>
      <c r="J81" s="77"/>
      <c r="K81" s="77"/>
      <c r="L81" s="77"/>
      <c r="M81" s="77"/>
      <c r="N81" s="77"/>
    </row>
    <row r="82" spans="1:14" x14ac:dyDescent="0.25">
      <c r="A82" s="31" t="s">
        <v>205</v>
      </c>
      <c r="B82" s="34" t="s">
        <v>13</v>
      </c>
      <c r="C82" s="28">
        <f>837*1000</f>
        <v>837000</v>
      </c>
      <c r="D82" s="78">
        <f t="shared" si="5"/>
        <v>837000</v>
      </c>
      <c r="E82" s="79"/>
      <c r="F82" s="77"/>
      <c r="G82" s="77"/>
      <c r="H82" s="77"/>
      <c r="I82" s="77"/>
      <c r="J82" s="77"/>
      <c r="K82" s="77"/>
      <c r="L82" s="77"/>
      <c r="M82" s="77"/>
      <c r="N82" s="77"/>
    </row>
    <row r="83" spans="1:14" x14ac:dyDescent="0.25">
      <c r="A83" s="31" t="s">
        <v>206</v>
      </c>
      <c r="B83" s="34" t="s">
        <v>13</v>
      </c>
      <c r="C83" s="28">
        <f>866*1000</f>
        <v>866000</v>
      </c>
      <c r="D83" s="78">
        <f t="shared" si="5"/>
        <v>866000</v>
      </c>
      <c r="E83" s="79"/>
      <c r="F83" s="77"/>
      <c r="G83" s="77"/>
      <c r="H83" s="77"/>
      <c r="I83" s="77"/>
      <c r="J83" s="77"/>
      <c r="K83" s="77"/>
      <c r="L83" s="77"/>
      <c r="M83" s="77"/>
      <c r="N83" s="77"/>
    </row>
    <row r="84" spans="1:14" x14ac:dyDescent="0.25">
      <c r="A84" s="31" t="s">
        <v>207</v>
      </c>
      <c r="B84" s="34" t="s">
        <v>13</v>
      </c>
      <c r="C84" s="28">
        <f>1089*1000</f>
        <v>1089000</v>
      </c>
      <c r="D84" s="78">
        <f t="shared" si="5"/>
        <v>1089000</v>
      </c>
      <c r="E84" s="79"/>
      <c r="F84" s="77"/>
      <c r="G84" s="77"/>
      <c r="H84" s="77"/>
      <c r="I84" s="77"/>
      <c r="J84" s="77"/>
      <c r="K84" s="77"/>
      <c r="L84" s="77"/>
      <c r="M84" s="77"/>
      <c r="N84" s="77"/>
    </row>
    <row r="85" spans="1:14" x14ac:dyDescent="0.25">
      <c r="A85" s="31" t="s">
        <v>208</v>
      </c>
      <c r="B85" s="34" t="s">
        <v>13</v>
      </c>
      <c r="C85" s="28">
        <f>1151*1000</f>
        <v>1151000</v>
      </c>
      <c r="D85" s="78">
        <f t="shared" si="5"/>
        <v>1151000</v>
      </c>
      <c r="E85" s="79"/>
      <c r="F85" s="77"/>
      <c r="G85" s="77"/>
      <c r="H85" s="77"/>
      <c r="I85" s="77"/>
      <c r="J85" s="77"/>
      <c r="K85" s="77"/>
      <c r="L85" s="77"/>
      <c r="M85" s="77"/>
      <c r="N85" s="77"/>
    </row>
    <row r="86" spans="1:14" x14ac:dyDescent="0.25">
      <c r="A86" s="31" t="s">
        <v>209</v>
      </c>
      <c r="B86" s="34" t="s">
        <v>13</v>
      </c>
      <c r="C86" s="28">
        <f>1248*1000</f>
        <v>1248000</v>
      </c>
      <c r="D86" s="78">
        <f t="shared" si="5"/>
        <v>1248000</v>
      </c>
      <c r="E86" s="79"/>
      <c r="F86" s="77"/>
      <c r="G86" s="77"/>
      <c r="H86" s="77"/>
      <c r="I86" s="77"/>
      <c r="J86" s="77"/>
      <c r="K86" s="77"/>
      <c r="L86" s="77"/>
      <c r="M86" s="77"/>
      <c r="N86" s="77"/>
    </row>
    <row r="87" spans="1:14" x14ac:dyDescent="0.25">
      <c r="A87" s="31" t="s">
        <v>210</v>
      </c>
      <c r="B87" s="34" t="s">
        <v>13</v>
      </c>
      <c r="C87" s="28">
        <f>1414*1000</f>
        <v>1414000</v>
      </c>
      <c r="D87" s="78">
        <f t="shared" si="5"/>
        <v>1414000</v>
      </c>
      <c r="E87" s="79"/>
      <c r="F87" s="77"/>
      <c r="G87" s="77"/>
      <c r="H87" s="77"/>
      <c r="I87" s="77"/>
      <c r="J87" s="77"/>
      <c r="K87" s="77"/>
      <c r="L87" s="77"/>
      <c r="M87" s="77"/>
      <c r="N87" s="77"/>
    </row>
    <row r="88" spans="1:14" x14ac:dyDescent="0.25">
      <c r="A88" s="31" t="s">
        <v>211</v>
      </c>
      <c r="B88" s="34" t="s">
        <v>13</v>
      </c>
      <c r="C88" s="28">
        <f>1805*1000</f>
        <v>1805000</v>
      </c>
      <c r="D88" s="78">
        <f t="shared" si="5"/>
        <v>1805000</v>
      </c>
      <c r="E88" s="79"/>
      <c r="F88" s="77"/>
      <c r="G88" s="77"/>
      <c r="H88" s="77"/>
      <c r="I88" s="77"/>
      <c r="J88" s="77"/>
      <c r="K88" s="77"/>
      <c r="L88" s="77"/>
      <c r="M88" s="77"/>
      <c r="N88" s="77"/>
    </row>
    <row r="89" spans="1:14" x14ac:dyDescent="0.25">
      <c r="A89" s="31" t="s">
        <v>212</v>
      </c>
      <c r="B89" s="34" t="s">
        <v>13</v>
      </c>
      <c r="C89" s="28">
        <f>2279*1000</f>
        <v>2279000</v>
      </c>
      <c r="D89" s="78">
        <f t="shared" si="5"/>
        <v>2279000</v>
      </c>
      <c r="E89" s="79"/>
      <c r="F89" s="77"/>
      <c r="G89" s="77"/>
      <c r="H89" s="77"/>
      <c r="I89" s="77"/>
      <c r="J89" s="77"/>
      <c r="K89" s="77"/>
      <c r="L89" s="77"/>
      <c r="M89" s="77"/>
      <c r="N89" s="77"/>
    </row>
    <row r="90" spans="1:14" x14ac:dyDescent="0.25">
      <c r="A90" s="31" t="s">
        <v>213</v>
      </c>
      <c r="B90" s="34" t="s">
        <v>13</v>
      </c>
      <c r="C90" s="28">
        <f>1681*1000</f>
        <v>1681000</v>
      </c>
      <c r="D90" s="78">
        <f t="shared" si="5"/>
        <v>1681000</v>
      </c>
      <c r="E90" s="79"/>
      <c r="F90" s="77"/>
      <c r="G90" s="77"/>
      <c r="H90" s="77"/>
      <c r="I90" s="77"/>
      <c r="J90" s="77"/>
      <c r="K90" s="77"/>
      <c r="L90" s="77"/>
      <c r="M90" s="77"/>
      <c r="N90" s="77"/>
    </row>
    <row r="91" spans="1:14" x14ac:dyDescent="0.25">
      <c r="A91" s="31" t="s">
        <v>214</v>
      </c>
      <c r="B91" s="34" t="s">
        <v>13</v>
      </c>
      <c r="C91" s="28">
        <f>1860*1000</f>
        <v>1860000</v>
      </c>
      <c r="D91" s="78">
        <f t="shared" si="5"/>
        <v>1860000</v>
      </c>
      <c r="E91" s="79"/>
      <c r="F91" s="77"/>
      <c r="G91" s="77"/>
      <c r="H91" s="77"/>
      <c r="I91" s="77"/>
      <c r="J91" s="77"/>
      <c r="K91" s="77"/>
      <c r="L91" s="77"/>
      <c r="M91" s="77"/>
      <c r="N91" s="77"/>
    </row>
    <row r="92" spans="1:14" x14ac:dyDescent="0.25">
      <c r="A92" s="31" t="s">
        <v>215</v>
      </c>
      <c r="B92" s="34" t="s">
        <v>13</v>
      </c>
      <c r="C92" s="28">
        <f>2076*1000</f>
        <v>2076000</v>
      </c>
      <c r="D92" s="78">
        <f t="shared" si="5"/>
        <v>2076000</v>
      </c>
      <c r="E92" s="79"/>
      <c r="F92" s="77"/>
      <c r="G92" s="77"/>
      <c r="H92" s="77"/>
      <c r="I92" s="77"/>
      <c r="J92" s="77"/>
      <c r="K92" s="77"/>
      <c r="L92" s="77"/>
      <c r="M92" s="77"/>
      <c r="N92" s="77"/>
    </row>
    <row r="93" spans="1:14" x14ac:dyDescent="0.25">
      <c r="A93" s="31" t="s">
        <v>216</v>
      </c>
      <c r="B93" s="34" t="s">
        <v>13</v>
      </c>
      <c r="C93" s="28">
        <f>2644*1000</f>
        <v>2644000</v>
      </c>
      <c r="D93" s="78">
        <f t="shared" si="5"/>
        <v>2644000</v>
      </c>
      <c r="E93" s="79"/>
      <c r="F93" s="77"/>
      <c r="G93" s="77"/>
      <c r="H93" s="77"/>
      <c r="I93" s="77"/>
      <c r="J93" s="77"/>
      <c r="K93" s="77"/>
      <c r="L93" s="77"/>
      <c r="M93" s="77"/>
      <c r="N93" s="77"/>
    </row>
    <row r="94" spans="1:14" x14ac:dyDescent="0.25">
      <c r="A94" s="31" t="s">
        <v>217</v>
      </c>
      <c r="B94" s="34" t="s">
        <v>13</v>
      </c>
      <c r="C94" s="28">
        <f>7306*1000</f>
        <v>7306000</v>
      </c>
      <c r="D94" s="78">
        <f>C94</f>
        <v>7306000</v>
      </c>
      <c r="E94" s="79"/>
      <c r="F94" s="77"/>
      <c r="G94" s="77"/>
      <c r="H94" s="77"/>
      <c r="I94" s="77"/>
      <c r="J94" s="77"/>
      <c r="K94" s="77"/>
      <c r="L94" s="77"/>
      <c r="M94" s="77"/>
      <c r="N94" s="77"/>
    </row>
    <row r="95" spans="1:14" x14ac:dyDescent="0.25">
      <c r="A95" s="31" t="s">
        <v>218</v>
      </c>
      <c r="B95" s="34" t="s">
        <v>13</v>
      </c>
      <c r="C95" s="28">
        <f>99623.7014926608*1000</f>
        <v>99623701.492660791</v>
      </c>
      <c r="D95" s="78">
        <f t="shared" ref="D95" si="6">C95</f>
        <v>99623701.492660791</v>
      </c>
      <c r="E95" s="79"/>
      <c r="F95" s="77"/>
      <c r="G95" s="77"/>
      <c r="H95" s="77"/>
      <c r="I95" s="77"/>
      <c r="J95" s="77"/>
      <c r="K95" s="77"/>
      <c r="L95" s="77"/>
      <c r="M95" s="77"/>
      <c r="N95" s="77"/>
    </row>
    <row r="96" spans="1:14" x14ac:dyDescent="0.25">
      <c r="A96" s="31" t="s">
        <v>219</v>
      </c>
      <c r="B96" s="34" t="s">
        <v>13</v>
      </c>
      <c r="C96" s="28">
        <f>107302.453216661*1000</f>
        <v>107302453.21666101</v>
      </c>
      <c r="D96" s="78">
        <f>C96</f>
        <v>107302453.21666101</v>
      </c>
      <c r="E96" s="79"/>
      <c r="F96" s="77"/>
      <c r="G96" s="77"/>
      <c r="H96" s="77"/>
      <c r="I96" s="77"/>
      <c r="J96" s="77"/>
      <c r="K96" s="77"/>
      <c r="L96" s="77"/>
      <c r="M96" s="77"/>
      <c r="N96" s="77"/>
    </row>
    <row r="97" spans="1:14" x14ac:dyDescent="0.25">
      <c r="A97" s="31" t="s">
        <v>220</v>
      </c>
      <c r="B97" s="34" t="s">
        <v>13</v>
      </c>
      <c r="C97" s="28">
        <f>137783.657643005*1000</f>
        <v>137783657.64300498</v>
      </c>
      <c r="D97" s="78">
        <f t="shared" ref="D97:D109" si="7">C97</f>
        <v>137783657.64300498</v>
      </c>
      <c r="E97" s="79"/>
      <c r="F97" s="77"/>
      <c r="G97" s="77"/>
      <c r="H97" s="77"/>
      <c r="I97" s="77"/>
      <c r="J97" s="77"/>
      <c r="K97" s="77"/>
      <c r="L97" s="77"/>
      <c r="M97" s="77"/>
      <c r="N97" s="77"/>
    </row>
    <row r="98" spans="1:14" x14ac:dyDescent="0.25">
      <c r="A98" s="31" t="s">
        <v>221</v>
      </c>
      <c r="B98" s="34" t="s">
        <v>13</v>
      </c>
      <c r="C98" s="28">
        <f>153141.161091005*1000</f>
        <v>153141161.091005</v>
      </c>
      <c r="D98" s="78">
        <f t="shared" si="7"/>
        <v>153141161.091005</v>
      </c>
      <c r="E98" s="79"/>
      <c r="F98" s="77"/>
      <c r="G98" s="77"/>
      <c r="H98" s="77"/>
      <c r="I98" s="77"/>
      <c r="J98" s="77"/>
      <c r="K98" s="77"/>
      <c r="L98" s="77"/>
      <c r="M98" s="77"/>
      <c r="N98" s="77"/>
    </row>
    <row r="99" spans="1:14" x14ac:dyDescent="0.25">
      <c r="A99" s="31" t="s">
        <v>222</v>
      </c>
      <c r="B99" s="34" t="s">
        <v>13</v>
      </c>
      <c r="C99" s="28">
        <f>159723.311757005*1000</f>
        <v>159723311.75700501</v>
      </c>
      <c r="D99" s="78">
        <f t="shared" si="7"/>
        <v>159723311.75700501</v>
      </c>
      <c r="E99" s="79"/>
      <c r="F99" s="77"/>
      <c r="G99" s="77"/>
      <c r="H99" s="77"/>
      <c r="I99" s="77"/>
      <c r="J99" s="77"/>
      <c r="K99" s="77"/>
      <c r="L99" s="77"/>
      <c r="M99" s="77"/>
      <c r="N99" s="77"/>
    </row>
    <row r="100" spans="1:14" x14ac:dyDescent="0.25">
      <c r="A100" s="31" t="s">
        <v>223</v>
      </c>
      <c r="B100" s="34" t="s">
        <v>13</v>
      </c>
      <c r="C100" s="28">
        <f>276561.207823849*1000</f>
        <v>276561207.82384896</v>
      </c>
      <c r="D100" s="78">
        <f t="shared" si="7"/>
        <v>276561207.82384896</v>
      </c>
      <c r="E100" s="79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x14ac:dyDescent="0.25">
      <c r="A101" s="31" t="s">
        <v>224</v>
      </c>
      <c r="B101" s="34" t="s">
        <v>13</v>
      </c>
      <c r="C101" s="28">
        <f>278040.728740849*1000</f>
        <v>278040728.74084902</v>
      </c>
      <c r="D101" s="78">
        <f t="shared" si="7"/>
        <v>278040728.74084902</v>
      </c>
      <c r="E101" s="79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x14ac:dyDescent="0.25">
      <c r="A102" s="31" t="s">
        <v>225</v>
      </c>
      <c r="B102" s="34" t="s">
        <v>13</v>
      </c>
      <c r="C102" s="28">
        <f>280889.092741849*1000</f>
        <v>280889092.74184901</v>
      </c>
      <c r="D102" s="78">
        <f t="shared" si="7"/>
        <v>280889092.74184901</v>
      </c>
      <c r="E102" s="79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x14ac:dyDescent="0.25">
      <c r="A103" s="31" t="s">
        <v>226</v>
      </c>
      <c r="B103" s="34" t="s">
        <v>13</v>
      </c>
      <c r="C103" s="28">
        <f>284382.441355849*1000</f>
        <v>284382441.35584897</v>
      </c>
      <c r="D103" s="78">
        <f t="shared" si="7"/>
        <v>284382441.35584897</v>
      </c>
      <c r="E103" s="79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x14ac:dyDescent="0.25">
      <c r="A104" s="31" t="s">
        <v>227</v>
      </c>
      <c r="B104" s="34" t="s">
        <v>13</v>
      </c>
      <c r="C104" s="28">
        <f>294826.866745849*1000</f>
        <v>294826866.74584901</v>
      </c>
      <c r="D104" s="78">
        <f t="shared" si="7"/>
        <v>294826866.74584901</v>
      </c>
      <c r="E104" s="79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x14ac:dyDescent="0.25">
      <c r="A105" s="31" t="s">
        <v>228</v>
      </c>
      <c r="B105" s="34" t="s">
        <v>13</v>
      </c>
      <c r="C105" s="28">
        <f>355543.484302465*1000</f>
        <v>355543484.30246496</v>
      </c>
      <c r="D105" s="78">
        <f t="shared" si="7"/>
        <v>355543484.30246496</v>
      </c>
      <c r="E105" s="79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x14ac:dyDescent="0.25">
      <c r="A106" s="31" t="s">
        <v>229</v>
      </c>
      <c r="B106" s="34" t="s">
        <v>13</v>
      </c>
      <c r="C106" s="28">
        <f>358502.526136465*1000</f>
        <v>358502526.13646501</v>
      </c>
      <c r="D106" s="78">
        <f t="shared" si="7"/>
        <v>358502526.13646501</v>
      </c>
      <c r="E106" s="79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x14ac:dyDescent="0.25">
      <c r="A107" s="31" t="s">
        <v>230</v>
      </c>
      <c r="B107" s="34" t="s">
        <v>13</v>
      </c>
      <c r="C107" s="28">
        <f>364199.254138465*1000</f>
        <v>364199254.13846499</v>
      </c>
      <c r="D107" s="78">
        <f t="shared" si="7"/>
        <v>364199254.13846499</v>
      </c>
      <c r="E107" s="79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x14ac:dyDescent="0.25">
      <c r="A108" s="31" t="s">
        <v>231</v>
      </c>
      <c r="B108" s="34" t="s">
        <v>13</v>
      </c>
      <c r="C108" s="28">
        <f>371185.951366465*1000</f>
        <v>371185951.36646503</v>
      </c>
      <c r="D108" s="78">
        <f t="shared" si="7"/>
        <v>371185951.36646503</v>
      </c>
      <c r="E108" s="79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.75" thickBot="1" x14ac:dyDescent="0.3">
      <c r="A109" s="80" t="s">
        <v>232</v>
      </c>
      <c r="B109" s="81" t="s">
        <v>13</v>
      </c>
      <c r="C109" s="82">
        <f>392074.802146465*1000</f>
        <v>392074802.146465</v>
      </c>
      <c r="D109" s="83">
        <f t="shared" si="7"/>
        <v>392074802.146465</v>
      </c>
      <c r="E109" s="79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x14ac:dyDescent="0.25">
      <c r="A110" s="84"/>
      <c r="B110" s="85"/>
      <c r="C110" s="79"/>
      <c r="D110" s="79"/>
      <c r="E110" s="79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x14ac:dyDescent="0.25">
      <c r="A111" t="s">
        <v>15</v>
      </c>
    </row>
    <row r="113" spans="1:14" x14ac:dyDescent="0.25">
      <c r="A113" s="107" t="s">
        <v>16</v>
      </c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</row>
  </sheetData>
  <customSheetViews>
    <customSheetView guid="{1F1EC9A1-559B-45BE-A366-DE40EA2885B6}" scale="93" showPageBreaks="1" fitToPage="1" printArea="1" hiddenRows="1" view="pageBreakPreview" topLeftCell="A3">
      <selection activeCell="A111" sqref="A111:XFD1445"/>
      <pageMargins left="0.98425196850393704" right="0.59055118110236227" top="0.78740157480314965" bottom="0.78740157480314965" header="0" footer="0"/>
      <pageSetup paperSize="9" scale="48" fitToHeight="110" orientation="landscape" r:id="rId1"/>
    </customSheetView>
    <customSheetView guid="{590CC574-4B1C-4AB8-AB4D-7FAB395FC0A2}" scale="93" showPageBreaks="1" fitToPage="1" printArea="1" hiddenRows="1" view="pageBreakPreview" topLeftCell="A3">
      <selection activeCell="A24" sqref="A24"/>
      <pageMargins left="0.98425196850393704" right="0.59055118110236227" top="0.78740157480314965" bottom="0.78740157480314965" header="0" footer="0"/>
      <pageSetup paperSize="9" scale="48" fitToHeight="110" orientation="landscape" r:id="rId2"/>
    </customSheetView>
  </customSheetViews>
  <mergeCells count="24">
    <mergeCell ref="A16:N16"/>
    <mergeCell ref="C19:N19"/>
    <mergeCell ref="C20:H20"/>
    <mergeCell ref="I20:N20"/>
    <mergeCell ref="A19:A23"/>
    <mergeCell ref="B19:B23"/>
    <mergeCell ref="C21:E21"/>
    <mergeCell ref="F21:H21"/>
    <mergeCell ref="I21:K21"/>
    <mergeCell ref="L21:N21"/>
    <mergeCell ref="A17:N17"/>
    <mergeCell ref="A11:N11"/>
    <mergeCell ref="A12:N12"/>
    <mergeCell ref="A13:N13"/>
    <mergeCell ref="A14:N14"/>
    <mergeCell ref="A15:N15"/>
    <mergeCell ref="A113:N113"/>
    <mergeCell ref="I22:K22"/>
    <mergeCell ref="L22:N22"/>
    <mergeCell ref="C32:D32"/>
    <mergeCell ref="B32:B33"/>
    <mergeCell ref="A32:A33"/>
    <mergeCell ref="C22:E22"/>
    <mergeCell ref="F22:H22"/>
  </mergeCells>
  <pageMargins left="0.98425196850393704" right="0.59055118110236227" top="0.78740157480314965" bottom="0.78740157480314965" header="0" footer="0"/>
  <pageSetup paperSize="9" scale="48" fitToHeight="11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view="pageBreakPreview" topLeftCell="A3" zoomScaleNormal="100" zoomScaleSheetLayoutView="100" workbookViewId="0">
      <selection activeCell="A11" sqref="A11:E11"/>
    </sheetView>
  </sheetViews>
  <sheetFormatPr defaultRowHeight="15" outlineLevelRow="1" x14ac:dyDescent="0.25"/>
  <cols>
    <col min="1" max="1" width="4.42578125" customWidth="1"/>
    <col min="2" max="2" width="56.5703125" customWidth="1"/>
    <col min="3" max="3" width="15.140625" customWidth="1"/>
    <col min="4" max="5" width="15" customWidth="1"/>
  </cols>
  <sheetData>
    <row r="1" spans="1:5" hidden="1" outlineLevel="1" x14ac:dyDescent="0.25">
      <c r="C1" t="s">
        <v>153</v>
      </c>
    </row>
    <row r="2" spans="1:5" hidden="1" outlineLevel="1" x14ac:dyDescent="0.25">
      <c r="C2" t="s">
        <v>151</v>
      </c>
    </row>
    <row r="3" spans="1:5" collapsed="1" x14ac:dyDescent="0.25">
      <c r="C3" t="s">
        <v>143</v>
      </c>
    </row>
    <row r="4" spans="1:5" x14ac:dyDescent="0.25">
      <c r="C4" t="s">
        <v>1</v>
      </c>
    </row>
    <row r="5" spans="1:5" x14ac:dyDescent="0.25">
      <c r="C5" t="s">
        <v>2</v>
      </c>
    </row>
    <row r="6" spans="1:5" x14ac:dyDescent="0.25">
      <c r="C6" t="s">
        <v>3</v>
      </c>
    </row>
    <row r="8" spans="1:5" hidden="1" outlineLevel="1" x14ac:dyDescent="0.25">
      <c r="C8" t="s">
        <v>4</v>
      </c>
    </row>
    <row r="9" spans="1:5" collapsed="1" x14ac:dyDescent="0.25"/>
    <row r="10" spans="1:5" x14ac:dyDescent="0.25">
      <c r="A10" s="115" t="s">
        <v>24</v>
      </c>
      <c r="B10" s="115"/>
      <c r="C10" s="115"/>
      <c r="D10" s="115"/>
      <c r="E10" s="115"/>
    </row>
    <row r="11" spans="1:5" x14ac:dyDescent="0.25">
      <c r="A11" s="115" t="s">
        <v>235</v>
      </c>
      <c r="B11" s="115"/>
      <c r="C11" s="115"/>
      <c r="D11" s="115"/>
      <c r="E11" s="115"/>
    </row>
    <row r="13" spans="1:5" ht="86.25" customHeight="1" x14ac:dyDescent="0.25">
      <c r="A13" s="64" t="s">
        <v>41</v>
      </c>
      <c r="B13" s="67" t="s">
        <v>25</v>
      </c>
      <c r="C13" s="86" t="s">
        <v>26</v>
      </c>
      <c r="D13" s="86" t="s">
        <v>27</v>
      </c>
      <c r="E13" s="86" t="s">
        <v>28</v>
      </c>
    </row>
    <row r="14" spans="1:5" ht="30" x14ac:dyDescent="0.25">
      <c r="A14" s="123">
        <v>1</v>
      </c>
      <c r="B14" s="45" t="s">
        <v>29</v>
      </c>
      <c r="C14" s="87">
        <f>C17+C18+C19+C21+C22+C23</f>
        <v>26430806.778414104</v>
      </c>
      <c r="D14" s="88" t="s">
        <v>134</v>
      </c>
      <c r="E14" s="88" t="s">
        <v>134</v>
      </c>
    </row>
    <row r="15" spans="1:5" x14ac:dyDescent="0.25">
      <c r="A15" s="124"/>
      <c r="B15" s="44" t="s">
        <v>149</v>
      </c>
      <c r="C15" s="89"/>
      <c r="D15" s="89"/>
      <c r="E15" s="90"/>
    </row>
    <row r="16" spans="1:5" x14ac:dyDescent="0.25">
      <c r="A16" s="124"/>
      <c r="B16" s="46" t="s">
        <v>135</v>
      </c>
      <c r="C16" s="91" t="s">
        <v>134</v>
      </c>
      <c r="D16" s="91" t="s">
        <v>134</v>
      </c>
      <c r="E16" s="91" t="s">
        <v>134</v>
      </c>
    </row>
    <row r="17" spans="1:11" x14ac:dyDescent="0.25">
      <c r="A17" s="124"/>
      <c r="B17" s="43" t="s">
        <v>136</v>
      </c>
      <c r="C17" s="92">
        <v>21031489.093587305</v>
      </c>
      <c r="D17" s="92">
        <v>16067</v>
      </c>
      <c r="E17" s="92">
        <v>1308.986686599073</v>
      </c>
    </row>
    <row r="18" spans="1:11" x14ac:dyDescent="0.25">
      <c r="A18" s="124"/>
      <c r="B18" s="43" t="s">
        <v>137</v>
      </c>
      <c r="C18" s="92">
        <v>2134770.6585419793</v>
      </c>
      <c r="D18" s="92">
        <v>4409</v>
      </c>
      <c r="E18" s="92">
        <v>484.18477172646391</v>
      </c>
    </row>
    <row r="19" spans="1:11" x14ac:dyDescent="0.25">
      <c r="A19" s="124"/>
      <c r="B19" s="43" t="s">
        <v>138</v>
      </c>
      <c r="C19" s="92">
        <v>130700.24440052934</v>
      </c>
      <c r="D19" s="92">
        <v>1875</v>
      </c>
      <c r="E19" s="92">
        <v>69.706797013615642</v>
      </c>
    </row>
    <row r="20" spans="1:11" ht="15.75" x14ac:dyDescent="0.25">
      <c r="A20" s="124"/>
      <c r="B20" s="47" t="s">
        <v>139</v>
      </c>
      <c r="C20" s="91" t="s">
        <v>134</v>
      </c>
      <c r="D20" s="91" t="s">
        <v>134</v>
      </c>
      <c r="E20" s="91" t="s">
        <v>134</v>
      </c>
    </row>
    <row r="21" spans="1:11" x14ac:dyDescent="0.25">
      <c r="A21" s="124"/>
      <c r="B21" s="43" t="s">
        <v>140</v>
      </c>
      <c r="C21" s="92">
        <v>1528730.2148563585</v>
      </c>
      <c r="D21" s="92">
        <v>2874</v>
      </c>
      <c r="E21" s="92">
        <v>531.91726334598411</v>
      </c>
    </row>
    <row r="22" spans="1:11" x14ac:dyDescent="0.25">
      <c r="A22" s="124"/>
      <c r="B22" s="43" t="s">
        <v>138</v>
      </c>
      <c r="C22" s="92">
        <v>1240290.5516759134</v>
      </c>
      <c r="D22" s="92">
        <v>15203</v>
      </c>
      <c r="E22" s="92">
        <v>81.581960907446785</v>
      </c>
    </row>
    <row r="23" spans="1:11" x14ac:dyDescent="0.25">
      <c r="A23" s="125"/>
      <c r="B23" s="43" t="s">
        <v>141</v>
      </c>
      <c r="C23" s="92">
        <v>364826.01535201375</v>
      </c>
      <c r="D23" s="92">
        <v>8900</v>
      </c>
      <c r="E23" s="92">
        <v>40.991687118203792</v>
      </c>
    </row>
    <row r="24" spans="1:11" ht="30" x14ac:dyDescent="0.25">
      <c r="A24" s="123">
        <v>2</v>
      </c>
      <c r="B24" s="45" t="s">
        <v>30</v>
      </c>
      <c r="C24" s="93">
        <f>C26+C32+C38+C45+C51</f>
        <v>0</v>
      </c>
      <c r="D24" s="88" t="s">
        <v>134</v>
      </c>
      <c r="E24" s="88" t="s">
        <v>134</v>
      </c>
      <c r="K24" s="4"/>
    </row>
    <row r="25" spans="1:11" hidden="1" outlineLevel="1" x14ac:dyDescent="0.25">
      <c r="A25" s="124"/>
      <c r="B25" s="46" t="s">
        <v>135</v>
      </c>
      <c r="C25" s="91" t="s">
        <v>134</v>
      </c>
      <c r="D25" s="91" t="s">
        <v>134</v>
      </c>
      <c r="E25" s="91" t="s">
        <v>134</v>
      </c>
      <c r="K25" s="4"/>
    </row>
    <row r="26" spans="1:11" s="49" customFormat="1" hidden="1" outlineLevel="1" x14ac:dyDescent="0.25">
      <c r="A26" s="124"/>
      <c r="B26" s="48" t="s">
        <v>136</v>
      </c>
      <c r="C26" s="94">
        <f>C27+C28+C30</f>
        <v>0</v>
      </c>
      <c r="D26" s="94"/>
      <c r="E26" s="94">
        <f>E27+E28+E30</f>
        <v>0</v>
      </c>
      <c r="K26" s="50"/>
    </row>
    <row r="27" spans="1:11" hidden="1" outlineLevel="1" x14ac:dyDescent="0.25">
      <c r="A27" s="124"/>
      <c r="B27" s="42" t="s">
        <v>32</v>
      </c>
      <c r="C27" s="92"/>
      <c r="D27" s="92"/>
      <c r="E27" s="92"/>
      <c r="K27" s="4"/>
    </row>
    <row r="28" spans="1:11" hidden="1" outlineLevel="1" x14ac:dyDescent="0.25">
      <c r="A28" s="124"/>
      <c r="B28" s="42" t="s">
        <v>33</v>
      </c>
      <c r="C28" s="92"/>
      <c r="D28" s="92"/>
      <c r="E28" s="92"/>
      <c r="K28" s="4"/>
    </row>
    <row r="29" spans="1:11" hidden="1" outlineLevel="1" x14ac:dyDescent="0.25">
      <c r="A29" s="124"/>
      <c r="B29" s="42" t="s">
        <v>34</v>
      </c>
      <c r="C29" s="88" t="s">
        <v>134</v>
      </c>
      <c r="D29" s="88" t="s">
        <v>134</v>
      </c>
      <c r="E29" s="88" t="s">
        <v>134</v>
      </c>
      <c r="K29" s="4"/>
    </row>
    <row r="30" spans="1:11" ht="45" hidden="1" outlineLevel="1" x14ac:dyDescent="0.25">
      <c r="A30" s="124"/>
      <c r="B30" s="42" t="s">
        <v>35</v>
      </c>
      <c r="C30" s="92"/>
      <c r="D30" s="92"/>
      <c r="E30" s="92"/>
      <c r="K30" s="4"/>
    </row>
    <row r="31" spans="1:11" ht="30" hidden="1" outlineLevel="1" x14ac:dyDescent="0.25">
      <c r="A31" s="124"/>
      <c r="B31" s="42" t="s">
        <v>36</v>
      </c>
      <c r="C31" s="88" t="s">
        <v>134</v>
      </c>
      <c r="D31" s="88" t="s">
        <v>134</v>
      </c>
      <c r="E31" s="88" t="s">
        <v>134</v>
      </c>
      <c r="K31" s="4"/>
    </row>
    <row r="32" spans="1:11" s="49" customFormat="1" hidden="1" outlineLevel="1" x14ac:dyDescent="0.25">
      <c r="A32" s="124"/>
      <c r="B32" s="48" t="s">
        <v>137</v>
      </c>
      <c r="C32" s="94">
        <f>C33+C34+C36</f>
        <v>0</v>
      </c>
      <c r="D32" s="94"/>
      <c r="E32" s="94">
        <f>E33+E34+E36</f>
        <v>0</v>
      </c>
      <c r="K32" s="50"/>
    </row>
    <row r="33" spans="1:11" hidden="1" outlineLevel="1" x14ac:dyDescent="0.25">
      <c r="A33" s="124"/>
      <c r="B33" s="42" t="s">
        <v>32</v>
      </c>
      <c r="C33" s="92"/>
      <c r="D33" s="92"/>
      <c r="E33" s="92"/>
      <c r="K33" s="4"/>
    </row>
    <row r="34" spans="1:11" hidden="1" outlineLevel="1" x14ac:dyDescent="0.25">
      <c r="A34" s="124"/>
      <c r="B34" s="42" t="s">
        <v>33</v>
      </c>
      <c r="C34" s="92"/>
      <c r="D34" s="92"/>
      <c r="E34" s="92"/>
      <c r="K34" s="4"/>
    </row>
    <row r="35" spans="1:11" hidden="1" outlineLevel="1" x14ac:dyDescent="0.25">
      <c r="A35" s="124"/>
      <c r="B35" s="42" t="s">
        <v>34</v>
      </c>
      <c r="C35" s="88" t="s">
        <v>134</v>
      </c>
      <c r="D35" s="88" t="s">
        <v>134</v>
      </c>
      <c r="E35" s="88" t="s">
        <v>134</v>
      </c>
      <c r="K35" s="4"/>
    </row>
    <row r="36" spans="1:11" ht="45" hidden="1" outlineLevel="1" x14ac:dyDescent="0.25">
      <c r="A36" s="124"/>
      <c r="B36" s="42" t="s">
        <v>35</v>
      </c>
      <c r="C36" s="92"/>
      <c r="D36" s="92"/>
      <c r="E36" s="92"/>
      <c r="K36" s="4"/>
    </row>
    <row r="37" spans="1:11" ht="30" hidden="1" outlineLevel="1" x14ac:dyDescent="0.25">
      <c r="A37" s="124"/>
      <c r="B37" s="42" t="s">
        <v>36</v>
      </c>
      <c r="C37" s="88" t="s">
        <v>134</v>
      </c>
      <c r="D37" s="88" t="s">
        <v>134</v>
      </c>
      <c r="E37" s="88" t="s">
        <v>134</v>
      </c>
      <c r="K37" s="4"/>
    </row>
    <row r="38" spans="1:11" s="49" customFormat="1" hidden="1" outlineLevel="1" x14ac:dyDescent="0.25">
      <c r="A38" s="124"/>
      <c r="B38" s="48" t="s">
        <v>138</v>
      </c>
      <c r="C38" s="94">
        <f>C39+C40+C42</f>
        <v>0</v>
      </c>
      <c r="D38" s="94"/>
      <c r="E38" s="94">
        <f>E39+E40+E42</f>
        <v>0</v>
      </c>
      <c r="K38" s="50"/>
    </row>
    <row r="39" spans="1:11" hidden="1" outlineLevel="1" x14ac:dyDescent="0.25">
      <c r="A39" s="124"/>
      <c r="B39" s="42" t="s">
        <v>32</v>
      </c>
      <c r="C39" s="92"/>
      <c r="D39" s="92"/>
      <c r="E39" s="92"/>
      <c r="K39" s="4"/>
    </row>
    <row r="40" spans="1:11" hidden="1" outlineLevel="1" x14ac:dyDescent="0.25">
      <c r="A40" s="124"/>
      <c r="B40" s="42" t="s">
        <v>33</v>
      </c>
      <c r="C40" s="92"/>
      <c r="D40" s="92"/>
      <c r="E40" s="92"/>
      <c r="K40" s="4"/>
    </row>
    <row r="41" spans="1:11" hidden="1" outlineLevel="1" x14ac:dyDescent="0.25">
      <c r="A41" s="124"/>
      <c r="B41" s="42" t="s">
        <v>34</v>
      </c>
      <c r="C41" s="88" t="s">
        <v>134</v>
      </c>
      <c r="D41" s="88" t="s">
        <v>134</v>
      </c>
      <c r="E41" s="88" t="s">
        <v>134</v>
      </c>
      <c r="K41" s="4"/>
    </row>
    <row r="42" spans="1:11" ht="45" hidden="1" outlineLevel="1" x14ac:dyDescent="0.25">
      <c r="A42" s="124"/>
      <c r="B42" s="42" t="s">
        <v>35</v>
      </c>
      <c r="C42" s="92"/>
      <c r="D42" s="92"/>
      <c r="E42" s="92"/>
      <c r="K42" s="4"/>
    </row>
    <row r="43" spans="1:11" ht="30" hidden="1" outlineLevel="1" x14ac:dyDescent="0.25">
      <c r="A43" s="124"/>
      <c r="B43" s="42" t="s">
        <v>36</v>
      </c>
      <c r="C43" s="88" t="s">
        <v>134</v>
      </c>
      <c r="D43" s="88" t="s">
        <v>134</v>
      </c>
      <c r="E43" s="88" t="s">
        <v>134</v>
      </c>
      <c r="K43" s="4"/>
    </row>
    <row r="44" spans="1:11" ht="15.75" hidden="1" outlineLevel="1" x14ac:dyDescent="0.25">
      <c r="A44" s="124"/>
      <c r="B44" s="47" t="s">
        <v>139</v>
      </c>
      <c r="C44" s="91" t="s">
        <v>134</v>
      </c>
      <c r="D44" s="91" t="s">
        <v>134</v>
      </c>
      <c r="E44" s="91" t="s">
        <v>134</v>
      </c>
      <c r="K44" s="4"/>
    </row>
    <row r="45" spans="1:11" s="49" customFormat="1" hidden="1" outlineLevel="1" x14ac:dyDescent="0.25">
      <c r="A45" s="124"/>
      <c r="B45" s="48" t="s">
        <v>140</v>
      </c>
      <c r="C45" s="94">
        <f>C46+C47</f>
        <v>0</v>
      </c>
      <c r="D45" s="94"/>
      <c r="E45" s="94">
        <f>E46+E47</f>
        <v>0</v>
      </c>
      <c r="K45" s="50"/>
    </row>
    <row r="46" spans="1:11" hidden="1" outlineLevel="1" x14ac:dyDescent="0.25">
      <c r="A46" s="124"/>
      <c r="B46" s="42" t="s">
        <v>32</v>
      </c>
      <c r="C46" s="92"/>
      <c r="D46" s="92"/>
      <c r="E46" s="92"/>
      <c r="K46" s="4"/>
    </row>
    <row r="47" spans="1:11" hidden="1" outlineLevel="1" x14ac:dyDescent="0.25">
      <c r="A47" s="124"/>
      <c r="B47" s="42" t="s">
        <v>33</v>
      </c>
      <c r="C47" s="92"/>
      <c r="D47" s="92"/>
      <c r="E47" s="92"/>
      <c r="K47" s="4"/>
    </row>
    <row r="48" spans="1:11" hidden="1" outlineLevel="1" x14ac:dyDescent="0.25">
      <c r="A48" s="124"/>
      <c r="B48" s="42" t="s">
        <v>34</v>
      </c>
      <c r="C48" s="88" t="s">
        <v>134</v>
      </c>
      <c r="D48" s="88" t="s">
        <v>134</v>
      </c>
      <c r="E48" s="88" t="s">
        <v>134</v>
      </c>
      <c r="K48" s="4"/>
    </row>
    <row r="49" spans="1:11" ht="45" hidden="1" outlineLevel="1" x14ac:dyDescent="0.25">
      <c r="A49" s="124"/>
      <c r="B49" s="42" t="s">
        <v>35</v>
      </c>
      <c r="C49" s="88" t="s">
        <v>134</v>
      </c>
      <c r="D49" s="88" t="s">
        <v>134</v>
      </c>
      <c r="E49" s="88" t="s">
        <v>134</v>
      </c>
      <c r="K49" s="4"/>
    </row>
    <row r="50" spans="1:11" ht="30" hidden="1" outlineLevel="1" x14ac:dyDescent="0.25">
      <c r="A50" s="124"/>
      <c r="B50" s="42" t="s">
        <v>36</v>
      </c>
      <c r="C50" s="88" t="s">
        <v>134</v>
      </c>
      <c r="D50" s="88" t="s">
        <v>134</v>
      </c>
      <c r="E50" s="88" t="s">
        <v>134</v>
      </c>
      <c r="K50" s="4"/>
    </row>
    <row r="51" spans="1:11" s="49" customFormat="1" hidden="1" outlineLevel="1" x14ac:dyDescent="0.25">
      <c r="A51" s="124"/>
      <c r="B51" s="48" t="s">
        <v>138</v>
      </c>
      <c r="C51" s="94">
        <f>C52+C53</f>
        <v>0</v>
      </c>
      <c r="D51" s="94"/>
      <c r="E51" s="94">
        <f>E52+E53</f>
        <v>0</v>
      </c>
      <c r="K51" s="50"/>
    </row>
    <row r="52" spans="1:11" hidden="1" outlineLevel="1" x14ac:dyDescent="0.25">
      <c r="A52" s="124"/>
      <c r="B52" s="42" t="s">
        <v>32</v>
      </c>
      <c r="C52" s="92"/>
      <c r="D52" s="92"/>
      <c r="E52" s="92"/>
      <c r="K52" s="4"/>
    </row>
    <row r="53" spans="1:11" hidden="1" outlineLevel="1" x14ac:dyDescent="0.25">
      <c r="A53" s="124"/>
      <c r="B53" s="42" t="s">
        <v>33</v>
      </c>
      <c r="C53" s="92"/>
      <c r="D53" s="92"/>
      <c r="E53" s="92"/>
      <c r="K53" s="4"/>
    </row>
    <row r="54" spans="1:11" hidden="1" outlineLevel="1" x14ac:dyDescent="0.25">
      <c r="A54" s="124"/>
      <c r="B54" s="42" t="s">
        <v>34</v>
      </c>
      <c r="C54" s="88" t="s">
        <v>134</v>
      </c>
      <c r="D54" s="88" t="s">
        <v>134</v>
      </c>
      <c r="E54" s="88" t="s">
        <v>134</v>
      </c>
      <c r="K54" s="4"/>
    </row>
    <row r="55" spans="1:11" ht="45" hidden="1" outlineLevel="1" x14ac:dyDescent="0.25">
      <c r="A55" s="124"/>
      <c r="B55" s="42" t="s">
        <v>35</v>
      </c>
      <c r="C55" s="88" t="s">
        <v>134</v>
      </c>
      <c r="D55" s="88" t="s">
        <v>134</v>
      </c>
      <c r="E55" s="88" t="s">
        <v>134</v>
      </c>
      <c r="K55" s="4"/>
    </row>
    <row r="56" spans="1:11" ht="30" hidden="1" outlineLevel="1" x14ac:dyDescent="0.25">
      <c r="A56" s="124"/>
      <c r="B56" s="42" t="s">
        <v>36</v>
      </c>
      <c r="C56" s="88" t="s">
        <v>134</v>
      </c>
      <c r="D56" s="88" t="s">
        <v>134</v>
      </c>
      <c r="E56" s="88" t="s">
        <v>134</v>
      </c>
      <c r="K56" s="4"/>
    </row>
    <row r="57" spans="1:11" s="49" customFormat="1" hidden="1" outlineLevel="1" x14ac:dyDescent="0.25">
      <c r="A57" s="124"/>
      <c r="B57" s="48" t="s">
        <v>141</v>
      </c>
      <c r="C57" s="95" t="s">
        <v>134</v>
      </c>
      <c r="D57" s="94"/>
      <c r="E57" s="95" t="s">
        <v>134</v>
      </c>
      <c r="K57" s="50"/>
    </row>
    <row r="58" spans="1:11" hidden="1" outlineLevel="1" x14ac:dyDescent="0.25">
      <c r="A58" s="124"/>
      <c r="B58" s="42" t="s">
        <v>32</v>
      </c>
      <c r="C58" s="88" t="s">
        <v>134</v>
      </c>
      <c r="D58" s="88" t="s">
        <v>134</v>
      </c>
      <c r="E58" s="88" t="s">
        <v>134</v>
      </c>
      <c r="K58" s="4"/>
    </row>
    <row r="59" spans="1:11" hidden="1" outlineLevel="1" x14ac:dyDescent="0.25">
      <c r="A59" s="124"/>
      <c r="B59" s="42" t="s">
        <v>33</v>
      </c>
      <c r="C59" s="88" t="s">
        <v>134</v>
      </c>
      <c r="D59" s="88" t="s">
        <v>134</v>
      </c>
      <c r="E59" s="88" t="s">
        <v>134</v>
      </c>
      <c r="K59" s="4"/>
    </row>
    <row r="60" spans="1:11" hidden="1" outlineLevel="1" x14ac:dyDescent="0.25">
      <c r="A60" s="124"/>
      <c r="B60" s="42" t="s">
        <v>34</v>
      </c>
      <c r="C60" s="88" t="s">
        <v>134</v>
      </c>
      <c r="D60" s="88" t="s">
        <v>134</v>
      </c>
      <c r="E60" s="88" t="s">
        <v>134</v>
      </c>
      <c r="K60" s="4"/>
    </row>
    <row r="61" spans="1:11" ht="45" hidden="1" outlineLevel="1" x14ac:dyDescent="0.25">
      <c r="A61" s="124"/>
      <c r="B61" s="42" t="s">
        <v>35</v>
      </c>
      <c r="C61" s="88" t="s">
        <v>134</v>
      </c>
      <c r="D61" s="88" t="s">
        <v>134</v>
      </c>
      <c r="E61" s="88" t="s">
        <v>134</v>
      </c>
      <c r="K61" s="4"/>
    </row>
    <row r="62" spans="1:11" ht="30" hidden="1" outlineLevel="1" x14ac:dyDescent="0.25">
      <c r="A62" s="125"/>
      <c r="B62" s="42" t="s">
        <v>36</v>
      </c>
      <c r="C62" s="88" t="s">
        <v>134</v>
      </c>
      <c r="D62" s="88" t="s">
        <v>134</v>
      </c>
      <c r="E62" s="88" t="s">
        <v>134</v>
      </c>
      <c r="K62" s="4"/>
    </row>
    <row r="63" spans="1:11" ht="30" collapsed="1" x14ac:dyDescent="0.25">
      <c r="A63" s="123">
        <v>3</v>
      </c>
      <c r="B63" s="45" t="s">
        <v>31</v>
      </c>
      <c r="C63" s="93">
        <f>C65+C71+C77+C84+C90+C96</f>
        <v>559770448.88095081</v>
      </c>
      <c r="D63" s="96" t="s">
        <v>134</v>
      </c>
      <c r="E63" s="96" t="s">
        <v>134</v>
      </c>
    </row>
    <row r="64" spans="1:11" x14ac:dyDescent="0.25">
      <c r="A64" s="124"/>
      <c r="B64" s="46" t="s">
        <v>135</v>
      </c>
      <c r="C64" s="91" t="s">
        <v>134</v>
      </c>
      <c r="D64" s="91" t="s">
        <v>134</v>
      </c>
      <c r="E64" s="91" t="s">
        <v>134</v>
      </c>
    </row>
    <row r="65" spans="1:5" x14ac:dyDescent="0.25">
      <c r="A65" s="124"/>
      <c r="B65" s="43" t="s">
        <v>136</v>
      </c>
      <c r="C65" s="97">
        <f>C66+C67+C69</f>
        <v>186480000.59</v>
      </c>
      <c r="D65" s="97">
        <v>16067</v>
      </c>
      <c r="E65" s="97">
        <f>E66+E67+E69</f>
        <v>20109.509484859474</v>
      </c>
    </row>
    <row r="66" spans="1:5" x14ac:dyDescent="0.25">
      <c r="A66" s="124"/>
      <c r="B66" s="42" t="s">
        <v>32</v>
      </c>
      <c r="C66" s="98">
        <v>120106805.704</v>
      </c>
      <c r="D66" s="98">
        <v>8643</v>
      </c>
      <c r="E66" s="98">
        <v>13896.425512437811</v>
      </c>
    </row>
    <row r="67" spans="1:5" x14ac:dyDescent="0.25">
      <c r="A67" s="124"/>
      <c r="B67" s="42" t="s">
        <v>33</v>
      </c>
      <c r="C67" s="98">
        <v>5221194.8859999999</v>
      </c>
      <c r="D67" s="98">
        <v>8643</v>
      </c>
      <c r="E67" s="98">
        <v>604.09520837672108</v>
      </c>
    </row>
    <row r="68" spans="1:5" x14ac:dyDescent="0.25">
      <c r="A68" s="124"/>
      <c r="B68" s="42" t="s">
        <v>34</v>
      </c>
      <c r="C68" s="96" t="s">
        <v>134</v>
      </c>
      <c r="D68" s="96" t="s">
        <v>134</v>
      </c>
      <c r="E68" s="96" t="s">
        <v>134</v>
      </c>
    </row>
    <row r="69" spans="1:5" ht="45" x14ac:dyDescent="0.25">
      <c r="A69" s="124"/>
      <c r="B69" s="42" t="s">
        <v>35</v>
      </c>
      <c r="C69" s="98">
        <v>61152000</v>
      </c>
      <c r="D69" s="98">
        <v>10902.5</v>
      </c>
      <c r="E69" s="98">
        <v>5608.9887640449442</v>
      </c>
    </row>
    <row r="70" spans="1:5" ht="30" x14ac:dyDescent="0.25">
      <c r="A70" s="124"/>
      <c r="B70" s="42" t="s">
        <v>36</v>
      </c>
      <c r="C70" s="96" t="s">
        <v>134</v>
      </c>
      <c r="D70" s="96" t="s">
        <v>134</v>
      </c>
      <c r="E70" s="96" t="s">
        <v>134</v>
      </c>
    </row>
    <row r="71" spans="1:5" x14ac:dyDescent="0.25">
      <c r="A71" s="124"/>
      <c r="B71" s="43" t="s">
        <v>137</v>
      </c>
      <c r="C71" s="97">
        <f>C72+C73+C75</f>
        <v>36697722.393999994</v>
      </c>
      <c r="D71" s="97">
        <v>4409</v>
      </c>
      <c r="E71" s="97">
        <f>E72+E73+E75</f>
        <v>17440.202544968019</v>
      </c>
    </row>
    <row r="72" spans="1:5" x14ac:dyDescent="0.25">
      <c r="A72" s="124"/>
      <c r="B72" s="42" t="s">
        <v>32</v>
      </c>
      <c r="C72" s="98">
        <v>17707259.423999999</v>
      </c>
      <c r="D72" s="98">
        <v>1625</v>
      </c>
      <c r="E72" s="98">
        <v>10896.775030153845</v>
      </c>
    </row>
    <row r="73" spans="1:5" x14ac:dyDescent="0.25">
      <c r="A73" s="124"/>
      <c r="B73" s="42" t="s">
        <v>33</v>
      </c>
      <c r="C73" s="98">
        <v>1518462.97</v>
      </c>
      <c r="D73" s="98">
        <v>1625</v>
      </c>
      <c r="E73" s="98">
        <v>934.43875076923075</v>
      </c>
    </row>
    <row r="74" spans="1:5" x14ac:dyDescent="0.25">
      <c r="A74" s="124"/>
      <c r="B74" s="42" t="s">
        <v>34</v>
      </c>
      <c r="C74" s="96" t="s">
        <v>134</v>
      </c>
      <c r="D74" s="96" t="s">
        <v>134</v>
      </c>
      <c r="E74" s="96" t="s">
        <v>134</v>
      </c>
    </row>
    <row r="75" spans="1:5" ht="45" x14ac:dyDescent="0.25">
      <c r="A75" s="124"/>
      <c r="B75" s="42" t="s">
        <v>35</v>
      </c>
      <c r="C75" s="98">
        <v>17472000</v>
      </c>
      <c r="D75" s="98">
        <v>3115</v>
      </c>
      <c r="E75" s="98">
        <v>5608.9887640449442</v>
      </c>
    </row>
    <row r="76" spans="1:5" ht="30" x14ac:dyDescent="0.25">
      <c r="A76" s="124"/>
      <c r="B76" s="42" t="s">
        <v>36</v>
      </c>
      <c r="C76" s="96" t="s">
        <v>134</v>
      </c>
      <c r="D76" s="96" t="s">
        <v>134</v>
      </c>
      <c r="E76" s="96" t="s">
        <v>134</v>
      </c>
    </row>
    <row r="77" spans="1:5" x14ac:dyDescent="0.25">
      <c r="A77" s="124"/>
      <c r="B77" s="43" t="s">
        <v>138</v>
      </c>
      <c r="C77" s="97">
        <f>C78+C79+C81</f>
        <v>4634030.1899999995</v>
      </c>
      <c r="D77" s="97">
        <v>1875</v>
      </c>
      <c r="E77" s="97">
        <f>E78+E79+E81</f>
        <v>6781.7095800733368</v>
      </c>
    </row>
    <row r="78" spans="1:5" x14ac:dyDescent="0.25">
      <c r="A78" s="124"/>
      <c r="B78" s="42" t="s">
        <v>32</v>
      </c>
      <c r="C78" s="98">
        <v>2805454.84</v>
      </c>
      <c r="D78" s="98">
        <v>1146</v>
      </c>
      <c r="E78" s="98">
        <v>2448.0408726003488</v>
      </c>
    </row>
    <row r="79" spans="1:5" x14ac:dyDescent="0.25">
      <c r="A79" s="124"/>
      <c r="B79" s="42" t="s">
        <v>33</v>
      </c>
      <c r="C79" s="98">
        <v>414575.35</v>
      </c>
      <c r="D79" s="98">
        <v>1146</v>
      </c>
      <c r="E79" s="98">
        <v>361.75859511343805</v>
      </c>
    </row>
    <row r="80" spans="1:5" x14ac:dyDescent="0.25">
      <c r="A80" s="124"/>
      <c r="B80" s="42" t="s">
        <v>34</v>
      </c>
      <c r="C80" s="96" t="s">
        <v>134</v>
      </c>
      <c r="D80" s="96" t="s">
        <v>134</v>
      </c>
      <c r="E80" s="96" t="s">
        <v>134</v>
      </c>
    </row>
    <row r="81" spans="1:5" ht="45" x14ac:dyDescent="0.25">
      <c r="A81" s="124"/>
      <c r="B81" s="42" t="s">
        <v>35</v>
      </c>
      <c r="C81" s="98">
        <v>1414000</v>
      </c>
      <c r="D81" s="98">
        <v>356</v>
      </c>
      <c r="E81" s="98">
        <v>3971.9101123595506</v>
      </c>
    </row>
    <row r="82" spans="1:5" ht="30" x14ac:dyDescent="0.25">
      <c r="A82" s="124"/>
      <c r="B82" s="42" t="s">
        <v>36</v>
      </c>
      <c r="C82" s="96" t="s">
        <v>134</v>
      </c>
      <c r="D82" s="96" t="s">
        <v>134</v>
      </c>
      <c r="E82" s="96" t="s">
        <v>134</v>
      </c>
    </row>
    <row r="83" spans="1:5" ht="15.75" x14ac:dyDescent="0.25">
      <c r="A83" s="124"/>
      <c r="B83" s="47" t="s">
        <v>139</v>
      </c>
      <c r="C83" s="91" t="s">
        <v>134</v>
      </c>
      <c r="D83" s="91" t="s">
        <v>134</v>
      </c>
      <c r="E83" s="91" t="s">
        <v>134</v>
      </c>
    </row>
    <row r="84" spans="1:5" x14ac:dyDescent="0.25">
      <c r="A84" s="124"/>
      <c r="B84" s="43" t="s">
        <v>140</v>
      </c>
      <c r="C84" s="97">
        <f>C85+C86</f>
        <v>11922586</v>
      </c>
      <c r="D84" s="97">
        <v>2874</v>
      </c>
      <c r="E84" s="97">
        <f>E85+E86</f>
        <v>37374.877742946708</v>
      </c>
    </row>
    <row r="85" spans="1:5" x14ac:dyDescent="0.25">
      <c r="A85" s="124"/>
      <c r="B85" s="42" t="s">
        <v>32</v>
      </c>
      <c r="C85" s="98">
        <v>8696836</v>
      </c>
      <c r="D85" s="98">
        <v>319</v>
      </c>
      <c r="E85" s="98">
        <v>27262.808777429465</v>
      </c>
    </row>
    <row r="86" spans="1:5" x14ac:dyDescent="0.25">
      <c r="A86" s="124"/>
      <c r="B86" s="42" t="s">
        <v>33</v>
      </c>
      <c r="C86" s="98">
        <v>3225750</v>
      </c>
      <c r="D86" s="98">
        <v>319</v>
      </c>
      <c r="E86" s="98">
        <v>10112.068965517241</v>
      </c>
    </row>
    <row r="87" spans="1:5" x14ac:dyDescent="0.25">
      <c r="A87" s="124"/>
      <c r="B87" s="42" t="s">
        <v>34</v>
      </c>
      <c r="C87" s="96" t="s">
        <v>134</v>
      </c>
      <c r="D87" s="96" t="s">
        <v>134</v>
      </c>
      <c r="E87" s="96" t="s">
        <v>134</v>
      </c>
    </row>
    <row r="88" spans="1:5" ht="45" x14ac:dyDescent="0.25">
      <c r="A88" s="124"/>
      <c r="B88" s="42" t="s">
        <v>35</v>
      </c>
      <c r="C88" s="96" t="s">
        <v>134</v>
      </c>
      <c r="D88" s="96" t="s">
        <v>134</v>
      </c>
      <c r="E88" s="96" t="s">
        <v>134</v>
      </c>
    </row>
    <row r="89" spans="1:5" ht="30" x14ac:dyDescent="0.25">
      <c r="A89" s="124"/>
      <c r="B89" s="42" t="s">
        <v>36</v>
      </c>
      <c r="C89" s="96" t="s">
        <v>134</v>
      </c>
      <c r="D89" s="96" t="s">
        <v>134</v>
      </c>
      <c r="E89" s="96" t="s">
        <v>134</v>
      </c>
    </row>
    <row r="90" spans="1:5" x14ac:dyDescent="0.25">
      <c r="A90" s="124"/>
      <c r="B90" s="43" t="s">
        <v>138</v>
      </c>
      <c r="C90" s="97">
        <f>C91+C92</f>
        <v>10419375</v>
      </c>
      <c r="D90" s="97">
        <v>15203</v>
      </c>
      <c r="E90" s="97">
        <f>E91+E92</f>
        <v>3079.0115248226948</v>
      </c>
    </row>
    <row r="91" spans="1:5" x14ac:dyDescent="0.25">
      <c r="A91" s="124"/>
      <c r="B91" s="42" t="s">
        <v>32</v>
      </c>
      <c r="C91" s="98">
        <v>9427000</v>
      </c>
      <c r="D91" s="98">
        <v>3384</v>
      </c>
      <c r="E91" s="98">
        <v>2785.7565011820329</v>
      </c>
    </row>
    <row r="92" spans="1:5" x14ac:dyDescent="0.25">
      <c r="A92" s="124"/>
      <c r="B92" s="42" t="s">
        <v>33</v>
      </c>
      <c r="C92" s="98">
        <v>992375</v>
      </c>
      <c r="D92" s="98">
        <v>3384</v>
      </c>
      <c r="E92" s="98">
        <v>293.25502364066193</v>
      </c>
    </row>
    <row r="93" spans="1:5" x14ac:dyDescent="0.25">
      <c r="A93" s="124"/>
      <c r="B93" s="42" t="s">
        <v>34</v>
      </c>
      <c r="C93" s="96" t="s">
        <v>134</v>
      </c>
      <c r="D93" s="96" t="s">
        <v>134</v>
      </c>
      <c r="E93" s="96" t="s">
        <v>134</v>
      </c>
    </row>
    <row r="94" spans="1:5" ht="45" x14ac:dyDescent="0.25">
      <c r="A94" s="124"/>
      <c r="B94" s="42" t="s">
        <v>35</v>
      </c>
      <c r="C94" s="96" t="s">
        <v>134</v>
      </c>
      <c r="D94" s="96" t="s">
        <v>134</v>
      </c>
      <c r="E94" s="96" t="s">
        <v>134</v>
      </c>
    </row>
    <row r="95" spans="1:5" ht="30" x14ac:dyDescent="0.25">
      <c r="A95" s="124"/>
      <c r="B95" s="42" t="s">
        <v>36</v>
      </c>
      <c r="C95" s="96" t="s">
        <v>134</v>
      </c>
      <c r="D95" s="96" t="s">
        <v>134</v>
      </c>
      <c r="E95" s="96" t="s">
        <v>134</v>
      </c>
    </row>
    <row r="96" spans="1:5" x14ac:dyDescent="0.25">
      <c r="A96" s="124"/>
      <c r="B96" s="43" t="s">
        <v>141</v>
      </c>
      <c r="C96" s="97">
        <f>C97+C98+C101</f>
        <v>309616734.70695078</v>
      </c>
      <c r="D96" s="97">
        <v>8900</v>
      </c>
      <c r="E96" s="97">
        <f>E97+E98+E101</f>
        <v>34788.397158084357</v>
      </c>
    </row>
    <row r="97" spans="1:5" x14ac:dyDescent="0.25">
      <c r="A97" s="124"/>
      <c r="B97" s="42" t="s">
        <v>32</v>
      </c>
      <c r="C97" s="98">
        <v>31576005.966101758</v>
      </c>
      <c r="D97" s="98">
        <v>8900</v>
      </c>
      <c r="E97" s="98">
        <v>3547.865838887838</v>
      </c>
    </row>
    <row r="98" spans="1:5" x14ac:dyDescent="0.25">
      <c r="A98" s="124"/>
      <c r="B98" s="42" t="s">
        <v>33</v>
      </c>
      <c r="C98" s="98">
        <v>0</v>
      </c>
      <c r="D98" s="98">
        <v>0</v>
      </c>
      <c r="E98" s="98">
        <v>0</v>
      </c>
    </row>
    <row r="99" spans="1:5" x14ac:dyDescent="0.25">
      <c r="A99" s="124"/>
      <c r="B99" s="42" t="s">
        <v>34</v>
      </c>
      <c r="C99" s="96" t="s">
        <v>134</v>
      </c>
      <c r="D99" s="96" t="s">
        <v>134</v>
      </c>
      <c r="E99" s="96" t="s">
        <v>134</v>
      </c>
    </row>
    <row r="100" spans="1:5" ht="45" x14ac:dyDescent="0.25">
      <c r="A100" s="124"/>
      <c r="B100" s="42" t="s">
        <v>35</v>
      </c>
      <c r="C100" s="96" t="s">
        <v>134</v>
      </c>
      <c r="D100" s="96" t="s">
        <v>134</v>
      </c>
      <c r="E100" s="96" t="s">
        <v>134</v>
      </c>
    </row>
    <row r="101" spans="1:5" ht="30" x14ac:dyDescent="0.25">
      <c r="A101" s="125"/>
      <c r="B101" s="42" t="s">
        <v>36</v>
      </c>
      <c r="C101" s="96">
        <v>278040728.74084902</v>
      </c>
      <c r="D101" s="96">
        <v>8900</v>
      </c>
      <c r="E101" s="96">
        <v>31240.531319196518</v>
      </c>
    </row>
    <row r="102" spans="1:5" ht="30" x14ac:dyDescent="0.25">
      <c r="A102" s="123">
        <v>4</v>
      </c>
      <c r="B102" s="45" t="s">
        <v>37</v>
      </c>
      <c r="C102" s="87">
        <f>C105+C106+C107+C109+C110+C111</f>
        <v>18920263.07158602</v>
      </c>
      <c r="D102" s="88" t="s">
        <v>134</v>
      </c>
      <c r="E102" s="88" t="s">
        <v>134</v>
      </c>
    </row>
    <row r="103" spans="1:5" x14ac:dyDescent="0.25">
      <c r="A103" s="124"/>
      <c r="B103" s="44" t="s">
        <v>149</v>
      </c>
      <c r="C103" s="89"/>
      <c r="D103" s="89"/>
      <c r="E103" s="90"/>
    </row>
    <row r="104" spans="1:5" x14ac:dyDescent="0.25">
      <c r="A104" s="124"/>
      <c r="B104" s="46" t="s">
        <v>135</v>
      </c>
      <c r="C104" s="91" t="s">
        <v>134</v>
      </c>
      <c r="D104" s="91" t="s">
        <v>134</v>
      </c>
      <c r="E104" s="91" t="s">
        <v>134</v>
      </c>
    </row>
    <row r="105" spans="1:5" x14ac:dyDescent="0.25">
      <c r="A105" s="124"/>
      <c r="B105" s="43" t="s">
        <v>136</v>
      </c>
      <c r="C105" s="92">
        <v>15874836.163729623</v>
      </c>
      <c r="D105" s="92">
        <v>16067</v>
      </c>
      <c r="E105" s="92">
        <v>988.03984338891041</v>
      </c>
    </row>
    <row r="106" spans="1:5" x14ac:dyDescent="0.25">
      <c r="A106" s="124"/>
      <c r="B106" s="43" t="s">
        <v>137</v>
      </c>
      <c r="C106" s="92">
        <v>1379136.2911940184</v>
      </c>
      <c r="D106" s="92">
        <v>4409</v>
      </c>
      <c r="E106" s="92">
        <v>312.80024749240607</v>
      </c>
    </row>
    <row r="107" spans="1:5" x14ac:dyDescent="0.25">
      <c r="A107" s="124"/>
      <c r="B107" s="43" t="s">
        <v>138</v>
      </c>
      <c r="C107" s="92">
        <v>84436.915787388891</v>
      </c>
      <c r="D107" s="92">
        <v>1875</v>
      </c>
      <c r="E107" s="92">
        <v>45.033021753274078</v>
      </c>
    </row>
    <row r="108" spans="1:5" ht="15.75" x14ac:dyDescent="0.25">
      <c r="A108" s="124"/>
      <c r="B108" s="47" t="s">
        <v>139</v>
      </c>
      <c r="C108" s="91" t="s">
        <v>134</v>
      </c>
      <c r="D108" s="91" t="s">
        <v>134</v>
      </c>
      <c r="E108" s="91" t="s">
        <v>134</v>
      </c>
    </row>
    <row r="109" spans="1:5" x14ac:dyDescent="0.25">
      <c r="A109" s="124"/>
      <c r="B109" s="43" t="s">
        <v>140</v>
      </c>
      <c r="C109" s="92">
        <v>787178.61712258181</v>
      </c>
      <c r="D109" s="92">
        <v>2874</v>
      </c>
      <c r="E109" s="92">
        <v>273.89652648663252</v>
      </c>
    </row>
    <row r="110" spans="1:5" x14ac:dyDescent="0.25">
      <c r="A110" s="124"/>
      <c r="B110" s="43" t="s">
        <v>138</v>
      </c>
      <c r="C110" s="92">
        <v>636236.39890819788</v>
      </c>
      <c r="D110" s="92">
        <v>15203</v>
      </c>
      <c r="E110" s="92">
        <v>41.849398073288029</v>
      </c>
    </row>
    <row r="111" spans="1:5" x14ac:dyDescent="0.25">
      <c r="A111" s="125"/>
      <c r="B111" s="43" t="s">
        <v>141</v>
      </c>
      <c r="C111" s="92">
        <v>158438.684844209</v>
      </c>
      <c r="D111" s="92">
        <v>8900</v>
      </c>
      <c r="E111" s="92">
        <v>17.80209942069764</v>
      </c>
    </row>
    <row r="112" spans="1:5" ht="74.25" customHeight="1" x14ac:dyDescent="0.25">
      <c r="A112" s="123">
        <v>5</v>
      </c>
      <c r="B112" s="45" t="s">
        <v>38</v>
      </c>
      <c r="C112" s="87">
        <f>C115+C116+C117+C119+C120+C121</f>
        <v>1084846.1704630889</v>
      </c>
      <c r="D112" s="88" t="s">
        <v>134</v>
      </c>
      <c r="E112" s="88" t="s">
        <v>134</v>
      </c>
    </row>
    <row r="113" spans="1:5" x14ac:dyDescent="0.25">
      <c r="A113" s="124"/>
      <c r="B113" s="44" t="s">
        <v>149</v>
      </c>
      <c r="C113" s="89"/>
      <c r="D113" s="89"/>
      <c r="E113" s="90"/>
    </row>
    <row r="114" spans="1:5" x14ac:dyDescent="0.25">
      <c r="A114" s="124"/>
      <c r="B114" s="46" t="s">
        <v>135</v>
      </c>
      <c r="C114" s="91" t="s">
        <v>134</v>
      </c>
      <c r="D114" s="91" t="s">
        <v>134</v>
      </c>
      <c r="E114" s="91" t="s">
        <v>134</v>
      </c>
    </row>
    <row r="115" spans="1:5" x14ac:dyDescent="0.25">
      <c r="A115" s="124"/>
      <c r="B115" s="43" t="s">
        <v>136</v>
      </c>
      <c r="C115" s="99">
        <v>0</v>
      </c>
      <c r="D115" s="99">
        <v>16067</v>
      </c>
      <c r="E115" s="99">
        <v>0</v>
      </c>
    </row>
    <row r="116" spans="1:5" x14ac:dyDescent="0.25">
      <c r="A116" s="124"/>
      <c r="B116" s="43" t="s">
        <v>137</v>
      </c>
      <c r="C116" s="99">
        <v>396697.4802439654</v>
      </c>
      <c r="D116" s="99">
        <v>4409</v>
      </c>
      <c r="E116" s="99">
        <v>89.974479529137085</v>
      </c>
    </row>
    <row r="117" spans="1:5" x14ac:dyDescent="0.25">
      <c r="A117" s="124"/>
      <c r="B117" s="43" t="s">
        <v>138</v>
      </c>
      <c r="C117" s="99">
        <v>24287.600831263189</v>
      </c>
      <c r="D117" s="99">
        <v>1875</v>
      </c>
      <c r="E117" s="99">
        <v>12.953387110007034</v>
      </c>
    </row>
    <row r="118" spans="1:5" ht="15.75" x14ac:dyDescent="0.25">
      <c r="A118" s="124"/>
      <c r="B118" s="47" t="s">
        <v>139</v>
      </c>
      <c r="C118" s="91" t="s">
        <v>134</v>
      </c>
      <c r="D118" s="91" t="s">
        <v>134</v>
      </c>
      <c r="E118" s="91" t="s">
        <v>134</v>
      </c>
    </row>
    <row r="119" spans="1:5" x14ac:dyDescent="0.25">
      <c r="A119" s="124"/>
      <c r="B119" s="43" t="s">
        <v>140</v>
      </c>
      <c r="C119" s="99">
        <v>321810.71101423725</v>
      </c>
      <c r="D119" s="99">
        <v>2874</v>
      </c>
      <c r="E119" s="99">
        <v>111.97310752061144</v>
      </c>
    </row>
    <row r="120" spans="1:5" x14ac:dyDescent="0.25">
      <c r="A120" s="124"/>
      <c r="B120" s="43" t="s">
        <v>138</v>
      </c>
      <c r="C120" s="99">
        <v>261091.70893607929</v>
      </c>
      <c r="D120" s="99">
        <v>15203</v>
      </c>
      <c r="E120" s="99">
        <v>17.173696568840313</v>
      </c>
    </row>
    <row r="121" spans="1:5" x14ac:dyDescent="0.25">
      <c r="A121" s="125"/>
      <c r="B121" s="43" t="s">
        <v>141</v>
      </c>
      <c r="C121" s="99">
        <v>80958.669437543955</v>
      </c>
      <c r="D121" s="99">
        <v>8900</v>
      </c>
      <c r="E121" s="99">
        <v>9.0964797120835907</v>
      </c>
    </row>
    <row r="122" spans="1:5" ht="149.25" customHeight="1" x14ac:dyDescent="0.25">
      <c r="A122" s="123">
        <v>6</v>
      </c>
      <c r="B122" s="45" t="s">
        <v>39</v>
      </c>
      <c r="C122" s="87">
        <f>C125+C126+C127+C129+C130+C131</f>
        <v>17474500.314290825</v>
      </c>
      <c r="D122" s="88" t="s">
        <v>134</v>
      </c>
      <c r="E122" s="88" t="s">
        <v>134</v>
      </c>
    </row>
    <row r="123" spans="1:5" x14ac:dyDescent="0.25">
      <c r="A123" s="124"/>
      <c r="B123" s="44" t="s">
        <v>149</v>
      </c>
      <c r="C123" s="89"/>
      <c r="D123" s="89"/>
      <c r="E123" s="90"/>
    </row>
    <row r="124" spans="1:5" x14ac:dyDescent="0.25">
      <c r="A124" s="124"/>
      <c r="B124" s="46" t="s">
        <v>135</v>
      </c>
      <c r="C124" s="91" t="s">
        <v>134</v>
      </c>
      <c r="D124" s="91" t="s">
        <v>134</v>
      </c>
      <c r="E124" s="91" t="s">
        <v>134</v>
      </c>
    </row>
    <row r="125" spans="1:5" x14ac:dyDescent="0.25">
      <c r="A125" s="124"/>
      <c r="B125" s="43" t="s">
        <v>136</v>
      </c>
      <c r="C125" s="92">
        <v>14715526.920199748</v>
      </c>
      <c r="D125" s="92">
        <v>16067</v>
      </c>
      <c r="E125" s="92">
        <v>915.88516339078535</v>
      </c>
    </row>
    <row r="126" spans="1:5" x14ac:dyDescent="0.25">
      <c r="A126" s="124"/>
      <c r="B126" s="43" t="s">
        <v>137</v>
      </c>
      <c r="C126" s="92">
        <v>1083557.6274655617</v>
      </c>
      <c r="D126" s="92">
        <v>4409</v>
      </c>
      <c r="E126" s="92">
        <v>245.76040541291943</v>
      </c>
    </row>
    <row r="127" spans="1:5" x14ac:dyDescent="0.25">
      <c r="A127" s="124"/>
      <c r="B127" s="43" t="s">
        <v>138</v>
      </c>
      <c r="C127" s="92">
        <v>66340.262906054792</v>
      </c>
      <c r="D127" s="92">
        <v>1875</v>
      </c>
      <c r="E127" s="92">
        <v>35.381473549895887</v>
      </c>
    </row>
    <row r="128" spans="1:5" ht="15.75" x14ac:dyDescent="0.25">
      <c r="A128" s="124"/>
      <c r="B128" s="47" t="s">
        <v>139</v>
      </c>
      <c r="C128" s="91" t="s">
        <v>134</v>
      </c>
      <c r="D128" s="91" t="s">
        <v>134</v>
      </c>
      <c r="E128" s="91" t="s">
        <v>134</v>
      </c>
    </row>
    <row r="129" spans="1:5" x14ac:dyDescent="0.25">
      <c r="A129" s="124"/>
      <c r="B129" s="43" t="s">
        <v>140</v>
      </c>
      <c r="C129" s="92">
        <v>804537.75185972953</v>
      </c>
      <c r="D129" s="92">
        <v>2874</v>
      </c>
      <c r="E129" s="92">
        <v>279.93658728591839</v>
      </c>
    </row>
    <row r="130" spans="1:5" x14ac:dyDescent="0.25">
      <c r="A130" s="124"/>
      <c r="B130" s="43" t="s">
        <v>138</v>
      </c>
      <c r="C130" s="92">
        <v>652738.17603713903</v>
      </c>
      <c r="D130" s="92">
        <v>15203</v>
      </c>
      <c r="E130" s="92">
        <v>42.934827076046766</v>
      </c>
    </row>
    <row r="131" spans="1:5" x14ac:dyDescent="0.25">
      <c r="A131" s="125"/>
      <c r="B131" s="43" t="s">
        <v>141</v>
      </c>
      <c r="C131" s="92">
        <v>151799.57582259047</v>
      </c>
      <c r="D131" s="92">
        <v>8900</v>
      </c>
      <c r="E131" s="92">
        <v>17.056132114897807</v>
      </c>
    </row>
    <row r="133" spans="1:5" x14ac:dyDescent="0.25">
      <c r="A133" t="s">
        <v>15</v>
      </c>
    </row>
    <row r="134" spans="1:5" ht="53.25" customHeight="1" x14ac:dyDescent="0.25">
      <c r="A134" s="107" t="s">
        <v>40</v>
      </c>
      <c r="B134" s="107"/>
      <c r="C134" s="107"/>
      <c r="D134" s="107"/>
      <c r="E134" s="107"/>
    </row>
  </sheetData>
  <customSheetViews>
    <customSheetView guid="{1F1EC9A1-559B-45BE-A366-DE40EA2885B6}" showPageBreaks="1" fitToPage="1" printArea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0" fitToHeight="1100" orientation="portrait" r:id="rId1"/>
    </customSheetView>
    <customSheetView guid="{590CC574-4B1C-4AB8-AB4D-7FAB395FC0A2}" showPageBreaks="1" fitToPage="1" printArea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0" fitToHeight="1100" orientation="portrait" r:id="rId2"/>
    </customSheetView>
  </customSheetViews>
  <mergeCells count="9">
    <mergeCell ref="A134:E134"/>
    <mergeCell ref="A10:E10"/>
    <mergeCell ref="A11:E11"/>
    <mergeCell ref="A14:A23"/>
    <mergeCell ref="A63:A101"/>
    <mergeCell ref="A24:A62"/>
    <mergeCell ref="A102:A111"/>
    <mergeCell ref="A112:A121"/>
    <mergeCell ref="A122:A131"/>
  </mergeCells>
  <pageMargins left="0.98425196850393704" right="0.59055118110236227" top="0.78740157480314965" bottom="0.78740157480314965" header="0" footer="0"/>
  <pageSetup paperSize="9" scale="80" fitToHeight="110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view="pageBreakPreview" topLeftCell="A3" zoomScaleNormal="100" zoomScaleSheetLayoutView="100" workbookViewId="0">
      <selection activeCell="D16" sqref="D16"/>
    </sheetView>
  </sheetViews>
  <sheetFormatPr defaultRowHeight="15" outlineLevelRow="1" x14ac:dyDescent="0.25"/>
  <cols>
    <col min="1" max="1" width="4.140625" customWidth="1"/>
    <col min="2" max="2" width="52.5703125" customWidth="1"/>
    <col min="3" max="3" width="18.7109375" customWidth="1"/>
    <col min="4" max="4" width="21.28515625" customWidth="1"/>
  </cols>
  <sheetData>
    <row r="1" spans="1:5" hidden="1" outlineLevel="1" x14ac:dyDescent="0.25">
      <c r="C1" t="s">
        <v>150</v>
      </c>
    </row>
    <row r="2" spans="1:5" hidden="1" outlineLevel="1" x14ac:dyDescent="0.25">
      <c r="C2" t="s">
        <v>151</v>
      </c>
    </row>
    <row r="3" spans="1:5" collapsed="1" x14ac:dyDescent="0.25">
      <c r="C3" t="s">
        <v>144</v>
      </c>
    </row>
    <row r="4" spans="1:5" x14ac:dyDescent="0.25">
      <c r="C4" t="s">
        <v>1</v>
      </c>
    </row>
    <row r="5" spans="1:5" x14ac:dyDescent="0.25">
      <c r="C5" t="s">
        <v>2</v>
      </c>
    </row>
    <row r="6" spans="1:5" x14ac:dyDescent="0.25">
      <c r="C6" t="s">
        <v>3</v>
      </c>
    </row>
    <row r="8" spans="1:5" hidden="1" outlineLevel="1" x14ac:dyDescent="0.25">
      <c r="C8" t="s">
        <v>4</v>
      </c>
    </row>
    <row r="9" spans="1:5" collapsed="1" x14ac:dyDescent="0.25"/>
    <row r="10" spans="1:5" x14ac:dyDescent="0.25">
      <c r="A10" s="115" t="s">
        <v>42</v>
      </c>
      <c r="B10" s="126"/>
      <c r="C10" s="126"/>
      <c r="D10" s="126"/>
      <c r="E10" s="1"/>
    </row>
    <row r="11" spans="1:5" ht="30" customHeight="1" x14ac:dyDescent="0.25">
      <c r="A11" s="127" t="s">
        <v>237</v>
      </c>
      <c r="B11" s="127"/>
      <c r="C11" s="127"/>
      <c r="D11" s="127"/>
      <c r="E11" s="1"/>
    </row>
    <row r="13" spans="1:5" x14ac:dyDescent="0.25">
      <c r="D13" s="11" t="s">
        <v>43</v>
      </c>
    </row>
    <row r="15" spans="1:5" ht="75" x14ac:dyDescent="0.25">
      <c r="A15" s="64" t="s">
        <v>41</v>
      </c>
      <c r="B15" s="67" t="s">
        <v>44</v>
      </c>
      <c r="C15" s="64" t="s">
        <v>236</v>
      </c>
      <c r="D15" s="64" t="s">
        <v>240</v>
      </c>
    </row>
    <row r="16" spans="1:5" s="53" customFormat="1" ht="30" x14ac:dyDescent="0.25">
      <c r="A16" s="123">
        <v>1</v>
      </c>
      <c r="B16" s="57" t="s">
        <v>45</v>
      </c>
      <c r="C16" s="58">
        <f>C18+C19+C20+C21+C22+C33</f>
        <v>0</v>
      </c>
      <c r="D16" s="58">
        <f>D18+D19+D20+D21+D22+D33</f>
        <v>63910.416334754031</v>
      </c>
    </row>
    <row r="17" spans="1:4" x14ac:dyDescent="0.25">
      <c r="A17" s="124"/>
      <c r="B17" s="7" t="s">
        <v>46</v>
      </c>
      <c r="C17" s="40"/>
      <c r="D17" s="40"/>
    </row>
    <row r="18" spans="1:4" x14ac:dyDescent="0.25">
      <c r="A18" s="124"/>
      <c r="B18" s="55" t="s">
        <v>47</v>
      </c>
      <c r="C18" s="54"/>
      <c r="D18" s="54"/>
    </row>
    <row r="19" spans="1:4" x14ac:dyDescent="0.25">
      <c r="A19" s="124"/>
      <c r="B19" s="55" t="s">
        <v>48</v>
      </c>
      <c r="C19" s="54"/>
      <c r="D19" s="54"/>
    </row>
    <row r="20" spans="1:4" x14ac:dyDescent="0.25">
      <c r="A20" s="124"/>
      <c r="B20" s="55" t="s">
        <v>49</v>
      </c>
      <c r="C20" s="54"/>
      <c r="D20" s="54">
        <v>30493.705126687139</v>
      </c>
    </row>
    <row r="21" spans="1:4" x14ac:dyDescent="0.25">
      <c r="A21" s="124"/>
      <c r="B21" s="55" t="s">
        <v>50</v>
      </c>
      <c r="C21" s="54"/>
      <c r="D21" s="54">
        <v>9270.08635851289</v>
      </c>
    </row>
    <row r="22" spans="1:4" x14ac:dyDescent="0.25">
      <c r="A22" s="124"/>
      <c r="B22" s="55" t="s">
        <v>51</v>
      </c>
      <c r="C22" s="54">
        <f>C24+C25+C26</f>
        <v>0</v>
      </c>
      <c r="D22" s="54">
        <v>24146.624849554006</v>
      </c>
    </row>
    <row r="23" spans="1:4" x14ac:dyDescent="0.25">
      <c r="A23" s="124"/>
      <c r="B23" s="8" t="s">
        <v>52</v>
      </c>
      <c r="C23" s="40"/>
      <c r="D23" s="40"/>
    </row>
    <row r="24" spans="1:4" x14ac:dyDescent="0.25">
      <c r="A24" s="124"/>
      <c r="B24" s="6" t="s">
        <v>53</v>
      </c>
      <c r="C24" s="40"/>
      <c r="D24" s="40">
        <v>5723.3817743198524</v>
      </c>
    </row>
    <row r="25" spans="1:4" ht="30" x14ac:dyDescent="0.25">
      <c r="A25" s="124"/>
      <c r="B25" s="6" t="s">
        <v>54</v>
      </c>
      <c r="C25" s="40"/>
      <c r="D25" s="40"/>
    </row>
    <row r="26" spans="1:4" ht="30" x14ac:dyDescent="0.25">
      <c r="A26" s="124"/>
      <c r="B26" s="6" t="s">
        <v>55</v>
      </c>
      <c r="C26" s="40">
        <f>C28+C29+C30+C31+C32</f>
        <v>0</v>
      </c>
      <c r="D26" s="40">
        <f>D28+D29+D30+D31+D32</f>
        <v>18423.243075234153</v>
      </c>
    </row>
    <row r="27" spans="1:4" x14ac:dyDescent="0.25">
      <c r="A27" s="124"/>
      <c r="B27" s="6" t="s">
        <v>46</v>
      </c>
      <c r="C27" s="40"/>
      <c r="D27" s="40"/>
    </row>
    <row r="28" spans="1:4" x14ac:dyDescent="0.25">
      <c r="A28" s="124"/>
      <c r="B28" s="9" t="s">
        <v>56</v>
      </c>
      <c r="C28" s="40"/>
      <c r="D28" s="40"/>
    </row>
    <row r="29" spans="1:4" x14ac:dyDescent="0.25">
      <c r="A29" s="124"/>
      <c r="B29" s="9" t="s">
        <v>57</v>
      </c>
      <c r="C29" s="40"/>
      <c r="D29" s="40"/>
    </row>
    <row r="30" spans="1:4" ht="30" x14ac:dyDescent="0.25">
      <c r="A30" s="124"/>
      <c r="B30" s="9" t="s">
        <v>68</v>
      </c>
      <c r="C30" s="40"/>
      <c r="D30" s="40"/>
    </row>
    <row r="31" spans="1:4" x14ac:dyDescent="0.25">
      <c r="A31" s="124"/>
      <c r="B31" s="9" t="s">
        <v>58</v>
      </c>
      <c r="C31" s="40"/>
      <c r="D31" s="40"/>
    </row>
    <row r="32" spans="1:4" ht="30" x14ac:dyDescent="0.25">
      <c r="A32" s="124"/>
      <c r="B32" s="9" t="s">
        <v>59</v>
      </c>
      <c r="C32" s="40"/>
      <c r="D32" s="40">
        <v>18423.243075234153</v>
      </c>
    </row>
    <row r="33" spans="1:4" x14ac:dyDescent="0.25">
      <c r="A33" s="124"/>
      <c r="B33" s="56" t="s">
        <v>60</v>
      </c>
      <c r="C33" s="54">
        <f>C35+C36+C37+C38</f>
        <v>0</v>
      </c>
      <c r="D33" s="54">
        <f>D35+D36+D37+D38</f>
        <v>0</v>
      </c>
    </row>
    <row r="34" spans="1:4" x14ac:dyDescent="0.25">
      <c r="A34" s="124"/>
      <c r="B34" s="9" t="s">
        <v>46</v>
      </c>
      <c r="C34" s="40"/>
      <c r="D34" s="40"/>
    </row>
    <row r="35" spans="1:4" x14ac:dyDescent="0.25">
      <c r="A35" s="124"/>
      <c r="B35" s="10" t="s">
        <v>61</v>
      </c>
      <c r="C35" s="40"/>
      <c r="D35" s="40"/>
    </row>
    <row r="36" spans="1:4" x14ac:dyDescent="0.25">
      <c r="A36" s="124"/>
      <c r="B36" s="10" t="s">
        <v>62</v>
      </c>
      <c r="C36" s="40"/>
      <c r="D36" s="40"/>
    </row>
    <row r="37" spans="1:4" x14ac:dyDescent="0.25">
      <c r="A37" s="124"/>
      <c r="B37" s="10" t="s">
        <v>63</v>
      </c>
      <c r="C37" s="40"/>
      <c r="D37" s="40">
        <v>0</v>
      </c>
    </row>
    <row r="38" spans="1:4" ht="30" x14ac:dyDescent="0.25">
      <c r="A38" s="125"/>
      <c r="B38" s="10" t="s">
        <v>64</v>
      </c>
      <c r="C38" s="40"/>
      <c r="D38" s="40">
        <v>0</v>
      </c>
    </row>
    <row r="39" spans="1:4" s="53" customFormat="1" ht="75" x14ac:dyDescent="0.25">
      <c r="A39" s="20">
        <v>2</v>
      </c>
      <c r="B39" s="51" t="s">
        <v>65</v>
      </c>
      <c r="C39" s="52"/>
      <c r="D39" s="52">
        <v>559770.4488809508</v>
      </c>
    </row>
    <row r="40" spans="1:4" x14ac:dyDescent="0.25">
      <c r="A40" s="67"/>
      <c r="B40" s="6" t="s">
        <v>46</v>
      </c>
      <c r="C40" s="40"/>
      <c r="D40" s="40"/>
    </row>
    <row r="41" spans="1:4" x14ac:dyDescent="0.25">
      <c r="A41" s="67">
        <v>3</v>
      </c>
      <c r="B41" s="3" t="s">
        <v>66</v>
      </c>
      <c r="C41" s="40"/>
      <c r="D41" s="100">
        <f>'[1]Прил. 5'!L50</f>
        <v>217794.00944851828</v>
      </c>
    </row>
    <row r="42" spans="1:4" s="53" customFormat="1" x14ac:dyDescent="0.25">
      <c r="A42" s="20"/>
      <c r="B42" s="51" t="s">
        <v>67</v>
      </c>
      <c r="C42" s="52">
        <f>C16+C39</f>
        <v>0</v>
      </c>
      <c r="D42" s="52">
        <f>D16+D39</f>
        <v>623680.86521570478</v>
      </c>
    </row>
  </sheetData>
  <customSheetViews>
    <customSheetView guid="{1F1EC9A1-559B-45BE-A366-DE40EA2885B6}" showPageBreaks="1" fitToPage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8" fitToHeight="100" orientation="portrait" r:id="rId1"/>
    </customSheetView>
    <customSheetView guid="{590CC574-4B1C-4AB8-AB4D-7FAB395FC0A2}" showPageBreaks="1" fitToPage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8" fitToHeight="100" orientation="portrait" r:id="rId2"/>
    </customSheetView>
  </customSheetViews>
  <mergeCells count="3">
    <mergeCell ref="A16:A38"/>
    <mergeCell ref="A10:D10"/>
    <mergeCell ref="A11:D11"/>
  </mergeCells>
  <pageMargins left="0.98425196850393704" right="0.59055118110236227" top="0.78740157480314965" bottom="0.78740157480314965" header="0" footer="0"/>
  <pageSetup paperSize="9" scale="88" fitToHeight="100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Normal="100" zoomScaleSheetLayoutView="100" workbookViewId="0">
      <selection activeCell="C14" sqref="C14:D14"/>
    </sheetView>
  </sheetViews>
  <sheetFormatPr defaultRowHeight="15" outlineLevelRow="1" x14ac:dyDescent="0.25"/>
  <cols>
    <col min="1" max="1" width="4" customWidth="1"/>
    <col min="2" max="2" width="46.28515625" customWidth="1"/>
    <col min="3" max="3" width="17.85546875" customWidth="1"/>
    <col min="4" max="4" width="18.85546875" customWidth="1"/>
  </cols>
  <sheetData>
    <row r="1" spans="1:4" x14ac:dyDescent="0.25">
      <c r="C1" t="s">
        <v>145</v>
      </c>
    </row>
    <row r="2" spans="1:4" x14ac:dyDescent="0.25">
      <c r="C2" t="s">
        <v>1</v>
      </c>
    </row>
    <row r="3" spans="1:4" x14ac:dyDescent="0.25">
      <c r="C3" t="s">
        <v>2</v>
      </c>
    </row>
    <row r="4" spans="1:4" x14ac:dyDescent="0.25">
      <c r="C4" t="s">
        <v>3</v>
      </c>
    </row>
    <row r="6" spans="1:4" hidden="1" outlineLevel="1" x14ac:dyDescent="0.25">
      <c r="C6" t="s">
        <v>4</v>
      </c>
    </row>
    <row r="7" spans="1:4" collapsed="1" x14ac:dyDescent="0.25"/>
    <row r="8" spans="1:4" x14ac:dyDescent="0.25">
      <c r="A8" s="115" t="s">
        <v>69</v>
      </c>
      <c r="B8" s="115"/>
      <c r="C8" s="115"/>
      <c r="D8" s="115"/>
    </row>
    <row r="9" spans="1:4" x14ac:dyDescent="0.25">
      <c r="A9" s="115" t="s">
        <v>70</v>
      </c>
      <c r="B9" s="115"/>
      <c r="C9" s="115"/>
      <c r="D9" s="115"/>
    </row>
    <row r="10" spans="1:4" x14ac:dyDescent="0.25">
      <c r="A10" s="115" t="s">
        <v>241</v>
      </c>
      <c r="B10" s="115"/>
      <c r="C10" s="115"/>
      <c r="D10" s="115"/>
    </row>
    <row r="12" spans="1:4" ht="88.5" customHeight="1" x14ac:dyDescent="0.25">
      <c r="A12" s="17" t="s">
        <v>41</v>
      </c>
      <c r="B12" s="35" t="s">
        <v>25</v>
      </c>
      <c r="C12" s="17" t="s">
        <v>71</v>
      </c>
      <c r="D12" s="17" t="s">
        <v>72</v>
      </c>
    </row>
    <row r="13" spans="1:4" ht="30" x14ac:dyDescent="0.25">
      <c r="A13" s="35">
        <v>1</v>
      </c>
      <c r="B13" s="3" t="s">
        <v>73</v>
      </c>
      <c r="C13" s="37" t="s">
        <v>134</v>
      </c>
      <c r="D13" s="37" t="s">
        <v>134</v>
      </c>
    </row>
    <row r="14" spans="1:4" ht="60" x14ac:dyDescent="0.25">
      <c r="A14" s="35">
        <v>2</v>
      </c>
      <c r="B14" s="3" t="s">
        <v>74</v>
      </c>
      <c r="C14" s="38">
        <v>46660.334093333338</v>
      </c>
      <c r="D14" s="39">
        <v>17486.72</v>
      </c>
    </row>
    <row r="15" spans="1:4" ht="30" x14ac:dyDescent="0.25">
      <c r="A15" s="35">
        <v>3</v>
      </c>
      <c r="B15" s="3" t="s">
        <v>75</v>
      </c>
      <c r="C15" s="37" t="s">
        <v>134</v>
      </c>
      <c r="D15" s="37" t="s">
        <v>134</v>
      </c>
    </row>
  </sheetData>
  <customSheetViews>
    <customSheetView guid="{1F1EC9A1-559B-45BE-A366-DE40EA2885B6}" showPageBreaks="1" fitToPage="1" printArea="1" hiddenRows="1" view="pageBreakPreview">
      <selection activeCell="C2" sqref="C2"/>
      <pageMargins left="0.98425196850393704" right="0.59055118110236227" top="0.78740157480314965" bottom="0.78740157480314965" header="0" footer="0"/>
      <pageSetup paperSize="9" scale="98" fitToHeight="110" orientation="portrait" r:id="rId1"/>
    </customSheetView>
    <customSheetView guid="{590CC574-4B1C-4AB8-AB4D-7FAB395FC0A2}" showPageBreaks="1" fitToPage="1" printArea="1" hiddenRows="1" view="pageBreakPreview">
      <selection activeCell="C2" sqref="C2"/>
      <pageMargins left="0.98425196850393704" right="0.59055118110236227" top="0.78740157480314965" bottom="0.78740157480314965" header="0" footer="0"/>
      <pageSetup paperSize="9" scale="98" fitToHeight="110" orientation="portrait" r:id="rId2"/>
    </customSheetView>
  </customSheetViews>
  <mergeCells count="3">
    <mergeCell ref="A8:D8"/>
    <mergeCell ref="A9:D9"/>
    <mergeCell ref="A10:D10"/>
  </mergeCells>
  <pageMargins left="0.98425196850393704" right="0.59055118110236227" top="0.78740157480314965" bottom="0.78740157480314965" header="0" footer="0"/>
  <pageSetup paperSize="9" scale="98" fitToHeight="11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view="pageBreakPreview" zoomScale="106" zoomScaleNormal="100" zoomScaleSheetLayoutView="106" workbookViewId="0">
      <selection activeCell="C19" sqref="C19:E20"/>
    </sheetView>
  </sheetViews>
  <sheetFormatPr defaultRowHeight="15" outlineLevelRow="1" x14ac:dyDescent="0.25"/>
  <cols>
    <col min="1" max="1" width="4" customWidth="1"/>
    <col min="2" max="2" width="30.28515625" customWidth="1"/>
    <col min="3" max="4" width="17.140625" customWidth="1"/>
    <col min="5" max="5" width="18.42578125" customWidth="1"/>
    <col min="6" max="6" width="16" customWidth="1"/>
  </cols>
  <sheetData>
    <row r="1" spans="1:5" x14ac:dyDescent="0.25">
      <c r="D1" t="s">
        <v>146</v>
      </c>
    </row>
    <row r="2" spans="1:5" x14ac:dyDescent="0.25">
      <c r="D2" t="s">
        <v>1</v>
      </c>
    </row>
    <row r="3" spans="1:5" x14ac:dyDescent="0.25">
      <c r="D3" t="s">
        <v>2</v>
      </c>
    </row>
    <row r="4" spans="1:5" x14ac:dyDescent="0.25">
      <c r="D4" t="s">
        <v>3</v>
      </c>
    </row>
    <row r="6" spans="1:5" hidden="1" outlineLevel="1" x14ac:dyDescent="0.25">
      <c r="D6" t="s">
        <v>4</v>
      </c>
    </row>
    <row r="7" spans="1:5" collapsed="1" x14ac:dyDescent="0.25"/>
    <row r="8" spans="1:5" x14ac:dyDescent="0.25">
      <c r="A8" s="115" t="s">
        <v>69</v>
      </c>
      <c r="B8" s="115"/>
      <c r="C8" s="115"/>
      <c r="D8" s="115"/>
      <c r="E8" s="115"/>
    </row>
    <row r="9" spans="1:5" x14ac:dyDescent="0.25">
      <c r="A9" s="115" t="s">
        <v>76</v>
      </c>
      <c r="B9" s="115"/>
      <c r="C9" s="115"/>
      <c r="D9" s="115"/>
      <c r="E9" s="115"/>
    </row>
    <row r="10" spans="1:5" x14ac:dyDescent="0.25">
      <c r="A10" s="115" t="s">
        <v>242</v>
      </c>
      <c r="B10" s="115"/>
      <c r="C10" s="115"/>
      <c r="D10" s="115"/>
      <c r="E10" s="115"/>
    </row>
    <row r="11" spans="1:5" x14ac:dyDescent="0.25">
      <c r="A11" s="115" t="s">
        <v>77</v>
      </c>
      <c r="B11" s="115"/>
      <c r="C11" s="115"/>
      <c r="D11" s="115"/>
      <c r="E11" s="115"/>
    </row>
    <row r="13" spans="1:5" ht="180" x14ac:dyDescent="0.25">
      <c r="A13" s="17" t="s">
        <v>41</v>
      </c>
      <c r="B13" s="17" t="s">
        <v>25</v>
      </c>
      <c r="C13" s="17" t="s">
        <v>78</v>
      </c>
      <c r="D13" s="17" t="s">
        <v>79</v>
      </c>
      <c r="E13" s="17" t="s">
        <v>80</v>
      </c>
    </row>
    <row r="14" spans="1:5" x14ac:dyDescent="0.25">
      <c r="A14" s="35">
        <v>1</v>
      </c>
      <c r="B14" s="5" t="s">
        <v>81</v>
      </c>
      <c r="C14" s="2"/>
      <c r="D14" s="2"/>
      <c r="E14" s="2"/>
    </row>
    <row r="15" spans="1:5" x14ac:dyDescent="0.25">
      <c r="A15" s="35"/>
      <c r="B15" s="12" t="s">
        <v>82</v>
      </c>
      <c r="C15" s="40">
        <v>881.57066666666685</v>
      </c>
      <c r="D15" s="40">
        <v>0.53166666666666673</v>
      </c>
      <c r="E15" s="41">
        <v>11935.666666666666</v>
      </c>
    </row>
    <row r="16" spans="1:5" x14ac:dyDescent="0.25">
      <c r="A16" s="35"/>
      <c r="B16" s="12" t="s">
        <v>83</v>
      </c>
      <c r="C16" s="40">
        <v>7256.1223333333328</v>
      </c>
      <c r="D16" s="40">
        <v>5.2366666666666672</v>
      </c>
      <c r="E16" s="41">
        <v>7660.666666666667</v>
      </c>
    </row>
    <row r="17" spans="1:5" x14ac:dyDescent="0.25">
      <c r="A17" s="35"/>
      <c r="B17" s="12" t="s">
        <v>84</v>
      </c>
      <c r="C17" s="36" t="s">
        <v>134</v>
      </c>
      <c r="D17" s="36" t="s">
        <v>134</v>
      </c>
      <c r="E17" s="36" t="s">
        <v>134</v>
      </c>
    </row>
    <row r="18" spans="1:5" x14ac:dyDescent="0.25">
      <c r="A18" s="35">
        <v>2</v>
      </c>
      <c r="B18" s="2" t="s">
        <v>85</v>
      </c>
      <c r="C18" s="2"/>
      <c r="D18" s="2"/>
      <c r="E18" s="2"/>
    </row>
    <row r="19" spans="1:5" x14ac:dyDescent="0.25">
      <c r="A19" s="35"/>
      <c r="B19" s="12" t="s">
        <v>82</v>
      </c>
      <c r="C19" s="40">
        <v>81124.714693333328</v>
      </c>
      <c r="D19" s="40">
        <v>91.87833333333333</v>
      </c>
      <c r="E19" s="41">
        <v>11935.666666666666</v>
      </c>
    </row>
    <row r="20" spans="1:5" x14ac:dyDescent="0.25">
      <c r="A20" s="35"/>
      <c r="B20" s="12" t="s">
        <v>83</v>
      </c>
      <c r="C20" s="40">
        <v>28788.355166666664</v>
      </c>
      <c r="D20" s="40">
        <v>25.896000000000001</v>
      </c>
      <c r="E20" s="41">
        <v>7660.666666666667</v>
      </c>
    </row>
    <row r="21" spans="1:5" x14ac:dyDescent="0.25">
      <c r="A21" s="35"/>
      <c r="B21" s="12" t="s">
        <v>84</v>
      </c>
      <c r="C21" s="36" t="s">
        <v>134</v>
      </c>
      <c r="D21" s="36" t="s">
        <v>134</v>
      </c>
      <c r="E21" s="36" t="s">
        <v>134</v>
      </c>
    </row>
  </sheetData>
  <customSheetViews>
    <customSheetView guid="{1F1EC9A1-559B-45BE-A366-DE40EA2885B6}" scale="106" showPageBreaks="1" fitToPage="1" hiddenRows="1" view="pageBreakPreview">
      <selection activeCell="C20" activeCellId="3" sqref="C15 C16 C19 C20"/>
      <pageMargins left="0.98425196850393704" right="0.59055118110236227" top="0.78740157480314965" bottom="0.78740157480314965" header="0" footer="0"/>
      <pageSetup paperSize="9" scale="98" fitToHeight="100" orientation="portrait" r:id="rId1"/>
    </customSheetView>
    <customSheetView guid="{590CC574-4B1C-4AB8-AB4D-7FAB395FC0A2}" scale="106" showPageBreaks="1" fitToPage="1" hiddenRows="1" view="pageBreakPreview">
      <selection activeCell="C20" activeCellId="3" sqref="C15 C16 C19 C20"/>
      <pageMargins left="0.98425196850393704" right="0.59055118110236227" top="0.78740157480314965" bottom="0.78740157480314965" header="0" footer="0"/>
      <pageSetup paperSize="9" scale="98" fitToHeight="100" orientation="portrait" r:id="rId2"/>
    </customSheetView>
  </customSheetViews>
  <mergeCells count="4">
    <mergeCell ref="A8:E8"/>
    <mergeCell ref="A9:E9"/>
    <mergeCell ref="A10:E10"/>
    <mergeCell ref="A11:E11"/>
  </mergeCells>
  <pageMargins left="0.98425196850393704" right="0.59055118110236227" top="0.78740157480314965" bottom="0.78740157480314965" header="0" footer="0"/>
  <pageSetup paperSize="9" scale="97" fitToHeight="100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zoomScaleNormal="100" zoomScaleSheetLayoutView="100" workbookViewId="0">
      <selection activeCell="A11" sqref="A11"/>
    </sheetView>
  </sheetViews>
  <sheetFormatPr defaultRowHeight="15" outlineLevelRow="1" x14ac:dyDescent="0.25"/>
  <cols>
    <col min="1" max="1" width="4.140625" customWidth="1"/>
    <col min="2" max="2" width="20" customWidth="1"/>
    <col min="3" max="3" width="7.28515625" customWidth="1"/>
    <col min="4" max="4" width="7.85546875" customWidth="1"/>
    <col min="5" max="5" width="7.7109375" customWidth="1"/>
    <col min="6" max="6" width="7.28515625" customWidth="1"/>
    <col min="7" max="8" width="7.7109375" customWidth="1"/>
    <col min="9" max="9" width="7.28515625" customWidth="1"/>
    <col min="10" max="11" width="7.7109375" customWidth="1"/>
  </cols>
  <sheetData>
    <row r="1" spans="1:11" x14ac:dyDescent="0.25">
      <c r="G1" t="s">
        <v>147</v>
      </c>
    </row>
    <row r="2" spans="1:11" x14ac:dyDescent="0.25">
      <c r="G2" t="s">
        <v>1</v>
      </c>
    </row>
    <row r="3" spans="1:11" x14ac:dyDescent="0.25">
      <c r="G3" t="s">
        <v>2</v>
      </c>
    </row>
    <row r="4" spans="1:11" x14ac:dyDescent="0.25">
      <c r="G4" t="s">
        <v>3</v>
      </c>
    </row>
    <row r="6" spans="1:11" hidden="1" outlineLevel="1" x14ac:dyDescent="0.25">
      <c r="G6" t="s">
        <v>4</v>
      </c>
    </row>
    <row r="7" spans="1:11" collapsed="1" x14ac:dyDescent="0.25"/>
    <row r="8" spans="1:11" x14ac:dyDescent="0.25">
      <c r="A8" s="115" t="s">
        <v>86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 x14ac:dyDescent="0.25">
      <c r="A9" s="115" t="s">
        <v>87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1" x14ac:dyDescent="0.25">
      <c r="A10" s="115" t="s">
        <v>238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2" spans="1:11" ht="27" customHeight="1" x14ac:dyDescent="0.25">
      <c r="A12" s="130" t="s">
        <v>41</v>
      </c>
      <c r="B12" s="132" t="s">
        <v>88</v>
      </c>
      <c r="C12" s="129" t="s">
        <v>89</v>
      </c>
      <c r="D12" s="129"/>
      <c r="E12" s="129"/>
      <c r="F12" s="129" t="s">
        <v>90</v>
      </c>
      <c r="G12" s="129"/>
      <c r="H12" s="129"/>
      <c r="I12" s="129" t="s">
        <v>91</v>
      </c>
      <c r="J12" s="129"/>
      <c r="K12" s="129"/>
    </row>
    <row r="13" spans="1:11" ht="30" x14ac:dyDescent="0.25">
      <c r="A13" s="131"/>
      <c r="B13" s="133"/>
      <c r="C13" s="101" t="s">
        <v>82</v>
      </c>
      <c r="D13" s="101" t="s">
        <v>83</v>
      </c>
      <c r="E13" s="101" t="s">
        <v>92</v>
      </c>
      <c r="F13" s="101" t="s">
        <v>82</v>
      </c>
      <c r="G13" s="101" t="s">
        <v>83</v>
      </c>
      <c r="H13" s="101" t="s">
        <v>92</v>
      </c>
      <c r="I13" s="101" t="s">
        <v>82</v>
      </c>
      <c r="J13" s="101" t="s">
        <v>83</v>
      </c>
      <c r="K13" s="101" t="s">
        <v>92</v>
      </c>
    </row>
    <row r="14" spans="1:11" x14ac:dyDescent="0.25">
      <c r="A14" s="128">
        <v>1</v>
      </c>
      <c r="B14" s="3" t="s">
        <v>93</v>
      </c>
      <c r="C14" s="102">
        <v>2483</v>
      </c>
      <c r="D14" s="102">
        <v>4</v>
      </c>
      <c r="E14" s="102"/>
      <c r="F14" s="102">
        <v>32007</v>
      </c>
      <c r="G14" s="102">
        <v>60</v>
      </c>
      <c r="H14" s="102"/>
      <c r="I14" s="102">
        <v>5003</v>
      </c>
      <c r="J14" s="102">
        <v>2.2000000000000002</v>
      </c>
      <c r="K14" s="102"/>
    </row>
    <row r="15" spans="1:11" x14ac:dyDescent="0.25">
      <c r="A15" s="128"/>
      <c r="B15" s="3" t="s">
        <v>94</v>
      </c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ht="30" x14ac:dyDescent="0.25">
      <c r="A16" s="128"/>
      <c r="B16" s="7" t="s">
        <v>95</v>
      </c>
      <c r="C16" s="102">
        <v>2394</v>
      </c>
      <c r="D16" s="102">
        <v>4</v>
      </c>
      <c r="E16" s="102"/>
      <c r="F16" s="102">
        <v>31182</v>
      </c>
      <c r="G16" s="102">
        <v>60</v>
      </c>
      <c r="H16" s="102"/>
      <c r="I16" s="102">
        <v>1316</v>
      </c>
      <c r="J16" s="102">
        <v>2.2000000000000002</v>
      </c>
      <c r="K16" s="102"/>
    </row>
    <row r="17" spans="1:11" ht="30" x14ac:dyDescent="0.25">
      <c r="A17" s="128">
        <v>2</v>
      </c>
      <c r="B17" s="3" t="s">
        <v>96</v>
      </c>
      <c r="C17" s="102">
        <v>99</v>
      </c>
      <c r="D17" s="102">
        <v>13</v>
      </c>
      <c r="E17" s="102"/>
      <c r="F17" s="102">
        <v>4599.29</v>
      </c>
      <c r="G17" s="102">
        <v>1205</v>
      </c>
      <c r="H17" s="102"/>
      <c r="I17" s="102">
        <v>10295.16</v>
      </c>
      <c r="J17" s="102">
        <v>1510.75</v>
      </c>
      <c r="K17" s="102"/>
    </row>
    <row r="18" spans="1:11" x14ac:dyDescent="0.25">
      <c r="A18" s="128"/>
      <c r="B18" s="3" t="s">
        <v>94</v>
      </c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1" ht="30" x14ac:dyDescent="0.25">
      <c r="A19" s="128"/>
      <c r="B19" s="7" t="s">
        <v>97</v>
      </c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1" ht="30" x14ac:dyDescent="0.25">
      <c r="A20" s="128">
        <v>3</v>
      </c>
      <c r="B20" s="3" t="s">
        <v>98</v>
      </c>
      <c r="C20" s="102">
        <v>12</v>
      </c>
      <c r="D20" s="102">
        <v>31</v>
      </c>
      <c r="E20" s="102"/>
      <c r="F20" s="102">
        <v>3871</v>
      </c>
      <c r="G20" s="102">
        <v>11426</v>
      </c>
      <c r="H20" s="102"/>
      <c r="I20" s="102">
        <v>15026.9</v>
      </c>
      <c r="J20" s="102">
        <v>29703</v>
      </c>
      <c r="K20" s="102"/>
    </row>
    <row r="21" spans="1:11" x14ac:dyDescent="0.25">
      <c r="A21" s="128"/>
      <c r="B21" s="3" t="s">
        <v>94</v>
      </c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ht="45" x14ac:dyDescent="0.25">
      <c r="A22" s="128"/>
      <c r="B22" s="7" t="s">
        <v>99</v>
      </c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ht="30" x14ac:dyDescent="0.25">
      <c r="A23" s="128">
        <v>4</v>
      </c>
      <c r="B23" s="3" t="s">
        <v>100</v>
      </c>
      <c r="C23" s="102"/>
      <c r="D23" s="102">
        <v>21</v>
      </c>
      <c r="E23" s="102">
        <v>1</v>
      </c>
      <c r="F23" s="102"/>
      <c r="G23" s="102">
        <v>43049</v>
      </c>
      <c r="H23" s="102">
        <v>7173</v>
      </c>
      <c r="I23" s="102"/>
      <c r="J23" s="102">
        <v>3282.8</v>
      </c>
      <c r="K23" s="102">
        <v>50930.32</v>
      </c>
    </row>
    <row r="24" spans="1:11" x14ac:dyDescent="0.25">
      <c r="A24" s="128"/>
      <c r="B24" s="3" t="s">
        <v>94</v>
      </c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ht="45" x14ac:dyDescent="0.25">
      <c r="A25" s="128"/>
      <c r="B25" s="7" t="s">
        <v>99</v>
      </c>
      <c r="C25" s="102"/>
      <c r="D25" s="102">
        <v>1</v>
      </c>
      <c r="E25" s="102">
        <v>1</v>
      </c>
      <c r="F25" s="102"/>
      <c r="G25" s="102">
        <v>4</v>
      </c>
      <c r="H25" s="102">
        <v>7173</v>
      </c>
      <c r="I25" s="102"/>
      <c r="J25" s="102">
        <v>2571.5</v>
      </c>
      <c r="K25" s="102">
        <v>50930.32</v>
      </c>
    </row>
    <row r="26" spans="1:11" x14ac:dyDescent="0.25">
      <c r="A26" s="128">
        <v>5</v>
      </c>
      <c r="B26" s="3" t="s">
        <v>101</v>
      </c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x14ac:dyDescent="0.25">
      <c r="A27" s="128"/>
      <c r="B27" s="3" t="s">
        <v>94</v>
      </c>
      <c r="C27" s="102"/>
      <c r="D27" s="102">
        <v>1</v>
      </c>
      <c r="E27" s="102"/>
      <c r="F27" s="102"/>
      <c r="G27" s="102">
        <v>9</v>
      </c>
      <c r="H27" s="102"/>
      <c r="I27" s="102"/>
      <c r="J27" s="102">
        <v>11697.2</v>
      </c>
      <c r="K27" s="102"/>
    </row>
    <row r="28" spans="1:11" ht="45" x14ac:dyDescent="0.25">
      <c r="A28" s="128"/>
      <c r="B28" s="7" t="s">
        <v>99</v>
      </c>
      <c r="C28" s="102"/>
      <c r="D28" s="102">
        <v>1</v>
      </c>
      <c r="E28" s="102"/>
      <c r="F28" s="102"/>
      <c r="G28" s="102">
        <v>9</v>
      </c>
      <c r="H28" s="102"/>
      <c r="I28" s="102"/>
      <c r="J28" s="102">
        <v>11697.2</v>
      </c>
      <c r="K28" s="102"/>
    </row>
    <row r="29" spans="1:11" x14ac:dyDescent="0.25">
      <c r="A29" s="2">
        <v>6</v>
      </c>
      <c r="B29" s="3" t="s">
        <v>102</v>
      </c>
      <c r="C29" s="102"/>
      <c r="D29" s="102"/>
      <c r="E29" s="102"/>
      <c r="F29" s="102"/>
      <c r="G29" s="102"/>
      <c r="H29" s="102"/>
      <c r="I29" s="102"/>
      <c r="J29" s="102"/>
      <c r="K29" s="102"/>
    </row>
    <row r="31" spans="1:11" x14ac:dyDescent="0.25">
      <c r="A31" t="s">
        <v>15</v>
      </c>
    </row>
    <row r="32" spans="1:11" ht="30.75" customHeight="1" x14ac:dyDescent="0.25">
      <c r="A32" s="107" t="s">
        <v>103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 ht="120.75" customHeight="1" x14ac:dyDescent="0.25">
      <c r="A33" s="107" t="s">
        <v>104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</sheetData>
  <customSheetViews>
    <customSheetView guid="{1F1EC9A1-559B-45BE-A366-DE40EA2885B6}" showPageBreaks="1" fitToPage="1" hiddenRows="1" view="pageBreakPreview">
      <selection activeCell="G2" sqref="G2"/>
      <pageMargins left="0.98425196850393704" right="0.59055118110236227" top="0.78740157480314965" bottom="0.78740157480314965" header="0" footer="0"/>
      <pageSetup paperSize="9" scale="86" fitToHeight="100" orientation="portrait" r:id="rId1"/>
    </customSheetView>
    <customSheetView guid="{590CC574-4B1C-4AB8-AB4D-7FAB395FC0A2}" showPageBreaks="1" fitToPage="1" hiddenRows="1" view="pageBreakPreview">
      <selection activeCell="G2" sqref="G2"/>
      <pageMargins left="0.98425196850393704" right="0.59055118110236227" top="0.78740157480314965" bottom="0.78740157480314965" header="0" footer="0"/>
      <pageSetup paperSize="9" scale="86" fitToHeight="100" orientation="portrait" r:id="rId2"/>
    </customSheetView>
  </customSheetViews>
  <mergeCells count="15">
    <mergeCell ref="A8:K8"/>
    <mergeCell ref="A9:K9"/>
    <mergeCell ref="A10:K10"/>
    <mergeCell ref="A32:K32"/>
    <mergeCell ref="A33:K33"/>
    <mergeCell ref="A14:A16"/>
    <mergeCell ref="A17:A19"/>
    <mergeCell ref="A20:A22"/>
    <mergeCell ref="A23:A25"/>
    <mergeCell ref="A26:A28"/>
    <mergeCell ref="C12:E12"/>
    <mergeCell ref="F12:H12"/>
    <mergeCell ref="I12:K12"/>
    <mergeCell ref="A12:A13"/>
    <mergeCell ref="B12:B13"/>
  </mergeCells>
  <pageMargins left="0.98425196850393704" right="0.59055118110236227" top="0.78740157480314965" bottom="0.78740157480314965" header="0" footer="0"/>
  <pageSetup paperSize="9" scale="92" fitToHeight="100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zoomScaleNormal="100" zoomScaleSheetLayoutView="100" workbookViewId="0">
      <selection activeCell="L30" sqref="L30"/>
    </sheetView>
  </sheetViews>
  <sheetFormatPr defaultRowHeight="15" outlineLevelRow="1" x14ac:dyDescent="0.25"/>
  <cols>
    <col min="1" max="1" width="4.140625" customWidth="1"/>
    <col min="2" max="2" width="22.7109375" customWidth="1"/>
    <col min="5" max="5" width="12" customWidth="1"/>
    <col min="8" max="8" width="12" customWidth="1"/>
  </cols>
  <sheetData>
    <row r="1" spans="1:8" x14ac:dyDescent="0.25">
      <c r="E1" t="s">
        <v>148</v>
      </c>
    </row>
    <row r="2" spans="1:8" x14ac:dyDescent="0.25">
      <c r="E2" t="s">
        <v>1</v>
      </c>
    </row>
    <row r="3" spans="1:8" x14ac:dyDescent="0.25">
      <c r="E3" t="s">
        <v>2</v>
      </c>
    </row>
    <row r="4" spans="1:8" x14ac:dyDescent="0.25">
      <c r="E4" t="s">
        <v>3</v>
      </c>
    </row>
    <row r="6" spans="1:8" hidden="1" outlineLevel="1" x14ac:dyDescent="0.25">
      <c r="E6" t="s">
        <v>4</v>
      </c>
    </row>
    <row r="7" spans="1:8" collapsed="1" x14ac:dyDescent="0.25"/>
    <row r="8" spans="1:8" x14ac:dyDescent="0.25">
      <c r="A8" s="115" t="s">
        <v>86</v>
      </c>
      <c r="B8" s="115"/>
      <c r="C8" s="115"/>
      <c r="D8" s="115"/>
      <c r="E8" s="115"/>
      <c r="F8" s="115"/>
      <c r="G8" s="115"/>
      <c r="H8" s="115"/>
    </row>
    <row r="9" spans="1:8" x14ac:dyDescent="0.25">
      <c r="A9" s="115" t="s">
        <v>105</v>
      </c>
      <c r="B9" s="115"/>
      <c r="C9" s="115"/>
      <c r="D9" s="115"/>
      <c r="E9" s="115"/>
      <c r="F9" s="115"/>
      <c r="G9" s="115"/>
      <c r="H9" s="115"/>
    </row>
    <row r="10" spans="1:8" x14ac:dyDescent="0.25">
      <c r="A10" s="115" t="s">
        <v>239</v>
      </c>
      <c r="B10" s="115"/>
      <c r="C10" s="115"/>
      <c r="D10" s="115"/>
      <c r="E10" s="115"/>
      <c r="F10" s="115"/>
      <c r="G10" s="115"/>
      <c r="H10" s="115"/>
    </row>
    <row r="12" spans="1:8" ht="15" customHeight="1" x14ac:dyDescent="0.25">
      <c r="A12" s="130" t="s">
        <v>41</v>
      </c>
      <c r="B12" s="131" t="s">
        <v>88</v>
      </c>
      <c r="C12" s="137" t="s">
        <v>106</v>
      </c>
      <c r="D12" s="137"/>
      <c r="E12" s="137"/>
      <c r="F12" s="137" t="s">
        <v>90</v>
      </c>
      <c r="G12" s="137"/>
      <c r="H12" s="137"/>
    </row>
    <row r="13" spans="1:8" x14ac:dyDescent="0.25">
      <c r="A13" s="131"/>
      <c r="B13" s="131"/>
      <c r="C13" s="103" t="s">
        <v>82</v>
      </c>
      <c r="D13" s="103" t="s">
        <v>83</v>
      </c>
      <c r="E13" s="103" t="s">
        <v>92</v>
      </c>
      <c r="F13" s="103" t="s">
        <v>82</v>
      </c>
      <c r="G13" s="103" t="s">
        <v>83</v>
      </c>
      <c r="H13" s="103" t="s">
        <v>92</v>
      </c>
    </row>
    <row r="14" spans="1:8" x14ac:dyDescent="0.25">
      <c r="A14" s="134">
        <v>1</v>
      </c>
      <c r="B14" s="3" t="s">
        <v>93</v>
      </c>
      <c r="C14" s="41">
        <v>3464</v>
      </c>
      <c r="D14" s="41">
        <v>18</v>
      </c>
      <c r="E14" s="41"/>
      <c r="F14" s="41">
        <v>44443</v>
      </c>
      <c r="G14" s="41">
        <v>238</v>
      </c>
      <c r="H14" s="41"/>
    </row>
    <row r="15" spans="1:8" x14ac:dyDescent="0.25">
      <c r="A15" s="135"/>
      <c r="B15" s="3" t="s">
        <v>94</v>
      </c>
      <c r="C15" s="41"/>
      <c r="D15" s="41"/>
      <c r="E15" s="41"/>
      <c r="F15" s="41"/>
      <c r="G15" s="41"/>
      <c r="H15" s="41"/>
    </row>
    <row r="16" spans="1:8" ht="30" x14ac:dyDescent="0.25">
      <c r="A16" s="136"/>
      <c r="B16" s="8" t="s">
        <v>95</v>
      </c>
      <c r="C16" s="41">
        <v>2802</v>
      </c>
      <c r="D16" s="41">
        <v>13</v>
      </c>
      <c r="E16" s="41"/>
      <c r="F16" s="41">
        <v>36278</v>
      </c>
      <c r="G16" s="41">
        <v>173</v>
      </c>
      <c r="H16" s="41"/>
    </row>
    <row r="17" spans="1:8" x14ac:dyDescent="0.25">
      <c r="A17" s="134">
        <v>2</v>
      </c>
      <c r="B17" s="3" t="s">
        <v>96</v>
      </c>
      <c r="C17" s="41">
        <v>174</v>
      </c>
      <c r="D17" s="41">
        <v>50</v>
      </c>
      <c r="E17" s="41"/>
      <c r="F17" s="41">
        <v>10184</v>
      </c>
      <c r="G17" s="41">
        <v>5070</v>
      </c>
      <c r="H17" s="41"/>
    </row>
    <row r="18" spans="1:8" x14ac:dyDescent="0.25">
      <c r="A18" s="135"/>
      <c r="B18" s="3" t="s">
        <v>94</v>
      </c>
      <c r="C18" s="41"/>
      <c r="D18" s="41"/>
      <c r="E18" s="41"/>
      <c r="F18" s="41"/>
      <c r="G18" s="41"/>
      <c r="H18" s="41"/>
    </row>
    <row r="19" spans="1:8" ht="30" x14ac:dyDescent="0.25">
      <c r="A19" s="136"/>
      <c r="B19" s="8" t="s">
        <v>97</v>
      </c>
      <c r="C19" s="41"/>
      <c r="D19" s="41"/>
      <c r="E19" s="41"/>
      <c r="F19" s="41"/>
      <c r="G19" s="41"/>
      <c r="H19" s="41"/>
    </row>
    <row r="20" spans="1:8" ht="30" x14ac:dyDescent="0.25">
      <c r="A20" s="134">
        <v>3</v>
      </c>
      <c r="B20" s="3" t="s">
        <v>98</v>
      </c>
      <c r="C20" s="41">
        <v>26</v>
      </c>
      <c r="D20" s="41">
        <v>68</v>
      </c>
      <c r="E20" s="41"/>
      <c r="F20" s="41">
        <v>7590</v>
      </c>
      <c r="G20" s="41">
        <v>26192</v>
      </c>
      <c r="H20" s="41"/>
    </row>
    <row r="21" spans="1:8" x14ac:dyDescent="0.25">
      <c r="A21" s="135"/>
      <c r="B21" s="3" t="s">
        <v>94</v>
      </c>
      <c r="C21" s="41"/>
      <c r="D21" s="41"/>
      <c r="E21" s="41"/>
      <c r="F21" s="41"/>
      <c r="G21" s="41"/>
      <c r="H21" s="41"/>
    </row>
    <row r="22" spans="1:8" ht="30" x14ac:dyDescent="0.25">
      <c r="A22" s="136"/>
      <c r="B22" s="8" t="s">
        <v>99</v>
      </c>
      <c r="C22" s="41"/>
      <c r="D22" s="41"/>
      <c r="E22" s="41"/>
      <c r="F22" s="41"/>
      <c r="G22" s="41"/>
      <c r="H22" s="41"/>
    </row>
    <row r="23" spans="1:8" ht="30" x14ac:dyDescent="0.25">
      <c r="A23" s="134">
        <v>4</v>
      </c>
      <c r="B23" s="3" t="s">
        <v>100</v>
      </c>
      <c r="C23" s="41"/>
      <c r="D23" s="41">
        <v>50</v>
      </c>
      <c r="E23" s="41">
        <v>3</v>
      </c>
      <c r="F23" s="41"/>
      <c r="G23" s="41">
        <v>62140</v>
      </c>
      <c r="H23" s="41">
        <v>8000</v>
      </c>
    </row>
    <row r="24" spans="1:8" x14ac:dyDescent="0.25">
      <c r="A24" s="135"/>
      <c r="B24" s="3" t="s">
        <v>94</v>
      </c>
      <c r="C24" s="41"/>
      <c r="D24" s="41"/>
      <c r="E24" s="41"/>
      <c r="F24" s="41"/>
      <c r="G24" s="41"/>
      <c r="H24" s="41"/>
    </row>
    <row r="25" spans="1:8" ht="30" x14ac:dyDescent="0.25">
      <c r="A25" s="136"/>
      <c r="B25" s="8" t="s">
        <v>99</v>
      </c>
      <c r="C25" s="41"/>
      <c r="D25" s="41">
        <v>1</v>
      </c>
      <c r="E25" s="41"/>
      <c r="F25" s="41"/>
      <c r="G25" s="41">
        <v>4000</v>
      </c>
      <c r="H25" s="41"/>
    </row>
    <row r="26" spans="1:8" x14ac:dyDescent="0.25">
      <c r="A26" s="134">
        <v>5</v>
      </c>
      <c r="B26" s="3" t="s">
        <v>101</v>
      </c>
      <c r="C26" s="41"/>
      <c r="D26" s="41"/>
      <c r="E26" s="41">
        <v>2</v>
      </c>
      <c r="F26" s="41"/>
      <c r="G26" s="41">
        <v>2</v>
      </c>
      <c r="H26" s="41">
        <v>29760</v>
      </c>
    </row>
    <row r="27" spans="1:8" x14ac:dyDescent="0.25">
      <c r="A27" s="135"/>
      <c r="B27" s="3" t="s">
        <v>94</v>
      </c>
      <c r="C27" s="41"/>
      <c r="D27" s="41"/>
      <c r="E27" s="41"/>
      <c r="F27" s="41"/>
      <c r="G27" s="41"/>
      <c r="H27" s="41"/>
    </row>
    <row r="28" spans="1:8" ht="30" x14ac:dyDescent="0.25">
      <c r="A28" s="136"/>
      <c r="B28" s="8" t="s">
        <v>99</v>
      </c>
      <c r="C28" s="41"/>
      <c r="D28" s="41">
        <v>2</v>
      </c>
      <c r="E28" s="41">
        <v>2</v>
      </c>
      <c r="F28" s="41"/>
      <c r="G28" s="41">
        <v>24000</v>
      </c>
      <c r="H28" s="41">
        <v>29760</v>
      </c>
    </row>
    <row r="29" spans="1:8" x14ac:dyDescent="0.25">
      <c r="A29" s="2">
        <v>6</v>
      </c>
      <c r="B29" s="3" t="s">
        <v>102</v>
      </c>
      <c r="C29" s="41"/>
      <c r="D29" s="41"/>
      <c r="E29" s="41"/>
      <c r="F29" s="41"/>
      <c r="G29" s="41"/>
      <c r="H29" s="41"/>
    </row>
    <row r="31" spans="1:8" ht="14.45" x14ac:dyDescent="0.3">
      <c r="A31" t="s">
        <v>15</v>
      </c>
    </row>
    <row r="32" spans="1:8" ht="27.75" customHeight="1" x14ac:dyDescent="0.25">
      <c r="A32" s="107" t="s">
        <v>103</v>
      </c>
      <c r="B32" s="107"/>
      <c r="C32" s="107"/>
      <c r="D32" s="107"/>
      <c r="E32" s="107"/>
      <c r="F32" s="107"/>
      <c r="G32" s="107"/>
      <c r="H32" s="107"/>
    </row>
    <row r="33" spans="1:8" ht="135.75" customHeight="1" x14ac:dyDescent="0.25">
      <c r="A33" s="107" t="s">
        <v>107</v>
      </c>
      <c r="B33" s="107"/>
      <c r="C33" s="107"/>
      <c r="D33" s="107"/>
      <c r="E33" s="107"/>
      <c r="F33" s="107"/>
      <c r="G33" s="107"/>
      <c r="H33" s="107"/>
    </row>
  </sheetData>
  <customSheetViews>
    <customSheetView guid="{1F1EC9A1-559B-45BE-A366-DE40EA2885B6}" showPageBreaks="1" fitToPage="1" hiddenRows="1" view="pageBreakPreview">
      <selection activeCell="E2" sqref="E2"/>
      <pageMargins left="0.98425196850393704" right="0.59055118110236227" top="0.78740157480314965" bottom="0.78740157480314965" header="0" footer="0"/>
      <pageSetup paperSize="9" scale="97" fitToHeight="100" orientation="portrait" r:id="rId1"/>
    </customSheetView>
    <customSheetView guid="{590CC574-4B1C-4AB8-AB4D-7FAB395FC0A2}" showPageBreaks="1" fitToPage="1" hiddenRows="1" view="pageBreakPreview">
      <selection activeCell="G23" sqref="G23"/>
      <pageMargins left="0.98425196850393704" right="0.59055118110236227" top="0.78740157480314965" bottom="0.78740157480314965" header="0" footer="0"/>
      <pageSetup paperSize="9" scale="97" fitToHeight="100" orientation="portrait" r:id="rId2"/>
    </customSheetView>
  </customSheetViews>
  <mergeCells count="14">
    <mergeCell ref="A8:H8"/>
    <mergeCell ref="A9:H9"/>
    <mergeCell ref="A10:H10"/>
    <mergeCell ref="A12:A13"/>
    <mergeCell ref="B12:B13"/>
    <mergeCell ref="C12:E12"/>
    <mergeCell ref="F12:H12"/>
    <mergeCell ref="A32:H32"/>
    <mergeCell ref="A33:H33"/>
    <mergeCell ref="A14:A16"/>
    <mergeCell ref="A17:A19"/>
    <mergeCell ref="A20:A22"/>
    <mergeCell ref="A23:A25"/>
    <mergeCell ref="A26:A28"/>
  </mergeCells>
  <pageMargins left="0.98425196850393704" right="0.59055118110236227" top="0.78740157480314965" bottom="0.78740157480314965" header="0" footer="0"/>
  <pageSetup paperSize="9" scale="97" fitToHeight="10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 2 Титул</vt:lpstr>
      <vt:lpstr>3</vt:lpstr>
      <vt:lpstr>4</vt:lpstr>
      <vt:lpstr>5</vt:lpstr>
      <vt:lpstr>6</vt:lpstr>
      <vt:lpstr>7</vt:lpstr>
      <vt:lpstr>8</vt:lpstr>
      <vt:lpstr>9</vt:lpstr>
      <vt:lpstr>'3'!Заголовки_для_печати</vt:lpstr>
      <vt:lpstr>'4'!Заголовки_для_печати</vt:lpstr>
      <vt:lpstr>'3'!Область_печати</vt:lpstr>
      <vt:lpstr>'4'!Область_печати</vt:lpstr>
      <vt:lpstr>'6'!Область_печати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Гордиенко Ольга Александровна</dc:creator>
  <cp:lastModifiedBy>Макарова Елена</cp:lastModifiedBy>
  <cp:lastPrinted>2015-10-13T06:53:13Z</cp:lastPrinted>
  <dcterms:created xsi:type="dcterms:W3CDTF">2015-09-23T01:16:39Z</dcterms:created>
  <dcterms:modified xsi:type="dcterms:W3CDTF">2016-10-20T06:47:19Z</dcterms:modified>
</cp:coreProperties>
</file>