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4385" yWindow="-15" windowWidth="14430" windowHeight="12855" tabRatio="853" activeTab="10"/>
  </bookViews>
  <sheets>
    <sheet name="приложение 2" sheetId="19" r:id="rId1"/>
    <sheet name="3" sheetId="12" r:id="rId2"/>
    <sheet name="4" sheetId="13" r:id="rId3"/>
    <sheet name="5" sheetId="14" r:id="rId4"/>
    <sheet name="6" sheetId="15" r:id="rId5"/>
    <sheet name="7" sheetId="16" r:id="rId6"/>
    <sheet name="8" sheetId="17" r:id="rId7"/>
    <sheet name="9" sheetId="18" r:id="rId8"/>
    <sheet name="приложение 3 к МУ" sheetId="21" r:id="rId9"/>
    <sheet name="приложение 2 к МУ" sheetId="22" r:id="rId10"/>
    <sheet name="до 15 кВт факт. выпад2017" sheetId="23" r:id="rId11"/>
    <sheet name="окончат вд до 150" sheetId="24" r:id="rId12"/>
    <sheet name="пояснит" sheetId="20" r:id="rId13"/>
    <sheet name="1. 2015, до 15кВт" sheetId="25" r:id="rId14"/>
    <sheet name="2. 2015, свыше 15кВт" sheetId="26" r:id="rId15"/>
  </sheets>
  <externalReferences>
    <externalReference r:id="rId16"/>
    <externalReference r:id="rId17"/>
    <externalReference r:id="rId18"/>
  </externalReferences>
  <definedNames>
    <definedName name="_xlnm._FilterDatabase" localSheetId="13" hidden="1">'1. 2015, до 15кВт'!$A$10:$J$29</definedName>
    <definedName name="_xlnm._FilterDatabase" localSheetId="14" hidden="1">'2. 2015, свыше 15кВт'!$A$10:$F$11</definedName>
    <definedName name="Количество_жил">'[1]вспомогательная таблица'!$K$5:$K$6</definedName>
    <definedName name="_xlnm.Print_Area" localSheetId="13">'1. 2015, до 15кВт'!$A$1:$M$32</definedName>
    <definedName name="_xlnm.Print_Area" localSheetId="14">'2. 2015, свыше 15кВт'!$A$1:$J$27</definedName>
    <definedName name="_xlnm.Print_Area" localSheetId="1">'3'!$A$1:$E$43</definedName>
    <definedName name="_xlnm.Print_Area" localSheetId="2">'4'!$A$1:$E$31</definedName>
    <definedName name="_xlnm.Print_Area" localSheetId="3">'5'!$A$1:$D$36</definedName>
    <definedName name="_xlnm.Print_Area" localSheetId="4">'6'!$A$1:$D$15</definedName>
    <definedName name="_xlnm.Print_Area" localSheetId="10">'до 15 кВт факт. выпад2017'!$A$1:$S$37</definedName>
    <definedName name="_xlnm.Print_Area" localSheetId="11">'окончат вд до 150'!$A$1:$N$50</definedName>
    <definedName name="_xlnm.Print_Area" localSheetId="9">'приложение 2 к МУ'!$A$1:$N$7</definedName>
    <definedName name="_xlnm.Print_Area" localSheetId="8">'приложение 3 к МУ'!$A$1:$E$26</definedName>
  </definedNames>
  <calcPr calcId="145621"/>
</workbook>
</file>

<file path=xl/calcChain.xml><?xml version="1.0" encoding="utf-8"?>
<calcChain xmlns="http://schemas.openxmlformats.org/spreadsheetml/2006/main">
  <c r="M8" i="23" l="1"/>
  <c r="M7" i="23"/>
  <c r="P6" i="22"/>
  <c r="Q6" i="22"/>
  <c r="J23" i="26" l="1"/>
  <c r="E23" i="26"/>
  <c r="I23" i="26" s="1"/>
  <c r="J22" i="26"/>
  <c r="E22" i="26"/>
  <c r="I22" i="26" s="1"/>
  <c r="J21" i="26"/>
  <c r="F20" i="26"/>
  <c r="J20" i="26" s="1"/>
  <c r="J19" i="26"/>
  <c r="J18" i="26"/>
  <c r="F18" i="26"/>
  <c r="J17" i="26"/>
  <c r="F16" i="26"/>
  <c r="F15" i="26" s="1"/>
  <c r="J15" i="26" s="1"/>
  <c r="J14" i="26"/>
  <c r="I14" i="26"/>
  <c r="E14" i="26"/>
  <c r="J13" i="26"/>
  <c r="E13" i="26"/>
  <c r="I13" i="26" s="1"/>
  <c r="J12" i="26"/>
  <c r="E12" i="26"/>
  <c r="I12" i="26" s="1"/>
  <c r="J11" i="26"/>
  <c r="G11" i="26"/>
  <c r="E11" i="26"/>
  <c r="I11" i="26" s="1"/>
  <c r="M28" i="25"/>
  <c r="L28" i="25"/>
  <c r="G28" i="25"/>
  <c r="F28" i="25"/>
  <c r="M27" i="25"/>
  <c r="L27" i="25"/>
  <c r="G27" i="25"/>
  <c r="F27" i="25"/>
  <c r="M26" i="25"/>
  <c r="L26" i="25"/>
  <c r="G26" i="25"/>
  <c r="F26" i="25"/>
  <c r="M25" i="25"/>
  <c r="L25" i="25"/>
  <c r="G25" i="25"/>
  <c r="F25" i="25"/>
  <c r="M24" i="25"/>
  <c r="L24" i="25"/>
  <c r="G24" i="25"/>
  <c r="F24" i="25"/>
  <c r="M23" i="25"/>
  <c r="L23" i="25"/>
  <c r="G23" i="25"/>
  <c r="F23" i="25"/>
  <c r="M22" i="25"/>
  <c r="L22" i="25"/>
  <c r="G22" i="25"/>
  <c r="F22" i="25"/>
  <c r="M21" i="25"/>
  <c r="L21" i="25"/>
  <c r="G21" i="25"/>
  <c r="F21" i="25"/>
  <c r="M20" i="25"/>
  <c r="L20" i="25"/>
  <c r="G20" i="25"/>
  <c r="F20" i="25"/>
  <c r="M19" i="25"/>
  <c r="L19" i="25"/>
  <c r="J19" i="25"/>
  <c r="I19" i="25"/>
  <c r="J18" i="25"/>
  <c r="I18" i="25"/>
  <c r="G18" i="25"/>
  <c r="G17" i="25" s="1"/>
  <c r="M17" i="25" s="1"/>
  <c r="F18" i="25"/>
  <c r="F17" i="25" s="1"/>
  <c r="L17" i="25" s="1"/>
  <c r="J17" i="25"/>
  <c r="I17" i="25"/>
  <c r="M16" i="25"/>
  <c r="L16" i="25"/>
  <c r="G16" i="25"/>
  <c r="L15" i="25"/>
  <c r="J15" i="25"/>
  <c r="M15" i="25" s="1"/>
  <c r="G15" i="25"/>
  <c r="J14" i="25"/>
  <c r="I14" i="25"/>
  <c r="G14" i="25"/>
  <c r="M14" i="25" s="1"/>
  <c r="F14" i="25"/>
  <c r="L14" i="25" s="1"/>
  <c r="M13" i="25"/>
  <c r="K13" i="25"/>
  <c r="G13" i="25"/>
  <c r="F13" i="25"/>
  <c r="L13" i="25" s="1"/>
  <c r="E13" i="25"/>
  <c r="K12" i="25"/>
  <c r="J12" i="25"/>
  <c r="H12" i="25"/>
  <c r="I12" i="25" s="1"/>
  <c r="G12" i="25"/>
  <c r="E12" i="25"/>
  <c r="F12" i="25" s="1"/>
  <c r="L12" i="25" s="1"/>
  <c r="M11" i="25"/>
  <c r="J11" i="25"/>
  <c r="J33" i="25" s="1"/>
  <c r="H11" i="25"/>
  <c r="I11" i="25" s="1"/>
  <c r="G11" i="25"/>
  <c r="E11" i="25"/>
  <c r="K11" i="25" s="1"/>
  <c r="D40" i="12"/>
  <c r="D38" i="12"/>
  <c r="D36" i="12"/>
  <c r="D37" i="12"/>
  <c r="D35" i="12"/>
  <c r="D33" i="12"/>
  <c r="D30" i="12"/>
  <c r="D28" i="12"/>
  <c r="D27" i="12"/>
  <c r="D25" i="12"/>
  <c r="D24" i="12"/>
  <c r="J16" i="26" l="1"/>
  <c r="G33" i="25"/>
  <c r="M18" i="25"/>
  <c r="L18" i="25"/>
  <c r="F11" i="25"/>
  <c r="L11" i="25" s="1"/>
  <c r="M12" i="25"/>
  <c r="M33" i="25" s="1"/>
  <c r="E13" i="16"/>
  <c r="D13" i="16"/>
  <c r="C13" i="16"/>
  <c r="D36" i="14" l="1"/>
  <c r="C36" i="14"/>
  <c r="N28" i="24"/>
  <c r="Q27" i="24"/>
  <c r="K27" i="24" s="1"/>
  <c r="I27" i="24" s="1"/>
  <c r="P27" i="24"/>
  <c r="O27" i="24"/>
  <c r="N27" i="24"/>
  <c r="J27" i="24"/>
  <c r="C27" i="24"/>
  <c r="N26" i="24"/>
  <c r="S25" i="24"/>
  <c r="R25" i="24"/>
  <c r="T25" i="24" s="1"/>
  <c r="O25" i="24"/>
  <c r="N25" i="24"/>
  <c r="F25" i="24"/>
  <c r="E25" i="24"/>
  <c r="C25" i="24" s="1"/>
  <c r="D25" i="24"/>
  <c r="P25" i="24" s="1"/>
  <c r="N24" i="24"/>
  <c r="C24" i="24"/>
  <c r="P23" i="24"/>
  <c r="O23" i="24"/>
  <c r="Q23" i="24" s="1"/>
  <c r="K23" i="24" s="1"/>
  <c r="I23" i="24" s="1"/>
  <c r="N23" i="24"/>
  <c r="J23" i="24"/>
  <c r="C23" i="24"/>
  <c r="P22" i="24"/>
  <c r="O22" i="24"/>
  <c r="Q22" i="24" s="1"/>
  <c r="K22" i="24" s="1"/>
  <c r="N22" i="24"/>
  <c r="N18" i="24" s="1"/>
  <c r="J22" i="24"/>
  <c r="C22" i="24"/>
  <c r="N21" i="24"/>
  <c r="N20" i="24"/>
  <c r="H18" i="24"/>
  <c r="P17" i="24"/>
  <c r="Q17" i="24" s="1"/>
  <c r="K17" i="24" s="1"/>
  <c r="I17" i="24" s="1"/>
  <c r="O17" i="24"/>
  <c r="N17" i="24"/>
  <c r="J17" i="24"/>
  <c r="C17" i="24"/>
  <c r="P16" i="24"/>
  <c r="Q16" i="24" s="1"/>
  <c r="K16" i="24" s="1"/>
  <c r="I16" i="24" s="1"/>
  <c r="O16" i="24"/>
  <c r="N16" i="24"/>
  <c r="J16" i="24"/>
  <c r="C16" i="24"/>
  <c r="N15" i="24"/>
  <c r="Q14" i="24"/>
  <c r="K14" i="24" s="1"/>
  <c r="P14" i="24"/>
  <c r="O14" i="24"/>
  <c r="N14" i="24"/>
  <c r="J14" i="24"/>
  <c r="C14" i="24"/>
  <c r="N13" i="24"/>
  <c r="H13" i="24"/>
  <c r="E13" i="24"/>
  <c r="N12" i="24"/>
  <c r="N9" i="24" s="1"/>
  <c r="N8" i="24" s="1"/>
  <c r="N46" i="24" s="1"/>
  <c r="S11" i="24"/>
  <c r="R11" i="24"/>
  <c r="T11" i="24" s="1"/>
  <c r="O11" i="24"/>
  <c r="N11" i="24"/>
  <c r="F11" i="24"/>
  <c r="E11" i="24"/>
  <c r="C11" i="24" s="1"/>
  <c r="D11" i="24"/>
  <c r="P11" i="24" s="1"/>
  <c r="S10" i="24"/>
  <c r="O10" i="24"/>
  <c r="R10" i="24" s="1"/>
  <c r="T10" i="24" s="1"/>
  <c r="N10" i="24"/>
  <c r="F10" i="24"/>
  <c r="E10" i="24"/>
  <c r="D10" i="24"/>
  <c r="P10" i="24" s="1"/>
  <c r="J10" i="24" s="1"/>
  <c r="C10" i="24"/>
  <c r="H9" i="24"/>
  <c r="E9" i="24"/>
  <c r="H8" i="24"/>
  <c r="H46" i="24" s="1"/>
  <c r="H36" i="23"/>
  <c r="H34" i="23"/>
  <c r="E33" i="23"/>
  <c r="H33" i="23" s="1"/>
  <c r="D32" i="23"/>
  <c r="C31" i="23"/>
  <c r="H29" i="23"/>
  <c r="C29" i="23"/>
  <c r="O28" i="23"/>
  <c r="M28" i="23"/>
  <c r="G28" i="23"/>
  <c r="F28" i="23"/>
  <c r="H28" i="23" s="1"/>
  <c r="C28" i="23"/>
  <c r="M27" i="23"/>
  <c r="O27" i="23" s="1"/>
  <c r="H27" i="23"/>
  <c r="C27" i="23"/>
  <c r="H26" i="23"/>
  <c r="C26" i="23"/>
  <c r="O24" i="23"/>
  <c r="M24" i="23"/>
  <c r="G24" i="23"/>
  <c r="F24" i="23"/>
  <c r="H24" i="23" s="1"/>
  <c r="C24" i="23"/>
  <c r="M23" i="23"/>
  <c r="O23" i="23" s="1"/>
  <c r="H23" i="23"/>
  <c r="G23" i="23"/>
  <c r="F23" i="23"/>
  <c r="C23" i="23"/>
  <c r="O22" i="23"/>
  <c r="M22" i="23"/>
  <c r="G22" i="23"/>
  <c r="F22" i="23"/>
  <c r="H22" i="23" s="1"/>
  <c r="C22" i="23"/>
  <c r="M21" i="23"/>
  <c r="O21" i="23" s="1"/>
  <c r="H21" i="23"/>
  <c r="G21" i="23"/>
  <c r="F21" i="23"/>
  <c r="C21" i="23"/>
  <c r="H20" i="23"/>
  <c r="G20" i="23"/>
  <c r="C20" i="23"/>
  <c r="H19" i="23"/>
  <c r="O18" i="23"/>
  <c r="M18" i="23"/>
  <c r="G18" i="23"/>
  <c r="F18" i="23"/>
  <c r="H18" i="23" s="1"/>
  <c r="C18" i="23"/>
  <c r="H17" i="23"/>
  <c r="C17" i="23"/>
  <c r="O16" i="23"/>
  <c r="M16" i="23"/>
  <c r="G16" i="23"/>
  <c r="F16" i="23"/>
  <c r="H16" i="23" s="1"/>
  <c r="C16" i="23"/>
  <c r="H15" i="23"/>
  <c r="C15" i="23"/>
  <c r="O13" i="23"/>
  <c r="M13" i="23"/>
  <c r="G13" i="23"/>
  <c r="F13" i="23"/>
  <c r="H13" i="23" s="1"/>
  <c r="C13" i="23"/>
  <c r="M12" i="23"/>
  <c r="O12" i="23" s="1"/>
  <c r="H12" i="23"/>
  <c r="G12" i="23"/>
  <c r="F12" i="23"/>
  <c r="C12" i="23"/>
  <c r="E11" i="23"/>
  <c r="O10" i="23"/>
  <c r="H10" i="23"/>
  <c r="G10" i="23"/>
  <c r="C10" i="23"/>
  <c r="G8" i="23"/>
  <c r="H8" i="23" s="1"/>
  <c r="C8" i="23"/>
  <c r="C6" i="23" s="1"/>
  <c r="H7" i="23"/>
  <c r="H6" i="23" s="1"/>
  <c r="G7" i="23"/>
  <c r="C7" i="23"/>
  <c r="N7" i="23"/>
  <c r="G6" i="23"/>
  <c r="F6" i="23"/>
  <c r="E6" i="23"/>
  <c r="Q25" i="24" l="1"/>
  <c r="K25" i="24" s="1"/>
  <c r="J25" i="24"/>
  <c r="Q11" i="24"/>
  <c r="K11" i="24" s="1"/>
  <c r="I11" i="24" s="1"/>
  <c r="J11" i="24"/>
  <c r="K13" i="24"/>
  <c r="I14" i="24"/>
  <c r="I22" i="24"/>
  <c r="Q10" i="24"/>
  <c r="K10" i="24" s="1"/>
  <c r="E18" i="24"/>
  <c r="E8" i="24" s="1"/>
  <c r="E46" i="24" s="1"/>
  <c r="O32" i="23"/>
  <c r="H32" i="23"/>
  <c r="O7" i="23"/>
  <c r="H11" i="23"/>
  <c r="H50" i="23" s="1"/>
  <c r="O11" i="23"/>
  <c r="E32" i="23"/>
  <c r="E35" i="23" s="1"/>
  <c r="E37" i="23" s="1"/>
  <c r="M6" i="23"/>
  <c r="N8" i="23"/>
  <c r="O8" i="23" s="1"/>
  <c r="K8" i="22"/>
  <c r="G8" i="22"/>
  <c r="C8" i="22"/>
  <c r="M7" i="22"/>
  <c r="L7" i="22"/>
  <c r="N7" i="22" s="1"/>
  <c r="J7" i="22"/>
  <c r="I7" i="22"/>
  <c r="H7" i="22"/>
  <c r="F7" i="22"/>
  <c r="E7" i="22"/>
  <c r="N6" i="22"/>
  <c r="J6" i="22"/>
  <c r="F6" i="22"/>
  <c r="F26" i="21"/>
  <c r="F25" i="21"/>
  <c r="F24" i="21"/>
  <c r="F23" i="21"/>
  <c r="E22" i="21"/>
  <c r="D22" i="21"/>
  <c r="F22" i="21" s="1"/>
  <c r="C22" i="21"/>
  <c r="F21" i="21"/>
  <c r="F20" i="21"/>
  <c r="F19" i="21"/>
  <c r="F18" i="21"/>
  <c r="F17" i="21"/>
  <c r="F16" i="21"/>
  <c r="F15" i="21"/>
  <c r="F14" i="21"/>
  <c r="E13" i="21"/>
  <c r="D13" i="21"/>
  <c r="F13" i="21" s="1"/>
  <c r="C13" i="21"/>
  <c r="F11" i="21"/>
  <c r="F10" i="21"/>
  <c r="F9" i="21"/>
  <c r="F7" i="21"/>
  <c r="E6" i="21"/>
  <c r="C6" i="21"/>
  <c r="I10" i="24" l="1"/>
  <c r="K9" i="24"/>
  <c r="K8" i="24" s="1"/>
  <c r="K46" i="24" s="1"/>
  <c r="I25" i="24"/>
  <c r="K18" i="24"/>
  <c r="H35" i="23"/>
  <c r="O6" i="23"/>
  <c r="O35" i="23" s="1"/>
  <c r="O37" i="23" s="1"/>
  <c r="D6" i="21"/>
  <c r="F6" i="21" s="1"/>
  <c r="C11" i="14"/>
  <c r="D11" i="14" l="1"/>
  <c r="D23" i="13" l="1"/>
  <c r="E18" i="12" l="1"/>
  <c r="D18" i="12" l="1"/>
  <c r="D16" i="13"/>
  <c r="E20" i="13"/>
  <c r="E21" i="13"/>
  <c r="E19" i="13"/>
  <c r="E18" i="13"/>
  <c r="C16" i="13"/>
  <c r="E16" i="13" l="1"/>
  <c r="E17" i="13"/>
  <c r="E23" i="13" l="1"/>
  <c r="E12" i="13"/>
  <c r="C21" i="14" l="1"/>
  <c r="D21" i="14" l="1"/>
</calcChain>
</file>

<file path=xl/comments1.xml><?xml version="1.0" encoding="utf-8"?>
<comments xmlns="http://schemas.openxmlformats.org/spreadsheetml/2006/main">
  <authors>
    <author>Грунин Виктор Николаевич</author>
  </authors>
  <commentList>
    <comment ref="F15" authorId="0">
      <text>
        <r>
          <rPr>
            <b/>
            <sz val="9"/>
            <color indexed="81"/>
            <rFont val="Tahoma"/>
            <family val="2"/>
            <charset val="204"/>
          </rPr>
          <t>Грунин Виктор Николаевич:</t>
        </r>
        <r>
          <rPr>
            <sz val="9"/>
            <color indexed="81"/>
            <rFont val="Tahoma"/>
            <family val="2"/>
            <charset val="204"/>
          </rPr>
          <t xml:space="preserve">
109шт</t>
        </r>
      </text>
    </comment>
    <comment ref="I15" authorId="0">
      <text>
        <r>
          <rPr>
            <b/>
            <sz val="9"/>
            <color indexed="81"/>
            <rFont val="Tahoma"/>
            <family val="2"/>
            <charset val="204"/>
          </rPr>
          <t>Грунин Виктор Николаевич:</t>
        </r>
        <r>
          <rPr>
            <sz val="9"/>
            <color indexed="81"/>
            <rFont val="Tahoma"/>
            <family val="2"/>
            <charset val="204"/>
          </rPr>
          <t xml:space="preserve">
1шт</t>
        </r>
      </text>
    </comment>
    <comment ref="F16" authorId="0">
      <text>
        <r>
          <rPr>
            <b/>
            <sz val="9"/>
            <color indexed="81"/>
            <rFont val="Tahoma"/>
            <family val="2"/>
            <charset val="204"/>
          </rPr>
          <t>Грунин Виктор Николаевич:</t>
        </r>
        <r>
          <rPr>
            <sz val="9"/>
            <color indexed="81"/>
            <rFont val="Tahoma"/>
            <family val="2"/>
            <charset val="204"/>
          </rPr>
          <t xml:space="preserve">
694шт</t>
        </r>
      </text>
    </comment>
  </commentList>
</comments>
</file>

<file path=xl/sharedStrings.xml><?xml version="1.0" encoding="utf-8"?>
<sst xmlns="http://schemas.openxmlformats.org/spreadsheetml/2006/main" count="858" uniqueCount="427">
  <si>
    <t>1.</t>
  </si>
  <si>
    <t>2.</t>
  </si>
  <si>
    <t>3.</t>
  </si>
  <si>
    <t>4.</t>
  </si>
  <si>
    <t>5.</t>
  </si>
  <si>
    <t>6.</t>
  </si>
  <si>
    <t>№ п/п</t>
  </si>
  <si>
    <t>ФАКТИЧЕСКИЕ СРЕДНИЕ ДАННЫЕ</t>
  </si>
  <si>
    <t>о присоединенных объемах максимальной мощности
за 3 предыдущих года по каждому мероприятию</t>
  </si>
  <si>
    <t>Наименование 
мероприятий</t>
  </si>
  <si>
    <t>Фактические расходы на строительство подстанций 
за 3 предыдущих года 
(тыс. рублей)</t>
  </si>
  <si>
    <t>Объем мощности, 
введенной в основные фонды за 3 предыдущих года (кВт)</t>
  </si>
  <si>
    <t>Строительство пунктов секционирования (распределенных пунктов)</t>
  </si>
  <si>
    <t>Строительство комплектных трансформаторных подстанций и распределительных трансформаторных подстанций с уровнем напряжения до 35 кВ</t>
  </si>
  <si>
    <t>Строительство центров питания и подстанций уровнем напряжения 35 кВ и выше</t>
  </si>
  <si>
    <t>Расходы на строительство воздушных и кабельных линий электропередачи 
на i-м уровне напряжения, фактически построенных за последние 3 года (тыс. рублей)</t>
  </si>
  <si>
    <t>Длина воздушных 
и кабельных линий электропередачи 
на i-м уровне напряжения, фактически построенных за последние 3 года 
(км)</t>
  </si>
  <si>
    <t>Объем 
максимальной мощности, присоединенной путем 
строительства воздушных или кабельных линий 
за последние 
3 года (кВт)</t>
  </si>
  <si>
    <t>Строительство кабельных линий электропередачи:</t>
  </si>
  <si>
    <t>0,4 кВ</t>
  </si>
  <si>
    <t>1 - 20 кВ</t>
  </si>
  <si>
    <t>35 кВ</t>
  </si>
  <si>
    <t>Строительство воздушных линий электропередачи:</t>
  </si>
  <si>
    <t>И Н Ф О Р М А Ц И Я</t>
  </si>
  <si>
    <t>об осуществлении технологического присоединения по договорам, заключенным за текущий год</t>
  </si>
  <si>
    <t>Категория 
заявителей</t>
  </si>
  <si>
    <t>Количество договоров (штук)</t>
  </si>
  <si>
    <t>Максимальная мощность (кВт)</t>
  </si>
  <si>
    <t>Стоимость договоров 
(без НДС) (тыс. рублей)</t>
  </si>
  <si>
    <t>льготная категория *</t>
  </si>
  <si>
    <t>льготная категория **</t>
  </si>
  <si>
    <t>Объекты 
генерации</t>
  </si>
  <si>
    <t>До 15 кВт - всего,  в том числе</t>
  </si>
  <si>
    <t>От 15 до 150 кВт - всего,  в том числе</t>
  </si>
  <si>
    <t>От 150 кВт до 670 кВт - всего, в том числе</t>
  </si>
  <si>
    <t>по индивидуальному проекту</t>
  </si>
  <si>
    <t>От 670 кВт до 8900 кВт - всего, в том числе</t>
  </si>
  <si>
    <t>От 8900 кВт - всего, в том числе</t>
  </si>
  <si>
    <t>о поданных заявках на технологическое присоединение 
за текущий год</t>
  </si>
  <si>
    <t>о длине линий электропередачи и об объемах максимальной</t>
  </si>
  <si>
    <t>по каждому мероприятию</t>
  </si>
  <si>
    <t>мощности построенных объектов за 3 предыдущих года по каждому мероприятию</t>
  </si>
  <si>
    <t>Заявители, оплачивающие технологическое присоединение своих энергопринимающих устройств в размере не более 550 рублей.</t>
  </si>
  <si>
    <t>* -</t>
  </si>
  <si>
    <t>Заявители - юридические лица или индивидуальные предприниматели, заключившие договор об осуществлении технологического присоединения по одному источнику электроснабжения энергопринимающих устройств максимальной мощностью свыше 15 и до 150 кВт включительно (с учетом ранее присоединенных энергопринимающих устройств), у которых в договоре предусматривается беспроцентная рассрочка платежа за технологическое присоединение в размере 95 процентов платы за технологическое присоединение с условием ежеквартального внесения платы равными долями от общей суммы рассрочки до 3 лет со дня подписания сторонами акта об осуществлении технологического присоединения.</t>
  </si>
  <si>
    <t>по постоянной схеме</t>
  </si>
  <si>
    <r>
      <t>С</t>
    </r>
    <r>
      <rPr>
        <vertAlign val="subscript"/>
        <sz val="12"/>
        <rFont val="Times New Roman"/>
        <family val="1"/>
        <charset val="204"/>
      </rPr>
      <t>1</t>
    </r>
  </si>
  <si>
    <t>Стандартизированная тарифная ставка на покрытие расходов на технологическое присоединение энергопринимающих устройств потребителей электрической энергии, объектов электросетевого хозяйства, принадлежащих сетевым организациям и иным лицам, по мероприятиям, указанным в пункте 16 методических указаний по определению размера платы за технологическое присоединение к электрическим сетям, утвержденных Федеральной службой по тарифам, за исключением подпунктов "б" и "в" пункта 16, в расчете на 1 кВт максимальной мощности</t>
  </si>
  <si>
    <t>рублей/кВт</t>
  </si>
  <si>
    <r>
      <t>С</t>
    </r>
    <r>
      <rPr>
        <vertAlign val="subscript"/>
        <sz val="12"/>
        <rFont val="Times New Roman"/>
        <family val="1"/>
        <charset val="204"/>
      </rPr>
      <t>1.1</t>
    </r>
  </si>
  <si>
    <t>Стандартизированная тарифная ставка на покрытие расходов на подготовку и выдачу сетевой организацией технических условий заявителю</t>
  </si>
  <si>
    <r>
      <t>С</t>
    </r>
    <r>
      <rPr>
        <vertAlign val="subscript"/>
        <sz val="12"/>
        <rFont val="Times New Roman"/>
        <family val="1"/>
        <charset val="204"/>
      </rPr>
      <t>1.2</t>
    </r>
  </si>
  <si>
    <t>Стандартизированная тарифная ставка на покрытие расходов на проверку сетевой организацией выполнения заявителем технических условий</t>
  </si>
  <si>
    <t>рублей/км</t>
  </si>
  <si>
    <r>
      <t>С</t>
    </r>
    <r>
      <rPr>
        <vertAlign val="subscript"/>
        <sz val="12"/>
        <rFont val="Times New Roman"/>
        <family val="1"/>
        <charset val="204"/>
      </rPr>
      <t>1.3</t>
    </r>
    <r>
      <rPr>
        <sz val="10"/>
        <rFont val="Arial Cyr"/>
        <charset val="204"/>
      </rPr>
      <t/>
    </r>
  </si>
  <si>
    <t>Стандартизированная тарифная ставка на покрытие расходов на участие сетевой организации в осмотре должностным лицом органа федерального государственного энергетического надзора присоединяемых устройств заявителя</t>
  </si>
  <si>
    <r>
      <t>С</t>
    </r>
    <r>
      <rPr>
        <vertAlign val="subscript"/>
        <sz val="12"/>
        <rFont val="Times New Roman"/>
        <family val="1"/>
        <charset val="204"/>
      </rPr>
      <t>1.4</t>
    </r>
    <r>
      <rPr>
        <sz val="10"/>
        <rFont val="Arial Cyr"/>
        <charset val="204"/>
      </rPr>
      <t/>
    </r>
  </si>
  <si>
    <t>Стандартизированная тарифная ставка на покрытие расходов на осуществление сетевой организацией фактического присоединения объектов заявителя к электрическим сетям и включение коммутационного аппарата (фиксация коммутационного аппарата в положении "включено")</t>
  </si>
  <si>
    <r>
      <t>С</t>
    </r>
    <r>
      <rPr>
        <vertAlign val="subscript"/>
        <sz val="12"/>
        <rFont val="Times New Roman"/>
        <family val="1"/>
        <charset val="204"/>
      </rPr>
      <t xml:space="preserve">2,i </t>
    </r>
    <r>
      <rPr>
        <sz val="12"/>
        <rFont val="Times New Roman"/>
        <family val="1"/>
        <charset val="204"/>
      </rPr>
      <t>*</t>
    </r>
  </si>
  <si>
    <t>Стандартизированная тарифная ставка на покрытие расходов сетевой организации на строительство воздушных линий электропередачи 
на i-м уровне напряжения согласно приложению № 1 к методическим указаниям по определению размера платы за технологическое присоединение к электрическим сетям, утвержденным Федеральной службой по тарифам, в расчете на 1 км линий электропередачи</t>
  </si>
  <si>
    <r>
      <t>С</t>
    </r>
    <r>
      <rPr>
        <vertAlign val="subscript"/>
        <sz val="12"/>
        <rFont val="Times New Roman"/>
        <family val="1"/>
        <charset val="204"/>
      </rPr>
      <t xml:space="preserve">3,i </t>
    </r>
    <r>
      <rPr>
        <sz val="12"/>
        <rFont val="Times New Roman"/>
        <family val="1"/>
        <charset val="204"/>
      </rPr>
      <t>*</t>
    </r>
  </si>
  <si>
    <t>Стандартизированная тарифная ставка на покрытие расходов сетевой организации на строительство кабельных линий электропередачи 
на i-м уровне напряжения согласно приложению № 1 к методическим указаниям по определению размера платы за технологическое присоединение к электрическим сетям, утвержденным Федеральной службой по тарифам, в расчете на 1 км линий электропередачи</t>
  </si>
  <si>
    <r>
      <t>С</t>
    </r>
    <r>
      <rPr>
        <vertAlign val="subscript"/>
        <sz val="12"/>
        <rFont val="Times New Roman"/>
        <family val="1"/>
        <charset val="204"/>
      </rPr>
      <t xml:space="preserve">4,i </t>
    </r>
    <r>
      <rPr>
        <sz val="12"/>
        <rFont val="Times New Roman"/>
        <family val="1"/>
        <charset val="204"/>
      </rPr>
      <t>*</t>
    </r>
  </si>
  <si>
    <t>Стандартизированная тарифная ставка на покрытие расходов сетевой организации на строительство подстанций согласно приложению 
№ 1 к методическим указаниям по определению размера платы за технологическое присоединение к электрическим сетям, утвержденным Федеральной службой по тарифам, 
на i-м уровне напряжения</t>
  </si>
  <si>
    <t>СТАНДАРТИЗИРОВАННЫЕ ТАРИФНЫЕ СТАВКИ</t>
  </si>
  <si>
    <t>к территориальным распределительным сетям на уровне</t>
  </si>
  <si>
    <t>напряжения ниже 35 кВ и присоединяемой мощностью менее 8900 кВт</t>
  </si>
  <si>
    <t>(наименование сетевой организации)</t>
  </si>
  <si>
    <t>к стандартам раскрытия информации субъектами оптового и розничных рынков электрической энергии</t>
  </si>
  <si>
    <t>(в ред. Постановления Правительства</t>
  </si>
  <si>
    <t xml:space="preserve"> от  17.09.2015 № 987)</t>
  </si>
  <si>
    <t>*_</t>
  </si>
  <si>
    <t>Наименование мероприятий</t>
  </si>
  <si>
    <t>Распределение необходимой валовой 
выручки * (рублей)</t>
  </si>
  <si>
    <t>Объем максимальной мощности (кВт)</t>
  </si>
  <si>
    <t>Ставки для расчета платы по каждому мероприятию (рублей/кВт) (без учета НДС)</t>
  </si>
  <si>
    <t>Подготовка и выдача сетевой организацией технических условий заявителю:</t>
  </si>
  <si>
    <t>по временной схеме</t>
  </si>
  <si>
    <t>Разработка сетевой организацией проектной документации по 
строительству "последней мили"</t>
  </si>
  <si>
    <t>Выполнение сетевой организацией мероприятий, связанных со строительством "последней мили":</t>
  </si>
  <si>
    <t>строительство воздушных линий</t>
  </si>
  <si>
    <t>строительство кабельных линий</t>
  </si>
  <si>
    <t>строительство комплектных трансформаторных подстанций и распределительных трансформаторных подстанций с уровнем напряжения до 35 кВ</t>
  </si>
  <si>
    <t>Проверка сетевой 
организацией выполнения заявителем технических условий:</t>
  </si>
  <si>
    <t>Приложение № 4</t>
  </si>
  <si>
    <t>РАСХОДЫ НА МЕРОПРИЯТИЯ,</t>
  </si>
  <si>
    <t>осуществляемые при технологическом присоединении</t>
  </si>
  <si>
    <t>Показатели</t>
  </si>
  <si>
    <t>Плановые 
показатели 
на следующий 
период</t>
  </si>
  <si>
    <t>Расходы на выполнение мероприятий по технологическому присоединению - всего</t>
  </si>
  <si>
    <t>в том числе:</t>
  </si>
  <si>
    <t>вспомогательные материалы</t>
  </si>
  <si>
    <t>энергия на хозяйственные нужды</t>
  </si>
  <si>
    <t>оплата труда</t>
  </si>
  <si>
    <t>отчисления на страховые взносы</t>
  </si>
  <si>
    <t>прочие расходы - всего</t>
  </si>
  <si>
    <t>из них:</t>
  </si>
  <si>
    <t>работы и услуги производственного 
характера</t>
  </si>
  <si>
    <t>налоги и сборы, уменьшающие налогооблагаемую базу на прибыль организаций</t>
  </si>
  <si>
    <t>работы и услуги непроизводственного характера - всего</t>
  </si>
  <si>
    <t>услуги связи</t>
  </si>
  <si>
    <t>расходы на охрану и пожарную 
безопасность</t>
  </si>
  <si>
    <t>расходы на информационное 
обслуживание, консультационные 
и юридические услуги</t>
  </si>
  <si>
    <t>плата за аренду имущества</t>
  </si>
  <si>
    <t>другие прочие расходы, связанные с производством и реализацией</t>
  </si>
  <si>
    <t>внереализационные расходы - всего</t>
  </si>
  <si>
    <t>расходы на услуги банков</t>
  </si>
  <si>
    <t>процент за пользование кредитом</t>
  </si>
  <si>
    <t>прочие обоснованные расходы</t>
  </si>
  <si>
    <t>денежные выплаты социального характера (по коллективному договору)</t>
  </si>
  <si>
    <t>Расходы на строительство объектов электросетевого хозяйства от существующих объектов электросетевого хозяйства до присоединяемых энергопринимающих устройств и (или) объектов 
электроэнергетики</t>
  </si>
  <si>
    <t>Выпадающие доходы (экономия средств)</t>
  </si>
  <si>
    <t>Итого (размер необходимой валовой 
выручки)</t>
  </si>
  <si>
    <t>Р А С Ч Е Т</t>
  </si>
  <si>
    <t>необходимой валовой выручки сетевой организации
на технологическое присоединение</t>
  </si>
  <si>
    <t>Приложение № 5</t>
  </si>
  <si>
    <t>тыс.рублей</t>
  </si>
  <si>
    <t>Приложение № 6</t>
  </si>
  <si>
    <t>Приложение № 7</t>
  </si>
  <si>
    <t>Приложение № 8</t>
  </si>
  <si>
    <t>Приложение № 9</t>
  </si>
  <si>
    <t>максимальная мощность</t>
  </si>
  <si>
    <t>строительство  ВЛ-10 кВ</t>
  </si>
  <si>
    <t>строительство  ВЛ-0,4 кВ</t>
  </si>
  <si>
    <t xml:space="preserve">строительство  КЛ-10 кВ </t>
  </si>
  <si>
    <t xml:space="preserve">строительство  КЛ-0,4 кВ </t>
  </si>
  <si>
    <t>строительство ТП 10/0,4 кВ 25 кВА</t>
  </si>
  <si>
    <t>строительство ТП 10/0,4 кВ 63 кВА</t>
  </si>
  <si>
    <t>строительство ТП 10/0,4 кВ 100 кВА</t>
  </si>
  <si>
    <t>строительство ТП 10/0,4 кВ 160 кВА</t>
  </si>
  <si>
    <t>строительство ТП 10/0,4 кВ 250 кВА</t>
  </si>
  <si>
    <t>строительство ТП 10/0,4 кВ 630 кВА</t>
  </si>
  <si>
    <t>35 кВ и выше</t>
  </si>
  <si>
    <t>Объекты генерации</t>
  </si>
  <si>
    <t>строительство центров питания и подстанций уровнем напряжения 35 кВ и выше</t>
  </si>
  <si>
    <t>Участие сетевой организации в осмотре должностным лицом органа федерального государственного энергетического надзора присоединяемых устройств заявителя:</t>
  </si>
  <si>
    <t>Фактические действия по присоединению и обеспечению работы энергопринимающих устройств потребителей электрической энергии, объектов по производству электрической энергии, а также объектов электросетевого хозяйства, принадлежащих сетевым организациям и иным лицам, 
к электрической сети:</t>
  </si>
  <si>
    <t xml:space="preserve">Монтаж коммутационного аппарата </t>
  </si>
  <si>
    <t>филиал АО "ДРСК" - "Электрические сети ЕАО"</t>
  </si>
  <si>
    <r>
      <t>* *</t>
    </r>
    <r>
      <rPr>
        <sz val="11"/>
        <rFont val="Times New Roman"/>
        <family val="1"/>
        <charset val="204"/>
      </rPr>
      <t>-</t>
    </r>
  </si>
  <si>
    <r>
      <t>* *</t>
    </r>
    <r>
      <rPr>
        <sz val="13"/>
        <rFont val="Times New Roman"/>
        <family val="1"/>
        <charset val="204"/>
      </rPr>
      <t>-</t>
    </r>
  </si>
  <si>
    <t>строительство ТП 10/0,4 кВ 40 кВА</t>
  </si>
  <si>
    <t>монтаж коммутационного аппарата 0,22 (0,4) кВ</t>
  </si>
  <si>
    <t>строительство РП -0,4 кВ</t>
  </si>
  <si>
    <t>строительство двухтрансформаторной  ТП 10/0,4 кВ 250 кВА</t>
  </si>
  <si>
    <t>строительство двухтрансформаторной ТП 10/0,4 кВ 630 кВА</t>
  </si>
  <si>
    <t xml:space="preserve">                      </t>
  </si>
  <si>
    <t>строительство  двухтрансформаторнойТП 10/0,4 кВ 400 кВА</t>
  </si>
  <si>
    <t>строительство  ТП 10/0,4 кВ 400 кВА</t>
  </si>
  <si>
    <t>Ожидаемые
показатели 
на следующий 
период</t>
  </si>
  <si>
    <t xml:space="preserve"> -</t>
  </si>
  <si>
    <t xml:space="preserve">Монтаж  коммутационного аппарата 0,22(0,4)кВ </t>
  </si>
  <si>
    <t>строительство РП - 0,4 кВ</t>
  </si>
  <si>
    <r>
      <t xml:space="preserve">на   </t>
    </r>
    <r>
      <rPr>
        <b/>
        <u/>
        <sz val="16"/>
        <color theme="1"/>
        <rFont val="Times New Roman"/>
        <family val="1"/>
        <charset val="204"/>
      </rPr>
      <t>2019</t>
    </r>
    <r>
      <rPr>
        <b/>
        <sz val="16"/>
        <color theme="1"/>
        <rFont val="Times New Roman"/>
        <family val="1"/>
        <charset val="204"/>
      </rPr>
      <t xml:space="preserve">   год</t>
    </r>
  </si>
  <si>
    <t>2015 год</t>
  </si>
  <si>
    <t>2017 год</t>
  </si>
  <si>
    <t xml:space="preserve">руб. за одно присоединене </t>
  </si>
  <si>
    <t>Для технологическогоприсоединения энергопринимающих устройств с применением временной схемы электроснабжения (в т.ч. Для передвежных энергопринимающих устройств с максимальной мощностью до 150 кВт вкл.)</t>
  </si>
  <si>
    <t>Для технологическогоприсоединения энергопринимающих устройств с применением постоянной схемы электроснабжения</t>
  </si>
  <si>
    <t>Приложение № 2</t>
  </si>
  <si>
    <t>ПРОГНОЗНЫЕ СВЕДЕНИЯ</t>
  </si>
  <si>
    <t>о расходах за технологическое присоединение</t>
  </si>
  <si>
    <r>
      <rPr>
        <u/>
        <sz val="13"/>
        <color indexed="8"/>
        <rFont val="Times New Roman"/>
        <family val="1"/>
        <charset val="204"/>
      </rPr>
      <t xml:space="preserve">  АО "ДРСК" (филиал </t>
    </r>
    <r>
      <rPr>
        <b/>
        <u/>
        <sz val="13"/>
        <color indexed="8"/>
        <rFont val="Times New Roman"/>
        <family val="1"/>
        <charset val="204"/>
      </rPr>
      <t>"Электрические сети ЕАО")</t>
    </r>
    <r>
      <rPr>
        <u/>
        <sz val="13"/>
        <color indexed="8"/>
        <rFont val="Times New Roman"/>
        <family val="1"/>
        <charset val="204"/>
      </rPr>
      <t xml:space="preserve">  </t>
    </r>
    <r>
      <rPr>
        <sz val="13"/>
        <color indexed="8"/>
        <rFont val="Times New Roman"/>
        <family val="1"/>
        <charset val="204"/>
      </rPr>
      <t xml:space="preserve"> на </t>
    </r>
    <r>
      <rPr>
        <u/>
        <sz val="13"/>
        <color indexed="8"/>
        <rFont val="Times New Roman"/>
        <family val="1"/>
        <charset val="204"/>
      </rPr>
      <t xml:space="preserve"> 2019 </t>
    </r>
    <r>
      <rPr>
        <sz val="13"/>
        <color indexed="8"/>
        <rFont val="Times New Roman"/>
        <family val="1"/>
        <charset val="204"/>
      </rPr>
      <t xml:space="preserve"> год</t>
    </r>
  </si>
  <si>
    <t xml:space="preserve">              (наименование сетевой организации)</t>
  </si>
  <si>
    <t>1. Полное наименование:</t>
  </si>
  <si>
    <t>Акционерное общество "Дальневосточная распределительная сетевая компания"          Joint Stock Company "Far-Eastern Distribution Company"</t>
  </si>
  <si>
    <t>2. Сокращенное наименование:</t>
  </si>
  <si>
    <t xml:space="preserve"> АО "ДРСК"  JSC "FEDC" </t>
  </si>
  <si>
    <t>3. Место нахождения:</t>
  </si>
  <si>
    <t>679011, ЕАО, г. Биробиджан, ул. Черноморская, 6</t>
  </si>
  <si>
    <t>4. Адрес юридического лица:</t>
  </si>
  <si>
    <t>675000, Российская Федерация, Амурская область, г. Благовещенск, ул. Шевченко, 28</t>
  </si>
  <si>
    <t>5. ИНН:</t>
  </si>
  <si>
    <t>6. КПП:</t>
  </si>
  <si>
    <t>790102001</t>
  </si>
  <si>
    <t>7. Ф.И.О. руководителя:</t>
  </si>
  <si>
    <t>Гусев Николай Николаевич</t>
  </si>
  <si>
    <t>8. Адрес электронной почты:</t>
  </si>
  <si>
    <t>doc@eao.drsk.ru</t>
  </si>
  <si>
    <t>9. Контактный телефон:</t>
  </si>
  <si>
    <t>8-(42622) 22-7-18</t>
  </si>
  <si>
    <t>10. Факс:</t>
  </si>
  <si>
    <t>Расчет фактических расходов на выполнение мероприятий по технологическому присоединению, предусмотренных подпунктами «а» и «в» пункта 16 Методических указаний, за 2015-2017 гг.</t>
  </si>
  <si>
    <t>руб.</t>
  </si>
  <si>
    <r>
      <t xml:space="preserve">Данные              за </t>
    </r>
    <r>
      <rPr>
        <b/>
        <sz val="14"/>
        <color indexed="8"/>
        <rFont val="Times New Roman"/>
        <family val="1"/>
        <charset val="204"/>
      </rPr>
      <t>2015</t>
    </r>
    <r>
      <rPr>
        <sz val="14"/>
        <color indexed="8"/>
        <rFont val="Times New Roman"/>
        <family val="1"/>
        <charset val="204"/>
      </rPr>
      <t xml:space="preserve"> год</t>
    </r>
  </si>
  <si>
    <r>
      <t>Данные                 за</t>
    </r>
    <r>
      <rPr>
        <b/>
        <sz val="14"/>
        <color indexed="8"/>
        <rFont val="Times New Roman"/>
        <family val="1"/>
        <charset val="204"/>
      </rPr>
      <t xml:space="preserve"> 2016</t>
    </r>
    <r>
      <rPr>
        <sz val="14"/>
        <color indexed="8"/>
        <rFont val="Times New Roman"/>
        <family val="1"/>
        <charset val="204"/>
      </rPr>
      <t xml:space="preserve"> год</t>
    </r>
  </si>
  <si>
    <r>
      <t>Данные             за</t>
    </r>
    <r>
      <rPr>
        <b/>
        <sz val="14"/>
        <color indexed="8"/>
        <rFont val="Times New Roman"/>
        <family val="1"/>
        <charset val="204"/>
      </rPr>
      <t xml:space="preserve"> 2017</t>
    </r>
    <r>
      <rPr>
        <sz val="14"/>
        <color indexed="8"/>
        <rFont val="Times New Roman"/>
        <family val="1"/>
        <charset val="204"/>
      </rPr>
      <t xml:space="preserve"> год</t>
    </r>
  </si>
  <si>
    <t>Расходы по выполнению мероприятий по технологическому присоединению, всего</t>
  </si>
  <si>
    <t>1.1.</t>
  </si>
  <si>
    <t>Вспомогательные материалы</t>
  </si>
  <si>
    <t>1.2.</t>
  </si>
  <si>
    <t>ГСМ</t>
  </si>
  <si>
    <t>1.3.</t>
  </si>
  <si>
    <t>Энергия на хозяйственные нужды</t>
  </si>
  <si>
    <t>1.4.</t>
  </si>
  <si>
    <t>Оплата труда ППП</t>
  </si>
  <si>
    <t>1.5.</t>
  </si>
  <si>
    <t>Отчисления на страховые взносы</t>
  </si>
  <si>
    <t>1.6.</t>
  </si>
  <si>
    <t>Амортизация</t>
  </si>
  <si>
    <t>1.7.</t>
  </si>
  <si>
    <t>Прочие расходы, всего, в том числе:</t>
  </si>
  <si>
    <t>1.7.1.</t>
  </si>
  <si>
    <t>- работы и услуги производственного характера</t>
  </si>
  <si>
    <t>1.7.2.</t>
  </si>
  <si>
    <t>- налоги и сборы, уменьшающие налогооблагаемую базу на прибыль организаций, всего</t>
  </si>
  <si>
    <t>1.7.3.</t>
  </si>
  <si>
    <t>- работы и услуги непроизводственного характера, в т.ч.:</t>
  </si>
  <si>
    <t>1.7.3.1.</t>
  </si>
  <si>
    <t>1.7.3.2.</t>
  </si>
  <si>
    <t>расходы на охрану и пожарную безопасность</t>
  </si>
  <si>
    <t>1.7.3.3.</t>
  </si>
  <si>
    <t>расходы на информационное обслуживание, иные услуги, связанные с деятельностью по технологическому присоединению</t>
  </si>
  <si>
    <t>1.7.3.4.</t>
  </si>
  <si>
    <t>1.7.3.5.</t>
  </si>
  <si>
    <t>1.8.</t>
  </si>
  <si>
    <t>Внереализационные расходы, всего</t>
  </si>
  <si>
    <t>1.8.1.</t>
  </si>
  <si>
    <t>- расходы на услуги банков</t>
  </si>
  <si>
    <t>1.8.2.</t>
  </si>
  <si>
    <t>- % за пользование кредитом</t>
  </si>
  <si>
    <t>1.8.3.</t>
  </si>
  <si>
    <t>- прочие обоснованные расходы</t>
  </si>
  <si>
    <t>1.8.4.</t>
  </si>
  <si>
    <t>- денежные выплаты социального характера (по Коллективному договору)</t>
  </si>
  <si>
    <t>Расходы на выполнение мероприятий по технологическому присоединению, предусмотренным подпунктами «а» и «в» пункта 16 Методических указаний, за 2015-2017 гг.</t>
  </si>
  <si>
    <t>№  п/п</t>
  </si>
  <si>
    <t>2016 год</t>
  </si>
  <si>
    <t>Информация для расчета стандартизированной тарифной ставки С1</t>
  </si>
  <si>
    <t>Расходы на одно присоединение (руб. на одно ТП)</t>
  </si>
  <si>
    <t>Расходы согласно приложению 3 по каждому мероприятию (руб.)</t>
  </si>
  <si>
    <t>Количество технологических присоединений/  (шт.)</t>
  </si>
  <si>
    <t>Подготовка и выдача сетевой организацией технических условий Заявителю (ТУ)</t>
  </si>
  <si>
    <t>Проверка сетевой организацией выполнения Заявителем ТУ</t>
  </si>
  <si>
    <t>ИПЦ на 2016</t>
  </si>
  <si>
    <t>ИПЦ на 2017</t>
  </si>
  <si>
    <t>ИПЦ на 2018</t>
  </si>
  <si>
    <t>ИПЦ на 2019</t>
  </si>
  <si>
    <t>Расчет размеров расходов ОАО "Дальневосточная распределительная сетевая компания" филиал "Электрические сети Еврейской автономной области" , связанных с осуществлением технологического присоединения энергопринимающих устройств максимальной мощностью, не превышающей 15 кВт включительно, не включаемых в состав платы за технологическое присоединение на 2019 год</t>
  </si>
  <si>
    <t>N п/п</t>
  </si>
  <si>
    <t>Представлено предприятием Фактические данные за предыдущий период регулирования (2017 год)</t>
  </si>
  <si>
    <t xml:space="preserve">По расчету КТиЦ                                      Плановые показатели на  период регулирования  2016 год </t>
  </si>
  <si>
    <t>СМР</t>
  </si>
  <si>
    <t xml:space="preserve">                                Плановые показатели на следующий период регулирования на 2019 год </t>
  </si>
  <si>
    <t>ставка платы (руб./кВт, руб./км)</t>
  </si>
  <si>
    <t>мощность, длина линий (кВт, км)</t>
  </si>
  <si>
    <t>Сумма (в соответствии с актами приемки выполненных работ) (тыс. руб.)</t>
  </si>
  <si>
    <t xml:space="preserve">стандарт, тариф, ставка (руб./кВт, руб./км) на 2017 год </t>
  </si>
  <si>
    <t>сумма (тыс. руб.)</t>
  </si>
  <si>
    <t>стандарт, тариф, ставка (руб./кВт, руб./км)            на 2015 год</t>
  </si>
  <si>
    <t>сумма          (тыс. руб.)</t>
  </si>
  <si>
    <t>стандарт, тариф, ставка (руб./кВт, руб./км)            на 2019 год</t>
  </si>
  <si>
    <t>Расходы на выполнение организационно-технических мероприятий, связанные с осуществлением технологического присоединения [п. 1.1 + п. 1.2 + п. 1.3 + п. 1.4]:</t>
  </si>
  <si>
    <t>подготовка и выдача сетевой организацией технических условий (ТУ) Заявителю, на уровне напряжения i и (или) диапазоне мощности j</t>
  </si>
  <si>
    <t>проверка сетевой организацией выполнения Заявителем ТУ, на уровне напряжения i и (или) диапазоне мощности j</t>
  </si>
  <si>
    <t>участие в осмотре должностным лицом органа федерального, государственного энергетического надзора при участии сетевой организации и собственника присоединяемых Устройств Заявителя, на уровне напряжения i и (или) диапазоне мощности j</t>
  </si>
  <si>
    <t>ст. 5 / ст. 4 * 1000</t>
  </si>
  <si>
    <t>ст. 6 * ст. 7 / 1000</t>
  </si>
  <si>
    <t>Осуществление сетевой организацией фактического присоединения объектов Заявителя к электрическим сетям и включение коммутационного аппарата (фиксация коммутационного аппарата в положение "включено"), на уровне напряжения i и (или) диапазоне мощности j</t>
  </si>
  <si>
    <t>Расходы по мероприятиям "последней мили", связанные с осуществлением технологического присоединения [п. 2.1 + п. 2.2 + п. 2.3 + п. 2.4 + 2.5]:</t>
  </si>
  <si>
    <t>x</t>
  </si>
  <si>
    <t>2.1.</t>
  </si>
  <si>
    <t>строительство воздушных линий, на уровне напряжения 6 -10кВ</t>
  </si>
  <si>
    <t>2.2.</t>
  </si>
  <si>
    <t>строительство воздушных линий, на уровне напряжения 0,4 кВ</t>
  </si>
  <si>
    <t>строительство воздушных линий, на уровне напряжения 2-х цепные 6 -10кВ</t>
  </si>
  <si>
    <t>строительство кабельных линий, на уровне напряжения 6-10кВ</t>
  </si>
  <si>
    <t>строительство кабельных линий, на уровне напряжения 0,4 кВ</t>
  </si>
  <si>
    <t>строительство кабельных линий 2-х кабельные , на уровне напряжения6-10кВ</t>
  </si>
  <si>
    <t xml:space="preserve">строительство кабельных линий 2-х кабельные , на уровне напряжения 0,4 кВ </t>
  </si>
  <si>
    <t>2.3.</t>
  </si>
  <si>
    <t>строительством пунктов секционирования, на уровне напряжения 6 кВ, 04 кв</t>
  </si>
  <si>
    <t>2.3.1.</t>
  </si>
  <si>
    <t>монтаж коммутационного аппарата 0,22  0,4 кВ</t>
  </si>
  <si>
    <t>2.3.2.</t>
  </si>
  <si>
    <t>строительство РП 0,4 кВ</t>
  </si>
  <si>
    <t>2.4.</t>
  </si>
  <si>
    <t>строительство комплектных трансформаторных подстанций 25 кВА</t>
  </si>
  <si>
    <t>строительство комплектных трансформаторных подстанций 40 кВА</t>
  </si>
  <si>
    <t>строительство комплектных трансформаторных подстанций 63 кВА</t>
  </si>
  <si>
    <t>строительство комплектных трансформаторных подстанций 100 кВА</t>
  </si>
  <si>
    <t>строительство комплектных трансформаторных подстанций160 кВА</t>
  </si>
  <si>
    <t>2.5.</t>
  </si>
  <si>
    <t>строительство комплектных трансформаторных подстанций 250 кВА</t>
  </si>
  <si>
    <t>строительство комплектных трансформаторных подстанций 400 кВА</t>
  </si>
  <si>
    <t>2.6.</t>
  </si>
  <si>
    <t>строительство комплектных трансформаторных подстанций 630 кВА</t>
  </si>
  <si>
    <t>строительство 2-х трансформаторной подстанции 250 кВА</t>
  </si>
  <si>
    <t>2.7.</t>
  </si>
  <si>
    <t>строительство центров питания, подстанций уровнем напряжения 35 кВ и выше (ПС), на уровне напряжения i и (или) диапазоне мощности j</t>
  </si>
  <si>
    <t>Суммарный размер платы за технологическое присоединение [п. 3.1 * п. 3.2 / 1000]:</t>
  </si>
  <si>
    <t>3.1.</t>
  </si>
  <si>
    <t>Размер платы за технологическое присоединение (руб. без НДС)</t>
  </si>
  <si>
    <t>3.2.</t>
  </si>
  <si>
    <t>Плановое количество договоров на осуществление технологическое присоединение к электрическим сетям (плановое количество членов объединений (организаций), указанных в п. 18 Методических указаний по определению размера платы за технологическое присоединение к электрическим сетям, утвержденных приказом ФСТ России от 11 сентября 2012 года, N 209-э/1) (шт.)</t>
  </si>
  <si>
    <t>Размер расходов, связанных с осуществлением технологического присоединения к электрическим сетям, не включаемых в состав платы за технологическое присоединение (п. 1 + п. 2 - п. 3)</t>
  </si>
  <si>
    <t>Сумма выпадающих доходов ОАО "ДРСК"  в приказе на 2017 год включенные в передачу эл./эн</t>
  </si>
  <si>
    <t>Размер расходов, связанных с осуществлением технологического присоединения к электрическим сетям, не включаемых в состав платы за технологическое присоединение (п. 1 + п. 2 - п. 3 - п.5)</t>
  </si>
  <si>
    <t xml:space="preserve">смр </t>
  </si>
  <si>
    <t>по актам р-ды ПМ за 2013 год</t>
  </si>
  <si>
    <t>СМР 1 кв-л 2013</t>
  </si>
  <si>
    <t>СМР 2 кв-л 2013</t>
  </si>
  <si>
    <t>СМР 3 кв-л 2013</t>
  </si>
  <si>
    <t>СМР 4 кв-л 2013</t>
  </si>
  <si>
    <t xml:space="preserve">средний СМР по 2013 году </t>
  </si>
  <si>
    <t>приложение 2</t>
  </si>
  <si>
    <t>Расчет размера расходов, связанных с осуществлением технологического присоединения к электрическим сетям энергопринимающих устройств максимальной мощностью свыше 15 и до 150 кВт вкл.  на 2019 г.</t>
  </si>
  <si>
    <t>Фактические данные за предыдущий период регулирования за 2017</t>
  </si>
  <si>
    <t>Фактические данные за предыдущий период регулирования за 4 кв. 2017</t>
  </si>
  <si>
    <t>Расчетные (фактические) данные за предыдущий период регулирования</t>
  </si>
  <si>
    <t>Плановые показатели на следующий период регулирования</t>
  </si>
  <si>
    <t>ставка платы, (руб./кВт, руб./км)</t>
  </si>
  <si>
    <t>Сумма (в соответствии с актами приемки выполненных работ), тыс. руб.</t>
  </si>
  <si>
    <t>Сумма (в соответствии с актами приемки выполненных работ), руб.</t>
  </si>
  <si>
    <t>стандартизированная  тарифная  ставка (руб./кВт, руб./км)</t>
  </si>
  <si>
    <t>сумма, руб.</t>
  </si>
  <si>
    <t>стандартизированная тарифная ставка (руб./кВт, руб./км)</t>
  </si>
  <si>
    <r>
      <t>Расходы по мероприятиям "последней мили", связанные с осуществлением технологического присоединения к электрическим сетям</t>
    </r>
    <r>
      <rPr>
        <i/>
        <sz val="14"/>
        <color indexed="8"/>
        <rFont val="Times New Roman"/>
        <family val="1"/>
        <charset val="204"/>
      </rPr>
      <t xml:space="preserve"> на уровне напряжения ниже  35 кВ</t>
    </r>
  </si>
  <si>
    <t>1.1.1.</t>
  </si>
  <si>
    <t>строительство ВЛ-10 кВ</t>
  </si>
  <si>
    <t>1.1.2.</t>
  </si>
  <si>
    <t>строительство ВЛ-0,4 кВ</t>
  </si>
  <si>
    <t>1.1.3.</t>
  </si>
  <si>
    <t>строительство 2 *ВЛ-10 кВ</t>
  </si>
  <si>
    <t>1.2.1.</t>
  </si>
  <si>
    <t>строительство КЛ-10 кВ</t>
  </si>
  <si>
    <t>1.2.2.</t>
  </si>
  <si>
    <t>строительство КЛ-0,4 кВ</t>
  </si>
  <si>
    <t>1.2.3.</t>
  </si>
  <si>
    <t>строительство 2-х КЛ-0,4 кВ</t>
  </si>
  <si>
    <t>строительство 2-х КЛ-10 кВ</t>
  </si>
  <si>
    <t>строительство трансформаторных подстанций</t>
  </si>
  <si>
    <t>1.3.1.</t>
  </si>
  <si>
    <t>1.3.2.</t>
  </si>
  <si>
    <t>1.3.3.</t>
  </si>
  <si>
    <t>1.3.4.</t>
  </si>
  <si>
    <t>1.3.5.</t>
  </si>
  <si>
    <t>1.3.6.</t>
  </si>
  <si>
    <t>строительство 2-х ТП 10/0,4 кВ 250 кВА</t>
  </si>
  <si>
    <t>1.3.7.</t>
  </si>
  <si>
    <t>строительство ТП 10/0,4 кВ 400 кВА</t>
  </si>
  <si>
    <t>1.3.8.</t>
  </si>
  <si>
    <t>строительство 2-х ТП 10/0,4 кВ 400 кВА</t>
  </si>
  <si>
    <t>1.3.9.</t>
  </si>
  <si>
    <t xml:space="preserve">строительство РП - 0,4 кВ </t>
  </si>
  <si>
    <t xml:space="preserve">Суммарный размер платы за технологическое присоединение в части мероприятий "последней мили" </t>
  </si>
  <si>
    <t>х</t>
  </si>
  <si>
    <t>2.1.1.</t>
  </si>
  <si>
    <t>2.1.2.</t>
  </si>
  <si>
    <t>2.2.1.</t>
  </si>
  <si>
    <t>2.2.2.</t>
  </si>
  <si>
    <t>2.2.3.</t>
  </si>
  <si>
    <t>строительство 2-х  КЛ-0,4 кВ</t>
  </si>
  <si>
    <t>2.3.3.</t>
  </si>
  <si>
    <t>2.3.4.</t>
  </si>
  <si>
    <t>2.3.5.</t>
  </si>
  <si>
    <t>2.3.6.</t>
  </si>
  <si>
    <t>2.3.7.</t>
  </si>
  <si>
    <t>2.3.8.</t>
  </si>
  <si>
    <t>2.3.9.</t>
  </si>
  <si>
    <t>строительство  РП-0,4 кВ</t>
  </si>
  <si>
    <t>Размер расходов по мероприятиям "последней мили", связанных с осуществлением технологического присоединения к электрическим сетям, не включаемых в плату за технологическое присоединение (п.1 - п.2)</t>
  </si>
  <si>
    <t>Заместитель   директора                                             по экономике и финансам</t>
  </si>
  <si>
    <t>Корчагина Е.В.</t>
  </si>
  <si>
    <t>коэффициент</t>
  </si>
  <si>
    <t xml:space="preserve">коэффициент </t>
  </si>
  <si>
    <t>Пояснения к распределению затрат на выполнение мероприятий по технологическому присоединению.</t>
  </si>
  <si>
    <t xml:space="preserve">Размер процента,  применяемый филиалом «ЭС ЕАО» при распределении расходов по  мероприятиям для расчёта стандартизированной тарифной ставки С1 на 2019 год составляет:  </t>
  </si>
  <si>
    <r>
      <t>На подготовку и выдачу сетевой организацией ТУ Заявителю</t>
    </r>
    <r>
      <rPr>
        <sz val="12"/>
        <color theme="1"/>
        <rFont val="Times New Roman"/>
        <family val="1"/>
        <charset val="204"/>
      </rPr>
      <t xml:space="preserve">  - 56 % </t>
    </r>
  </si>
  <si>
    <r>
      <t>Проверка сетевой организацией выполнения Заявителем</t>
    </r>
    <r>
      <rPr>
        <sz val="12"/>
        <color theme="1"/>
        <rFont val="Times New Roman"/>
        <family val="1"/>
        <charset val="204"/>
      </rPr>
      <t xml:space="preserve"> – 44% </t>
    </r>
  </si>
  <si>
    <t>Вед. специалист Киреенко Т. В.</t>
  </si>
  <si>
    <t xml:space="preserve"> Данный процент сложился в результате проведённого анализа, и с учётом  ранее утверждённых ставок на технологическое присоединение в Комитете тарифов и цен.   </t>
  </si>
  <si>
    <t xml:space="preserve">                    Расчетные (фактические) данные за предыдущий период регулирования </t>
  </si>
  <si>
    <t xml:space="preserve">   </t>
  </si>
  <si>
    <t>Приложение N 1</t>
  </si>
  <si>
    <t>Расходы</t>
  </si>
  <si>
    <t>на строительство введенных в эксплуатацию объектов электросетевого хозяйства для целей технологического присоединения и для целей реализации иных мероприятий инвестиционной программы территориальной сетевой организации (АО "ДРСК")</t>
  </si>
  <si>
    <t>Максимальная мощность до 15 кВт</t>
  </si>
  <si>
    <t>Объект электросетевого хозяйства</t>
  </si>
  <si>
    <t>Год ввода объекта</t>
  </si>
  <si>
    <t>Уровень напряжения, кВ</t>
  </si>
  <si>
    <t>Территории городских населенных пунктов</t>
  </si>
  <si>
    <t>Территории не относящиеся к городским населенным пунктам</t>
  </si>
  <si>
    <t>ВСЕГО</t>
  </si>
  <si>
    <t>Протяженность (для линий электропередачи), м</t>
  </si>
  <si>
    <t>Пропускная способность, кВт/Максимальная мощность, кВт</t>
  </si>
  <si>
    <t>Расходы на строительство объекта, тыс. руб.</t>
  </si>
  <si>
    <t>Строительство воздушных линий</t>
  </si>
  <si>
    <t>6(10)</t>
  </si>
  <si>
    <t>Строительство кабельных линий</t>
  </si>
  <si>
    <t>Строительство пунктов секционирования</t>
  </si>
  <si>
    <t>3.2.1.</t>
  </si>
  <si>
    <t xml:space="preserve">Распределительные пункты (РП), Номинальный ток до 100 А включительно </t>
  </si>
  <si>
    <t>3.3.1.</t>
  </si>
  <si>
    <t>Переключательные пункты (ПП)*, Номинальный ток до 100 А включительно</t>
  </si>
  <si>
    <t>Строительство трансформаторных подстанций (ТП), за исключением распределительных трансформаторных подстанций (РТП), с уровнем напряжения до 35 кВ</t>
  </si>
  <si>
    <t>4.1.1.</t>
  </si>
  <si>
    <t>Однотрансформаторные подстанции (ТП), Трансформаторная мощность до 25 кВА включительно</t>
  </si>
  <si>
    <t>в т.ч. СКТП-25/6/0,4кВ (заявитель Кузнецов С.А.)</t>
  </si>
  <si>
    <t>в т.ч. СКТП-25/6/0,4кВ (заявитель Керимов Т.Р.)</t>
  </si>
  <si>
    <t>в т.ч. СКТП-25/10/0,4кВ (заявитель ПАО МегаФон)</t>
  </si>
  <si>
    <t>в т.ч. СКТП-25/6/0,4кВ (заявитель Фадеева С.Г.)</t>
  </si>
  <si>
    <t>4.1.2.</t>
  </si>
  <si>
    <t>Однотрансформаторные подстанции (ТП), Трансформаторная мощность от 25 до 100 кВА включительно</t>
  </si>
  <si>
    <t>в т.ч. СКТП-40/6/0,4кВ (заявитель Булочник С.М.)</t>
  </si>
  <si>
    <t>в т.ч. СКТП-40/6/0,4кВ (заявитель Анохин В.В.)</t>
  </si>
  <si>
    <t>4.1.3.</t>
  </si>
  <si>
    <t>Однотрансформаторные подстанции (ТП), Трансформаторная мощность от 100 до 250 кВА включительно</t>
  </si>
  <si>
    <t>в т.ч. КТПН-250/10/0,4кВ (заявитель Одегов А.Г.)</t>
  </si>
  <si>
    <t>в т.ч. КТПН-250/10/0,4кВ (заявитель Курманова А.Ф.)</t>
  </si>
  <si>
    <t>* автоматические выключатели</t>
  </si>
  <si>
    <t>Начальник СПРиТП филиала АО "ДРСК" "ЭС ЕАО"</t>
  </si>
  <si>
    <t>В.Н.Грунин</t>
  </si>
  <si>
    <t>итого:</t>
  </si>
  <si>
    <t>Приложение N 5</t>
  </si>
  <si>
    <t>Максимальная присоединяемая мощность свыше 15 кВт</t>
  </si>
  <si>
    <t>Присоединенная максимальная мощность, кВт</t>
  </si>
  <si>
    <t>6(0,4)</t>
  </si>
  <si>
    <t>в т.ч. КТПН-160/6/0,4кВ (заявитель Отдел образования администрации Смидовичского муниципального района  ЕАО)</t>
  </si>
  <si>
    <t>4.1.4.</t>
  </si>
  <si>
    <t>Однотрансформаторные подстанции (ТП), Трансформаторная мощность от 250 до 500 кВА включительно</t>
  </si>
  <si>
    <t>в т.ч. КТПН-400/6/0,4кВ (заявитель ООО Новая строительная компания)</t>
  </si>
  <si>
    <t>4.2.4.</t>
  </si>
  <si>
    <t>Двухтрансформаторные и более подстанции (ТП), Трансформаторная мощность от 250 до 500 кВА включительно</t>
  </si>
  <si>
    <t>в т.ч. 2*КТПН-400/6/0,4кВ (заявитель ООО Ваятель)</t>
  </si>
  <si>
    <t>8.</t>
  </si>
  <si>
    <t>Строительство двухкабельных линий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</si>
</sst>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164" formatCode="_-* #,##0_р_._-;\-* #,##0_р_._-;_-* &quot;-&quot;_р_._-;_-@_-"/>
    <numFmt numFmtId="165" formatCode="_-* #,##0.00&quot;р.&quot;_-;\-* #,##0.00&quot;р.&quot;_-;_-* &quot;-&quot;??&quot;р.&quot;_-;_-@_-"/>
    <numFmt numFmtId="166" formatCode="_-* #,##0.00_р_._-;\-* #,##0.00_р_._-;_-* &quot;-&quot;??_р_._-;_-@_-"/>
    <numFmt numFmtId="167" formatCode="General_)"/>
    <numFmt numFmtId="168" formatCode="_(&quot;р.&quot;* #,##0.00_);_(&quot;р.&quot;* \(#,##0.00\);_(&quot;р.&quot;* &quot;-&quot;??_);_(@_)"/>
    <numFmt numFmtId="169" formatCode="_(* #,##0.00_);_(* \(#,##0.00\);_(* &quot;-&quot;??_);_(@_)"/>
    <numFmt numFmtId="170" formatCode="&quot;$&quot;#,##0_);[Red]\(&quot;$&quot;#,##0\)"/>
    <numFmt numFmtId="171" formatCode="#,##0_);[Red]\(#,##0\)"/>
    <numFmt numFmtId="172" formatCode="#,##0_);\(#,##0\)"/>
    <numFmt numFmtId="173" formatCode="[&lt;=9999999]###\-####;\+#_ \(###\)\ ###\-####"/>
    <numFmt numFmtId="174" formatCode="_-* #,##0.00&quot;р.&quot;_-;\-* #,##0.00&quot;р.&quot;_-;_-* \-??&quot;р.&quot;_-;_-@_-"/>
    <numFmt numFmtId="175" formatCode="_-* #,##0_-;\-* #,##0_-;_-* \-_-;_-@_-"/>
    <numFmt numFmtId="176" formatCode="_-* #,##0.00_-;\-* #,##0.00_-;_-* \-??_-;_-@_-"/>
    <numFmt numFmtId="177" formatCode="\$#,##0_);[Red]&quot;($&quot;#,##0\)"/>
    <numFmt numFmtId="178" formatCode="_-\$* #,##0.00_-;&quot;-$&quot;* #,##0.00_-;_-\$* \-??_-;_-@_-"/>
    <numFmt numFmtId="179" formatCode="#,##0.0"/>
    <numFmt numFmtId="180" formatCode="#,##0.000"/>
    <numFmt numFmtId="181" formatCode="0.000"/>
    <numFmt numFmtId="182" formatCode="0.00000"/>
    <numFmt numFmtId="183" formatCode="0.0"/>
    <numFmt numFmtId="184" formatCode="#,##0.00000"/>
  </numFmts>
  <fonts count="130">
    <font>
      <sz val="11"/>
      <color theme="1"/>
      <name val="Calibri"/>
      <family val="2"/>
      <charset val="204"/>
      <scheme val="minor"/>
    </font>
    <font>
      <sz val="13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3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vertAlign val="subscript"/>
      <sz val="12"/>
      <name val="Times New Roman"/>
      <family val="1"/>
      <charset val="204"/>
    </font>
    <font>
      <sz val="10"/>
      <name val="Arial Cyr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u/>
      <sz val="16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3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8"/>
      <name val="Helv"/>
      <charset val="204"/>
    </font>
    <font>
      <sz val="8"/>
      <name val="Helv"/>
    </font>
    <font>
      <sz val="10"/>
      <name val="Arial Cyr"/>
      <family val="2"/>
      <charset val="204"/>
    </font>
    <font>
      <b/>
      <sz val="10"/>
      <color indexed="12"/>
      <name val="Arial Cyr"/>
      <family val="2"/>
      <charset val="204"/>
    </font>
    <font>
      <sz val="10"/>
      <name val="Helv"/>
    </font>
    <font>
      <sz val="10"/>
      <name val="NTHarmonica"/>
    </font>
    <font>
      <sz val="10"/>
      <name val="Times New Roman"/>
      <family val="1"/>
      <charset val="204"/>
    </font>
    <font>
      <sz val="8"/>
      <name val="Arial"/>
      <family val="2"/>
      <charset val="204"/>
    </font>
    <font>
      <b/>
      <sz val="8"/>
      <name val="Arial Cyr"/>
      <charset val="204"/>
    </font>
    <font>
      <sz val="8"/>
      <name val="Arial Cyr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2"/>
      <name val="Times New Roman Cyr"/>
      <charset val="204"/>
    </font>
    <font>
      <sz val="10"/>
      <name val="MS Sans Serif"/>
      <family val="2"/>
      <charset val="204"/>
    </font>
    <font>
      <sz val="8"/>
      <name val="Optima"/>
      <family val="2"/>
    </font>
    <font>
      <sz val="10"/>
      <name val="Helv"/>
      <charset val="204"/>
    </font>
    <font>
      <b/>
      <sz val="14"/>
      <name val="Franklin Gothic Medium"/>
      <family val="2"/>
      <charset val="204"/>
    </font>
    <font>
      <b/>
      <sz val="9"/>
      <name val="Tahoma"/>
      <family val="2"/>
      <charset val="204"/>
    </font>
    <font>
      <sz val="9"/>
      <name val="Tahoma"/>
      <family val="2"/>
      <charset val="204"/>
    </font>
    <font>
      <sz val="8"/>
      <color indexed="12"/>
      <name val="Arial Cyr"/>
      <charset val="204"/>
    </font>
    <font>
      <u/>
      <sz val="8"/>
      <color indexed="12"/>
      <name val="Arial Cyr"/>
      <charset val="204"/>
    </font>
    <font>
      <b/>
      <sz val="10"/>
      <color indexed="18"/>
      <name val="Arial Cyr"/>
      <charset val="204"/>
    </font>
    <font>
      <b/>
      <sz val="8"/>
      <color indexed="9"/>
      <name val="Arial Cyr"/>
      <charset val="204"/>
    </font>
    <font>
      <sz val="11"/>
      <color indexed="8"/>
      <name val="Calibri"/>
      <family val="2"/>
    </font>
    <font>
      <sz val="10"/>
      <color indexed="8"/>
      <name val="Arial"/>
      <family val="2"/>
      <charset val="204"/>
    </font>
    <font>
      <sz val="8"/>
      <name val="Arial"/>
      <family val="2"/>
    </font>
    <font>
      <sz val="10"/>
      <name val="Helv"/>
      <family val="2"/>
    </font>
    <font>
      <sz val="10"/>
      <name val="Helv"/>
      <family val="2"/>
      <charset val="204"/>
    </font>
    <font>
      <sz val="1"/>
      <color indexed="8"/>
      <name val="Courier New"/>
      <family val="3"/>
    </font>
    <font>
      <b/>
      <sz val="1"/>
      <color indexed="8"/>
      <name val="Courier New"/>
      <family val="3"/>
    </font>
    <font>
      <sz val="10"/>
      <name val="PragmaticaCTT"/>
      <charset val="204"/>
    </font>
    <font>
      <sz val="10"/>
      <name val="Arial"/>
      <family val="2"/>
    </font>
    <font>
      <sz val="8"/>
      <name val="Helv"/>
      <family val="2"/>
      <charset val="204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  <charset val="204"/>
    </font>
    <font>
      <b/>
      <sz val="16"/>
      <color indexed="23"/>
      <name val="Arial"/>
      <family val="2"/>
      <charset val="204"/>
    </font>
    <font>
      <sz val="10"/>
      <color indexed="10"/>
      <name val="Arial"/>
      <family val="2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sz val="11"/>
      <color rgb="FF0000FF"/>
      <name val="Calibri"/>
      <family val="2"/>
      <charset val="204"/>
      <scheme val="minor"/>
    </font>
    <font>
      <sz val="11"/>
      <color rgb="FF0000FF"/>
      <name val="Times New Roman"/>
      <family val="1"/>
      <charset val="204"/>
    </font>
    <font>
      <sz val="13"/>
      <color rgb="FF0000FF"/>
      <name val="Times New Roman"/>
      <family val="1"/>
      <charset val="204"/>
    </font>
    <font>
      <sz val="13"/>
      <color rgb="FF0000FF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1"/>
      <name val="Calibri"/>
      <family val="2"/>
      <charset val="204"/>
    </font>
    <font>
      <sz val="13"/>
      <name val="Calibri"/>
      <family val="2"/>
      <charset val="204"/>
      <scheme val="minor"/>
    </font>
    <font>
      <sz val="13"/>
      <name val="Calibri"/>
      <family val="2"/>
      <charset val="204"/>
    </font>
    <font>
      <i/>
      <sz val="13"/>
      <name val="Times New Roman"/>
      <family val="1"/>
      <charset val="204"/>
    </font>
    <font>
      <sz val="14"/>
      <name val="Times New Roman"/>
      <family val="1"/>
      <charset val="204"/>
    </font>
    <font>
      <sz val="9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3"/>
      <color indexed="8"/>
      <name val="Times New Roman"/>
      <family val="1"/>
      <charset val="204"/>
    </font>
    <font>
      <u/>
      <sz val="13"/>
      <color indexed="8"/>
      <name val="Times New Roman"/>
      <family val="1"/>
      <charset val="204"/>
    </font>
    <font>
      <b/>
      <u/>
      <sz val="13"/>
      <color indexed="8"/>
      <name val="Times New Roman"/>
      <family val="1"/>
      <charset val="204"/>
    </font>
    <font>
      <u/>
      <sz val="10"/>
      <color theme="10"/>
      <name val="Arial Cyr"/>
      <charset val="204"/>
    </font>
    <font>
      <sz val="14"/>
      <color theme="1"/>
      <name val="Times New Roman"/>
      <family val="1"/>
      <charset val="204"/>
    </font>
    <font>
      <i/>
      <sz val="16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name val="Arial Cyr"/>
      <charset val="204"/>
    </font>
    <font>
      <b/>
      <sz val="22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12"/>
      <name val="Arial Cyr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1"/>
      <color theme="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4"/>
      <name val="Calibri"/>
      <family val="2"/>
      <charset val="204"/>
      <scheme val="minor"/>
    </font>
    <font>
      <i/>
      <sz val="11"/>
      <color theme="1"/>
      <name val="Times New Roman"/>
      <family val="1"/>
      <charset val="204"/>
    </font>
    <font>
      <u/>
      <sz val="10"/>
      <color indexed="12"/>
      <name val="Arial Cyr"/>
      <charset val="204"/>
    </font>
    <font>
      <u/>
      <sz val="10"/>
      <color indexed="12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i/>
      <sz val="14"/>
      <color indexed="8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sz val="14"/>
      <color theme="0"/>
      <name val="Calibri"/>
      <family val="2"/>
      <charset val="204"/>
      <scheme val="minor"/>
    </font>
    <font>
      <sz val="14"/>
      <color theme="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sz val="16"/>
      <color theme="1"/>
      <name val="Times New Roman"/>
      <family val="1"/>
      <charset val="204"/>
    </font>
    <font>
      <b/>
      <i/>
      <sz val="16"/>
      <color theme="1"/>
      <name val="Calibri"/>
      <family val="2"/>
      <charset val="204"/>
      <scheme val="minor"/>
    </font>
    <font>
      <b/>
      <i/>
      <sz val="16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sz val="11"/>
      <color rgb="FF0000FF"/>
      <name val="Times New Roman"/>
      <family val="1"/>
      <charset val="204"/>
    </font>
    <font>
      <i/>
      <sz val="10"/>
      <color rgb="FFC00000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8"/>
      <color theme="1"/>
      <name val="Calibri"/>
      <family val="2"/>
      <charset val="204"/>
      <scheme val="minor"/>
    </font>
  </fonts>
  <fills count="51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7"/>
        <bgColor indexed="64"/>
      </patternFill>
    </fill>
    <fill>
      <patternFill patternType="solid">
        <fgColor indexed="27"/>
        <bgColor indexed="41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hair">
        <color indexed="8"/>
      </left>
      <right/>
      <top style="hair">
        <color indexed="8"/>
      </top>
      <bottom style="hair">
        <color indexed="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399">
    <xf numFmtId="0" fontId="0" fillId="0" borderId="0"/>
    <xf numFmtId="0" fontId="16" fillId="0" borderId="0"/>
    <xf numFmtId="0" fontId="61" fillId="0" borderId="0"/>
    <xf numFmtId="0" fontId="62" fillId="0" borderId="0"/>
    <xf numFmtId="0" fontId="25" fillId="0" borderId="0"/>
    <xf numFmtId="0" fontId="50" fillId="0" borderId="0"/>
    <xf numFmtId="0" fontId="61" fillId="0" borderId="0"/>
    <xf numFmtId="165" fontId="19" fillId="0" borderId="0">
      <protection locked="0"/>
    </xf>
    <xf numFmtId="165" fontId="19" fillId="0" borderId="0">
      <protection locked="0"/>
    </xf>
    <xf numFmtId="165" fontId="19" fillId="0" borderId="0">
      <protection locked="0"/>
    </xf>
    <xf numFmtId="168" fontId="19" fillId="0" borderId="0">
      <protection locked="0"/>
    </xf>
    <xf numFmtId="165" fontId="19" fillId="0" borderId="0">
      <protection locked="0"/>
    </xf>
    <xf numFmtId="174" fontId="63" fillId="0" borderId="0">
      <protection locked="0"/>
    </xf>
    <xf numFmtId="165" fontId="19" fillId="0" borderId="0">
      <protection locked="0"/>
    </xf>
    <xf numFmtId="165" fontId="19" fillId="0" borderId="0">
      <protection locked="0"/>
    </xf>
    <xf numFmtId="165" fontId="19" fillId="0" borderId="0">
      <protection locked="0"/>
    </xf>
    <xf numFmtId="165" fontId="19" fillId="0" borderId="0">
      <protection locked="0"/>
    </xf>
    <xf numFmtId="168" fontId="19" fillId="0" borderId="0">
      <protection locked="0"/>
    </xf>
    <xf numFmtId="165" fontId="19" fillId="0" borderId="0">
      <protection locked="0"/>
    </xf>
    <xf numFmtId="174" fontId="63" fillId="0" borderId="0">
      <protection locked="0"/>
    </xf>
    <xf numFmtId="165" fontId="19" fillId="0" borderId="0">
      <protection locked="0"/>
    </xf>
    <xf numFmtId="165" fontId="19" fillId="0" borderId="0">
      <protection locked="0"/>
    </xf>
    <xf numFmtId="165" fontId="19" fillId="0" borderId="0">
      <protection locked="0"/>
    </xf>
    <xf numFmtId="165" fontId="19" fillId="0" borderId="0">
      <protection locked="0"/>
    </xf>
    <xf numFmtId="168" fontId="19" fillId="0" borderId="0">
      <protection locked="0"/>
    </xf>
    <xf numFmtId="165" fontId="19" fillId="0" borderId="0">
      <protection locked="0"/>
    </xf>
    <xf numFmtId="174" fontId="63" fillId="0" borderId="0">
      <protection locked="0"/>
    </xf>
    <xf numFmtId="165" fontId="19" fillId="0" borderId="0">
      <protection locked="0"/>
    </xf>
    <xf numFmtId="0" fontId="20" fillId="0" borderId="0">
      <protection locked="0"/>
    </xf>
    <xf numFmtId="0" fontId="64" fillId="0" borderId="0">
      <protection locked="0"/>
    </xf>
    <xf numFmtId="0" fontId="20" fillId="0" borderId="0">
      <protection locked="0"/>
    </xf>
    <xf numFmtId="0" fontId="64" fillId="0" borderId="0">
      <protection locked="0"/>
    </xf>
    <xf numFmtId="0" fontId="19" fillId="0" borderId="8">
      <protection locked="0"/>
    </xf>
    <xf numFmtId="0" fontId="63" fillId="0" borderId="9">
      <protection locked="0"/>
    </xf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4" fontId="65" fillId="0" borderId="10">
      <alignment horizontal="right" vertical="top"/>
    </xf>
    <xf numFmtId="0" fontId="31" fillId="13" borderId="0" applyNumberFormat="0" applyBorder="0" applyAlignment="0" applyProtection="0"/>
    <xf numFmtId="0" fontId="31" fillId="10" borderId="0" applyNumberFormat="0" applyBorder="0" applyAlignment="0" applyProtection="0"/>
    <xf numFmtId="0" fontId="31" fillId="11" borderId="0" applyNumberFormat="0" applyBorder="0" applyAlignment="0" applyProtection="0"/>
    <xf numFmtId="0" fontId="31" fillId="14" borderId="0" applyNumberFormat="0" applyBorder="0" applyAlignment="0" applyProtection="0"/>
    <xf numFmtId="0" fontId="31" fillId="15" borderId="0" applyNumberFormat="0" applyBorder="0" applyAlignment="0" applyProtection="0"/>
    <xf numFmtId="0" fontId="31" fillId="16" borderId="0" applyNumberFormat="0" applyBorder="0" applyAlignment="0" applyProtection="0"/>
    <xf numFmtId="4" fontId="65" fillId="0" borderId="10">
      <alignment horizontal="right" vertical="top"/>
    </xf>
    <xf numFmtId="171" fontId="54" fillId="17" borderId="0">
      <alignment vertical="top"/>
    </xf>
    <xf numFmtId="38" fontId="54" fillId="17" borderId="0">
      <alignment vertical="top"/>
    </xf>
    <xf numFmtId="175" fontId="66" fillId="0" borderId="0" applyFill="0" applyBorder="0" applyAlignment="0" applyProtection="0"/>
    <xf numFmtId="176" fontId="66" fillId="0" borderId="0" applyFill="0" applyBorder="0" applyAlignment="0" applyProtection="0"/>
    <xf numFmtId="170" fontId="48" fillId="0" borderId="0" applyFont="0" applyFill="0" applyBorder="0" applyAlignment="0" applyProtection="0"/>
    <xf numFmtId="177" fontId="66" fillId="0" borderId="0" applyFill="0" applyBorder="0" applyAlignment="0" applyProtection="0"/>
    <xf numFmtId="178" fontId="66" fillId="0" borderId="0" applyFill="0" applyBorder="0" applyAlignment="0" applyProtection="0"/>
    <xf numFmtId="14" fontId="30" fillId="0" borderId="0">
      <alignment vertical="top"/>
    </xf>
    <xf numFmtId="171" fontId="55" fillId="0" borderId="0">
      <alignment vertical="top"/>
    </xf>
    <xf numFmtId="38" fontId="55" fillId="0" borderId="0">
      <alignment vertical="top"/>
    </xf>
    <xf numFmtId="0" fontId="56" fillId="0" borderId="0">
      <alignment vertical="top"/>
    </xf>
    <xf numFmtId="171" fontId="29" fillId="0" borderId="0">
      <alignment vertical="top"/>
    </xf>
    <xf numFmtId="38" fontId="29" fillId="0" borderId="0">
      <alignment vertical="top"/>
    </xf>
    <xf numFmtId="172" fontId="54" fillId="0" borderId="0">
      <alignment vertical="top"/>
    </xf>
    <xf numFmtId="37" fontId="54" fillId="0" borderId="0">
      <alignment vertical="top"/>
    </xf>
    <xf numFmtId="0" fontId="6" fillId="0" borderId="0"/>
    <xf numFmtId="0" fontId="49" fillId="0" borderId="0"/>
    <xf numFmtId="0" fontId="21" fillId="0" borderId="0"/>
    <xf numFmtId="0" fontId="67" fillId="0" borderId="0"/>
    <xf numFmtId="0" fontId="62" fillId="0" borderId="0"/>
    <xf numFmtId="0" fontId="22" fillId="0" borderId="0" applyNumberFormat="0">
      <alignment horizontal="left"/>
    </xf>
    <xf numFmtId="4" fontId="68" fillId="18" borderId="11" applyNumberFormat="0" applyProtection="0">
      <alignment vertical="center"/>
    </xf>
    <xf numFmtId="4" fontId="69" fillId="18" borderId="11" applyNumberFormat="0" applyProtection="0">
      <alignment vertical="center"/>
    </xf>
    <xf numFmtId="4" fontId="68" fillId="18" borderId="11" applyNumberFormat="0" applyProtection="0">
      <alignment horizontal="left" vertical="center" indent="1"/>
    </xf>
    <xf numFmtId="4" fontId="68" fillId="18" borderId="11" applyNumberFormat="0" applyProtection="0">
      <alignment horizontal="left" vertical="center" indent="1"/>
    </xf>
    <xf numFmtId="0" fontId="18" fillId="19" borderId="11" applyNumberFormat="0" applyProtection="0">
      <alignment horizontal="left" vertical="center" indent="1"/>
    </xf>
    <xf numFmtId="4" fontId="68" fillId="20" borderId="11" applyNumberFormat="0" applyProtection="0">
      <alignment horizontal="right" vertical="center"/>
    </xf>
    <xf numFmtId="4" fontId="68" fillId="21" borderId="11" applyNumberFormat="0" applyProtection="0">
      <alignment horizontal="right" vertical="center"/>
    </xf>
    <xf numFmtId="4" fontId="68" fillId="22" borderId="11" applyNumberFormat="0" applyProtection="0">
      <alignment horizontal="right" vertical="center"/>
    </xf>
    <xf numFmtId="4" fontId="68" fillId="23" borderId="11" applyNumberFormat="0" applyProtection="0">
      <alignment horizontal="right" vertical="center"/>
    </xf>
    <xf numFmtId="4" fontId="68" fillId="24" borderId="11" applyNumberFormat="0" applyProtection="0">
      <alignment horizontal="right" vertical="center"/>
    </xf>
    <xf numFmtId="4" fontId="68" fillId="25" borderId="11" applyNumberFormat="0" applyProtection="0">
      <alignment horizontal="right" vertical="center"/>
    </xf>
    <xf numFmtId="4" fontId="68" fillId="26" borderId="11" applyNumberFormat="0" applyProtection="0">
      <alignment horizontal="right" vertical="center"/>
    </xf>
    <xf numFmtId="4" fontId="68" fillId="27" borderId="11" applyNumberFormat="0" applyProtection="0">
      <alignment horizontal="right" vertical="center"/>
    </xf>
    <xf numFmtId="4" fontId="68" fillId="28" borderId="11" applyNumberFormat="0" applyProtection="0">
      <alignment horizontal="right" vertical="center"/>
    </xf>
    <xf numFmtId="4" fontId="70" fillId="29" borderId="11" applyNumberFormat="0" applyProtection="0">
      <alignment horizontal="left" vertical="center" indent="1"/>
    </xf>
    <xf numFmtId="4" fontId="68" fillId="30" borderId="12" applyNumberFormat="0" applyProtection="0">
      <alignment horizontal="left" vertical="center" indent="1"/>
    </xf>
    <xf numFmtId="4" fontId="71" fillId="31" borderId="0" applyNumberFormat="0" applyProtection="0">
      <alignment horizontal="left" vertical="center" indent="1"/>
    </xf>
    <xf numFmtId="0" fontId="18" fillId="19" borderId="11" applyNumberFormat="0" applyProtection="0">
      <alignment horizontal="left" vertical="center" indent="1"/>
    </xf>
    <xf numFmtId="4" fontId="59" fillId="30" borderId="11" applyNumberFormat="0" applyProtection="0">
      <alignment horizontal="left" vertical="center" indent="1"/>
    </xf>
    <xf numFmtId="4" fontId="59" fillId="32" borderId="11" applyNumberFormat="0" applyProtection="0">
      <alignment horizontal="left" vertical="center" indent="1"/>
    </xf>
    <xf numFmtId="0" fontId="18" fillId="32" borderId="11" applyNumberFormat="0" applyProtection="0">
      <alignment horizontal="left" vertical="center" indent="1"/>
    </xf>
    <xf numFmtId="0" fontId="18" fillId="32" borderId="11" applyNumberFormat="0" applyProtection="0">
      <alignment horizontal="left" vertical="center" indent="1"/>
    </xf>
    <xf numFmtId="0" fontId="18" fillId="33" borderId="11" applyNumberFormat="0" applyProtection="0">
      <alignment horizontal="left" vertical="center" indent="1"/>
    </xf>
    <xf numFmtId="0" fontId="18" fillId="33" borderId="11" applyNumberFormat="0" applyProtection="0">
      <alignment horizontal="left" vertical="center" indent="1"/>
    </xf>
    <xf numFmtId="0" fontId="18" fillId="34" borderId="11" applyNumberFormat="0" applyProtection="0">
      <alignment horizontal="left" vertical="center" indent="1"/>
    </xf>
    <xf numFmtId="0" fontId="18" fillId="34" borderId="11" applyNumberFormat="0" applyProtection="0">
      <alignment horizontal="left" vertical="center" indent="1"/>
    </xf>
    <xf numFmtId="0" fontId="18" fillId="19" borderId="11" applyNumberFormat="0" applyProtection="0">
      <alignment horizontal="left" vertical="center" indent="1"/>
    </xf>
    <xf numFmtId="0" fontId="18" fillId="19" borderId="11" applyNumberFormat="0" applyProtection="0">
      <alignment horizontal="left" vertical="center" indent="1"/>
    </xf>
    <xf numFmtId="4" fontId="68" fillId="35" borderId="11" applyNumberFormat="0" applyProtection="0">
      <alignment vertical="center"/>
    </xf>
    <xf numFmtId="4" fontId="69" fillId="35" borderId="11" applyNumberFormat="0" applyProtection="0">
      <alignment vertical="center"/>
    </xf>
    <xf numFmtId="4" fontId="68" fillId="35" borderId="11" applyNumberFormat="0" applyProtection="0">
      <alignment horizontal="left" vertical="center" indent="1"/>
    </xf>
    <xf numFmtId="4" fontId="68" fillId="35" borderId="11" applyNumberFormat="0" applyProtection="0">
      <alignment horizontal="left" vertical="center" indent="1"/>
    </xf>
    <xf numFmtId="4" fontId="68" fillId="30" borderId="11" applyNumberFormat="0" applyProtection="0">
      <alignment horizontal="right" vertical="center"/>
    </xf>
    <xf numFmtId="4" fontId="69" fillId="30" borderId="11" applyNumberFormat="0" applyProtection="0">
      <alignment horizontal="right" vertical="center"/>
    </xf>
    <xf numFmtId="0" fontId="18" fillId="19" borderId="11" applyNumberFormat="0" applyProtection="0">
      <alignment horizontal="left" vertical="center" indent="1"/>
    </xf>
    <xf numFmtId="0" fontId="18" fillId="19" borderId="11" applyNumberFormat="0" applyProtection="0">
      <alignment horizontal="left" vertical="center" indent="1"/>
    </xf>
    <xf numFmtId="0" fontId="72" fillId="0" borderId="0"/>
    <xf numFmtId="4" fontId="73" fillId="30" borderId="11" applyNumberFormat="0" applyProtection="0">
      <alignment horizontal="right" vertical="center"/>
    </xf>
    <xf numFmtId="171" fontId="57" fillId="36" borderId="0">
      <alignment horizontal="right" vertical="top"/>
    </xf>
    <xf numFmtId="38" fontId="57" fillId="36" borderId="0">
      <alignment horizontal="right" vertical="top"/>
    </xf>
    <xf numFmtId="173" fontId="30" fillId="0" borderId="0">
      <alignment vertical="top"/>
    </xf>
    <xf numFmtId="0" fontId="31" fillId="37" borderId="0" applyNumberFormat="0" applyBorder="0" applyAlignment="0" applyProtection="0"/>
    <xf numFmtId="0" fontId="31" fillId="38" borderId="0" applyNumberFormat="0" applyBorder="0" applyAlignment="0" applyProtection="0"/>
    <xf numFmtId="0" fontId="31" fillId="39" borderId="0" applyNumberFormat="0" applyBorder="0" applyAlignment="0" applyProtection="0"/>
    <xf numFmtId="0" fontId="31" fillId="14" borderId="0" applyNumberFormat="0" applyBorder="0" applyAlignment="0" applyProtection="0"/>
    <xf numFmtId="0" fontId="31" fillId="15" borderId="0" applyNumberFormat="0" applyBorder="0" applyAlignment="0" applyProtection="0"/>
    <xf numFmtId="0" fontId="31" fillId="40" borderId="0" applyNumberFormat="0" applyBorder="0" applyAlignment="0" applyProtection="0"/>
    <xf numFmtId="167" fontId="23" fillId="0" borderId="13">
      <protection locked="0"/>
    </xf>
    <xf numFmtId="167" fontId="23" fillId="0" borderId="14">
      <protection locked="0"/>
    </xf>
    <xf numFmtId="0" fontId="32" fillId="8" borderId="15" applyNumberFormat="0" applyAlignment="0" applyProtection="0"/>
    <xf numFmtId="0" fontId="32" fillId="8" borderId="15" applyNumberFormat="0" applyAlignment="0" applyProtection="0"/>
    <xf numFmtId="0" fontId="32" fillId="8" borderId="15" applyNumberFormat="0" applyAlignment="0" applyProtection="0"/>
    <xf numFmtId="0" fontId="32" fillId="8" borderId="15" applyNumberFormat="0" applyAlignment="0" applyProtection="0"/>
    <xf numFmtId="0" fontId="32" fillId="8" borderId="15" applyNumberFormat="0" applyAlignment="0" applyProtection="0"/>
    <xf numFmtId="0" fontId="32" fillId="8" borderId="15" applyNumberFormat="0" applyAlignment="0" applyProtection="0"/>
    <xf numFmtId="0" fontId="32" fillId="8" borderId="15" applyNumberFormat="0" applyAlignment="0" applyProtection="0"/>
    <xf numFmtId="0" fontId="32" fillId="8" borderId="15" applyNumberFormat="0" applyAlignment="0" applyProtection="0"/>
    <xf numFmtId="0" fontId="32" fillId="8" borderId="15" applyNumberFormat="0" applyAlignment="0" applyProtection="0"/>
    <xf numFmtId="0" fontId="32" fillId="8" borderId="15" applyNumberFormat="0" applyAlignment="0" applyProtection="0"/>
    <xf numFmtId="0" fontId="32" fillId="8" borderId="15" applyNumberFormat="0" applyAlignment="0" applyProtection="0"/>
    <xf numFmtId="0" fontId="32" fillId="8" borderId="15" applyNumberFormat="0" applyAlignment="0" applyProtection="0"/>
    <xf numFmtId="0" fontId="33" fillId="41" borderId="11" applyNumberFormat="0" applyAlignment="0" applyProtection="0"/>
    <xf numFmtId="0" fontId="33" fillId="41" borderId="11" applyNumberFormat="0" applyAlignment="0" applyProtection="0"/>
    <xf numFmtId="0" fontId="33" fillId="41" borderId="11" applyNumberFormat="0" applyAlignment="0" applyProtection="0"/>
    <xf numFmtId="0" fontId="33" fillId="41" borderId="11" applyNumberFormat="0" applyAlignment="0" applyProtection="0"/>
    <xf numFmtId="0" fontId="33" fillId="41" borderId="11" applyNumberFormat="0" applyAlignment="0" applyProtection="0"/>
    <xf numFmtId="0" fontId="33" fillId="41" borderId="11" applyNumberFormat="0" applyAlignment="0" applyProtection="0"/>
    <xf numFmtId="0" fontId="33" fillId="41" borderId="11" applyNumberFormat="0" applyAlignment="0" applyProtection="0"/>
    <xf numFmtId="0" fontId="33" fillId="41" borderId="11" applyNumberFormat="0" applyAlignment="0" applyProtection="0"/>
    <xf numFmtId="0" fontId="33" fillId="41" borderId="11" applyNumberFormat="0" applyAlignment="0" applyProtection="0"/>
    <xf numFmtId="0" fontId="34" fillId="41" borderId="15" applyNumberFormat="0" applyAlignment="0" applyProtection="0"/>
    <xf numFmtId="0" fontId="34" fillId="41" borderId="15" applyNumberFormat="0" applyAlignment="0" applyProtection="0"/>
    <xf numFmtId="0" fontId="34" fillId="41" borderId="15" applyNumberFormat="0" applyAlignment="0" applyProtection="0"/>
    <xf numFmtId="0" fontId="34" fillId="41" borderId="15" applyNumberFormat="0" applyAlignment="0" applyProtection="0"/>
    <xf numFmtId="0" fontId="34" fillId="41" borderId="15" applyNumberFormat="0" applyAlignment="0" applyProtection="0"/>
    <xf numFmtId="0" fontId="34" fillId="41" borderId="15" applyNumberFormat="0" applyAlignment="0" applyProtection="0"/>
    <xf numFmtId="0" fontId="34" fillId="41" borderId="15" applyNumberFormat="0" applyAlignment="0" applyProtection="0"/>
    <xf numFmtId="0" fontId="34" fillId="41" borderId="15" applyNumberFormat="0" applyAlignment="0" applyProtection="0"/>
    <xf numFmtId="0" fontId="34" fillId="41" borderId="15" applyNumberFormat="0" applyAlignment="0" applyProtection="0"/>
    <xf numFmtId="0" fontId="34" fillId="41" borderId="15" applyNumberFormat="0" applyAlignment="0" applyProtection="0"/>
    <xf numFmtId="0" fontId="34" fillId="41" borderId="15" applyNumberFormat="0" applyAlignment="0" applyProtection="0"/>
    <xf numFmtId="0" fontId="34" fillId="41" borderId="15" applyNumberFormat="0" applyAlignment="0" applyProtection="0"/>
    <xf numFmtId="0" fontId="51" fillId="0" borderId="0" applyBorder="0">
      <alignment horizontal="center" vertical="center" wrapText="1"/>
    </xf>
    <xf numFmtId="0" fontId="35" fillId="0" borderId="16" applyNumberFormat="0" applyFill="0" applyAlignment="0" applyProtection="0"/>
    <xf numFmtId="0" fontId="36" fillId="0" borderId="17" applyNumberFormat="0" applyFill="0" applyAlignment="0" applyProtection="0"/>
    <xf numFmtId="0" fontId="37" fillId="0" borderId="18" applyNumberFormat="0" applyFill="0" applyAlignment="0" applyProtection="0"/>
    <xf numFmtId="0" fontId="37" fillId="0" borderId="0" applyNumberFormat="0" applyFill="0" applyBorder="0" applyAlignment="0" applyProtection="0"/>
    <xf numFmtId="0" fontId="23" fillId="0" borderId="10">
      <alignment horizontal="center" vertical="center" wrapText="1"/>
    </xf>
    <xf numFmtId="0" fontId="52" fillId="0" borderId="19" applyBorder="0">
      <alignment horizontal="center" vertical="center" wrapText="1"/>
    </xf>
    <xf numFmtId="167" fontId="24" fillId="42" borderId="13"/>
    <xf numFmtId="167" fontId="24" fillId="43" borderId="14"/>
    <xf numFmtId="4" fontId="53" fillId="18" borderId="2" applyBorder="0">
      <alignment horizontal="right"/>
    </xf>
    <xf numFmtId="4" fontId="53" fillId="18" borderId="2" applyBorder="0">
      <alignment horizontal="right"/>
    </xf>
    <xf numFmtId="0" fontId="38" fillId="0" borderId="20" applyNumberFormat="0" applyFill="0" applyAlignment="0" applyProtection="0"/>
    <xf numFmtId="0" fontId="38" fillId="0" borderId="20" applyNumberFormat="0" applyFill="0" applyAlignment="0" applyProtection="0"/>
    <xf numFmtId="0" fontId="38" fillId="0" borderId="20" applyNumberFormat="0" applyFill="0" applyAlignment="0" applyProtection="0"/>
    <xf numFmtId="0" fontId="38" fillId="0" borderId="20" applyNumberFormat="0" applyFill="0" applyAlignment="0" applyProtection="0"/>
    <xf numFmtId="0" fontId="38" fillId="0" borderId="20" applyNumberFormat="0" applyFill="0" applyAlignment="0" applyProtection="0"/>
    <xf numFmtId="0" fontId="38" fillId="0" borderId="20" applyNumberFormat="0" applyFill="0" applyAlignment="0" applyProtection="0"/>
    <xf numFmtId="0" fontId="38" fillId="0" borderId="20" applyNumberFormat="0" applyFill="0" applyAlignment="0" applyProtection="0"/>
    <xf numFmtId="0" fontId="38" fillId="0" borderId="20" applyNumberFormat="0" applyFill="0" applyAlignment="0" applyProtection="0"/>
    <xf numFmtId="0" fontId="38" fillId="0" borderId="20" applyNumberFormat="0" applyFill="0" applyAlignment="0" applyProtection="0"/>
    <xf numFmtId="0" fontId="39" fillId="44" borderId="21" applyNumberFormat="0" applyAlignment="0" applyProtection="0"/>
    <xf numFmtId="0" fontId="40" fillId="0" borderId="0" applyNumberFormat="0" applyFill="0" applyBorder="0" applyAlignment="0" applyProtection="0"/>
    <xf numFmtId="0" fontId="41" fillId="45" borderId="0" applyNumberFormat="0" applyBorder="0" applyAlignment="0" applyProtection="0"/>
    <xf numFmtId="0" fontId="15" fillId="0" borderId="0"/>
    <xf numFmtId="0" fontId="6" fillId="0" borderId="0"/>
    <xf numFmtId="0" fontId="16" fillId="0" borderId="0"/>
    <xf numFmtId="0" fontId="6" fillId="0" borderId="0"/>
    <xf numFmtId="0" fontId="15" fillId="0" borderId="0"/>
    <xf numFmtId="0" fontId="15" fillId="0" borderId="0"/>
    <xf numFmtId="0" fontId="18" fillId="0" borderId="0">
      <alignment vertical="top"/>
    </xf>
    <xf numFmtId="0" fontId="18" fillId="0" borderId="0"/>
    <xf numFmtId="0" fontId="18" fillId="0" borderId="0"/>
    <xf numFmtId="0" fontId="6" fillId="0" borderId="0"/>
    <xf numFmtId="0" fontId="17" fillId="0" borderId="0"/>
    <xf numFmtId="0" fontId="17" fillId="0" borderId="0"/>
    <xf numFmtId="0" fontId="6" fillId="0" borderId="0"/>
    <xf numFmtId="0" fontId="17" fillId="0" borderId="0"/>
    <xf numFmtId="0" fontId="18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8" fillId="0" borderId="0">
      <alignment vertical="top"/>
    </xf>
    <xf numFmtId="0" fontId="60" fillId="0" borderId="0"/>
    <xf numFmtId="0" fontId="6" fillId="0" borderId="0"/>
    <xf numFmtId="0" fontId="18" fillId="0" borderId="0"/>
    <xf numFmtId="0" fontId="15" fillId="0" borderId="0"/>
    <xf numFmtId="0" fontId="18" fillId="0" borderId="0"/>
    <xf numFmtId="0" fontId="6" fillId="0" borderId="0"/>
    <xf numFmtId="0" fontId="17" fillId="0" borderId="0"/>
    <xf numFmtId="171" fontId="6" fillId="0" borderId="0">
      <alignment vertical="top"/>
    </xf>
    <xf numFmtId="0" fontId="17" fillId="0" borderId="0"/>
    <xf numFmtId="38" fontId="6" fillId="0" borderId="0">
      <alignment vertical="top"/>
    </xf>
    <xf numFmtId="0" fontId="18" fillId="0" borderId="0"/>
    <xf numFmtId="0" fontId="17" fillId="0" borderId="0"/>
    <xf numFmtId="0" fontId="27" fillId="0" borderId="0"/>
    <xf numFmtId="0" fontId="15" fillId="0" borderId="0"/>
    <xf numFmtId="0" fontId="15" fillId="0" borderId="0"/>
    <xf numFmtId="0" fontId="17" fillId="0" borderId="0"/>
    <xf numFmtId="0" fontId="6" fillId="0" borderId="0"/>
    <xf numFmtId="0" fontId="17" fillId="0" borderId="0"/>
    <xf numFmtId="0" fontId="15" fillId="0" borderId="0"/>
    <xf numFmtId="0" fontId="47" fillId="0" borderId="0"/>
    <xf numFmtId="0" fontId="17" fillId="0" borderId="0"/>
    <xf numFmtId="0" fontId="18" fillId="0" borderId="0"/>
    <xf numFmtId="0" fontId="6" fillId="0" borderId="0"/>
    <xf numFmtId="0" fontId="15" fillId="0" borderId="0"/>
    <xf numFmtId="0" fontId="28" fillId="0" borderId="0"/>
    <xf numFmtId="0" fontId="15" fillId="0" borderId="0"/>
    <xf numFmtId="0" fontId="15" fillId="0" borderId="0"/>
    <xf numFmtId="0" fontId="15" fillId="0" borderId="0"/>
    <xf numFmtId="0" fontId="16" fillId="0" borderId="0"/>
    <xf numFmtId="0" fontId="16" fillId="0" borderId="0"/>
    <xf numFmtId="0" fontId="42" fillId="4" borderId="0" applyNumberFormat="0" applyBorder="0" applyAlignment="0" applyProtection="0"/>
    <xf numFmtId="0" fontId="43" fillId="0" borderId="0" applyNumberFormat="0" applyFill="0" applyBorder="0" applyAlignment="0" applyProtection="0"/>
    <xf numFmtId="0" fontId="17" fillId="2" borderId="7" applyNumberFormat="0" applyFont="0" applyAlignment="0" applyProtection="0"/>
    <xf numFmtId="0" fontId="6" fillId="46" borderId="22" applyNumberFormat="0" applyFont="0" applyAlignment="0" applyProtection="0"/>
    <xf numFmtId="0" fontId="6" fillId="46" borderId="22" applyNumberFormat="0" applyFont="0" applyAlignment="0" applyProtection="0"/>
    <xf numFmtId="0" fontId="6" fillId="46" borderId="22" applyNumberFormat="0" applyFont="0" applyAlignment="0" applyProtection="0"/>
    <xf numFmtId="0" fontId="6" fillId="46" borderId="22" applyNumberFormat="0" applyFont="0" applyAlignment="0" applyProtection="0"/>
    <xf numFmtId="0" fontId="6" fillId="46" borderId="22" applyNumberFormat="0" applyFont="0" applyAlignment="0" applyProtection="0"/>
    <xf numFmtId="0" fontId="6" fillId="46" borderId="22" applyNumberFormat="0" applyFont="0" applyAlignment="0" applyProtection="0"/>
    <xf numFmtId="0" fontId="6" fillId="46" borderId="22" applyNumberFormat="0" applyFont="0" applyAlignment="0" applyProtection="0"/>
    <xf numFmtId="0" fontId="6" fillId="46" borderId="22" applyNumberFormat="0" applyFont="0" applyAlignment="0" applyProtection="0"/>
    <xf numFmtId="0" fontId="6" fillId="46" borderId="22" applyNumberFormat="0" applyFont="0" applyAlignment="0" applyProtection="0"/>
    <xf numFmtId="0" fontId="6" fillId="46" borderId="22" applyNumberFormat="0" applyFont="0" applyAlignment="0" applyProtection="0"/>
    <xf numFmtId="0" fontId="6" fillId="46" borderId="22" applyNumberFormat="0" applyFont="0" applyAlignment="0" applyProtection="0"/>
    <xf numFmtId="0" fontId="6" fillId="46" borderId="22" applyNumberFormat="0" applyFont="0" applyAlignment="0" applyProtection="0"/>
    <xf numFmtId="0" fontId="6" fillId="46" borderId="22" applyNumberFormat="0" applyFont="0" applyAlignment="0" applyProtection="0"/>
    <xf numFmtId="0" fontId="6" fillId="46" borderId="22" applyNumberFormat="0" applyFont="0" applyAlignment="0" applyProtection="0"/>
    <xf numFmtId="0" fontId="6" fillId="46" borderId="22" applyNumberFormat="0" applyFont="0" applyAlignment="0" applyProtection="0"/>
    <xf numFmtId="0" fontId="17" fillId="2" borderId="7" applyNumberFormat="0" applyFont="0" applyAlignment="0" applyProtection="0"/>
    <xf numFmtId="0" fontId="17" fillId="46" borderId="22" applyNumberFormat="0" applyFont="0" applyAlignment="0" applyProtection="0"/>
    <xf numFmtId="0" fontId="17" fillId="46" borderId="22" applyNumberFormat="0" applyFont="0" applyAlignment="0" applyProtection="0"/>
    <xf numFmtId="0" fontId="17" fillId="46" borderId="22" applyNumberFormat="0" applyFont="0" applyAlignment="0" applyProtection="0"/>
    <xf numFmtId="0" fontId="17" fillId="46" borderId="22" applyNumberFormat="0" applyFont="0" applyAlignment="0" applyProtection="0"/>
    <xf numFmtId="0" fontId="17" fillId="46" borderId="22" applyNumberFormat="0" applyFont="0" applyAlignment="0" applyProtection="0"/>
    <xf numFmtId="0" fontId="17" fillId="46" borderId="22" applyNumberFormat="0" applyFont="0" applyAlignment="0" applyProtection="0"/>
    <xf numFmtId="0" fontId="17" fillId="46" borderId="22" applyNumberFormat="0" applyFont="0" applyAlignment="0" applyProtection="0"/>
    <xf numFmtId="0" fontId="17" fillId="46" borderId="22" applyNumberFormat="0" applyFont="0" applyAlignment="0" applyProtection="0"/>
    <xf numFmtId="0" fontId="17" fillId="46" borderId="22" applyNumberFormat="0" applyFont="0" applyAlignment="0" applyProtection="0"/>
    <xf numFmtId="0" fontId="17" fillId="46" borderId="22" applyNumberFormat="0" applyFont="0" applyAlignment="0" applyProtection="0"/>
    <xf numFmtId="0" fontId="17" fillId="46" borderId="22" applyNumberFormat="0" applyFont="0" applyAlignment="0" applyProtection="0"/>
    <xf numFmtId="0" fontId="17" fillId="46" borderId="22" applyNumberFormat="0" applyFont="0" applyAlignment="0" applyProtection="0"/>
    <xf numFmtId="0" fontId="17" fillId="46" borderId="22" applyNumberFormat="0" applyFont="0" applyAlignment="0" applyProtection="0"/>
    <xf numFmtId="0" fontId="17" fillId="46" borderId="22" applyNumberFormat="0" applyFont="0" applyAlignment="0" applyProtection="0"/>
    <xf numFmtId="0" fontId="17" fillId="46" borderId="22" applyNumberFormat="0" applyFont="0" applyAlignment="0" applyProtection="0"/>
    <xf numFmtId="9" fontId="58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44" fillId="0" borderId="23" applyNumberFormat="0" applyFill="0" applyAlignment="0" applyProtection="0"/>
    <xf numFmtId="0" fontId="25" fillId="0" borderId="0"/>
    <xf numFmtId="171" fontId="28" fillId="0" borderId="0">
      <alignment vertical="top"/>
    </xf>
    <xf numFmtId="0" fontId="25" fillId="0" borderId="0"/>
    <xf numFmtId="38" fontId="28" fillId="0" borderId="0">
      <alignment vertical="top"/>
    </xf>
    <xf numFmtId="0" fontId="50" fillId="0" borderId="0"/>
    <xf numFmtId="0" fontId="50" fillId="0" borderId="0"/>
    <xf numFmtId="0" fontId="45" fillId="0" borderId="0" applyNumberFormat="0" applyFill="0" applyBorder="0" applyAlignment="0" applyProtection="0"/>
    <xf numFmtId="164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5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58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58" fillId="0" borderId="0" applyFont="0" applyFill="0" applyBorder="0" applyAlignment="0" applyProtection="0"/>
    <xf numFmtId="166" fontId="58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4" fontId="53" fillId="47" borderId="0" applyBorder="0">
      <alignment horizontal="right"/>
    </xf>
    <xf numFmtId="0" fontId="46" fillId="5" borderId="0" applyNumberFormat="0" applyBorder="0" applyAlignment="0" applyProtection="0"/>
    <xf numFmtId="165" fontId="19" fillId="0" borderId="0">
      <protection locked="0"/>
    </xf>
    <xf numFmtId="165" fontId="19" fillId="0" borderId="0">
      <protection locked="0"/>
    </xf>
    <xf numFmtId="165" fontId="19" fillId="0" borderId="0">
      <protection locked="0"/>
    </xf>
    <xf numFmtId="168" fontId="19" fillId="0" borderId="0">
      <protection locked="0"/>
    </xf>
    <xf numFmtId="165" fontId="19" fillId="0" borderId="0">
      <protection locked="0"/>
    </xf>
    <xf numFmtId="174" fontId="63" fillId="0" borderId="0">
      <protection locked="0"/>
    </xf>
    <xf numFmtId="165" fontId="19" fillId="0" borderId="0">
      <protection locked="0"/>
    </xf>
    <xf numFmtId="0" fontId="18" fillId="0" borderId="0">
      <alignment vertical="top"/>
    </xf>
    <xf numFmtId="0" fontId="15" fillId="0" borderId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0" fontId="25" fillId="0" borderId="0"/>
    <xf numFmtId="166" fontId="15" fillId="0" borderId="0" applyFont="0" applyFill="0" applyBorder="0" applyAlignment="0" applyProtection="0"/>
    <xf numFmtId="165" fontId="19" fillId="0" borderId="0">
      <protection locked="0"/>
    </xf>
    <xf numFmtId="165" fontId="19" fillId="0" borderId="0">
      <protection locked="0"/>
    </xf>
    <xf numFmtId="165" fontId="19" fillId="0" borderId="0">
      <protection locked="0"/>
    </xf>
    <xf numFmtId="165" fontId="19" fillId="0" borderId="0">
      <protection locked="0"/>
    </xf>
    <xf numFmtId="165" fontId="19" fillId="0" borderId="0">
      <protection locked="0"/>
    </xf>
    <xf numFmtId="165" fontId="19" fillId="0" borderId="0">
      <protection locked="0"/>
    </xf>
    <xf numFmtId="165" fontId="19" fillId="0" borderId="0">
      <protection locked="0"/>
    </xf>
    <xf numFmtId="165" fontId="19" fillId="0" borderId="0">
      <protection locked="0"/>
    </xf>
    <xf numFmtId="165" fontId="19" fillId="0" borderId="0">
      <protection locked="0"/>
    </xf>
    <xf numFmtId="165" fontId="19" fillId="0" borderId="0">
      <protection locked="0"/>
    </xf>
    <xf numFmtId="165" fontId="19" fillId="0" borderId="0">
      <protection locked="0"/>
    </xf>
    <xf numFmtId="165" fontId="19" fillId="0" borderId="0">
      <protection locked="0"/>
    </xf>
    <xf numFmtId="165" fontId="19" fillId="0" borderId="0">
      <protection locked="0"/>
    </xf>
    <xf numFmtId="165" fontId="19" fillId="0" borderId="0">
      <protection locked="0"/>
    </xf>
    <xf numFmtId="165" fontId="19" fillId="0" borderId="0">
      <protection locked="0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166" fontId="5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58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58" fillId="0" borderId="0" applyFont="0" applyFill="0" applyBorder="0" applyAlignment="0" applyProtection="0"/>
    <xf numFmtId="166" fontId="58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5" fontId="19" fillId="0" borderId="0">
      <protection locked="0"/>
    </xf>
    <xf numFmtId="165" fontId="19" fillId="0" borderId="0">
      <protection locked="0"/>
    </xf>
    <xf numFmtId="165" fontId="19" fillId="0" borderId="0">
      <protection locked="0"/>
    </xf>
    <xf numFmtId="165" fontId="19" fillId="0" borderId="0">
      <protection locked="0"/>
    </xf>
    <xf numFmtId="165" fontId="19" fillId="0" borderId="0">
      <protection locked="0"/>
    </xf>
    <xf numFmtId="0" fontId="15" fillId="0" borderId="0"/>
    <xf numFmtId="0" fontId="92" fillId="0" borderId="0" applyNumberFormat="0" applyFill="0" applyBorder="0" applyAlignment="0" applyProtection="0"/>
    <xf numFmtId="0" fontId="15" fillId="0" borderId="0"/>
    <xf numFmtId="0" fontId="110" fillId="0" borderId="0" applyNumberFormat="0" applyFill="0" applyBorder="0" applyAlignment="0" applyProtection="0">
      <alignment vertical="top"/>
      <protection locked="0"/>
    </xf>
  </cellStyleXfs>
  <cellXfs count="464">
    <xf numFmtId="0" fontId="0" fillId="0" borderId="0" xfId="0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top"/>
    </xf>
    <xf numFmtId="0" fontId="3" fillId="0" borderId="0" xfId="0" applyFont="1"/>
    <xf numFmtId="0" fontId="3" fillId="0" borderId="0" xfId="0" applyFont="1" applyAlignment="1">
      <alignment horizontal="center"/>
    </xf>
    <xf numFmtId="0" fontId="2" fillId="0" borderId="0" xfId="0" applyFont="1"/>
    <xf numFmtId="0" fontId="1" fillId="0" borderId="2" xfId="0" applyFont="1" applyBorder="1" applyAlignment="1">
      <alignment horizontal="center" vertical="top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top"/>
    </xf>
    <xf numFmtId="0" fontId="4" fillId="0" borderId="2" xfId="0" applyFont="1" applyBorder="1" applyAlignment="1">
      <alignment vertical="center" wrapText="1"/>
    </xf>
    <xf numFmtId="0" fontId="4" fillId="0" borderId="2" xfId="0" applyFont="1" applyBorder="1" applyAlignment="1">
      <alignment vertical="top"/>
    </xf>
    <xf numFmtId="0" fontId="4" fillId="0" borderId="2" xfId="0" applyFont="1" applyBorder="1" applyAlignment="1">
      <alignment horizontal="center" vertical="top"/>
    </xf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7" fillId="0" borderId="0" xfId="0" applyFont="1"/>
    <xf numFmtId="0" fontId="3" fillId="0" borderId="0" xfId="0" applyFont="1" applyBorder="1"/>
    <xf numFmtId="0" fontId="2" fillId="0" borderId="0" xfId="0" applyFont="1" applyAlignment="1">
      <alignment horizontal="right"/>
    </xf>
    <xf numFmtId="0" fontId="8" fillId="0" borderId="0" xfId="0" applyFont="1" applyBorder="1" applyAlignment="1">
      <alignment horizontal="left" vertical="center" wrapText="1"/>
    </xf>
    <xf numFmtId="0" fontId="2" fillId="0" borderId="0" xfId="0" applyFont="1" applyAlignment="1"/>
    <xf numFmtId="0" fontId="4" fillId="0" borderId="0" xfId="0" applyFont="1" applyFill="1" applyBorder="1" applyAlignment="1">
      <alignment vertical="top" wrapText="1"/>
    </xf>
    <xf numFmtId="0" fontId="9" fillId="0" borderId="0" xfId="0" applyFont="1" applyBorder="1" applyAlignment="1">
      <alignment horizontal="center" vertical="center" wrapText="1"/>
    </xf>
    <xf numFmtId="0" fontId="13" fillId="0" borderId="0" xfId="0" applyFont="1"/>
    <xf numFmtId="0" fontId="9" fillId="0" borderId="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distributed"/>
    </xf>
    <xf numFmtId="0" fontId="4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vertical="center"/>
    </xf>
    <xf numFmtId="4" fontId="3" fillId="0" borderId="0" xfId="0" applyNumberFormat="1" applyFont="1"/>
    <xf numFmtId="4" fontId="0" fillId="0" borderId="0" xfId="0" applyNumberFormat="1"/>
    <xf numFmtId="0" fontId="9" fillId="0" borderId="2" xfId="0" applyFont="1" applyBorder="1" applyAlignment="1">
      <alignment vertical="center" wrapText="1"/>
    </xf>
    <xf numFmtId="2" fontId="4" fillId="0" borderId="2" xfId="0" applyNumberFormat="1" applyFont="1" applyFill="1" applyBorder="1" applyAlignment="1">
      <alignment vertical="center" wrapText="1"/>
    </xf>
    <xf numFmtId="0" fontId="4" fillId="0" borderId="2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 wrapText="1"/>
    </xf>
    <xf numFmtId="0" fontId="76" fillId="0" borderId="0" xfId="0" applyFont="1"/>
    <xf numFmtId="0" fontId="78" fillId="0" borderId="0" xfId="0" applyFont="1" applyBorder="1" applyAlignment="1">
      <alignment horizontal="center" vertical="center" wrapText="1"/>
    </xf>
    <xf numFmtId="0" fontId="78" fillId="0" borderId="0" xfId="0" applyFont="1" applyBorder="1" applyAlignment="1">
      <alignment horizontal="left" vertical="top"/>
    </xf>
    <xf numFmtId="0" fontId="77" fillId="0" borderId="0" xfId="0" applyFont="1"/>
    <xf numFmtId="0" fontId="78" fillId="0" borderId="0" xfId="0" applyFont="1"/>
    <xf numFmtId="0" fontId="79" fillId="0" borderId="0" xfId="0" applyFont="1"/>
    <xf numFmtId="0" fontId="0" fillId="0" borderId="0" xfId="0" applyFont="1" applyBorder="1" applyAlignment="1">
      <alignment horizontal="right"/>
    </xf>
    <xf numFmtId="0" fontId="8" fillId="0" borderId="0" xfId="0" applyFont="1" applyBorder="1" applyAlignment="1">
      <alignment horizontal="right" vertical="center"/>
    </xf>
    <xf numFmtId="0" fontId="0" fillId="0" borderId="0" xfId="0" applyAlignment="1">
      <alignment horizontal="right"/>
    </xf>
    <xf numFmtId="0" fontId="1" fillId="0" borderId="2" xfId="0" applyFont="1" applyBorder="1" applyAlignment="1">
      <alignment horizontal="center" vertical="top"/>
    </xf>
    <xf numFmtId="4" fontId="79" fillId="0" borderId="0" xfId="0" applyNumberFormat="1" applyFont="1"/>
    <xf numFmtId="0" fontId="79" fillId="0" borderId="0" xfId="0" applyFont="1" applyAlignment="1">
      <alignment horizontal="right"/>
    </xf>
    <xf numFmtId="0" fontId="80" fillId="0" borderId="0" xfId="0" applyFont="1"/>
    <xf numFmtId="0" fontId="8" fillId="0" borderId="0" xfId="0" applyFont="1" applyAlignment="1">
      <alignment horizontal="right"/>
    </xf>
    <xf numFmtId="0" fontId="8" fillId="0" borderId="0" xfId="0" applyFont="1" applyAlignment="1">
      <alignment horizontal="center"/>
    </xf>
    <xf numFmtId="0" fontId="80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vertical="top" wrapText="1"/>
    </xf>
    <xf numFmtId="0" fontId="82" fillId="0" borderId="0" xfId="0" applyFont="1" applyAlignment="1">
      <alignment horizontal="right" vertical="center"/>
    </xf>
    <xf numFmtId="0" fontId="8" fillId="0" borderId="0" xfId="0" applyFont="1"/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6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vertical="top" wrapText="1"/>
    </xf>
    <xf numFmtId="180" fontId="1" fillId="0" borderId="0" xfId="0" applyNumberFormat="1" applyFont="1"/>
    <xf numFmtId="0" fontId="83" fillId="0" borderId="0" xfId="0" applyFont="1"/>
    <xf numFmtId="0" fontId="1" fillId="0" borderId="0" xfId="0" applyFont="1" applyAlignment="1">
      <alignment horizontal="right" wrapText="1"/>
    </xf>
    <xf numFmtId="0" fontId="83" fillId="0" borderId="0" xfId="0" applyFont="1" applyAlignment="1">
      <alignment horizontal="center"/>
    </xf>
    <xf numFmtId="0" fontId="84" fillId="0" borderId="0" xfId="0" applyFont="1" applyAlignment="1">
      <alignment horizontal="right" vertical="center"/>
    </xf>
    <xf numFmtId="0" fontId="1" fillId="0" borderId="0" xfId="0" applyFont="1" applyFill="1" applyBorder="1" applyAlignment="1">
      <alignment horizontal="right" vertical="top"/>
    </xf>
    <xf numFmtId="0" fontId="85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85" fillId="0" borderId="0" xfId="0" applyFont="1" applyAlignment="1">
      <alignment horizontal="center"/>
    </xf>
    <xf numFmtId="0" fontId="14" fillId="0" borderId="0" xfId="0" applyFont="1" applyAlignment="1">
      <alignment horizontal="center" wrapText="1"/>
    </xf>
    <xf numFmtId="4" fontId="83" fillId="0" borderId="0" xfId="0" applyNumberFormat="1" applyFont="1"/>
    <xf numFmtId="0" fontId="83" fillId="0" borderId="0" xfId="0" applyFont="1" applyAlignment="1">
      <alignment horizontal="right"/>
    </xf>
    <xf numFmtId="4" fontId="1" fillId="0" borderId="0" xfId="0" applyNumberFormat="1" applyFont="1" applyBorder="1" applyAlignment="1">
      <alignment horizontal="left" vertical="top"/>
    </xf>
    <xf numFmtId="4" fontId="81" fillId="0" borderId="2" xfId="0" applyNumberFormat="1" applyFont="1" applyBorder="1" applyAlignment="1">
      <alignment horizontal="center" vertical="center"/>
    </xf>
    <xf numFmtId="4" fontId="86" fillId="0" borderId="2" xfId="0" applyNumberFormat="1" applyFont="1" applyBorder="1" applyAlignment="1">
      <alignment horizontal="center" vertical="center" wrapText="1"/>
    </xf>
    <xf numFmtId="4" fontId="86" fillId="0" borderId="2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87" fillId="0" borderId="24" xfId="0" applyFont="1" applyFill="1" applyBorder="1" applyAlignment="1">
      <alignment horizontal="center" vertical="center" wrapText="1"/>
    </xf>
    <xf numFmtId="3" fontId="81" fillId="0" borderId="2" xfId="0" applyNumberFormat="1" applyFont="1" applyBorder="1" applyAlignment="1">
      <alignment horizontal="center" vertical="center" wrapText="1"/>
    </xf>
    <xf numFmtId="180" fontId="1" fillId="0" borderId="2" xfId="0" applyNumberFormat="1" applyFont="1" applyFill="1" applyBorder="1" applyAlignment="1">
      <alignment horizontal="center" vertical="center" wrapText="1"/>
    </xf>
    <xf numFmtId="180" fontId="1" fillId="0" borderId="2" xfId="0" applyNumberFormat="1" applyFont="1" applyBorder="1" applyAlignment="1">
      <alignment horizontal="center" vertical="center"/>
    </xf>
    <xf numFmtId="3" fontId="1" fillId="0" borderId="2" xfId="0" applyNumberFormat="1" applyFont="1" applyBorder="1" applyAlignment="1">
      <alignment horizontal="center" vertical="top"/>
    </xf>
    <xf numFmtId="179" fontId="1" fillId="0" borderId="2" xfId="0" applyNumberFormat="1" applyFont="1" applyBorder="1" applyAlignment="1">
      <alignment horizontal="center" vertical="top"/>
    </xf>
    <xf numFmtId="4" fontId="1" fillId="0" borderId="2" xfId="0" applyNumberFormat="1" applyFont="1" applyBorder="1" applyAlignment="1">
      <alignment horizontal="center" vertical="top"/>
    </xf>
    <xf numFmtId="3" fontId="1" fillId="0" borderId="2" xfId="0" applyNumberFormat="1" applyFont="1" applyFill="1" applyBorder="1" applyAlignment="1">
      <alignment horizontal="center" vertical="top"/>
    </xf>
    <xf numFmtId="179" fontId="1" fillId="0" borderId="2" xfId="0" applyNumberFormat="1" applyFont="1" applyFill="1" applyBorder="1" applyAlignment="1">
      <alignment horizontal="center" vertical="top"/>
    </xf>
    <xf numFmtId="4" fontId="1" fillId="0" borderId="2" xfId="0" applyNumberFormat="1" applyFont="1" applyFill="1" applyBorder="1" applyAlignment="1">
      <alignment horizontal="center" vertical="top"/>
    </xf>
    <xf numFmtId="0" fontId="1" fillId="0" borderId="2" xfId="0" applyFont="1" applyBorder="1" applyAlignment="1">
      <alignment horizontal="center" vertical="center"/>
    </xf>
    <xf numFmtId="179" fontId="1" fillId="0" borderId="2" xfId="0" applyNumberFormat="1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179" fontId="1" fillId="0" borderId="2" xfId="0" applyNumberFormat="1" applyFont="1" applyFill="1" applyBorder="1" applyAlignment="1">
      <alignment horizontal="center" vertical="center"/>
    </xf>
    <xf numFmtId="3" fontId="1" fillId="0" borderId="2" xfId="0" applyNumberFormat="1" applyFont="1" applyFill="1" applyBorder="1" applyAlignment="1">
      <alignment horizontal="center" vertical="center"/>
    </xf>
    <xf numFmtId="3" fontId="1" fillId="0" borderId="2" xfId="0" applyNumberFormat="1" applyFont="1" applyBorder="1" applyAlignment="1">
      <alignment horizontal="center" vertical="center"/>
    </xf>
    <xf numFmtId="4" fontId="74" fillId="0" borderId="2" xfId="0" applyNumberFormat="1" applyFont="1" applyFill="1" applyBorder="1" applyAlignment="1">
      <alignment horizontal="center" vertical="center"/>
    </xf>
    <xf numFmtId="4" fontId="75" fillId="0" borderId="2" xfId="0" applyNumberFormat="1" applyFont="1" applyFill="1" applyBorder="1" applyAlignment="1">
      <alignment horizontal="center" vertical="center"/>
    </xf>
    <xf numFmtId="3" fontId="81" fillId="0" borderId="2" xfId="0" applyNumberFormat="1" applyFont="1" applyBorder="1" applyAlignment="1">
      <alignment horizontal="center" vertical="center"/>
    </xf>
    <xf numFmtId="4" fontId="4" fillId="0" borderId="0" xfId="0" applyNumberFormat="1" applyFont="1" applyBorder="1" applyAlignment="1">
      <alignment horizontal="left" vertical="top"/>
    </xf>
    <xf numFmtId="1" fontId="4" fillId="0" borderId="0" xfId="0" applyNumberFormat="1" applyFont="1" applyBorder="1" applyAlignment="1">
      <alignment horizontal="left" vertical="top"/>
    </xf>
    <xf numFmtId="0" fontId="4" fillId="0" borderId="2" xfId="0" applyFont="1" applyBorder="1" applyAlignment="1">
      <alignment horizontal="center" vertical="center" wrapText="1"/>
    </xf>
    <xf numFmtId="0" fontId="6" fillId="0" borderId="0" xfId="193"/>
    <xf numFmtId="0" fontId="2" fillId="0" borderId="0" xfId="193" applyFont="1"/>
    <xf numFmtId="0" fontId="88" fillId="0" borderId="0" xfId="193" applyFont="1"/>
    <xf numFmtId="0" fontId="7" fillId="0" borderId="0" xfId="193" applyFont="1"/>
    <xf numFmtId="0" fontId="88" fillId="0" borderId="0" xfId="193" applyFont="1" applyAlignment="1">
      <alignment vertical="center"/>
    </xf>
    <xf numFmtId="0" fontId="88" fillId="0" borderId="29" xfId="193" applyFont="1" applyBorder="1"/>
    <xf numFmtId="0" fontId="2" fillId="0" borderId="0" xfId="193" applyFont="1" applyBorder="1"/>
    <xf numFmtId="49" fontId="88" fillId="0" borderId="0" xfId="193" applyNumberFormat="1" applyFont="1" applyBorder="1" applyAlignment="1">
      <alignment horizontal="left"/>
    </xf>
    <xf numFmtId="0" fontId="88" fillId="0" borderId="0" xfId="193" applyFont="1" applyBorder="1"/>
    <xf numFmtId="0" fontId="88" fillId="0" borderId="28" xfId="193" applyFont="1" applyBorder="1"/>
    <xf numFmtId="0" fontId="4" fillId="0" borderId="0" xfId="193" applyFont="1" applyBorder="1" applyAlignment="1">
      <alignment horizontal="center" vertical="center" wrapText="1"/>
    </xf>
    <xf numFmtId="0" fontId="92" fillId="0" borderId="0" xfId="396"/>
    <xf numFmtId="0" fontId="4" fillId="0" borderId="0" xfId="193" applyFont="1" applyBorder="1" applyAlignment="1">
      <alignment horizontal="left" vertical="top"/>
    </xf>
    <xf numFmtId="0" fontId="6" fillId="0" borderId="0" xfId="201" applyAlignment="1">
      <alignment horizontal="center"/>
    </xf>
    <xf numFmtId="0" fontId="93" fillId="0" borderId="0" xfId="201" applyFont="1" applyAlignment="1"/>
    <xf numFmtId="0" fontId="6" fillId="0" borderId="0" xfId="201"/>
    <xf numFmtId="0" fontId="93" fillId="0" borderId="0" xfId="201" applyFont="1" applyAlignment="1">
      <alignment horizontal="center" vertical="center" wrapText="1"/>
    </xf>
    <xf numFmtId="0" fontId="93" fillId="0" borderId="0" xfId="201" applyFont="1" applyAlignment="1">
      <alignment horizontal="right" vertical="center" wrapText="1"/>
    </xf>
    <xf numFmtId="0" fontId="93" fillId="0" borderId="31" xfId="201" applyFont="1" applyBorder="1" applyAlignment="1">
      <alignment horizontal="center" vertical="center" wrapText="1"/>
    </xf>
    <xf numFmtId="0" fontId="93" fillId="0" borderId="32" xfId="201" applyFont="1" applyBorder="1" applyAlignment="1">
      <alignment horizontal="center" vertical="center" wrapText="1"/>
    </xf>
    <xf numFmtId="0" fontId="93" fillId="0" borderId="33" xfId="201" applyFont="1" applyBorder="1" applyAlignment="1">
      <alignment horizontal="center" vertical="center" wrapText="1"/>
    </xf>
    <xf numFmtId="0" fontId="93" fillId="0" borderId="34" xfId="201" applyFont="1" applyBorder="1" applyAlignment="1">
      <alignment horizontal="center" vertical="center" wrapText="1"/>
    </xf>
    <xf numFmtId="0" fontId="93" fillId="0" borderId="35" xfId="201" applyFont="1" applyBorder="1" applyAlignment="1">
      <alignment horizontal="center" vertical="center" wrapText="1"/>
    </xf>
    <xf numFmtId="0" fontId="93" fillId="0" borderId="36" xfId="201" applyFont="1" applyBorder="1" applyAlignment="1">
      <alignment horizontal="center" vertical="center" wrapText="1"/>
    </xf>
    <xf numFmtId="0" fontId="93" fillId="0" borderId="37" xfId="201" applyFont="1" applyBorder="1" applyAlignment="1">
      <alignment horizontal="center" vertical="center" wrapText="1"/>
    </xf>
    <xf numFmtId="0" fontId="13" fillId="0" borderId="38" xfId="201" applyFont="1" applyBorder="1" applyAlignment="1">
      <alignment horizontal="center" vertical="center" wrapText="1"/>
    </xf>
    <xf numFmtId="0" fontId="13" fillId="0" borderId="38" xfId="201" applyFont="1" applyBorder="1" applyAlignment="1">
      <alignment vertical="center" wrapText="1"/>
    </xf>
    <xf numFmtId="4" fontId="11" fillId="0" borderId="2" xfId="201" applyNumberFormat="1" applyFont="1" applyBorder="1" applyAlignment="1">
      <alignment horizontal="right" vertical="center" wrapText="1"/>
    </xf>
    <xf numFmtId="179" fontId="13" fillId="0" borderId="39" xfId="201" applyNumberFormat="1" applyFont="1" applyBorder="1" applyAlignment="1">
      <alignment horizontal="right" vertical="center" wrapText="1"/>
    </xf>
    <xf numFmtId="0" fontId="13" fillId="0" borderId="40" xfId="201" applyFont="1" applyBorder="1" applyAlignment="1">
      <alignment horizontal="center" vertical="center" wrapText="1"/>
    </xf>
    <xf numFmtId="0" fontId="13" fillId="0" borderId="41" xfId="201" applyFont="1" applyBorder="1" applyAlignment="1">
      <alignment vertical="center" wrapText="1"/>
    </xf>
    <xf numFmtId="4" fontId="13" fillId="0" borderId="29" xfId="201" applyNumberFormat="1" applyFont="1" applyBorder="1" applyAlignment="1">
      <alignment horizontal="right" vertical="center" wrapText="1"/>
    </xf>
    <xf numFmtId="4" fontId="13" fillId="0" borderId="41" xfId="201" applyNumberFormat="1" applyFont="1" applyBorder="1" applyAlignment="1">
      <alignment horizontal="right" vertical="center" wrapText="1"/>
    </xf>
    <xf numFmtId="4" fontId="13" fillId="0" borderId="42" xfId="201" applyNumberFormat="1" applyFont="1" applyBorder="1" applyAlignment="1">
      <alignment horizontal="right" vertical="center" wrapText="1"/>
    </xf>
    <xf numFmtId="0" fontId="13" fillId="0" borderId="40" xfId="201" applyFont="1" applyBorder="1" applyAlignment="1">
      <alignment vertical="center" wrapText="1"/>
    </xf>
    <xf numFmtId="0" fontId="13" fillId="49" borderId="40" xfId="201" applyFont="1" applyFill="1" applyBorder="1" applyAlignment="1">
      <alignment horizontal="center" vertical="center" wrapText="1"/>
    </xf>
    <xf numFmtId="0" fontId="13" fillId="49" borderId="41" xfId="201" applyFont="1" applyFill="1" applyBorder="1" applyAlignment="1">
      <alignment vertical="center" wrapText="1"/>
    </xf>
    <xf numFmtId="4" fontId="13" fillId="49" borderId="29" xfId="201" applyNumberFormat="1" applyFont="1" applyFill="1" applyBorder="1" applyAlignment="1">
      <alignment horizontal="right" vertical="center" wrapText="1"/>
    </xf>
    <xf numFmtId="4" fontId="13" fillId="49" borderId="41" xfId="201" applyNumberFormat="1" applyFont="1" applyFill="1" applyBorder="1" applyAlignment="1">
      <alignment horizontal="right" vertical="center" wrapText="1"/>
    </xf>
    <xf numFmtId="4" fontId="13" fillId="49" borderId="42" xfId="201" applyNumberFormat="1" applyFont="1" applyFill="1" applyBorder="1" applyAlignment="1">
      <alignment horizontal="right" vertical="center" wrapText="1"/>
    </xf>
    <xf numFmtId="0" fontId="13" fillId="0" borderId="43" xfId="201" applyFont="1" applyBorder="1" applyAlignment="1">
      <alignment horizontal="center" vertical="center" wrapText="1"/>
    </xf>
    <xf numFmtId="0" fontId="13" fillId="0" borderId="44" xfId="201" applyFont="1" applyBorder="1" applyAlignment="1">
      <alignment vertical="center" wrapText="1"/>
    </xf>
    <xf numFmtId="4" fontId="13" fillId="0" borderId="45" xfId="201" applyNumberFormat="1" applyFont="1" applyBorder="1" applyAlignment="1">
      <alignment horizontal="right" vertical="center" wrapText="1"/>
    </xf>
    <xf numFmtId="4" fontId="13" fillId="0" borderId="44" xfId="201" applyNumberFormat="1" applyFont="1" applyBorder="1" applyAlignment="1">
      <alignment horizontal="right" vertical="center" wrapText="1"/>
    </xf>
    <xf numFmtId="4" fontId="13" fillId="0" borderId="46" xfId="201" applyNumberFormat="1" applyFont="1" applyBorder="1" applyAlignment="1">
      <alignment horizontal="right" vertical="center" wrapText="1"/>
    </xf>
    <xf numFmtId="0" fontId="98" fillId="0" borderId="0" xfId="201" applyFont="1" applyAlignment="1">
      <alignment horizontal="center"/>
    </xf>
    <xf numFmtId="0" fontId="100" fillId="0" borderId="56" xfId="201" applyFont="1" applyBorder="1" applyAlignment="1">
      <alignment horizontal="center" vertical="center" wrapText="1"/>
    </xf>
    <xf numFmtId="0" fontId="100" fillId="0" borderId="57" xfId="201" applyFont="1" applyBorder="1" applyAlignment="1">
      <alignment horizontal="center" vertical="center" wrapText="1"/>
    </xf>
    <xf numFmtId="0" fontId="100" fillId="0" borderId="38" xfId="201" applyFont="1" applyBorder="1" applyAlignment="1">
      <alignment horizontal="center" vertical="center" wrapText="1"/>
    </xf>
    <xf numFmtId="0" fontId="100" fillId="0" borderId="59" xfId="201" applyFont="1" applyBorder="1" applyAlignment="1">
      <alignment horizontal="left" vertical="center" wrapText="1"/>
    </xf>
    <xf numFmtId="4" fontId="100" fillId="0" borderId="60" xfId="201" applyNumberFormat="1" applyFont="1" applyBorder="1" applyAlignment="1">
      <alignment vertical="center" wrapText="1"/>
    </xf>
    <xf numFmtId="4" fontId="100" fillId="49" borderId="5" xfId="201" applyNumberFormat="1" applyFont="1" applyFill="1" applyBorder="1" applyAlignment="1">
      <alignment vertical="center" wrapText="1"/>
    </xf>
    <xf numFmtId="4" fontId="95" fillId="0" borderId="39" xfId="201" applyNumberFormat="1" applyFont="1" applyBorder="1" applyAlignment="1">
      <alignment vertical="center" wrapText="1"/>
    </xf>
    <xf numFmtId="0" fontId="100" fillId="0" borderId="43" xfId="201" applyFont="1" applyBorder="1" applyAlignment="1">
      <alignment horizontal="center" vertical="center" wrapText="1"/>
    </xf>
    <xf numFmtId="0" fontId="100" fillId="0" borderId="44" xfId="201" applyFont="1" applyBorder="1" applyAlignment="1">
      <alignment horizontal="left" vertical="center" wrapText="1"/>
    </xf>
    <xf numFmtId="4" fontId="100" fillId="0" borderId="61" xfId="201" applyNumberFormat="1" applyFont="1" applyBorder="1" applyAlignment="1">
      <alignment vertical="center" wrapText="1"/>
    </xf>
    <xf numFmtId="4" fontId="100" fillId="49" borderId="62" xfId="201" applyNumberFormat="1" applyFont="1" applyFill="1" applyBorder="1" applyAlignment="1">
      <alignment vertical="center" wrapText="1"/>
    </xf>
    <xf numFmtId="4" fontId="95" fillId="0" borderId="63" xfId="201" applyNumberFormat="1" applyFont="1" applyBorder="1" applyAlignment="1">
      <alignment vertical="center" wrapText="1"/>
    </xf>
    <xf numFmtId="4" fontId="6" fillId="0" borderId="0" xfId="201" applyNumberFormat="1"/>
    <xf numFmtId="0" fontId="101" fillId="0" borderId="0" xfId="201" applyFont="1"/>
    <xf numFmtId="2" fontId="27" fillId="0" borderId="0" xfId="193" applyNumberFormat="1" applyFont="1" applyAlignment="1">
      <alignment horizontal="center"/>
    </xf>
    <xf numFmtId="2" fontId="27" fillId="0" borderId="2" xfId="193" applyNumberFormat="1" applyFont="1" applyBorder="1" applyAlignment="1">
      <alignment horizontal="center" vertical="center" wrapText="1"/>
    </xf>
    <xf numFmtId="2" fontId="27" fillId="0" borderId="0" xfId="193" applyNumberFormat="1" applyFont="1" applyBorder="1" applyAlignment="1">
      <alignment horizontal="center"/>
    </xf>
    <xf numFmtId="1" fontId="27" fillId="0" borderId="2" xfId="193" applyNumberFormat="1" applyFont="1" applyBorder="1" applyAlignment="1">
      <alignment horizontal="center" vertical="center" wrapText="1"/>
    </xf>
    <xf numFmtId="2" fontId="106" fillId="0" borderId="2" xfId="193" applyNumberFormat="1" applyFont="1" applyBorder="1" applyAlignment="1">
      <alignment horizontal="center" vertical="center" wrapText="1"/>
    </xf>
    <xf numFmtId="2" fontId="106" fillId="0" borderId="0" xfId="193" applyNumberFormat="1" applyFont="1" applyAlignment="1">
      <alignment horizontal="center"/>
    </xf>
    <xf numFmtId="1" fontId="105" fillId="49" borderId="2" xfId="193" applyNumberFormat="1" applyFont="1" applyFill="1" applyBorder="1" applyAlignment="1">
      <alignment horizontal="center" vertical="center" wrapText="1"/>
    </xf>
    <xf numFmtId="2" fontId="27" fillId="0" borderId="2" xfId="193" applyNumberFormat="1" applyFont="1" applyFill="1" applyBorder="1" applyAlignment="1">
      <alignment horizontal="center" vertical="center" wrapText="1"/>
    </xf>
    <xf numFmtId="2" fontId="27" fillId="0" borderId="0" xfId="193" applyNumberFormat="1" applyFont="1" applyFill="1" applyAlignment="1">
      <alignment horizontal="center"/>
    </xf>
    <xf numFmtId="2" fontId="109" fillId="0" borderId="2" xfId="193" applyNumberFormat="1" applyFont="1" applyBorder="1" applyAlignment="1">
      <alignment horizontal="center" vertical="center" wrapText="1"/>
    </xf>
    <xf numFmtId="183" fontId="8" fillId="49" borderId="2" xfId="193" applyNumberFormat="1" applyFont="1" applyFill="1" applyBorder="1" applyAlignment="1">
      <alignment horizontal="center" vertical="center" wrapText="1"/>
    </xf>
    <xf numFmtId="2" fontId="27" fillId="49" borderId="2" xfId="193" applyNumberFormat="1" applyFont="1" applyFill="1" applyBorder="1" applyAlignment="1">
      <alignment horizontal="center" vertical="center" wrapText="1"/>
    </xf>
    <xf numFmtId="2" fontId="111" fillId="0" borderId="2" xfId="398" applyNumberFormat="1" applyFont="1" applyBorder="1" applyAlignment="1" applyProtection="1">
      <alignment horizontal="center" vertical="center" wrapText="1"/>
    </xf>
    <xf numFmtId="2" fontId="8" fillId="49" borderId="2" xfId="193" applyNumberFormat="1" applyFont="1" applyFill="1" applyBorder="1" applyAlignment="1">
      <alignment horizontal="center" vertical="center" wrapText="1"/>
    </xf>
    <xf numFmtId="1" fontId="27" fillId="0" borderId="2" xfId="193" applyNumberFormat="1" applyFont="1" applyBorder="1" applyAlignment="1">
      <alignment horizontal="center"/>
    </xf>
    <xf numFmtId="2" fontId="27" fillId="0" borderId="2" xfId="193" applyNumberFormat="1" applyFont="1" applyBorder="1" applyAlignment="1">
      <alignment horizontal="center" wrapText="1"/>
    </xf>
    <xf numFmtId="2" fontId="86" fillId="0" borderId="0" xfId="193" applyNumberFormat="1" applyFont="1" applyAlignment="1">
      <alignment horizontal="center"/>
    </xf>
    <xf numFmtId="2" fontId="27" fillId="0" borderId="0" xfId="193" applyNumberFormat="1" applyFont="1" applyAlignment="1">
      <alignment horizontal="right" vertical="center"/>
    </xf>
    <xf numFmtId="2" fontId="27" fillId="0" borderId="0" xfId="193" applyNumberFormat="1" applyFont="1" applyAlignment="1">
      <alignment horizontal="left" vertical="center"/>
    </xf>
    <xf numFmtId="0" fontId="8" fillId="0" borderId="0" xfId="193" applyFont="1" applyAlignment="1">
      <alignment horizontal="left" vertical="center"/>
    </xf>
    <xf numFmtId="2" fontId="8" fillId="0" borderId="0" xfId="193" applyNumberFormat="1" applyFont="1" applyAlignment="1">
      <alignment horizontal="center"/>
    </xf>
    <xf numFmtId="0" fontId="8" fillId="0" borderId="0" xfId="193" applyFont="1" applyAlignment="1">
      <alignment vertical="center"/>
    </xf>
    <xf numFmtId="2" fontId="8" fillId="0" borderId="0" xfId="193" applyNumberFormat="1" applyFont="1" applyAlignment="1"/>
    <xf numFmtId="0" fontId="8" fillId="0" borderId="0" xfId="193" applyFont="1"/>
    <xf numFmtId="2" fontId="4" fillId="0" borderId="0" xfId="193" applyNumberFormat="1" applyFont="1" applyAlignment="1">
      <alignment horizontal="center"/>
    </xf>
    <xf numFmtId="2" fontId="27" fillId="0" borderId="2" xfId="193" applyNumberFormat="1" applyFont="1" applyBorder="1" applyAlignment="1">
      <alignment horizontal="center"/>
    </xf>
    <xf numFmtId="2" fontId="4" fillId="50" borderId="0" xfId="193" applyNumberFormat="1" applyFont="1" applyFill="1" applyBorder="1" applyAlignment="1">
      <alignment horizontal="center"/>
    </xf>
    <xf numFmtId="0" fontId="15" fillId="49" borderId="0" xfId="209" applyFill="1" applyAlignment="1">
      <alignment horizontal="center"/>
    </xf>
    <xf numFmtId="0" fontId="102" fillId="49" borderId="0" xfId="209" applyFont="1" applyFill="1"/>
    <xf numFmtId="0" fontId="15" fillId="49" borderId="0" xfId="209" applyFill="1"/>
    <xf numFmtId="4" fontId="15" fillId="49" borderId="0" xfId="209" applyNumberFormat="1" applyFill="1"/>
    <xf numFmtId="0" fontId="112" fillId="49" borderId="0" xfId="209" applyFont="1" applyFill="1"/>
    <xf numFmtId="0" fontId="10" fillId="49" borderId="2" xfId="209" applyFont="1" applyFill="1" applyBorder="1" applyAlignment="1">
      <alignment horizontal="center" vertical="center" wrapText="1"/>
    </xf>
    <xf numFmtId="0" fontId="10" fillId="49" borderId="69" xfId="209" applyFont="1" applyFill="1" applyBorder="1" applyAlignment="1">
      <alignment horizontal="center" vertical="center" wrapText="1"/>
    </xf>
    <xf numFmtId="0" fontId="10" fillId="49" borderId="62" xfId="209" applyFont="1" applyFill="1" applyBorder="1" applyAlignment="1">
      <alignment horizontal="center" vertical="center" wrapText="1"/>
    </xf>
    <xf numFmtId="0" fontId="10" fillId="49" borderId="68" xfId="209" applyFont="1" applyFill="1" applyBorder="1" applyAlignment="1">
      <alignment horizontal="center" vertical="center" wrapText="1"/>
    </xf>
    <xf numFmtId="0" fontId="93" fillId="49" borderId="19" xfId="209" applyFont="1" applyFill="1" applyBorder="1" applyAlignment="1">
      <alignment horizontal="center" vertical="center" wrapText="1"/>
    </xf>
    <xf numFmtId="0" fontId="93" fillId="49" borderId="70" xfId="209" applyFont="1" applyFill="1" applyBorder="1" applyAlignment="1">
      <alignment horizontal="center" vertical="center" wrapText="1"/>
    </xf>
    <xf numFmtId="0" fontId="93" fillId="49" borderId="2" xfId="209" applyFont="1" applyFill="1" applyBorder="1" applyAlignment="1">
      <alignment horizontal="center" vertical="center" wrapText="1"/>
    </xf>
    <xf numFmtId="0" fontId="93" fillId="49" borderId="71" xfId="209" applyFont="1" applyFill="1" applyBorder="1" applyAlignment="1">
      <alignment horizontal="center" vertical="center" wrapText="1"/>
    </xf>
    <xf numFmtId="0" fontId="93" fillId="49" borderId="72" xfId="209" applyFont="1" applyFill="1" applyBorder="1" applyAlignment="1">
      <alignment horizontal="center" vertical="center" wrapText="1"/>
    </xf>
    <xf numFmtId="0" fontId="10" fillId="49" borderId="73" xfId="209" applyFont="1" applyFill="1" applyBorder="1" applyAlignment="1">
      <alignment horizontal="center" vertical="center" wrapText="1"/>
    </xf>
    <xf numFmtId="0" fontId="10" fillId="49" borderId="74" xfId="209" applyFont="1" applyFill="1" applyBorder="1" applyAlignment="1">
      <alignment vertical="center" wrapText="1"/>
    </xf>
    <xf numFmtId="0" fontId="93" fillId="49" borderId="2" xfId="209" applyFont="1" applyFill="1" applyBorder="1" applyAlignment="1">
      <alignment vertical="center" wrapText="1"/>
    </xf>
    <xf numFmtId="4" fontId="93" fillId="49" borderId="66" xfId="209" applyNumberFormat="1" applyFont="1" applyFill="1" applyBorder="1" applyAlignment="1">
      <alignment vertical="center" wrapText="1"/>
    </xf>
    <xf numFmtId="4" fontId="93" fillId="49" borderId="24" xfId="209" applyNumberFormat="1" applyFont="1" applyFill="1" applyBorder="1" applyAlignment="1">
      <alignment vertical="center" wrapText="1"/>
    </xf>
    <xf numFmtId="0" fontId="93" fillId="49" borderId="41" xfId="209" applyFont="1" applyFill="1" applyBorder="1" applyAlignment="1">
      <alignment horizontal="center" vertical="center" wrapText="1"/>
    </xf>
    <xf numFmtId="0" fontId="114" fillId="49" borderId="29" xfId="209" applyFont="1" applyFill="1" applyBorder="1" applyAlignment="1">
      <alignment vertical="center" wrapText="1"/>
    </xf>
    <xf numFmtId="4" fontId="93" fillId="49" borderId="2" xfId="209" applyNumberFormat="1" applyFont="1" applyFill="1" applyBorder="1" applyAlignment="1">
      <alignment vertical="center" wrapText="1"/>
    </xf>
    <xf numFmtId="4" fontId="10" fillId="49" borderId="2" xfId="209" applyNumberFormat="1" applyFont="1" applyFill="1" applyBorder="1" applyAlignment="1">
      <alignment vertical="center" wrapText="1"/>
    </xf>
    <xf numFmtId="4" fontId="93" fillId="49" borderId="25" xfId="209" applyNumberFormat="1" applyFont="1" applyFill="1" applyBorder="1" applyAlignment="1">
      <alignment vertical="center" wrapText="1"/>
    </xf>
    <xf numFmtId="4" fontId="10" fillId="49" borderId="1" xfId="209" applyNumberFormat="1" applyFont="1" applyFill="1" applyBorder="1" applyAlignment="1">
      <alignment vertical="center" wrapText="1"/>
    </xf>
    <xf numFmtId="0" fontId="93" fillId="49" borderId="29" xfId="209" applyFont="1" applyFill="1" applyBorder="1" applyAlignment="1">
      <alignment vertical="center" wrapText="1"/>
    </xf>
    <xf numFmtId="4" fontId="93" fillId="49" borderId="1" xfId="209" applyNumberFormat="1" applyFont="1" applyFill="1" applyBorder="1" applyAlignment="1">
      <alignment vertical="center" wrapText="1"/>
    </xf>
    <xf numFmtId="0" fontId="93" fillId="49" borderId="40" xfId="209" applyFont="1" applyFill="1" applyBorder="1" applyAlignment="1">
      <alignment horizontal="center" vertical="center" wrapText="1"/>
    </xf>
    <xf numFmtId="0" fontId="93" fillId="49" borderId="1" xfId="209" applyFont="1" applyFill="1" applyBorder="1" applyAlignment="1">
      <alignment vertical="center" wrapText="1"/>
    </xf>
    <xf numFmtId="0" fontId="115" fillId="49" borderId="0" xfId="209" applyFont="1" applyFill="1" applyBorder="1"/>
    <xf numFmtId="0" fontId="86" fillId="49" borderId="29" xfId="209" applyFont="1" applyFill="1" applyBorder="1" applyAlignment="1">
      <alignment wrapText="1"/>
    </xf>
    <xf numFmtId="3" fontId="93" fillId="49" borderId="2" xfId="209" applyNumberFormat="1" applyFont="1" applyFill="1" applyBorder="1" applyAlignment="1">
      <alignment vertical="center" wrapText="1"/>
    </xf>
    <xf numFmtId="4" fontId="116" fillId="49" borderId="2" xfId="209" applyNumberFormat="1" applyFont="1" applyFill="1" applyBorder="1" applyAlignment="1">
      <alignment vertical="center" wrapText="1"/>
    </xf>
    <xf numFmtId="0" fontId="75" fillId="49" borderId="40" xfId="209" applyFont="1" applyFill="1" applyBorder="1" applyAlignment="1">
      <alignment wrapText="1"/>
    </xf>
    <xf numFmtId="0" fontId="10" fillId="49" borderId="41" xfId="209" applyFont="1" applyFill="1" applyBorder="1" applyAlignment="1">
      <alignment horizontal="center" vertical="center" wrapText="1"/>
    </xf>
    <xf numFmtId="0" fontId="10" fillId="49" borderId="29" xfId="209" applyFont="1" applyFill="1" applyBorder="1" applyAlignment="1">
      <alignment vertical="center" wrapText="1"/>
    </xf>
    <xf numFmtId="4" fontId="10" fillId="49" borderId="2" xfId="209" applyNumberFormat="1" applyFont="1" applyFill="1" applyBorder="1" applyAlignment="1">
      <alignment horizontal="center" vertical="center" wrapText="1"/>
    </xf>
    <xf numFmtId="4" fontId="10" fillId="49" borderId="1" xfId="209" applyNumberFormat="1" applyFont="1" applyFill="1" applyBorder="1" applyAlignment="1">
      <alignment horizontal="center" vertical="center" wrapText="1"/>
    </xf>
    <xf numFmtId="4" fontId="93" fillId="49" borderId="2" xfId="209" applyNumberFormat="1" applyFont="1" applyFill="1" applyBorder="1" applyAlignment="1">
      <alignment horizontal="center" vertical="center" wrapText="1"/>
    </xf>
    <xf numFmtId="4" fontId="93" fillId="49" borderId="25" xfId="209" applyNumberFormat="1" applyFont="1" applyFill="1" applyBorder="1" applyAlignment="1">
      <alignment horizontal="center" vertical="center" wrapText="1"/>
    </xf>
    <xf numFmtId="2" fontId="93" fillId="49" borderId="2" xfId="209" applyNumberFormat="1" applyFont="1" applyFill="1" applyBorder="1" applyAlignment="1">
      <alignment vertical="center" wrapText="1"/>
    </xf>
    <xf numFmtId="181" fontId="93" fillId="49" borderId="2" xfId="209" applyNumberFormat="1" applyFont="1" applyFill="1" applyBorder="1" applyAlignment="1">
      <alignment vertical="center" wrapText="1"/>
    </xf>
    <xf numFmtId="0" fontId="93" fillId="49" borderId="42" xfId="209" applyFont="1" applyFill="1" applyBorder="1" applyAlignment="1">
      <alignment vertical="center" wrapText="1"/>
    </xf>
    <xf numFmtId="0" fontId="10" fillId="49" borderId="42" xfId="209" applyFont="1" applyFill="1" applyBorder="1" applyAlignment="1">
      <alignment vertical="center" wrapText="1"/>
    </xf>
    <xf numFmtId="0" fontId="117" fillId="49" borderId="0" xfId="209" applyFont="1" applyFill="1" applyBorder="1" applyAlignment="1">
      <alignment horizontal="center" vertical="center" wrapText="1"/>
    </xf>
    <xf numFmtId="0" fontId="117" fillId="49" borderId="0" xfId="209" applyFont="1" applyFill="1" applyBorder="1" applyAlignment="1">
      <alignment vertical="center" wrapText="1"/>
    </xf>
    <xf numFmtId="4" fontId="88" fillId="49" borderId="0" xfId="209" applyNumberFormat="1" applyFont="1" applyFill="1" applyBorder="1" applyAlignment="1">
      <alignment vertical="center" wrapText="1"/>
    </xf>
    <xf numFmtId="3" fontId="88" fillId="49" borderId="0" xfId="209" applyNumberFormat="1" applyFont="1" applyFill="1" applyBorder="1" applyAlignment="1">
      <alignment vertical="center" wrapText="1"/>
    </xf>
    <xf numFmtId="0" fontId="118" fillId="49" borderId="0" xfId="209" applyFont="1" applyFill="1" applyBorder="1" applyAlignment="1">
      <alignment vertical="center" wrapText="1"/>
    </xf>
    <xf numFmtId="4" fontId="118" fillId="49" borderId="0" xfId="209" applyNumberFormat="1" applyFont="1" applyFill="1" applyBorder="1" applyAlignment="1">
      <alignment horizontal="center" vertical="center" wrapText="1"/>
    </xf>
    <xf numFmtId="0" fontId="119" fillId="49" borderId="0" xfId="209" applyFont="1" applyFill="1"/>
    <xf numFmtId="0" fontId="118" fillId="49" borderId="0" xfId="209" applyFont="1" applyFill="1" applyBorder="1" applyAlignment="1">
      <alignment horizontal="center" vertical="center" wrapText="1"/>
    </xf>
    <xf numFmtId="0" fontId="120" fillId="49" borderId="0" xfId="209" applyFont="1" applyFill="1" applyBorder="1" applyAlignment="1">
      <alignment horizontal="left" wrapText="1"/>
    </xf>
    <xf numFmtId="0" fontId="120" fillId="49" borderId="0" xfId="209" applyFont="1" applyFill="1" applyBorder="1" applyAlignment="1">
      <alignment wrapText="1"/>
    </xf>
    <xf numFmtId="0" fontId="118" fillId="49" borderId="0" xfId="209" applyFont="1" applyFill="1" applyBorder="1"/>
    <xf numFmtId="0" fontId="119" fillId="49" borderId="0" xfId="209" applyFont="1" applyFill="1" applyBorder="1"/>
    <xf numFmtId="0" fontId="15" fillId="49" borderId="2" xfId="209" applyFill="1" applyBorder="1" applyAlignment="1">
      <alignment horizontal="center"/>
    </xf>
    <xf numFmtId="0" fontId="15" fillId="49" borderId="2" xfId="209" applyFill="1" applyBorder="1"/>
    <xf numFmtId="4" fontId="115" fillId="49" borderId="0" xfId="209" applyNumberFormat="1" applyFont="1" applyFill="1" applyBorder="1"/>
    <xf numFmtId="0" fontId="103" fillId="49" borderId="0" xfId="209" applyFont="1" applyFill="1" applyBorder="1"/>
    <xf numFmtId="183" fontId="115" fillId="49" borderId="0" xfId="209" applyNumberFormat="1" applyFont="1" applyFill="1" applyBorder="1"/>
    <xf numFmtId="4" fontId="10" fillId="49" borderId="65" xfId="209" applyNumberFormat="1" applyFont="1" applyFill="1" applyBorder="1" applyAlignment="1">
      <alignment vertical="center" wrapText="1"/>
    </xf>
    <xf numFmtId="179" fontId="93" fillId="49" borderId="2" xfId="209" applyNumberFormat="1" applyFont="1" applyFill="1" applyBorder="1" applyAlignment="1">
      <alignment vertical="center" wrapText="1"/>
    </xf>
    <xf numFmtId="2" fontId="27" fillId="49" borderId="2" xfId="193" applyNumberFormat="1" applyFont="1" applyFill="1" applyBorder="1" applyAlignment="1">
      <alignment horizontal="center"/>
    </xf>
    <xf numFmtId="2" fontId="27" fillId="49" borderId="2" xfId="193" applyNumberFormat="1" applyFont="1" applyFill="1" applyBorder="1" applyAlignment="1">
      <alignment horizontal="center" wrapText="1"/>
    </xf>
    <xf numFmtId="1" fontId="27" fillId="49" borderId="2" xfId="193" applyNumberFormat="1" applyFont="1" applyFill="1" applyBorder="1" applyAlignment="1">
      <alignment horizontal="center" vertical="center" wrapText="1"/>
    </xf>
    <xf numFmtId="2" fontId="104" fillId="49" borderId="2" xfId="193" applyNumberFormat="1" applyFont="1" applyFill="1" applyBorder="1" applyAlignment="1">
      <alignment horizontal="center" vertical="center" wrapText="1"/>
    </xf>
    <xf numFmtId="2" fontId="77" fillId="49" borderId="2" xfId="193" applyNumberFormat="1" applyFont="1" applyFill="1" applyBorder="1" applyAlignment="1">
      <alignment horizontal="center" vertical="center" wrapText="1"/>
    </xf>
    <xf numFmtId="2" fontId="105" fillId="49" borderId="2" xfId="193" applyNumberFormat="1" applyFont="1" applyFill="1" applyBorder="1" applyAlignment="1">
      <alignment horizontal="center" vertical="center" wrapText="1"/>
    </xf>
    <xf numFmtId="2" fontId="9" fillId="49" borderId="2" xfId="193" applyNumberFormat="1" applyFont="1" applyFill="1" applyBorder="1" applyAlignment="1">
      <alignment horizontal="center" vertical="center" wrapText="1"/>
    </xf>
    <xf numFmtId="1" fontId="8" fillId="49" borderId="2" xfId="193" applyNumberFormat="1" applyFont="1" applyFill="1" applyBorder="1" applyAlignment="1">
      <alignment horizontal="center" vertical="center" wrapText="1"/>
    </xf>
    <xf numFmtId="4" fontId="8" fillId="49" borderId="2" xfId="193" applyNumberFormat="1" applyFont="1" applyFill="1" applyBorder="1" applyAlignment="1">
      <alignment horizontal="center" vertical="center" wrapText="1"/>
    </xf>
    <xf numFmtId="1" fontId="77" fillId="49" borderId="2" xfId="193" applyNumberFormat="1" applyFont="1" applyFill="1" applyBorder="1" applyAlignment="1">
      <alignment horizontal="center" vertical="center" wrapText="1"/>
    </xf>
    <xf numFmtId="4" fontId="107" fillId="49" borderId="2" xfId="193" applyNumberFormat="1" applyFont="1" applyFill="1" applyBorder="1" applyAlignment="1">
      <alignment horizontal="center" vertical="center" wrapText="1"/>
    </xf>
    <xf numFmtId="181" fontId="8" fillId="49" borderId="2" xfId="193" applyNumberFormat="1" applyFont="1" applyFill="1" applyBorder="1" applyAlignment="1">
      <alignment horizontal="center" vertical="center" wrapText="1"/>
    </xf>
    <xf numFmtId="4" fontId="77" fillId="49" borderId="2" xfId="193" applyNumberFormat="1" applyFont="1" applyFill="1" applyBorder="1" applyAlignment="1">
      <alignment horizontal="center" vertical="center" wrapText="1"/>
    </xf>
    <xf numFmtId="182" fontId="77" fillId="49" borderId="2" xfId="193" applyNumberFormat="1" applyFont="1" applyFill="1" applyBorder="1" applyAlignment="1">
      <alignment horizontal="center" vertical="center" wrapText="1"/>
    </xf>
    <xf numFmtId="183" fontId="8" fillId="49" borderId="2" xfId="193" applyNumberFormat="1" applyFont="1" applyFill="1" applyBorder="1" applyAlignment="1">
      <alignment horizontal="center" vertical="center"/>
    </xf>
    <xf numFmtId="183" fontId="4" fillId="49" borderId="2" xfId="193" applyNumberFormat="1" applyFont="1" applyFill="1" applyBorder="1" applyAlignment="1">
      <alignment horizontal="center" vertical="center" wrapText="1"/>
    </xf>
    <xf numFmtId="2" fontId="81" fillId="49" borderId="2" xfId="193" applyNumberFormat="1" applyFont="1" applyFill="1" applyBorder="1" applyAlignment="1">
      <alignment horizontal="center" vertical="center" wrapText="1"/>
    </xf>
    <xf numFmtId="2" fontId="8" fillId="49" borderId="2" xfId="193" applyNumberFormat="1" applyFont="1" applyFill="1" applyBorder="1" applyAlignment="1">
      <alignment horizontal="center"/>
    </xf>
    <xf numFmtId="2" fontId="4" fillId="49" borderId="2" xfId="193" applyNumberFormat="1" applyFont="1" applyFill="1" applyBorder="1" applyAlignment="1">
      <alignment horizontal="center"/>
    </xf>
    <xf numFmtId="2" fontId="86" fillId="49" borderId="2" xfId="193" applyNumberFormat="1" applyFont="1" applyFill="1" applyBorder="1" applyAlignment="1">
      <alignment horizontal="center"/>
    </xf>
    <xf numFmtId="2" fontId="81" fillId="49" borderId="2" xfId="193" applyNumberFormat="1" applyFont="1" applyFill="1" applyBorder="1" applyAlignment="1">
      <alignment horizontal="center"/>
    </xf>
    <xf numFmtId="183" fontId="81" fillId="49" borderId="2" xfId="193" applyNumberFormat="1" applyFont="1" applyFill="1" applyBorder="1" applyAlignment="1">
      <alignment horizontal="center"/>
    </xf>
    <xf numFmtId="2" fontId="8" fillId="0" borderId="0" xfId="193" applyNumberFormat="1" applyFont="1" applyBorder="1" applyAlignment="1">
      <alignment horizontal="center"/>
    </xf>
    <xf numFmtId="0" fontId="121" fillId="0" borderId="0" xfId="0" applyFont="1" applyAlignment="1">
      <alignment horizontal="center" vertical="center"/>
    </xf>
    <xf numFmtId="0" fontId="117" fillId="0" borderId="0" xfId="0" applyFont="1" applyAlignment="1">
      <alignment vertical="center"/>
    </xf>
    <xf numFmtId="0" fontId="117" fillId="0" borderId="0" xfId="0" applyFont="1"/>
    <xf numFmtId="4" fontId="86" fillId="49" borderId="2" xfId="0" applyNumberFormat="1" applyFont="1" applyFill="1" applyBorder="1" applyAlignment="1">
      <alignment horizontal="center" vertical="center" wrapText="1"/>
    </xf>
    <xf numFmtId="4" fontId="86" fillId="49" borderId="2" xfId="0" applyNumberFormat="1" applyFont="1" applyFill="1" applyBorder="1" applyAlignment="1">
      <alignment horizontal="center" vertical="center"/>
    </xf>
    <xf numFmtId="3" fontId="86" fillId="49" borderId="2" xfId="0" applyNumberFormat="1" applyFont="1" applyFill="1" applyBorder="1" applyAlignment="1">
      <alignment horizontal="center" vertical="center" wrapText="1"/>
    </xf>
    <xf numFmtId="180" fontId="1" fillId="0" borderId="2" xfId="0" applyNumberFormat="1" applyFont="1" applyBorder="1" applyAlignment="1">
      <alignment vertical="top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left" vertical="top"/>
    </xf>
    <xf numFmtId="0" fontId="4" fillId="0" borderId="0" xfId="0" applyFont="1" applyBorder="1" applyAlignment="1">
      <alignment horizontal="center" vertical="center"/>
    </xf>
    <xf numFmtId="4" fontId="4" fillId="0" borderId="0" xfId="0" applyNumberFormat="1" applyFont="1" applyBorder="1" applyAlignment="1">
      <alignment horizontal="center" vertical="center"/>
    </xf>
    <xf numFmtId="0" fontId="3" fillId="49" borderId="0" xfId="0" applyFont="1" applyFill="1"/>
    <xf numFmtId="0" fontId="1" fillId="49" borderId="0" xfId="0" applyFont="1" applyFill="1" applyBorder="1" applyAlignment="1">
      <alignment horizontal="center" vertical="center" wrapText="1"/>
    </xf>
    <xf numFmtId="4" fontId="1" fillId="49" borderId="0" xfId="0" applyNumberFormat="1" applyFont="1" applyFill="1" applyBorder="1" applyAlignment="1">
      <alignment horizontal="left" vertical="top"/>
    </xf>
    <xf numFmtId="0" fontId="1" fillId="49" borderId="0" xfId="0" applyFont="1" applyFill="1" applyBorder="1" applyAlignment="1">
      <alignment horizontal="left" vertical="top"/>
    </xf>
    <xf numFmtId="0" fontId="14" fillId="49" borderId="2" xfId="0" applyFont="1" applyFill="1" applyBorder="1" applyAlignment="1">
      <alignment horizontal="center" vertical="center" wrapText="1"/>
    </xf>
    <xf numFmtId="4" fontId="1" fillId="49" borderId="2" xfId="0" applyNumberFormat="1" applyFont="1" applyFill="1" applyBorder="1" applyAlignment="1">
      <alignment horizontal="center" vertical="center"/>
    </xf>
    <xf numFmtId="4" fontId="1" fillId="49" borderId="2" xfId="0" applyNumberFormat="1" applyFont="1" applyFill="1" applyBorder="1" applyAlignment="1">
      <alignment vertical="center"/>
    </xf>
    <xf numFmtId="49" fontId="2" fillId="0" borderId="0" xfId="0" applyNumberFormat="1" applyFont="1" applyFill="1" applyAlignment="1">
      <alignment vertical="center"/>
    </xf>
    <xf numFmtId="49" fontId="2" fillId="0" borderId="0" xfId="0" applyNumberFormat="1" applyFont="1" applyFill="1" applyAlignment="1">
      <alignment horizontal="center" vertical="center"/>
    </xf>
    <xf numFmtId="0" fontId="2" fillId="0" borderId="0" xfId="0" applyNumberFormat="1" applyFont="1" applyFill="1" applyAlignment="1">
      <alignment horizontal="center" vertical="center"/>
    </xf>
    <xf numFmtId="4" fontId="2" fillId="0" borderId="0" xfId="0" applyNumberFormat="1" applyFont="1" applyFill="1" applyAlignment="1">
      <alignment horizontal="center" vertical="center"/>
    </xf>
    <xf numFmtId="0" fontId="2" fillId="0" borderId="0" xfId="0" applyNumberFormat="1" applyFont="1" applyFill="1" applyAlignment="1">
      <alignment vertical="center"/>
    </xf>
    <xf numFmtId="4" fontId="2" fillId="0" borderId="0" xfId="0" applyNumberFormat="1" applyFont="1" applyFill="1" applyAlignment="1">
      <alignment vertical="center"/>
    </xf>
    <xf numFmtId="0" fontId="2" fillId="0" borderId="0" xfId="0" applyNumberFormat="1" applyFont="1" applyFill="1" applyAlignment="1">
      <alignment horizontal="right" vertical="center"/>
    </xf>
    <xf numFmtId="49" fontId="2" fillId="0" borderId="0" xfId="0" applyNumberFormat="1" applyFont="1" applyFill="1" applyAlignment="1">
      <alignment horizontal="justify" vertical="center"/>
    </xf>
    <xf numFmtId="184" fontId="2" fillId="0" borderId="0" xfId="0" applyNumberFormat="1" applyFont="1" applyFill="1" applyAlignment="1">
      <alignment horizontal="right" vertical="center"/>
    </xf>
    <xf numFmtId="4" fontId="2" fillId="0" borderId="0" xfId="0" applyNumberFormat="1" applyFont="1" applyFill="1" applyAlignment="1">
      <alignment horizontal="right" vertical="center"/>
    </xf>
    <xf numFmtId="0" fontId="2" fillId="0" borderId="0" xfId="0" applyFont="1" applyFill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 wrapText="1"/>
    </xf>
    <xf numFmtId="4" fontId="7" fillId="0" borderId="2" xfId="0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Alignment="1">
      <alignment vertical="center"/>
    </xf>
    <xf numFmtId="0" fontId="109" fillId="0" borderId="2" xfId="0" applyNumberFormat="1" applyFont="1" applyFill="1" applyBorder="1" applyAlignment="1">
      <alignment horizontal="center" vertical="center" wrapText="1"/>
    </xf>
    <xf numFmtId="0" fontId="109" fillId="0" borderId="2" xfId="0" applyNumberFormat="1" applyFont="1" applyFill="1" applyBorder="1" applyAlignment="1">
      <alignment horizontal="center" vertical="center"/>
    </xf>
    <xf numFmtId="0" fontId="109" fillId="0" borderId="0" xfId="0" applyNumberFormat="1" applyFont="1" applyFill="1" applyAlignment="1">
      <alignment vertical="center"/>
    </xf>
    <xf numFmtId="0" fontId="124" fillId="0" borderId="2" xfId="0" applyFont="1" applyFill="1" applyBorder="1" applyAlignment="1">
      <alignment horizontal="center" vertical="center" wrapText="1"/>
    </xf>
    <xf numFmtId="0" fontId="124" fillId="0" borderId="2" xfId="0" applyFont="1" applyFill="1" applyBorder="1" applyAlignment="1">
      <alignment horizontal="justify" vertical="center" wrapText="1"/>
    </xf>
    <xf numFmtId="0" fontId="124" fillId="0" borderId="2" xfId="0" applyNumberFormat="1" applyFont="1" applyFill="1" applyBorder="1" applyAlignment="1">
      <alignment horizontal="center" vertical="center"/>
    </xf>
    <xf numFmtId="4" fontId="124" fillId="0" borderId="2" xfId="0" applyNumberFormat="1" applyFont="1" applyFill="1" applyBorder="1" applyAlignment="1">
      <alignment horizontal="center" vertical="center"/>
    </xf>
    <xf numFmtId="0" fontId="124" fillId="0" borderId="2" xfId="0" applyNumberFormat="1" applyFont="1" applyFill="1" applyBorder="1" applyAlignment="1">
      <alignment horizontal="center" vertical="center" wrapText="1"/>
    </xf>
    <xf numFmtId="0" fontId="124" fillId="0" borderId="0" xfId="0" applyFont="1" applyFill="1" applyAlignment="1">
      <alignment vertical="center"/>
    </xf>
    <xf numFmtId="0" fontId="124" fillId="0" borderId="2" xfId="0" applyFont="1" applyFill="1" applyBorder="1" applyAlignment="1">
      <alignment horizontal="left" vertical="center" wrapText="1"/>
    </xf>
    <xf numFmtId="4" fontId="124" fillId="0" borderId="2" xfId="0" applyNumberFormat="1" applyFont="1" applyFill="1" applyBorder="1" applyAlignment="1">
      <alignment horizontal="center" vertical="center" wrapText="1"/>
    </xf>
    <xf numFmtId="0" fontId="124" fillId="0" borderId="0" xfId="0" applyFont="1" applyFill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justify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4" fontId="8" fillId="0" borderId="2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/>
    </xf>
    <xf numFmtId="4" fontId="8" fillId="0" borderId="2" xfId="0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2" fillId="0" borderId="2" xfId="0" applyFont="1" applyFill="1" applyBorder="1" applyAlignment="1">
      <alignment horizontal="center" vertical="center" wrapText="1"/>
    </xf>
    <xf numFmtId="0" fontId="125" fillId="0" borderId="2" xfId="0" applyFont="1" applyFill="1" applyBorder="1" applyAlignment="1">
      <alignment horizontal="center" vertical="center" wrapText="1"/>
    </xf>
    <xf numFmtId="0" fontId="125" fillId="0" borderId="2" xfId="0" applyFont="1" applyFill="1" applyBorder="1" applyAlignment="1">
      <alignment horizontal="justify" vertical="center" wrapText="1"/>
    </xf>
    <xf numFmtId="0" fontId="125" fillId="0" borderId="2" xfId="0" applyNumberFormat="1" applyFont="1" applyFill="1" applyBorder="1" applyAlignment="1">
      <alignment horizontal="center" vertical="center" wrapText="1"/>
    </xf>
    <xf numFmtId="4" fontId="125" fillId="0" borderId="2" xfId="0" applyNumberFormat="1" applyFont="1" applyFill="1" applyBorder="1" applyAlignment="1">
      <alignment horizontal="center" vertical="center" wrapText="1"/>
    </xf>
    <xf numFmtId="0" fontId="125" fillId="0" borderId="2" xfId="0" applyNumberFormat="1" applyFont="1" applyFill="1" applyBorder="1" applyAlignment="1">
      <alignment horizontal="center" vertical="center"/>
    </xf>
    <xf numFmtId="4" fontId="125" fillId="0" borderId="2" xfId="0" applyNumberFormat="1" applyFont="1" applyFill="1" applyBorder="1" applyAlignment="1">
      <alignment horizontal="center" vertical="center"/>
    </xf>
    <xf numFmtId="0" fontId="125" fillId="0" borderId="0" xfId="0" applyFont="1" applyFill="1" applyAlignment="1">
      <alignment vertical="center"/>
    </xf>
    <xf numFmtId="0" fontId="109" fillId="0" borderId="0" xfId="0" applyFont="1" applyFill="1" applyBorder="1" applyAlignment="1">
      <alignment horizontal="center" vertical="center" wrapText="1"/>
    </xf>
    <xf numFmtId="0" fontId="126" fillId="0" borderId="0" xfId="0" applyFont="1" applyFill="1" applyBorder="1" applyAlignment="1">
      <alignment horizontal="justify" vertical="center" wrapText="1"/>
    </xf>
    <xf numFmtId="0" fontId="126" fillId="0" borderId="0" xfId="0" applyFont="1" applyFill="1" applyBorder="1" applyAlignment="1">
      <alignment horizontal="center" vertical="center" wrapText="1"/>
    </xf>
    <xf numFmtId="0" fontId="126" fillId="0" borderId="0" xfId="0" applyNumberFormat="1" applyFont="1" applyFill="1" applyBorder="1" applyAlignment="1">
      <alignment horizontal="center" vertical="center" wrapText="1"/>
    </xf>
    <xf numFmtId="4" fontId="126" fillId="0" borderId="0" xfId="0" applyNumberFormat="1" applyFont="1" applyFill="1" applyBorder="1" applyAlignment="1">
      <alignment horizontal="center" vertical="center" wrapText="1"/>
    </xf>
    <xf numFmtId="0" fontId="126" fillId="0" borderId="0" xfId="0" applyNumberFormat="1" applyFont="1" applyFill="1" applyBorder="1" applyAlignment="1">
      <alignment horizontal="center" vertical="center"/>
    </xf>
    <xf numFmtId="4" fontId="126" fillId="0" borderId="0" xfId="0" applyNumberFormat="1" applyFont="1" applyFill="1" applyBorder="1" applyAlignment="1">
      <alignment horizontal="center" vertical="center"/>
    </xf>
    <xf numFmtId="0" fontId="126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7" fillId="0" borderId="0" xfId="0" applyFont="1" applyFill="1" applyAlignment="1">
      <alignment horizontal="center" vertical="center"/>
    </xf>
    <xf numFmtId="0" fontId="2" fillId="0" borderId="0" xfId="0" applyFont="1" applyFill="1"/>
    <xf numFmtId="14" fontId="7" fillId="0" borderId="0" xfId="0" applyNumberFormat="1" applyFont="1" applyFill="1" applyAlignment="1">
      <alignment horizontal="left" vertical="center"/>
    </xf>
    <xf numFmtId="0" fontId="2" fillId="0" borderId="0" xfId="0" applyNumberFormat="1" applyFont="1" applyFill="1"/>
    <xf numFmtId="4" fontId="2" fillId="0" borderId="0" xfId="0" applyNumberFormat="1" applyFont="1" applyFill="1"/>
    <xf numFmtId="4" fontId="2" fillId="0" borderId="0" xfId="0" applyNumberFormat="1" applyFont="1" applyFill="1" applyAlignment="1">
      <alignment horizontal="right" vertical="center" wrapText="1"/>
    </xf>
    <xf numFmtId="49" fontId="2" fillId="0" borderId="0" xfId="0" applyNumberFormat="1" applyFont="1"/>
    <xf numFmtId="0" fontId="2" fillId="0" borderId="0" xfId="0" applyNumberFormat="1" applyFont="1"/>
    <xf numFmtId="0" fontId="2" fillId="0" borderId="0" xfId="0" applyNumberFormat="1" applyFont="1" applyAlignment="1">
      <alignment horizontal="right" vertical="center"/>
    </xf>
    <xf numFmtId="49" fontId="2" fillId="0" borderId="0" xfId="0" applyNumberFormat="1" applyFont="1" applyAlignment="1">
      <alignment horizontal="justify" vertical="center"/>
    </xf>
    <xf numFmtId="184" fontId="2" fillId="0" borderId="0" xfId="0" applyNumberFormat="1" applyFont="1"/>
    <xf numFmtId="0" fontId="2" fillId="0" borderId="0" xfId="0" applyFont="1" applyAlignment="1">
      <alignment horizontal="center"/>
    </xf>
    <xf numFmtId="0" fontId="7" fillId="0" borderId="2" xfId="0" applyNumberFormat="1" applyFont="1" applyBorder="1" applyAlignment="1">
      <alignment horizontal="center" vertical="center" wrapText="1"/>
    </xf>
    <xf numFmtId="0" fontId="109" fillId="0" borderId="2" xfId="0" applyNumberFormat="1" applyFont="1" applyBorder="1" applyAlignment="1">
      <alignment horizontal="center" vertical="center" wrapText="1"/>
    </xf>
    <xf numFmtId="0" fontId="109" fillId="0" borderId="2" xfId="0" applyNumberFormat="1" applyFont="1" applyBorder="1" applyAlignment="1">
      <alignment horizontal="center" vertical="center"/>
    </xf>
    <xf numFmtId="0" fontId="124" fillId="0" borderId="2" xfId="0" applyFont="1" applyBorder="1" applyAlignment="1">
      <alignment horizontal="center" vertical="center" wrapText="1"/>
    </xf>
    <xf numFmtId="0" fontId="124" fillId="0" borderId="2" xfId="0" applyFont="1" applyBorder="1" applyAlignment="1">
      <alignment horizontal="left" vertical="center" wrapText="1"/>
    </xf>
    <xf numFmtId="0" fontId="124" fillId="0" borderId="2" xfId="0" applyNumberFormat="1" applyFont="1" applyBorder="1" applyAlignment="1">
      <alignment horizontal="center" vertical="center" wrapText="1"/>
    </xf>
    <xf numFmtId="0" fontId="124" fillId="0" borderId="2" xfId="0" applyNumberFormat="1" applyFont="1" applyBorder="1" applyAlignment="1">
      <alignment horizontal="center" vertical="center"/>
    </xf>
    <xf numFmtId="0" fontId="124" fillId="0" borderId="0" xfId="0" applyFont="1" applyAlignment="1">
      <alignment horizontal="center" vertical="center"/>
    </xf>
    <xf numFmtId="0" fontId="124" fillId="0" borderId="0" xfId="0" applyFont="1"/>
    <xf numFmtId="0" fontId="2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justify" vertical="center" wrapText="1"/>
    </xf>
    <xf numFmtId="0" fontId="124" fillId="0" borderId="2" xfId="0" applyFont="1" applyBorder="1" applyAlignment="1">
      <alignment horizontal="justify" vertical="center" wrapText="1"/>
    </xf>
    <xf numFmtId="0" fontId="124" fillId="0" borderId="0" xfId="0" applyFont="1" applyFill="1" applyBorder="1" applyAlignment="1">
      <alignment horizontal="center" vertical="center" wrapText="1"/>
    </xf>
    <xf numFmtId="0" fontId="124" fillId="0" borderId="0" xfId="0" applyFont="1" applyFill="1" applyBorder="1" applyAlignment="1">
      <alignment horizontal="justify" vertical="center" wrapText="1"/>
    </xf>
    <xf numFmtId="0" fontId="124" fillId="0" borderId="0" xfId="0" applyNumberFormat="1" applyFont="1" applyFill="1" applyBorder="1" applyAlignment="1">
      <alignment horizontal="center" vertical="center" wrapText="1"/>
    </xf>
    <xf numFmtId="0" fontId="124" fillId="0" borderId="0" xfId="0" applyNumberFormat="1" applyFont="1" applyFill="1" applyBorder="1" applyAlignment="1">
      <alignment horizontal="center" vertical="center"/>
    </xf>
    <xf numFmtId="0" fontId="7" fillId="0" borderId="0" xfId="0" applyNumberFormat="1" applyFont="1" applyFill="1" applyAlignment="1">
      <alignment horizontal="center" vertical="center"/>
    </xf>
    <xf numFmtId="14" fontId="7" fillId="0" borderId="0" xfId="0" applyNumberFormat="1" applyFont="1" applyAlignment="1">
      <alignment horizontal="left" vertical="center"/>
    </xf>
    <xf numFmtId="0" fontId="2" fillId="0" borderId="0" xfId="0" applyNumberFormat="1" applyFont="1" applyFill="1" applyAlignment="1">
      <alignment horizontal="right" vertical="center" wrapText="1"/>
    </xf>
    <xf numFmtId="2" fontId="27" fillId="49" borderId="2" xfId="193" applyNumberFormat="1" applyFont="1" applyFill="1" applyBorder="1" applyAlignment="1">
      <alignment horizontal="center" vertical="center" wrapText="1"/>
    </xf>
    <xf numFmtId="0" fontId="129" fillId="0" borderId="0" xfId="0" applyFont="1"/>
    <xf numFmtId="0" fontId="88" fillId="0" borderId="0" xfId="193" applyFont="1" applyAlignment="1">
      <alignment horizontal="center"/>
    </xf>
    <xf numFmtId="0" fontId="8" fillId="0" borderId="0" xfId="193" applyFont="1" applyBorder="1" applyAlignment="1">
      <alignment vertical="center" wrapText="1"/>
    </xf>
    <xf numFmtId="0" fontId="8" fillId="0" borderId="0" xfId="193" applyFont="1" applyBorder="1" applyAlignment="1">
      <alignment horizontal="left" vertical="center" wrapText="1"/>
    </xf>
    <xf numFmtId="0" fontId="8" fillId="0" borderId="0" xfId="193" applyFont="1" applyBorder="1" applyAlignment="1">
      <alignment horizontal="center" vertical="center" wrapText="1"/>
    </xf>
    <xf numFmtId="0" fontId="2" fillId="0" borderId="0" xfId="193" applyFont="1" applyAlignment="1">
      <alignment horizontal="left"/>
    </xf>
    <xf numFmtId="0" fontId="89" fillId="0" borderId="0" xfId="193" applyFont="1" applyAlignment="1">
      <alignment horizontal="center"/>
    </xf>
    <xf numFmtId="0" fontId="88" fillId="0" borderId="28" xfId="193" applyFont="1" applyBorder="1" applyAlignment="1">
      <alignment horizontal="justify" vertical="center" wrapText="1"/>
    </xf>
    <xf numFmtId="0" fontId="88" fillId="0" borderId="0" xfId="193" applyFont="1" applyAlignment="1">
      <alignment horizontal="left" vertical="center"/>
    </xf>
    <xf numFmtId="0" fontId="86" fillId="0" borderId="30" xfId="193" applyFont="1" applyBorder="1" applyAlignment="1">
      <alignment horizontal="left"/>
    </xf>
    <xf numFmtId="49" fontId="88" fillId="0" borderId="28" xfId="193" applyNumberFormat="1" applyFont="1" applyBorder="1" applyAlignment="1">
      <alignment horizontal="left"/>
    </xf>
    <xf numFmtId="0" fontId="6" fillId="0" borderId="28" xfId="193" applyBorder="1" applyAlignment="1"/>
    <xf numFmtId="0" fontId="4" fillId="0" borderId="30" xfId="193" applyFont="1" applyBorder="1" applyAlignment="1"/>
    <xf numFmtId="0" fontId="4" fillId="0" borderId="0" xfId="193" applyFont="1" applyAlignment="1"/>
    <xf numFmtId="4" fontId="86" fillId="0" borderId="1" xfId="0" applyNumberFormat="1" applyFont="1" applyFill="1" applyBorder="1" applyAlignment="1">
      <alignment horizontal="center" vertical="center" wrapText="1"/>
    </xf>
    <xf numFmtId="0" fontId="112" fillId="0" borderId="25" xfId="0" applyFont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top" wrapText="1"/>
    </xf>
    <xf numFmtId="0" fontId="9" fillId="0" borderId="1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0" fontId="9" fillId="0" borderId="27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11" fillId="0" borderId="0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" fillId="0" borderId="2" xfId="0" applyFont="1" applyBorder="1" applyAlignment="1">
      <alignment horizontal="center" vertical="top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 wrapText="1"/>
    </xf>
    <xf numFmtId="0" fontId="4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81" fillId="0" borderId="0" xfId="0" applyFont="1" applyAlignment="1">
      <alignment horizontal="center"/>
    </xf>
    <xf numFmtId="0" fontId="81" fillId="0" borderId="0" xfId="0" applyFont="1" applyAlignment="1">
      <alignment horizontal="center" wrapText="1"/>
    </xf>
    <xf numFmtId="4" fontId="83" fillId="0" borderId="0" xfId="0" applyNumberFormat="1" applyFont="1" applyAlignment="1">
      <alignment horizontal="center"/>
    </xf>
    <xf numFmtId="0" fontId="1" fillId="0" borderId="3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0" fontId="1" fillId="0" borderId="5" xfId="0" applyFont="1" applyBorder="1" applyAlignment="1">
      <alignment horizontal="center" vertical="top"/>
    </xf>
    <xf numFmtId="2" fontId="1" fillId="0" borderId="0" xfId="0" applyNumberFormat="1" applyFont="1" applyAlignment="1">
      <alignment horizontal="left" wrapText="1"/>
    </xf>
    <xf numFmtId="0" fontId="1" fillId="0" borderId="2" xfId="0" applyFont="1" applyBorder="1" applyAlignment="1">
      <alignment horizontal="center" vertical="center" wrapText="1"/>
    </xf>
    <xf numFmtId="0" fontId="94" fillId="0" borderId="0" xfId="201" applyFont="1" applyAlignment="1">
      <alignment horizontal="right"/>
    </xf>
    <xf numFmtId="0" fontId="95" fillId="0" borderId="0" xfId="201" applyFont="1" applyAlignment="1">
      <alignment horizontal="center" vertical="center" wrapText="1"/>
    </xf>
    <xf numFmtId="0" fontId="100" fillId="0" borderId="5" xfId="201" applyFont="1" applyBorder="1" applyAlignment="1">
      <alignment horizontal="center" vertical="center" wrapText="1"/>
    </xf>
    <xf numFmtId="0" fontId="100" fillId="0" borderId="53" xfId="201" applyFont="1" applyBorder="1" applyAlignment="1">
      <alignment horizontal="center" vertical="center" wrapText="1"/>
    </xf>
    <xf numFmtId="0" fontId="100" fillId="0" borderId="58" xfId="201" applyFont="1" applyBorder="1" applyAlignment="1">
      <alignment horizontal="center" vertical="center" wrapText="1"/>
    </xf>
    <xf numFmtId="0" fontId="99" fillId="0" borderId="0" xfId="201" applyFont="1" applyAlignment="1">
      <alignment horizontal="center" vertical="center" wrapText="1"/>
    </xf>
    <xf numFmtId="0" fontId="100" fillId="0" borderId="47" xfId="201" applyFont="1" applyBorder="1" applyAlignment="1">
      <alignment horizontal="center" vertical="center" wrapText="1"/>
    </xf>
    <xf numFmtId="0" fontId="100" fillId="0" borderId="51" xfId="201" applyFont="1" applyBorder="1" applyAlignment="1">
      <alignment horizontal="center" vertical="center" wrapText="1"/>
    </xf>
    <xf numFmtId="0" fontId="100" fillId="0" borderId="54" xfId="201" applyFont="1" applyBorder="1" applyAlignment="1">
      <alignment horizontal="center" vertical="center" wrapText="1"/>
    </xf>
    <xf numFmtId="0" fontId="100" fillId="0" borderId="36" xfId="201" applyFont="1" applyBorder="1" applyAlignment="1">
      <alignment horizontal="center" vertical="center" wrapText="1"/>
    </xf>
    <xf numFmtId="0" fontId="100" fillId="0" borderId="52" xfId="201" applyFont="1" applyBorder="1" applyAlignment="1">
      <alignment horizontal="center" vertical="center" wrapText="1"/>
    </xf>
    <xf numFmtId="0" fontId="100" fillId="0" borderId="55" xfId="201" applyFont="1" applyBorder="1" applyAlignment="1">
      <alignment horizontal="center" vertical="center" wrapText="1"/>
    </xf>
    <xf numFmtId="0" fontId="95" fillId="0" borderId="48" xfId="201" applyFont="1" applyBorder="1" applyAlignment="1">
      <alignment horizontal="center" vertical="center"/>
    </xf>
    <xf numFmtId="0" fontId="95" fillId="0" borderId="49" xfId="201" applyFont="1" applyBorder="1" applyAlignment="1">
      <alignment horizontal="center" vertical="center"/>
    </xf>
    <xf numFmtId="0" fontId="95" fillId="0" borderId="50" xfId="201" applyFont="1" applyBorder="1" applyAlignment="1">
      <alignment horizontal="center" vertical="center"/>
    </xf>
    <xf numFmtId="0" fontId="108" fillId="0" borderId="6" xfId="193" applyFont="1" applyFill="1" applyBorder="1" applyAlignment="1">
      <alignment horizontal="center" wrapText="1"/>
    </xf>
    <xf numFmtId="0" fontId="108" fillId="0" borderId="0" xfId="193" applyFont="1" applyFill="1" applyBorder="1" applyAlignment="1">
      <alignment horizontal="center" wrapText="1"/>
    </xf>
    <xf numFmtId="2" fontId="4" fillId="0" borderId="0" xfId="193" applyNumberFormat="1" applyFont="1" applyAlignment="1">
      <alignment horizontal="center" wrapText="1"/>
    </xf>
    <xf numFmtId="2" fontId="27" fillId="49" borderId="2" xfId="193" applyNumberFormat="1" applyFont="1" applyFill="1" applyBorder="1" applyAlignment="1">
      <alignment horizontal="center" vertical="center" wrapText="1"/>
    </xf>
    <xf numFmtId="2" fontId="27" fillId="49" borderId="1" xfId="193" applyNumberFormat="1" applyFont="1" applyFill="1" applyBorder="1" applyAlignment="1">
      <alignment horizontal="center" wrapText="1"/>
    </xf>
    <xf numFmtId="2" fontId="27" fillId="49" borderId="29" xfId="193" applyNumberFormat="1" applyFont="1" applyFill="1" applyBorder="1" applyAlignment="1">
      <alignment horizontal="center" wrapText="1"/>
    </xf>
    <xf numFmtId="2" fontId="27" fillId="49" borderId="25" xfId="193" applyNumberFormat="1" applyFont="1" applyFill="1" applyBorder="1" applyAlignment="1">
      <alignment horizontal="center" wrapText="1"/>
    </xf>
    <xf numFmtId="0" fontId="118" fillId="49" borderId="0" xfId="209" applyFont="1" applyFill="1" applyBorder="1" applyAlignment="1">
      <alignment horizontal="left" vertical="center" wrapText="1"/>
    </xf>
    <xf numFmtId="0" fontId="118" fillId="49" borderId="0" xfId="209" applyFont="1" applyFill="1" applyBorder="1" applyAlignment="1">
      <alignment horizontal="center" vertical="center" wrapText="1"/>
    </xf>
    <xf numFmtId="0" fontId="120" fillId="49" borderId="0" xfId="209" applyFont="1" applyFill="1" applyBorder="1" applyAlignment="1">
      <alignment horizontal="left" wrapText="1"/>
    </xf>
    <xf numFmtId="0" fontId="93" fillId="49" borderId="0" xfId="209" applyFont="1" applyFill="1" applyAlignment="1">
      <alignment horizontal="right"/>
    </xf>
    <xf numFmtId="4" fontId="11" fillId="49" borderId="0" xfId="209" applyNumberFormat="1" applyFont="1" applyFill="1" applyAlignment="1">
      <alignment horizontal="center" vertical="center" wrapText="1"/>
    </xf>
    <xf numFmtId="0" fontId="10" fillId="49" borderId="64" xfId="209" applyFont="1" applyFill="1" applyBorder="1" applyAlignment="1">
      <alignment horizontal="center" vertical="center" wrapText="1"/>
    </xf>
    <xf numFmtId="0" fontId="10" fillId="49" borderId="61" xfId="209" applyFont="1" applyFill="1" applyBorder="1" applyAlignment="1">
      <alignment horizontal="center" vertical="center" wrapText="1"/>
    </xf>
    <xf numFmtId="0" fontId="10" fillId="49" borderId="65" xfId="209" applyFont="1" applyFill="1" applyBorder="1" applyAlignment="1">
      <alignment horizontal="center" vertical="center" wrapText="1"/>
    </xf>
    <xf numFmtId="0" fontId="10" fillId="49" borderId="68" xfId="209" applyFont="1" applyFill="1" applyBorder="1" applyAlignment="1">
      <alignment horizontal="center" vertical="center" wrapText="1"/>
    </xf>
    <xf numFmtId="0" fontId="10" fillId="49" borderId="2" xfId="209" applyFont="1" applyFill="1" applyBorder="1" applyAlignment="1">
      <alignment horizontal="center" vertical="center" wrapText="1"/>
    </xf>
    <xf numFmtId="0" fontId="10" fillId="48" borderId="2" xfId="209" applyFont="1" applyFill="1" applyBorder="1" applyAlignment="1">
      <alignment horizontal="center" vertical="center" wrapText="1"/>
    </xf>
    <xf numFmtId="0" fontId="10" fillId="49" borderId="66" xfId="209" applyFont="1" applyFill="1" applyBorder="1" applyAlignment="1">
      <alignment horizontal="center" vertical="center" wrapText="1"/>
    </xf>
    <xf numFmtId="0" fontId="10" fillId="49" borderId="24" xfId="209" applyFont="1" applyFill="1" applyBorder="1" applyAlignment="1">
      <alignment horizontal="center" vertical="center" wrapText="1"/>
    </xf>
    <xf numFmtId="0" fontId="10" fillId="49" borderId="67" xfId="209" applyFont="1" applyFill="1" applyBorder="1" applyAlignment="1">
      <alignment horizontal="center" vertical="center" wrapText="1"/>
    </xf>
    <xf numFmtId="0" fontId="117" fillId="0" borderId="0" xfId="0" applyFont="1" applyAlignment="1">
      <alignment horizontal="justify" vertical="center" wrapText="1"/>
    </xf>
    <xf numFmtId="0" fontId="117" fillId="0" borderId="0" xfId="0" applyFont="1" applyAlignment="1">
      <alignment wrapText="1"/>
    </xf>
    <xf numFmtId="0" fontId="122" fillId="0" borderId="0" xfId="0" applyFont="1" applyAlignment="1">
      <alignment horizontal="justify" vertical="center" wrapText="1"/>
    </xf>
    <xf numFmtId="0" fontId="122" fillId="0" borderId="0" xfId="0" applyFont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49" fontId="7" fillId="0" borderId="0" xfId="0" applyNumberFormat="1" applyFont="1" applyFill="1" applyAlignment="1">
      <alignment horizontal="center" vertical="center"/>
    </xf>
    <xf numFmtId="49" fontId="7" fillId="0" borderId="0" xfId="0" applyNumberFormat="1" applyFont="1" applyFill="1" applyAlignment="1">
      <alignment horizontal="center" vertical="center" wrapText="1"/>
    </xf>
    <xf numFmtId="49" fontId="123" fillId="0" borderId="0" xfId="0" applyNumberFormat="1" applyFont="1" applyFill="1" applyAlignment="1">
      <alignment horizontal="left" vertical="center"/>
    </xf>
    <xf numFmtId="49" fontId="123" fillId="0" borderId="0" xfId="0" applyNumberFormat="1" applyFont="1" applyFill="1" applyAlignment="1">
      <alignment horizontal="center" vertical="center"/>
    </xf>
    <xf numFmtId="0" fontId="7" fillId="0" borderId="3" xfId="0" applyNumberFormat="1" applyFont="1" applyFill="1" applyBorder="1" applyAlignment="1">
      <alignment horizontal="center" vertical="center" wrapText="1"/>
    </xf>
    <xf numFmtId="0" fontId="7" fillId="0" borderId="5" xfId="0" applyNumberFormat="1" applyFont="1" applyFill="1" applyBorder="1" applyAlignment="1">
      <alignment horizontal="center" vertical="center" wrapText="1"/>
    </xf>
    <xf numFmtId="49" fontId="7" fillId="0" borderId="0" xfId="0" applyNumberFormat="1" applyFont="1" applyAlignment="1">
      <alignment horizontal="center" vertical="center"/>
    </xf>
    <xf numFmtId="49" fontId="7" fillId="0" borderId="0" xfId="0" applyNumberFormat="1" applyFont="1" applyAlignment="1">
      <alignment horizontal="center" vertical="center" wrapText="1"/>
    </xf>
    <xf numFmtId="49" fontId="123" fillId="0" borderId="0" xfId="0" applyNumberFormat="1" applyFont="1" applyAlignment="1">
      <alignment horizontal="left" vertical="center"/>
    </xf>
    <xf numFmtId="0" fontId="7" fillId="0" borderId="2" xfId="0" applyNumberFormat="1" applyFont="1" applyBorder="1" applyAlignment="1">
      <alignment horizontal="center" vertical="center" wrapText="1"/>
    </xf>
  </cellXfs>
  <cellStyles count="399">
    <cellStyle name=" 1" xfId="338"/>
    <cellStyle name="_tipogr_end" xfId="2"/>
    <cellStyle name="_в отчет" xfId="3"/>
    <cellStyle name="_Модель Стратегия Ленэнерго_3" xfId="4"/>
    <cellStyle name="_ПЛАН на 2010 год помесячно (1)" xfId="5"/>
    <cellStyle name="_Расчет 0,4 кВ" xfId="6"/>
    <cellStyle name="”ќђќ‘ћ‚›‰" xfId="7"/>
    <cellStyle name="”ќђќ‘ћ‚›‰ 2" xfId="8"/>
    <cellStyle name="”ќђќ‘ћ‚›‰ 2 2" xfId="9"/>
    <cellStyle name="”ќђќ‘ћ‚›‰ 2 2 2" xfId="342"/>
    <cellStyle name="”ќђќ‘ћ‚›‰ 2 3" xfId="341"/>
    <cellStyle name="”ќђќ‘ћ‚›‰ 3" xfId="10"/>
    <cellStyle name="”ќђќ‘ћ‚›‰ 3 2" xfId="11"/>
    <cellStyle name="”ќђќ‘ћ‚›‰ 3 2 2" xfId="343"/>
    <cellStyle name="”ќђќ‘ћ‚›‰ 4" xfId="12"/>
    <cellStyle name="”ќђќ‘ћ‚›‰ 5" xfId="13"/>
    <cellStyle name="”ќђќ‘ћ‚›‰ 5 2" xfId="344"/>
    <cellStyle name="”ќђќ‘ћ‚›‰ 6" xfId="340"/>
    <cellStyle name="”љ‘ђћ‚ђќќ›‰" xfId="14"/>
    <cellStyle name="”љ‘ђћ‚ђќќ›‰ 2" xfId="15"/>
    <cellStyle name="”љ‘ђћ‚ђќќ›‰ 2 2" xfId="16"/>
    <cellStyle name="”љ‘ђћ‚ђќќ›‰ 2 2 2" xfId="347"/>
    <cellStyle name="”љ‘ђћ‚ђќќ›‰ 2 3" xfId="346"/>
    <cellStyle name="”љ‘ђћ‚ђќќ›‰ 3" xfId="17"/>
    <cellStyle name="”љ‘ђћ‚ђќќ›‰ 3 2" xfId="18"/>
    <cellStyle name="”љ‘ђћ‚ђќќ›‰ 3 2 2" xfId="348"/>
    <cellStyle name="”љ‘ђћ‚ђќќ›‰ 4" xfId="19"/>
    <cellStyle name="”љ‘ђћ‚ђќќ›‰ 5" xfId="20"/>
    <cellStyle name="”љ‘ђћ‚ђќќ›‰ 5 2" xfId="349"/>
    <cellStyle name="”љ‘ђћ‚ђќќ›‰ 6" xfId="345"/>
    <cellStyle name="„…ќ…†ќ›‰" xfId="21"/>
    <cellStyle name="„…ќ…†ќ›‰ 2" xfId="22"/>
    <cellStyle name="„…ќ…†ќ›‰ 2 2" xfId="23"/>
    <cellStyle name="„…ќ…†ќ›‰ 2 2 2" xfId="352"/>
    <cellStyle name="„…ќ…†ќ›‰ 2 3" xfId="351"/>
    <cellStyle name="„…ќ…†ќ›‰ 3" xfId="24"/>
    <cellStyle name="„…ќ…†ќ›‰ 3 2" xfId="25"/>
    <cellStyle name="„…ќ…†ќ›‰ 3 2 2" xfId="353"/>
    <cellStyle name="„…ќ…†ќ›‰ 4" xfId="26"/>
    <cellStyle name="„…ќ…†ќ›‰ 5" xfId="27"/>
    <cellStyle name="„…ќ…†ќ›‰ 5 2" xfId="354"/>
    <cellStyle name="„…ќ…†ќ›‰ 6" xfId="350"/>
    <cellStyle name="‡ђѓћ‹ћ‚ћљ1" xfId="28"/>
    <cellStyle name="‡ђѓћ‹ћ‚ћљ1 2" xfId="29"/>
    <cellStyle name="‡ђѓћ‹ћ‚ћљ2" xfId="30"/>
    <cellStyle name="‡ђѓћ‹ћ‚ћљ2 2" xfId="31"/>
    <cellStyle name="’ћѓћ‚›‰" xfId="32"/>
    <cellStyle name="’ћѓћ‚›‰ 2" xfId="33"/>
    <cellStyle name="20% - Акцент1 2" xfId="34"/>
    <cellStyle name="20% - Акцент1 2 2" xfId="35"/>
    <cellStyle name="20% - Акцент2 2" xfId="36"/>
    <cellStyle name="20% - Акцент2 2 2" xfId="37"/>
    <cellStyle name="20% - Акцент3 2" xfId="38"/>
    <cellStyle name="20% - Акцент3 2 2" xfId="39"/>
    <cellStyle name="20% - Акцент4 2" xfId="40"/>
    <cellStyle name="20% - Акцент4 2 2" xfId="41"/>
    <cellStyle name="20% - Акцент5 2" xfId="42"/>
    <cellStyle name="20% - Акцент5 2 2" xfId="43"/>
    <cellStyle name="20% - Акцент6 2" xfId="44"/>
    <cellStyle name="20% - Акцент6 2 2" xfId="45"/>
    <cellStyle name="40% - Акцент1 2" xfId="46"/>
    <cellStyle name="40% - Акцент1 2 2" xfId="47"/>
    <cellStyle name="40% - Акцент2 2" xfId="48"/>
    <cellStyle name="40% - Акцент2 2 2" xfId="49"/>
    <cellStyle name="40% - Акцент3 2" xfId="50"/>
    <cellStyle name="40% - Акцент3 2 2" xfId="51"/>
    <cellStyle name="40% - Акцент4 2" xfId="52"/>
    <cellStyle name="40% - Акцент4 2 2" xfId="53"/>
    <cellStyle name="40% - Акцент5 2" xfId="54"/>
    <cellStyle name="40% - Акцент5 2 2" xfId="55"/>
    <cellStyle name="40% - Акцент6 2" xfId="56"/>
    <cellStyle name="40% - Акцент6 2 2" xfId="57"/>
    <cellStyle name="50%" xfId="58"/>
    <cellStyle name="60% - Акцент1 2" xfId="59"/>
    <cellStyle name="60% - Акцент2 2" xfId="60"/>
    <cellStyle name="60% - Акцент3 2" xfId="61"/>
    <cellStyle name="60% - Акцент4 2" xfId="62"/>
    <cellStyle name="60% - Акцент5 2" xfId="63"/>
    <cellStyle name="60% - Акцент6 2" xfId="64"/>
    <cellStyle name="75%" xfId="65"/>
    <cellStyle name="Assumption" xfId="66"/>
    <cellStyle name="Assumption 2" xfId="67"/>
    <cellStyle name="Comma [0]_Avtodet1" xfId="68"/>
    <cellStyle name="Comma_Avtodet1" xfId="69"/>
    <cellStyle name="Currency [0]" xfId="70"/>
    <cellStyle name="Currency [0] 2" xfId="71"/>
    <cellStyle name="Currency_Avtodet1" xfId="72"/>
    <cellStyle name="Dates" xfId="73"/>
    <cellStyle name="E-mail" xfId="74"/>
    <cellStyle name="E-mail 2" xfId="75"/>
    <cellStyle name="Heading" xfId="76"/>
    <cellStyle name="Heading2" xfId="77"/>
    <cellStyle name="Heading2 2" xfId="78"/>
    <cellStyle name="Inputs" xfId="79"/>
    <cellStyle name="Inputs 2" xfId="80"/>
    <cellStyle name="Normal 2" xfId="81"/>
    <cellStyle name="Normal_ASUS" xfId="82"/>
    <cellStyle name="Normal1" xfId="83"/>
    <cellStyle name="Normal1 2" xfId="84"/>
    <cellStyle name="normбlnн_laroux" xfId="85"/>
    <cellStyle name="Price_Body" xfId="86"/>
    <cellStyle name="SAPBEXaggData" xfId="87"/>
    <cellStyle name="SAPBEXaggDataEmph" xfId="88"/>
    <cellStyle name="SAPBEXaggItem" xfId="89"/>
    <cellStyle name="SAPBEXaggItemX" xfId="90"/>
    <cellStyle name="SAPBEXchaText" xfId="91"/>
    <cellStyle name="SAPBEXexcBad7" xfId="92"/>
    <cellStyle name="SAPBEXexcBad8" xfId="93"/>
    <cellStyle name="SAPBEXexcBad9" xfId="94"/>
    <cellStyle name="SAPBEXexcCritical4" xfId="95"/>
    <cellStyle name="SAPBEXexcCritical5" xfId="96"/>
    <cellStyle name="SAPBEXexcCritical6" xfId="97"/>
    <cellStyle name="SAPBEXexcGood1" xfId="98"/>
    <cellStyle name="SAPBEXexcGood2" xfId="99"/>
    <cellStyle name="SAPBEXexcGood3" xfId="100"/>
    <cellStyle name="SAPBEXfilterDrill" xfId="101"/>
    <cellStyle name="SAPBEXfilterItem" xfId="102"/>
    <cellStyle name="SAPBEXfilterText" xfId="103"/>
    <cellStyle name="SAPBEXformats" xfId="104"/>
    <cellStyle name="SAPBEXheaderItem" xfId="105"/>
    <cellStyle name="SAPBEXheaderText" xfId="106"/>
    <cellStyle name="SAPBEXHLevel0" xfId="107"/>
    <cellStyle name="SAPBEXHLevel0X" xfId="108"/>
    <cellStyle name="SAPBEXHLevel1" xfId="109"/>
    <cellStyle name="SAPBEXHLevel1X" xfId="110"/>
    <cellStyle name="SAPBEXHLevel2" xfId="111"/>
    <cellStyle name="SAPBEXHLevel2X" xfId="112"/>
    <cellStyle name="SAPBEXHLevel3" xfId="113"/>
    <cellStyle name="SAPBEXHLevel3X" xfId="114"/>
    <cellStyle name="SAPBEXresData" xfId="115"/>
    <cellStyle name="SAPBEXresDataEmph" xfId="116"/>
    <cellStyle name="SAPBEXresItem" xfId="117"/>
    <cellStyle name="SAPBEXresItemX" xfId="118"/>
    <cellStyle name="SAPBEXstdData" xfId="119"/>
    <cellStyle name="SAPBEXstdDataEmph" xfId="120"/>
    <cellStyle name="SAPBEXstdItem" xfId="121"/>
    <cellStyle name="SAPBEXstdItemX" xfId="122"/>
    <cellStyle name="SAPBEXtitle" xfId="123"/>
    <cellStyle name="SAPBEXundefined" xfId="124"/>
    <cellStyle name="Table Heading" xfId="125"/>
    <cellStyle name="Table Heading 2" xfId="126"/>
    <cellStyle name="Telephone number" xfId="127"/>
    <cellStyle name="Акцент1 2" xfId="128"/>
    <cellStyle name="Акцент2 2" xfId="129"/>
    <cellStyle name="Акцент3 2" xfId="130"/>
    <cellStyle name="Акцент4 2" xfId="131"/>
    <cellStyle name="Акцент5 2" xfId="132"/>
    <cellStyle name="Акцент6 2" xfId="133"/>
    <cellStyle name="Беззащитный" xfId="134"/>
    <cellStyle name="Беззащитный 2" xfId="135"/>
    <cellStyle name="Ввод  2" xfId="136"/>
    <cellStyle name="Ввод  2 2" xfId="137"/>
    <cellStyle name="Ввод  2 2 2" xfId="138"/>
    <cellStyle name="Ввод  2 2 2 2" xfId="139"/>
    <cellStyle name="Ввод  2 2 2 3" xfId="140"/>
    <cellStyle name="Ввод  2 2 3" xfId="141"/>
    <cellStyle name="Ввод  2 3" xfId="142"/>
    <cellStyle name="Ввод  2 3 2" xfId="143"/>
    <cellStyle name="Ввод  2 3 2 2" xfId="144"/>
    <cellStyle name="Ввод  2 3 2 3" xfId="145"/>
    <cellStyle name="Ввод  2 3 3" xfId="146"/>
    <cellStyle name="Ввод  2 4" xfId="147"/>
    <cellStyle name="Вывод 2" xfId="148"/>
    <cellStyle name="Вывод 2 2" xfId="149"/>
    <cellStyle name="Вывод 2 2 2" xfId="150"/>
    <cellStyle name="Вывод 2 2 3" xfId="151"/>
    <cellStyle name="Вывод 2 3" xfId="152"/>
    <cellStyle name="Вывод 2 3 2" xfId="153"/>
    <cellStyle name="Вывод 2 3 3" xfId="154"/>
    <cellStyle name="Вывод 2 4" xfId="155"/>
    <cellStyle name="Вывод 2 5" xfId="156"/>
    <cellStyle name="Вычисление 2" xfId="157"/>
    <cellStyle name="Вычисление 2 2" xfId="158"/>
    <cellStyle name="Вычисление 2 2 2" xfId="159"/>
    <cellStyle name="Вычисление 2 2 2 2" xfId="160"/>
    <cellStyle name="Вычисление 2 2 2 3" xfId="161"/>
    <cellStyle name="Вычисление 2 2 3" xfId="162"/>
    <cellStyle name="Вычисление 2 3" xfId="163"/>
    <cellStyle name="Вычисление 2 3 2" xfId="164"/>
    <cellStyle name="Вычисление 2 3 2 2" xfId="165"/>
    <cellStyle name="Вычисление 2 3 2 3" xfId="166"/>
    <cellStyle name="Вычисление 2 3 3" xfId="167"/>
    <cellStyle name="Вычисление 2 4" xfId="168"/>
    <cellStyle name="Гиперссылка" xfId="396" builtinId="8"/>
    <cellStyle name="Гиперссылка 2" xfId="398"/>
    <cellStyle name="Заголовок" xfId="169"/>
    <cellStyle name="Заголовок 1 2" xfId="170"/>
    <cellStyle name="Заголовок 2 2" xfId="171"/>
    <cellStyle name="Заголовок 3 2" xfId="172"/>
    <cellStyle name="Заголовок 4 2" xfId="173"/>
    <cellStyle name="Заголовок таблицы" xfId="174"/>
    <cellStyle name="ЗаголовокСтолбца" xfId="175"/>
    <cellStyle name="Защитный" xfId="176"/>
    <cellStyle name="Защитный 2" xfId="177"/>
    <cellStyle name="Значение" xfId="178"/>
    <cellStyle name="Значение 2" xfId="179"/>
    <cellStyle name="Итог 2" xfId="180"/>
    <cellStyle name="Итог 2 2" xfId="181"/>
    <cellStyle name="Итог 2 2 2" xfId="182"/>
    <cellStyle name="Итог 2 2 3" xfId="183"/>
    <cellStyle name="Итог 2 3" xfId="184"/>
    <cellStyle name="Итог 2 3 2" xfId="185"/>
    <cellStyle name="Итог 2 3 3" xfId="186"/>
    <cellStyle name="Итог 2 4" xfId="187"/>
    <cellStyle name="Итог 2 5" xfId="188"/>
    <cellStyle name="Контрольная ячейка 2" xfId="189"/>
    <cellStyle name="Название 2" xfId="190"/>
    <cellStyle name="Нейтральный 2" xfId="191"/>
    <cellStyle name="Обычный" xfId="0" builtinId="0"/>
    <cellStyle name="Обычный 10" xfId="192"/>
    <cellStyle name="Обычный 10 2" xfId="355"/>
    <cellStyle name="Обычный 10 3" xfId="193"/>
    <cellStyle name="Обычный 11" xfId="194"/>
    <cellStyle name="Обычный 12" xfId="195"/>
    <cellStyle name="Обычный 13" xfId="196"/>
    <cellStyle name="Обычный 13 2" xfId="356"/>
    <cellStyle name="Обычный 14" xfId="197"/>
    <cellStyle name="Обычный 14 2" xfId="357"/>
    <cellStyle name="Обычный 15" xfId="334"/>
    <cellStyle name="Обычный 16" xfId="395"/>
    <cellStyle name="Обычный 17" xfId="1"/>
    <cellStyle name="Обычный 2" xfId="198"/>
    <cellStyle name="Обычный 2 2" xfId="199"/>
    <cellStyle name="Обычный 2 2 2" xfId="200"/>
    <cellStyle name="Обычный 2 2 2 2" xfId="201"/>
    <cellStyle name="Обычный 2 2 2 2 2" xfId="202"/>
    <cellStyle name="Обычный 2 2 2 3" xfId="203"/>
    <cellStyle name="Обычный 2 2 3" xfId="204"/>
    <cellStyle name="Обычный 2 2 3 2" xfId="205"/>
    <cellStyle name="Обычный 2 3" xfId="206"/>
    <cellStyle name="Обычный 2 3 2" xfId="207"/>
    <cellStyle name="Обычный 2 4" xfId="208"/>
    <cellStyle name="Обычный 2 4 2" xfId="209"/>
    <cellStyle name="Обычный 2 4 2 2" xfId="358"/>
    <cellStyle name="Обычный 2 45 2" xfId="333"/>
    <cellStyle name="Обычный 2 5" xfId="210"/>
    <cellStyle name="Обычный 2 6" xfId="211"/>
    <cellStyle name="Обычный 2 7" xfId="212"/>
    <cellStyle name="Обычный 2_8 Инвестиции-свод" xfId="213"/>
    <cellStyle name="Обычный 3" xfId="214"/>
    <cellStyle name="Обычный 3 2" xfId="215"/>
    <cellStyle name="Обычный 3 2 2" xfId="216"/>
    <cellStyle name="Обычный 3 2 3" xfId="217"/>
    <cellStyle name="Обычный 3 2 4" xfId="218"/>
    <cellStyle name="Обычный 3 2 5" xfId="359"/>
    <cellStyle name="Обычный 3 3" xfId="219"/>
    <cellStyle name="Обычный 3 3 2" xfId="220"/>
    <cellStyle name="Обычный 3 3 3" xfId="221"/>
    <cellStyle name="Обычный 3 4" xfId="222"/>
    <cellStyle name="Обычный 3 5" xfId="223"/>
    <cellStyle name="Обычный 3_АРМ БП_ПЭС корр 2010_ОБиАП" xfId="224"/>
    <cellStyle name="Обычный 4" xfId="225"/>
    <cellStyle name="Обычный 4 2" xfId="226"/>
    <cellStyle name="Обычный 4 2 2" xfId="227"/>
    <cellStyle name="Обычный 4 2 3" xfId="361"/>
    <cellStyle name="Обычный 4 3" xfId="228"/>
    <cellStyle name="Обычный 4 4" xfId="229"/>
    <cellStyle name="Обычный 4 5" xfId="360"/>
    <cellStyle name="Обычный 5" xfId="230"/>
    <cellStyle name="Обычный 5 2" xfId="231"/>
    <cellStyle name="Обычный 5 3" xfId="232"/>
    <cellStyle name="Обычный 5 4" xfId="362"/>
    <cellStyle name="Обычный 58" xfId="397"/>
    <cellStyle name="Обычный 6" xfId="233"/>
    <cellStyle name="Обычный 6 2" xfId="234"/>
    <cellStyle name="Обычный 6 2 2" xfId="235"/>
    <cellStyle name="Обычный 6 2 2 2" xfId="363"/>
    <cellStyle name="Обычный 7" xfId="236"/>
    <cellStyle name="Обычный 7 2" xfId="237"/>
    <cellStyle name="Обычный 7 2 2" xfId="364"/>
    <cellStyle name="Обычный 8" xfId="238"/>
    <cellStyle name="Обычный 8 2" xfId="239"/>
    <cellStyle name="Обычный 8 2 2" xfId="366"/>
    <cellStyle name="Обычный 8 3" xfId="240"/>
    <cellStyle name="Обычный 8 4" xfId="365"/>
    <cellStyle name="Обычный 9" xfId="241"/>
    <cellStyle name="Плохой 2" xfId="242"/>
    <cellStyle name="Пояснение 2" xfId="243"/>
    <cellStyle name="Примечание 2" xfId="244"/>
    <cellStyle name="Примечание 2 2" xfId="245"/>
    <cellStyle name="Примечание 2 2 2" xfId="246"/>
    <cellStyle name="Примечание 2 2 2 2" xfId="247"/>
    <cellStyle name="Примечание 2 2 2 3" xfId="248"/>
    <cellStyle name="Примечание 2 2 3" xfId="249"/>
    <cellStyle name="Примечание 2 3" xfId="250"/>
    <cellStyle name="Примечание 2 3 2" xfId="251"/>
    <cellStyle name="Примечание 2 3 2 2" xfId="252"/>
    <cellStyle name="Примечание 2 3 2 3" xfId="253"/>
    <cellStyle name="Примечание 2 3 3" xfId="254"/>
    <cellStyle name="Примечание 2 4" xfId="255"/>
    <cellStyle name="Примечание 2 4 2" xfId="256"/>
    <cellStyle name="Примечание 2 4 2 2" xfId="257"/>
    <cellStyle name="Примечание 2 4 2 3" xfId="258"/>
    <cellStyle name="Примечание 2 4 3" xfId="259"/>
    <cellStyle name="Примечание 2 5" xfId="260"/>
    <cellStyle name="Примечание 3" xfId="261"/>
    <cellStyle name="Примечание 3 2" xfId="262"/>
    <cellStyle name="Примечание 3 2 2" xfId="263"/>
    <cellStyle name="Примечание 3 2 2 2" xfId="264"/>
    <cellStyle name="Примечание 3 2 2 3" xfId="265"/>
    <cellStyle name="Примечание 3 2 3" xfId="266"/>
    <cellStyle name="Примечание 3 3" xfId="267"/>
    <cellStyle name="Примечание 3 3 2" xfId="268"/>
    <cellStyle name="Примечание 3 3 2 2" xfId="269"/>
    <cellStyle name="Примечание 3 3 2 3" xfId="270"/>
    <cellStyle name="Примечание 3 3 3" xfId="271"/>
    <cellStyle name="Примечание 3 4" xfId="272"/>
    <cellStyle name="Примечание 3 4 2" xfId="273"/>
    <cellStyle name="Примечание 3 4 3" xfId="274"/>
    <cellStyle name="Примечание 3 5" xfId="275"/>
    <cellStyle name="Процентный 2" xfId="277"/>
    <cellStyle name="Процентный 2 2" xfId="278"/>
    <cellStyle name="Процентный 2 3" xfId="279"/>
    <cellStyle name="Процентный 2 4" xfId="280"/>
    <cellStyle name="Процентный 3" xfId="281"/>
    <cellStyle name="Процентный 4" xfId="282"/>
    <cellStyle name="Процентный 4 2" xfId="283"/>
    <cellStyle name="Процентный 5" xfId="284"/>
    <cellStyle name="Процентный 5 2 2" xfId="285"/>
    <cellStyle name="Процентный 5 2 2 2" xfId="286"/>
    <cellStyle name="Процентный 6" xfId="287"/>
    <cellStyle name="Процентный 7" xfId="276"/>
    <cellStyle name="Связанная ячейка 2" xfId="288"/>
    <cellStyle name="Стиль 1" xfId="289"/>
    <cellStyle name="Стиль 1 2" xfId="290"/>
    <cellStyle name="Стиль 1 2 2" xfId="291"/>
    <cellStyle name="Стиль 1 2 3" xfId="292"/>
    <cellStyle name="Стиль 1 3" xfId="293"/>
    <cellStyle name="Стиль 1_8 Инвестиции-свод" xfId="294"/>
    <cellStyle name="Текст предупреждения 2" xfId="295"/>
    <cellStyle name="Тысячи [0]_3Com" xfId="296"/>
    <cellStyle name="Тысячи_3Com" xfId="297"/>
    <cellStyle name="Финансовый [0] 2" xfId="299"/>
    <cellStyle name="Финансовый [0] 2 2" xfId="368"/>
    <cellStyle name="Финансовый 10" xfId="300"/>
    <cellStyle name="Финансовый 10 2" xfId="369"/>
    <cellStyle name="Финансовый 11" xfId="335"/>
    <cellStyle name="Финансовый 12" xfId="336"/>
    <cellStyle name="Финансовый 13" xfId="339"/>
    <cellStyle name="Финансовый 14" xfId="337"/>
    <cellStyle name="Финансовый 15" xfId="367"/>
    <cellStyle name="Финансовый 16" xfId="298"/>
    <cellStyle name="Финансовый 2" xfId="301"/>
    <cellStyle name="Финансовый 2 2" xfId="302"/>
    <cellStyle name="Финансовый 2 2 2" xfId="303"/>
    <cellStyle name="Финансовый 2 2 2 2" xfId="304"/>
    <cellStyle name="Финансовый 2 2 2 2 2" xfId="373"/>
    <cellStyle name="Финансовый 2 2 2 3" xfId="372"/>
    <cellStyle name="Финансовый 2 2 3" xfId="305"/>
    <cellStyle name="Финансовый 2 2 3 2" xfId="374"/>
    <cellStyle name="Финансовый 2 2 4" xfId="371"/>
    <cellStyle name="Финансовый 2 3" xfId="306"/>
    <cellStyle name="Финансовый 2 4" xfId="307"/>
    <cellStyle name="Финансовый 2 4 2" xfId="375"/>
    <cellStyle name="Финансовый 2 5" xfId="370"/>
    <cellStyle name="Финансовый 3" xfId="308"/>
    <cellStyle name="Финансовый 3 2" xfId="309"/>
    <cellStyle name="Финансовый 3 2 2" xfId="310"/>
    <cellStyle name="Финансовый 3 2 2 2" xfId="378"/>
    <cellStyle name="Финансовый 3 2 3" xfId="377"/>
    <cellStyle name="Финансовый 3 3" xfId="311"/>
    <cellStyle name="Финансовый 3 3 2" xfId="312"/>
    <cellStyle name="Финансовый 3 3 2 2" xfId="380"/>
    <cellStyle name="Финансовый 3 3 3" xfId="379"/>
    <cellStyle name="Финансовый 3 4" xfId="313"/>
    <cellStyle name="Финансовый 3 4 2" xfId="381"/>
    <cellStyle name="Финансовый 3 5" xfId="376"/>
    <cellStyle name="Финансовый 4" xfId="314"/>
    <cellStyle name="Финансовый 4 2" xfId="315"/>
    <cellStyle name="Финансовый 4 2 2" xfId="383"/>
    <cellStyle name="Финансовый 4 3" xfId="382"/>
    <cellStyle name="Финансовый 5" xfId="316"/>
    <cellStyle name="Финансовый 5 2" xfId="317"/>
    <cellStyle name="Финансовый 5 2 2" xfId="384"/>
    <cellStyle name="Финансовый 6" xfId="318"/>
    <cellStyle name="Финансовый 6 2" xfId="319"/>
    <cellStyle name="Финансовый 6 2 2" xfId="386"/>
    <cellStyle name="Финансовый 6 3" xfId="385"/>
    <cellStyle name="Финансовый 7" xfId="320"/>
    <cellStyle name="Финансовый 7 2" xfId="321"/>
    <cellStyle name="Финансовый 7 2 2" xfId="387"/>
    <cellStyle name="Финансовый 8" xfId="322"/>
    <cellStyle name="Финансовый 8 2" xfId="388"/>
    <cellStyle name="Финансовый 9" xfId="323"/>
    <cellStyle name="Финансовый 9 2" xfId="389"/>
    <cellStyle name="Формула" xfId="324"/>
    <cellStyle name="Хороший 2" xfId="325"/>
    <cellStyle name="Џђћ–…ќ’ќ›‰" xfId="326"/>
    <cellStyle name="Џђћ–…ќ’ќ›‰ 2" xfId="327"/>
    <cellStyle name="Џђћ–…ќ’ќ›‰ 2 2" xfId="328"/>
    <cellStyle name="Џђћ–…ќ’ќ›‰ 2 2 2" xfId="392"/>
    <cellStyle name="Џђћ–…ќ’ќ›‰ 2 3" xfId="391"/>
    <cellStyle name="Џђћ–…ќ’ќ›‰ 3" xfId="329"/>
    <cellStyle name="Џђћ–…ќ’ќ›‰ 3 2" xfId="330"/>
    <cellStyle name="Џђћ–…ќ’ќ›‰ 3 2 2" xfId="393"/>
    <cellStyle name="Џђћ–…ќ’ќ›‰ 4" xfId="331"/>
    <cellStyle name="Џђћ–…ќ’ќ›‰ 5" xfId="332"/>
    <cellStyle name="Џђћ–…ќ’ќ›‰ 5 2" xfId="394"/>
    <cellStyle name="Џђћ–…ќ’ќ›‰ 6" xfId="39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rsk.rao-esv.ru\Documents%20and%20Settings\&#1055;&#1086;&#1083;&#1100;&#1079;&#1086;&#1074;&#1072;&#1090;&#1077;&#1083;&#1100;\Local%20Settings\Application%20Data\Opera\Opera\temporary_downloads\&#1042;&#1069;&#1057;\&#1056;&#1069;&#1050;%20&#1060;&#1072;&#1082;&#1090;&#1080;&#1095;&#1077;&#1089;&#1082;&#1080;&#1077;%20&#1079;&#1072;&#1090;&#1088;&#1072;&#1090;&#1099;%20&#1087;&#1086;%20&#1058;&#1055;&#1088;%202014%20&#1042;&#1069;&#1057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ireenko_tv/Desktop/hfcrhd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ireenko_tv/Desktop/&#1055;&#1088;&#1080;&#1083;&#1086;&#1078;&#1077;&#1085;&#1080;&#1103;%202-3%20&#1082;%20&#1052;&#105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акт затраты"/>
      <sheetName val="Удельная себестоимость"/>
      <sheetName val="вспомогательная таблица"/>
    </sheetNames>
    <sheetDataSet>
      <sheetData sheetId="0" refreshError="1"/>
      <sheetData sheetId="1" refreshError="1"/>
      <sheetData sheetId="2">
        <row r="5">
          <cell r="K5" t="str">
            <v>Одножильные</v>
          </cell>
        </row>
        <row r="6">
          <cell r="K6" t="str">
            <v>Многожильные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"/>
      <sheetName val="4"/>
      <sheetName val="6"/>
    </sheetNames>
    <sheetDataSet>
      <sheetData sheetId="0">
        <row r="24">
          <cell r="D24">
            <v>2819.1</v>
          </cell>
        </row>
        <row r="25">
          <cell r="D25">
            <v>1564.75</v>
          </cell>
        </row>
        <row r="27">
          <cell r="D27">
            <v>4478.6339889292558</v>
          </cell>
        </row>
        <row r="28">
          <cell r="D28">
            <v>1564.75</v>
          </cell>
        </row>
      </sheetData>
      <sheetData sheetId="1"/>
      <sheetData sheetId="2">
        <row r="36">
          <cell r="E36">
            <v>28.176277702702698</v>
          </cell>
        </row>
        <row r="39">
          <cell r="E39">
            <v>16.850676705882353</v>
          </cell>
        </row>
        <row r="41">
          <cell r="E41">
            <v>19.359153768115942</v>
          </cell>
        </row>
        <row r="44">
          <cell r="E44">
            <v>4.4839047685683528</v>
          </cell>
        </row>
        <row r="48">
          <cell r="E48">
            <v>5.6488264259335246</v>
          </cell>
        </row>
        <row r="51">
          <cell r="E51">
            <v>19.685007617647059</v>
          </cell>
        </row>
        <row r="53">
          <cell r="E53">
            <v>6.6537599999999992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счет ставки платы"/>
      <sheetName val="расчет станд. ставки- с1"/>
      <sheetName val="прил.2 к МУ"/>
      <sheetName val="прил.3 к МУ"/>
      <sheetName val="2014"/>
      <sheetName val="2015"/>
      <sheetName val="2016"/>
      <sheetName val="по приказу 585-2016-2015"/>
      <sheetName val="по приказу 585-2017-2016"/>
      <sheetName val="ипц"/>
    </sheetNames>
    <sheetDataSet>
      <sheetData sheetId="0"/>
      <sheetData sheetId="1"/>
      <sheetData sheetId="2"/>
      <sheetData sheetId="3">
        <row r="6">
          <cell r="C6">
            <v>31786025.760444984</v>
          </cell>
          <cell r="D6">
            <v>35874864.568175092</v>
          </cell>
          <cell r="E6">
            <v>48700337.129059494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doc@eao.drsk.ru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H40"/>
  <sheetViews>
    <sheetView workbookViewId="0">
      <selection activeCell="N16" sqref="N16"/>
    </sheetView>
  </sheetViews>
  <sheetFormatPr defaultColWidth="9.140625" defaultRowHeight="15"/>
  <cols>
    <col min="1" max="1" width="35.28515625" style="98" customWidth="1"/>
    <col min="2" max="2" width="6.7109375" style="98" customWidth="1"/>
    <col min="3" max="7" width="9.140625" style="98"/>
    <col min="8" max="8" width="27.28515625" style="98" customWidth="1"/>
    <col min="9" max="256" width="9.140625" style="98"/>
    <col min="257" max="257" width="35.28515625" style="98" customWidth="1"/>
    <col min="258" max="258" width="6.7109375" style="98" customWidth="1"/>
    <col min="259" max="263" width="9.140625" style="98"/>
    <col min="264" max="264" width="27.28515625" style="98" customWidth="1"/>
    <col min="265" max="512" width="9.140625" style="98"/>
    <col min="513" max="513" width="35.28515625" style="98" customWidth="1"/>
    <col min="514" max="514" width="6.7109375" style="98" customWidth="1"/>
    <col min="515" max="519" width="9.140625" style="98"/>
    <col min="520" max="520" width="27.28515625" style="98" customWidth="1"/>
    <col min="521" max="768" width="9.140625" style="98"/>
    <col min="769" max="769" width="35.28515625" style="98" customWidth="1"/>
    <col min="770" max="770" width="6.7109375" style="98" customWidth="1"/>
    <col min="771" max="775" width="9.140625" style="98"/>
    <col min="776" max="776" width="27.28515625" style="98" customWidth="1"/>
    <col min="777" max="1024" width="9.140625" style="98"/>
    <col min="1025" max="1025" width="35.28515625" style="98" customWidth="1"/>
    <col min="1026" max="1026" width="6.7109375" style="98" customWidth="1"/>
    <col min="1027" max="1031" width="9.140625" style="98"/>
    <col min="1032" max="1032" width="27.28515625" style="98" customWidth="1"/>
    <col min="1033" max="1280" width="9.140625" style="98"/>
    <col min="1281" max="1281" width="35.28515625" style="98" customWidth="1"/>
    <col min="1282" max="1282" width="6.7109375" style="98" customWidth="1"/>
    <col min="1283" max="1287" width="9.140625" style="98"/>
    <col min="1288" max="1288" width="27.28515625" style="98" customWidth="1"/>
    <col min="1289" max="1536" width="9.140625" style="98"/>
    <col min="1537" max="1537" width="35.28515625" style="98" customWidth="1"/>
    <col min="1538" max="1538" width="6.7109375" style="98" customWidth="1"/>
    <col min="1539" max="1543" width="9.140625" style="98"/>
    <col min="1544" max="1544" width="27.28515625" style="98" customWidth="1"/>
    <col min="1545" max="1792" width="9.140625" style="98"/>
    <col min="1793" max="1793" width="35.28515625" style="98" customWidth="1"/>
    <col min="1794" max="1794" width="6.7109375" style="98" customWidth="1"/>
    <col min="1795" max="1799" width="9.140625" style="98"/>
    <col min="1800" max="1800" width="27.28515625" style="98" customWidth="1"/>
    <col min="1801" max="2048" width="9.140625" style="98"/>
    <col min="2049" max="2049" width="35.28515625" style="98" customWidth="1"/>
    <col min="2050" max="2050" width="6.7109375" style="98" customWidth="1"/>
    <col min="2051" max="2055" width="9.140625" style="98"/>
    <col min="2056" max="2056" width="27.28515625" style="98" customWidth="1"/>
    <col min="2057" max="2304" width="9.140625" style="98"/>
    <col min="2305" max="2305" width="35.28515625" style="98" customWidth="1"/>
    <col min="2306" max="2306" width="6.7109375" style="98" customWidth="1"/>
    <col min="2307" max="2311" width="9.140625" style="98"/>
    <col min="2312" max="2312" width="27.28515625" style="98" customWidth="1"/>
    <col min="2313" max="2560" width="9.140625" style="98"/>
    <col min="2561" max="2561" width="35.28515625" style="98" customWidth="1"/>
    <col min="2562" max="2562" width="6.7109375" style="98" customWidth="1"/>
    <col min="2563" max="2567" width="9.140625" style="98"/>
    <col min="2568" max="2568" width="27.28515625" style="98" customWidth="1"/>
    <col min="2569" max="2816" width="9.140625" style="98"/>
    <col min="2817" max="2817" width="35.28515625" style="98" customWidth="1"/>
    <col min="2818" max="2818" width="6.7109375" style="98" customWidth="1"/>
    <col min="2819" max="2823" width="9.140625" style="98"/>
    <col min="2824" max="2824" width="27.28515625" style="98" customWidth="1"/>
    <col min="2825" max="3072" width="9.140625" style="98"/>
    <col min="3073" max="3073" width="35.28515625" style="98" customWidth="1"/>
    <col min="3074" max="3074" width="6.7109375" style="98" customWidth="1"/>
    <col min="3075" max="3079" width="9.140625" style="98"/>
    <col min="3080" max="3080" width="27.28515625" style="98" customWidth="1"/>
    <col min="3081" max="3328" width="9.140625" style="98"/>
    <col min="3329" max="3329" width="35.28515625" style="98" customWidth="1"/>
    <col min="3330" max="3330" width="6.7109375" style="98" customWidth="1"/>
    <col min="3331" max="3335" width="9.140625" style="98"/>
    <col min="3336" max="3336" width="27.28515625" style="98" customWidth="1"/>
    <col min="3337" max="3584" width="9.140625" style="98"/>
    <col min="3585" max="3585" width="35.28515625" style="98" customWidth="1"/>
    <col min="3586" max="3586" width="6.7109375" style="98" customWidth="1"/>
    <col min="3587" max="3591" width="9.140625" style="98"/>
    <col min="3592" max="3592" width="27.28515625" style="98" customWidth="1"/>
    <col min="3593" max="3840" width="9.140625" style="98"/>
    <col min="3841" max="3841" width="35.28515625" style="98" customWidth="1"/>
    <col min="3842" max="3842" width="6.7109375" style="98" customWidth="1"/>
    <col min="3843" max="3847" width="9.140625" style="98"/>
    <col min="3848" max="3848" width="27.28515625" style="98" customWidth="1"/>
    <col min="3849" max="4096" width="9.140625" style="98"/>
    <col min="4097" max="4097" width="35.28515625" style="98" customWidth="1"/>
    <col min="4098" max="4098" width="6.7109375" style="98" customWidth="1"/>
    <col min="4099" max="4103" width="9.140625" style="98"/>
    <col min="4104" max="4104" width="27.28515625" style="98" customWidth="1"/>
    <col min="4105" max="4352" width="9.140625" style="98"/>
    <col min="4353" max="4353" width="35.28515625" style="98" customWidth="1"/>
    <col min="4354" max="4354" width="6.7109375" style="98" customWidth="1"/>
    <col min="4355" max="4359" width="9.140625" style="98"/>
    <col min="4360" max="4360" width="27.28515625" style="98" customWidth="1"/>
    <col min="4361" max="4608" width="9.140625" style="98"/>
    <col min="4609" max="4609" width="35.28515625" style="98" customWidth="1"/>
    <col min="4610" max="4610" width="6.7109375" style="98" customWidth="1"/>
    <col min="4611" max="4615" width="9.140625" style="98"/>
    <col min="4616" max="4616" width="27.28515625" style="98" customWidth="1"/>
    <col min="4617" max="4864" width="9.140625" style="98"/>
    <col min="4865" max="4865" width="35.28515625" style="98" customWidth="1"/>
    <col min="4866" max="4866" width="6.7109375" style="98" customWidth="1"/>
    <col min="4867" max="4871" width="9.140625" style="98"/>
    <col min="4872" max="4872" width="27.28515625" style="98" customWidth="1"/>
    <col min="4873" max="5120" width="9.140625" style="98"/>
    <col min="5121" max="5121" width="35.28515625" style="98" customWidth="1"/>
    <col min="5122" max="5122" width="6.7109375" style="98" customWidth="1"/>
    <col min="5123" max="5127" width="9.140625" style="98"/>
    <col min="5128" max="5128" width="27.28515625" style="98" customWidth="1"/>
    <col min="5129" max="5376" width="9.140625" style="98"/>
    <col min="5377" max="5377" width="35.28515625" style="98" customWidth="1"/>
    <col min="5378" max="5378" width="6.7109375" style="98" customWidth="1"/>
    <col min="5379" max="5383" width="9.140625" style="98"/>
    <col min="5384" max="5384" width="27.28515625" style="98" customWidth="1"/>
    <col min="5385" max="5632" width="9.140625" style="98"/>
    <col min="5633" max="5633" width="35.28515625" style="98" customWidth="1"/>
    <col min="5634" max="5634" width="6.7109375" style="98" customWidth="1"/>
    <col min="5635" max="5639" width="9.140625" style="98"/>
    <col min="5640" max="5640" width="27.28515625" style="98" customWidth="1"/>
    <col min="5641" max="5888" width="9.140625" style="98"/>
    <col min="5889" max="5889" width="35.28515625" style="98" customWidth="1"/>
    <col min="5890" max="5890" width="6.7109375" style="98" customWidth="1"/>
    <col min="5891" max="5895" width="9.140625" style="98"/>
    <col min="5896" max="5896" width="27.28515625" style="98" customWidth="1"/>
    <col min="5897" max="6144" width="9.140625" style="98"/>
    <col min="6145" max="6145" width="35.28515625" style="98" customWidth="1"/>
    <col min="6146" max="6146" width="6.7109375" style="98" customWidth="1"/>
    <col min="6147" max="6151" width="9.140625" style="98"/>
    <col min="6152" max="6152" width="27.28515625" style="98" customWidth="1"/>
    <col min="6153" max="6400" width="9.140625" style="98"/>
    <col min="6401" max="6401" width="35.28515625" style="98" customWidth="1"/>
    <col min="6402" max="6402" width="6.7109375" style="98" customWidth="1"/>
    <col min="6403" max="6407" width="9.140625" style="98"/>
    <col min="6408" max="6408" width="27.28515625" style="98" customWidth="1"/>
    <col min="6409" max="6656" width="9.140625" style="98"/>
    <col min="6657" max="6657" width="35.28515625" style="98" customWidth="1"/>
    <col min="6658" max="6658" width="6.7109375" style="98" customWidth="1"/>
    <col min="6659" max="6663" width="9.140625" style="98"/>
    <col min="6664" max="6664" width="27.28515625" style="98" customWidth="1"/>
    <col min="6665" max="6912" width="9.140625" style="98"/>
    <col min="6913" max="6913" width="35.28515625" style="98" customWidth="1"/>
    <col min="6914" max="6914" width="6.7109375" style="98" customWidth="1"/>
    <col min="6915" max="6919" width="9.140625" style="98"/>
    <col min="6920" max="6920" width="27.28515625" style="98" customWidth="1"/>
    <col min="6921" max="7168" width="9.140625" style="98"/>
    <col min="7169" max="7169" width="35.28515625" style="98" customWidth="1"/>
    <col min="7170" max="7170" width="6.7109375" style="98" customWidth="1"/>
    <col min="7171" max="7175" width="9.140625" style="98"/>
    <col min="7176" max="7176" width="27.28515625" style="98" customWidth="1"/>
    <col min="7177" max="7424" width="9.140625" style="98"/>
    <col min="7425" max="7425" width="35.28515625" style="98" customWidth="1"/>
    <col min="7426" max="7426" width="6.7109375" style="98" customWidth="1"/>
    <col min="7427" max="7431" width="9.140625" style="98"/>
    <col min="7432" max="7432" width="27.28515625" style="98" customWidth="1"/>
    <col min="7433" max="7680" width="9.140625" style="98"/>
    <col min="7681" max="7681" width="35.28515625" style="98" customWidth="1"/>
    <col min="7682" max="7682" width="6.7109375" style="98" customWidth="1"/>
    <col min="7683" max="7687" width="9.140625" style="98"/>
    <col min="7688" max="7688" width="27.28515625" style="98" customWidth="1"/>
    <col min="7689" max="7936" width="9.140625" style="98"/>
    <col min="7937" max="7937" width="35.28515625" style="98" customWidth="1"/>
    <col min="7938" max="7938" width="6.7109375" style="98" customWidth="1"/>
    <col min="7939" max="7943" width="9.140625" style="98"/>
    <col min="7944" max="7944" width="27.28515625" style="98" customWidth="1"/>
    <col min="7945" max="8192" width="9.140625" style="98"/>
    <col min="8193" max="8193" width="35.28515625" style="98" customWidth="1"/>
    <col min="8194" max="8194" width="6.7109375" style="98" customWidth="1"/>
    <col min="8195" max="8199" width="9.140625" style="98"/>
    <col min="8200" max="8200" width="27.28515625" style="98" customWidth="1"/>
    <col min="8201" max="8448" width="9.140625" style="98"/>
    <col min="8449" max="8449" width="35.28515625" style="98" customWidth="1"/>
    <col min="8450" max="8450" width="6.7109375" style="98" customWidth="1"/>
    <col min="8451" max="8455" width="9.140625" style="98"/>
    <col min="8456" max="8456" width="27.28515625" style="98" customWidth="1"/>
    <col min="8457" max="8704" width="9.140625" style="98"/>
    <col min="8705" max="8705" width="35.28515625" style="98" customWidth="1"/>
    <col min="8706" max="8706" width="6.7109375" style="98" customWidth="1"/>
    <col min="8707" max="8711" width="9.140625" style="98"/>
    <col min="8712" max="8712" width="27.28515625" style="98" customWidth="1"/>
    <col min="8713" max="8960" width="9.140625" style="98"/>
    <col min="8961" max="8961" width="35.28515625" style="98" customWidth="1"/>
    <col min="8962" max="8962" width="6.7109375" style="98" customWidth="1"/>
    <col min="8963" max="8967" width="9.140625" style="98"/>
    <col min="8968" max="8968" width="27.28515625" style="98" customWidth="1"/>
    <col min="8969" max="9216" width="9.140625" style="98"/>
    <col min="9217" max="9217" width="35.28515625" style="98" customWidth="1"/>
    <col min="9218" max="9218" width="6.7109375" style="98" customWidth="1"/>
    <col min="9219" max="9223" width="9.140625" style="98"/>
    <col min="9224" max="9224" width="27.28515625" style="98" customWidth="1"/>
    <col min="9225" max="9472" width="9.140625" style="98"/>
    <col min="9473" max="9473" width="35.28515625" style="98" customWidth="1"/>
    <col min="9474" max="9474" width="6.7109375" style="98" customWidth="1"/>
    <col min="9475" max="9479" width="9.140625" style="98"/>
    <col min="9480" max="9480" width="27.28515625" style="98" customWidth="1"/>
    <col min="9481" max="9728" width="9.140625" style="98"/>
    <col min="9729" max="9729" width="35.28515625" style="98" customWidth="1"/>
    <col min="9730" max="9730" width="6.7109375" style="98" customWidth="1"/>
    <col min="9731" max="9735" width="9.140625" style="98"/>
    <col min="9736" max="9736" width="27.28515625" style="98" customWidth="1"/>
    <col min="9737" max="9984" width="9.140625" style="98"/>
    <col min="9985" max="9985" width="35.28515625" style="98" customWidth="1"/>
    <col min="9986" max="9986" width="6.7109375" style="98" customWidth="1"/>
    <col min="9987" max="9991" width="9.140625" style="98"/>
    <col min="9992" max="9992" width="27.28515625" style="98" customWidth="1"/>
    <col min="9993" max="10240" width="9.140625" style="98"/>
    <col min="10241" max="10241" width="35.28515625" style="98" customWidth="1"/>
    <col min="10242" max="10242" width="6.7109375" style="98" customWidth="1"/>
    <col min="10243" max="10247" width="9.140625" style="98"/>
    <col min="10248" max="10248" width="27.28515625" style="98" customWidth="1"/>
    <col min="10249" max="10496" width="9.140625" style="98"/>
    <col min="10497" max="10497" width="35.28515625" style="98" customWidth="1"/>
    <col min="10498" max="10498" width="6.7109375" style="98" customWidth="1"/>
    <col min="10499" max="10503" width="9.140625" style="98"/>
    <col min="10504" max="10504" width="27.28515625" style="98" customWidth="1"/>
    <col min="10505" max="10752" width="9.140625" style="98"/>
    <col min="10753" max="10753" width="35.28515625" style="98" customWidth="1"/>
    <col min="10754" max="10754" width="6.7109375" style="98" customWidth="1"/>
    <col min="10755" max="10759" width="9.140625" style="98"/>
    <col min="10760" max="10760" width="27.28515625" style="98" customWidth="1"/>
    <col min="10761" max="11008" width="9.140625" style="98"/>
    <col min="11009" max="11009" width="35.28515625" style="98" customWidth="1"/>
    <col min="11010" max="11010" width="6.7109375" style="98" customWidth="1"/>
    <col min="11011" max="11015" width="9.140625" style="98"/>
    <col min="11016" max="11016" width="27.28515625" style="98" customWidth="1"/>
    <col min="11017" max="11264" width="9.140625" style="98"/>
    <col min="11265" max="11265" width="35.28515625" style="98" customWidth="1"/>
    <col min="11266" max="11266" width="6.7109375" style="98" customWidth="1"/>
    <col min="11267" max="11271" width="9.140625" style="98"/>
    <col min="11272" max="11272" width="27.28515625" style="98" customWidth="1"/>
    <col min="11273" max="11520" width="9.140625" style="98"/>
    <col min="11521" max="11521" width="35.28515625" style="98" customWidth="1"/>
    <col min="11522" max="11522" width="6.7109375" style="98" customWidth="1"/>
    <col min="11523" max="11527" width="9.140625" style="98"/>
    <col min="11528" max="11528" width="27.28515625" style="98" customWidth="1"/>
    <col min="11529" max="11776" width="9.140625" style="98"/>
    <col min="11777" max="11777" width="35.28515625" style="98" customWidth="1"/>
    <col min="11778" max="11778" width="6.7109375" style="98" customWidth="1"/>
    <col min="11779" max="11783" width="9.140625" style="98"/>
    <col min="11784" max="11784" width="27.28515625" style="98" customWidth="1"/>
    <col min="11785" max="12032" width="9.140625" style="98"/>
    <col min="12033" max="12033" width="35.28515625" style="98" customWidth="1"/>
    <col min="12034" max="12034" width="6.7109375" style="98" customWidth="1"/>
    <col min="12035" max="12039" width="9.140625" style="98"/>
    <col min="12040" max="12040" width="27.28515625" style="98" customWidth="1"/>
    <col min="12041" max="12288" width="9.140625" style="98"/>
    <col min="12289" max="12289" width="35.28515625" style="98" customWidth="1"/>
    <col min="12290" max="12290" width="6.7109375" style="98" customWidth="1"/>
    <col min="12291" max="12295" width="9.140625" style="98"/>
    <col min="12296" max="12296" width="27.28515625" style="98" customWidth="1"/>
    <col min="12297" max="12544" width="9.140625" style="98"/>
    <col min="12545" max="12545" width="35.28515625" style="98" customWidth="1"/>
    <col min="12546" max="12546" width="6.7109375" style="98" customWidth="1"/>
    <col min="12547" max="12551" width="9.140625" style="98"/>
    <col min="12552" max="12552" width="27.28515625" style="98" customWidth="1"/>
    <col min="12553" max="12800" width="9.140625" style="98"/>
    <col min="12801" max="12801" width="35.28515625" style="98" customWidth="1"/>
    <col min="12802" max="12802" width="6.7109375" style="98" customWidth="1"/>
    <col min="12803" max="12807" width="9.140625" style="98"/>
    <col min="12808" max="12808" width="27.28515625" style="98" customWidth="1"/>
    <col min="12809" max="13056" width="9.140625" style="98"/>
    <col min="13057" max="13057" width="35.28515625" style="98" customWidth="1"/>
    <col min="13058" max="13058" width="6.7109375" style="98" customWidth="1"/>
    <col min="13059" max="13063" width="9.140625" style="98"/>
    <col min="13064" max="13064" width="27.28515625" style="98" customWidth="1"/>
    <col min="13065" max="13312" width="9.140625" style="98"/>
    <col min="13313" max="13313" width="35.28515625" style="98" customWidth="1"/>
    <col min="13314" max="13314" width="6.7109375" style="98" customWidth="1"/>
    <col min="13315" max="13319" width="9.140625" style="98"/>
    <col min="13320" max="13320" width="27.28515625" style="98" customWidth="1"/>
    <col min="13321" max="13568" width="9.140625" style="98"/>
    <col min="13569" max="13569" width="35.28515625" style="98" customWidth="1"/>
    <col min="13570" max="13570" width="6.7109375" style="98" customWidth="1"/>
    <col min="13571" max="13575" width="9.140625" style="98"/>
    <col min="13576" max="13576" width="27.28515625" style="98" customWidth="1"/>
    <col min="13577" max="13824" width="9.140625" style="98"/>
    <col min="13825" max="13825" width="35.28515625" style="98" customWidth="1"/>
    <col min="13826" max="13826" width="6.7109375" style="98" customWidth="1"/>
    <col min="13827" max="13831" width="9.140625" style="98"/>
    <col min="13832" max="13832" width="27.28515625" style="98" customWidth="1"/>
    <col min="13833" max="14080" width="9.140625" style="98"/>
    <col min="14081" max="14081" width="35.28515625" style="98" customWidth="1"/>
    <col min="14082" max="14082" width="6.7109375" style="98" customWidth="1"/>
    <col min="14083" max="14087" width="9.140625" style="98"/>
    <col min="14088" max="14088" width="27.28515625" style="98" customWidth="1"/>
    <col min="14089" max="14336" width="9.140625" style="98"/>
    <col min="14337" max="14337" width="35.28515625" style="98" customWidth="1"/>
    <col min="14338" max="14338" width="6.7109375" style="98" customWidth="1"/>
    <col min="14339" max="14343" width="9.140625" style="98"/>
    <col min="14344" max="14344" width="27.28515625" style="98" customWidth="1"/>
    <col min="14345" max="14592" width="9.140625" style="98"/>
    <col min="14593" max="14593" width="35.28515625" style="98" customWidth="1"/>
    <col min="14594" max="14594" width="6.7109375" style="98" customWidth="1"/>
    <col min="14595" max="14599" width="9.140625" style="98"/>
    <col min="14600" max="14600" width="27.28515625" style="98" customWidth="1"/>
    <col min="14601" max="14848" width="9.140625" style="98"/>
    <col min="14849" max="14849" width="35.28515625" style="98" customWidth="1"/>
    <col min="14850" max="14850" width="6.7109375" style="98" customWidth="1"/>
    <col min="14851" max="14855" width="9.140625" style="98"/>
    <col min="14856" max="14856" width="27.28515625" style="98" customWidth="1"/>
    <col min="14857" max="15104" width="9.140625" style="98"/>
    <col min="15105" max="15105" width="35.28515625" style="98" customWidth="1"/>
    <col min="15106" max="15106" width="6.7109375" style="98" customWidth="1"/>
    <col min="15107" max="15111" width="9.140625" style="98"/>
    <col min="15112" max="15112" width="27.28515625" style="98" customWidth="1"/>
    <col min="15113" max="15360" width="9.140625" style="98"/>
    <col min="15361" max="15361" width="35.28515625" style="98" customWidth="1"/>
    <col min="15362" max="15362" width="6.7109375" style="98" customWidth="1"/>
    <col min="15363" max="15367" width="9.140625" style="98"/>
    <col min="15368" max="15368" width="27.28515625" style="98" customWidth="1"/>
    <col min="15369" max="15616" width="9.140625" style="98"/>
    <col min="15617" max="15617" width="35.28515625" style="98" customWidth="1"/>
    <col min="15618" max="15618" width="6.7109375" style="98" customWidth="1"/>
    <col min="15619" max="15623" width="9.140625" style="98"/>
    <col min="15624" max="15624" width="27.28515625" style="98" customWidth="1"/>
    <col min="15625" max="15872" width="9.140625" style="98"/>
    <col min="15873" max="15873" width="35.28515625" style="98" customWidth="1"/>
    <col min="15874" max="15874" width="6.7109375" style="98" customWidth="1"/>
    <col min="15875" max="15879" width="9.140625" style="98"/>
    <col min="15880" max="15880" width="27.28515625" style="98" customWidth="1"/>
    <col min="15881" max="16128" width="9.140625" style="98"/>
    <col min="16129" max="16129" width="35.28515625" style="98" customWidth="1"/>
    <col min="16130" max="16130" width="6.7109375" style="98" customWidth="1"/>
    <col min="16131" max="16135" width="9.140625" style="98"/>
    <col min="16136" max="16136" width="27.28515625" style="98" customWidth="1"/>
    <col min="16137" max="16384" width="9.140625" style="98"/>
  </cols>
  <sheetData>
    <row r="1" spans="1:8" ht="22.5" customHeight="1">
      <c r="A1" s="97"/>
      <c r="B1" s="97"/>
      <c r="C1" s="97"/>
      <c r="D1" s="97"/>
      <c r="E1" s="97"/>
      <c r="F1" s="97"/>
      <c r="G1" s="373" t="s">
        <v>159</v>
      </c>
      <c r="H1" s="373"/>
    </row>
    <row r="2" spans="1:8" ht="51.75" customHeight="1">
      <c r="A2" s="97"/>
      <c r="B2" s="97"/>
      <c r="C2" s="97"/>
      <c r="D2" s="97"/>
      <c r="E2" s="97"/>
      <c r="F2" s="97"/>
      <c r="G2" s="374" t="s">
        <v>68</v>
      </c>
      <c r="H2" s="374"/>
    </row>
    <row r="3" spans="1:8" ht="17.25" customHeight="1">
      <c r="A3" s="97"/>
      <c r="B3" s="97"/>
      <c r="C3" s="97"/>
      <c r="D3" s="97"/>
      <c r="E3" s="97"/>
      <c r="F3" s="97"/>
      <c r="G3" s="375"/>
      <c r="H3" s="375"/>
    </row>
    <row r="4" spans="1:8" ht="17.25" customHeight="1">
      <c r="A4" s="97"/>
      <c r="B4" s="97"/>
      <c r="C4" s="97"/>
      <c r="D4" s="97"/>
      <c r="E4" s="97"/>
      <c r="F4" s="97"/>
      <c r="G4" s="374" t="s">
        <v>69</v>
      </c>
      <c r="H4" s="374"/>
    </row>
    <row r="5" spans="1:8" ht="15" customHeight="1">
      <c r="A5" s="99"/>
      <c r="B5" s="99"/>
      <c r="C5" s="99"/>
      <c r="D5" s="99"/>
      <c r="E5" s="99"/>
      <c r="F5" s="99"/>
      <c r="G5" s="376" t="s">
        <v>70</v>
      </c>
      <c r="H5" s="376"/>
    </row>
    <row r="6" spans="1:8" ht="16.5">
      <c r="A6" s="372" t="s">
        <v>160</v>
      </c>
      <c r="B6" s="372"/>
      <c r="C6" s="372"/>
      <c r="D6" s="372"/>
      <c r="E6" s="372"/>
      <c r="F6" s="372"/>
      <c r="G6" s="372"/>
      <c r="H6" s="372"/>
    </row>
    <row r="7" spans="1:8" ht="16.5">
      <c r="A7" s="372" t="s">
        <v>161</v>
      </c>
      <c r="B7" s="372"/>
      <c r="C7" s="372"/>
      <c r="D7" s="372"/>
      <c r="E7" s="372"/>
      <c r="F7" s="372"/>
      <c r="G7" s="372"/>
      <c r="H7" s="372"/>
    </row>
    <row r="8" spans="1:8" ht="16.5">
      <c r="A8" s="377" t="s">
        <v>162</v>
      </c>
      <c r="B8" s="372"/>
      <c r="C8" s="372"/>
      <c r="D8" s="372"/>
      <c r="E8" s="372"/>
      <c r="F8" s="372"/>
      <c r="G8" s="372"/>
      <c r="H8" s="372"/>
    </row>
    <row r="9" spans="1:8" ht="16.5">
      <c r="A9" s="372" t="s">
        <v>163</v>
      </c>
      <c r="B9" s="372"/>
      <c r="C9" s="372"/>
      <c r="D9" s="372"/>
      <c r="E9" s="372"/>
      <c r="F9" s="372"/>
      <c r="G9" s="99"/>
      <c r="H9" s="99"/>
    </row>
    <row r="10" spans="1:8" s="100" customFormat="1" ht="16.5">
      <c r="A10" s="99"/>
      <c r="B10" s="99"/>
      <c r="C10" s="99"/>
      <c r="D10" s="99"/>
      <c r="E10" s="99"/>
      <c r="F10" s="99"/>
      <c r="G10" s="99"/>
      <c r="H10" s="99"/>
    </row>
    <row r="11" spans="1:8" s="100" customFormat="1" ht="68.45" customHeight="1">
      <c r="A11" s="101" t="s">
        <v>164</v>
      </c>
      <c r="B11" s="99"/>
      <c r="C11" s="99"/>
      <c r="D11" s="378" t="s">
        <v>165</v>
      </c>
      <c r="E11" s="378"/>
      <c r="F11" s="378"/>
      <c r="G11" s="378"/>
      <c r="H11" s="378"/>
    </row>
    <row r="12" spans="1:8" s="100" customFormat="1" ht="23.45" customHeight="1">
      <c r="A12" s="101" t="s">
        <v>166</v>
      </c>
      <c r="B12" s="99"/>
      <c r="C12" s="99"/>
      <c r="D12" s="102" t="s">
        <v>167</v>
      </c>
      <c r="E12" s="102"/>
      <c r="F12" s="102"/>
      <c r="G12" s="102"/>
      <c r="H12" s="102"/>
    </row>
    <row r="13" spans="1:8" s="103" customFormat="1" ht="55.15" customHeight="1">
      <c r="A13" s="379" t="s">
        <v>168</v>
      </c>
      <c r="B13" s="379"/>
      <c r="C13" s="379"/>
      <c r="D13" s="378" t="s">
        <v>169</v>
      </c>
      <c r="E13" s="378"/>
      <c r="F13" s="378"/>
      <c r="G13" s="378"/>
      <c r="H13" s="378"/>
    </row>
    <row r="14" spans="1:8" s="103" customFormat="1" ht="36.6" customHeight="1">
      <c r="A14" s="101" t="s">
        <v>170</v>
      </c>
      <c r="B14" s="99"/>
      <c r="C14" s="99"/>
      <c r="D14" s="378" t="s">
        <v>171</v>
      </c>
      <c r="E14" s="378"/>
      <c r="F14" s="378"/>
      <c r="G14" s="378"/>
      <c r="H14" s="378"/>
    </row>
    <row r="15" spans="1:8" s="103" customFormat="1" ht="23.45" customHeight="1">
      <c r="A15" s="99" t="s">
        <v>172</v>
      </c>
      <c r="B15" s="104"/>
      <c r="C15" s="105"/>
      <c r="D15" s="380">
        <v>2801108200</v>
      </c>
      <c r="E15" s="380"/>
      <c r="F15" s="106"/>
      <c r="G15" s="106"/>
      <c r="H15" s="106"/>
    </row>
    <row r="16" spans="1:8" s="103" customFormat="1" ht="24.6" customHeight="1">
      <c r="A16" s="99" t="s">
        <v>173</v>
      </c>
      <c r="B16" s="104"/>
      <c r="C16" s="105"/>
      <c r="D16" s="381" t="s">
        <v>174</v>
      </c>
      <c r="E16" s="382"/>
      <c r="F16" s="102"/>
      <c r="G16" s="102"/>
      <c r="H16" s="102"/>
    </row>
    <row r="17" spans="1:8" s="107" customFormat="1" ht="22.9" customHeight="1">
      <c r="A17" s="99" t="s">
        <v>175</v>
      </c>
      <c r="B17" s="99"/>
      <c r="C17" s="99"/>
      <c r="D17" s="102" t="s">
        <v>176</v>
      </c>
      <c r="E17" s="102"/>
      <c r="F17" s="102"/>
      <c r="G17" s="102"/>
      <c r="H17" s="102"/>
    </row>
    <row r="18" spans="1:8" s="107" customFormat="1" ht="23.45" customHeight="1">
      <c r="A18" s="99" t="s">
        <v>177</v>
      </c>
      <c r="B18" s="99"/>
      <c r="C18" s="99"/>
      <c r="D18" s="108" t="s">
        <v>178</v>
      </c>
      <c r="E18" s="102"/>
      <c r="F18" s="102"/>
      <c r="G18" s="102"/>
      <c r="H18" s="102"/>
    </row>
    <row r="19" spans="1:8" s="107" customFormat="1" ht="26.45" customHeight="1">
      <c r="A19" s="99" t="s">
        <v>179</v>
      </c>
      <c r="B19" s="99"/>
      <c r="C19" s="99"/>
      <c r="D19" s="383" t="s">
        <v>180</v>
      </c>
      <c r="E19" s="383"/>
      <c r="F19" s="102"/>
      <c r="G19" s="102"/>
      <c r="H19" s="102"/>
    </row>
    <row r="20" spans="1:8" s="107" customFormat="1" ht="22.15" customHeight="1">
      <c r="A20" s="99" t="s">
        <v>181</v>
      </c>
      <c r="B20" s="105"/>
      <c r="C20" s="105"/>
      <c r="D20" s="384" t="s">
        <v>180</v>
      </c>
      <c r="E20" s="384"/>
      <c r="F20" s="106"/>
      <c r="G20" s="106"/>
      <c r="H20" s="106"/>
    </row>
    <row r="21" spans="1:8" s="109" customFormat="1" ht="136.5" customHeight="1">
      <c r="A21" s="97"/>
      <c r="B21" s="97"/>
      <c r="C21" s="97"/>
      <c r="D21" s="97"/>
      <c r="E21" s="97"/>
      <c r="F21" s="97"/>
      <c r="G21" s="97"/>
      <c r="H21" s="97"/>
    </row>
    <row r="22" spans="1:8" s="109" customFormat="1" ht="52.5" customHeight="1"/>
    <row r="23" spans="1:8" s="109" customFormat="1" ht="52.5" customHeight="1"/>
    <row r="24" spans="1:8" s="109" customFormat="1" ht="78.75" customHeight="1"/>
    <row r="25" spans="1:8" s="109" customFormat="1" ht="84.75" customHeight="1"/>
    <row r="26" spans="1:8" s="109" customFormat="1" ht="112.5" customHeight="1"/>
    <row r="27" spans="1:8" s="109" customFormat="1" ht="45.75" customHeight="1"/>
    <row r="28" spans="1:8" s="109" customFormat="1" ht="45.75" customHeight="1"/>
    <row r="29" spans="1:8" s="109" customFormat="1" ht="111.75" customHeight="1"/>
    <row r="30" spans="1:8" s="109" customFormat="1" ht="45.75" customHeight="1"/>
    <row r="31" spans="1:8" s="109" customFormat="1" ht="45.75" customHeight="1"/>
    <row r="32" spans="1:8" s="109" customFormat="1" ht="113.25" customHeight="1"/>
    <row r="33" s="109" customFormat="1" ht="45.75" customHeight="1"/>
    <row r="34" s="109" customFormat="1" ht="45.75" customHeight="1"/>
    <row r="35" s="109" customFormat="1" ht="45.75" customHeight="1"/>
    <row r="36" s="109" customFormat="1" ht="45.75" customHeight="1"/>
    <row r="37" s="109" customFormat="1" ht="45.75" customHeight="1"/>
    <row r="38" s="109" customFormat="1" ht="45.75" customHeight="1"/>
    <row r="39" s="109" customFormat="1" ht="45.75" customHeight="1"/>
    <row r="40" ht="45.75" customHeight="1"/>
  </sheetData>
  <mergeCells count="17">
    <mergeCell ref="D14:H14"/>
    <mergeCell ref="D15:E15"/>
    <mergeCell ref="D16:E16"/>
    <mergeCell ref="D19:E19"/>
    <mergeCell ref="D20:E20"/>
    <mergeCell ref="A7:H7"/>
    <mergeCell ref="A8:H8"/>
    <mergeCell ref="A9:F9"/>
    <mergeCell ref="D11:H11"/>
    <mergeCell ref="A13:C13"/>
    <mergeCell ref="D13:H13"/>
    <mergeCell ref="A6:H6"/>
    <mergeCell ref="G1:H1"/>
    <mergeCell ref="G2:H2"/>
    <mergeCell ref="G3:H3"/>
    <mergeCell ref="G4:H4"/>
    <mergeCell ref="G5:H5"/>
  </mergeCells>
  <hyperlinks>
    <hyperlink ref="D18" r:id="rId1" display="mailto:doc@eao.drsk.ru"/>
  </hyperlinks>
  <pageMargins left="0.7" right="0.7" top="0.75" bottom="0.75" header="0.3" footer="0.3"/>
  <pageSetup paperSize="9" orientation="portrait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6"/>
  <sheetViews>
    <sheetView zoomScale="75" zoomScaleNormal="75" workbookViewId="0">
      <selection activeCell="C6" sqref="C6"/>
    </sheetView>
  </sheetViews>
  <sheetFormatPr defaultRowHeight="15"/>
  <cols>
    <col min="1" max="1" width="8.85546875" customWidth="1"/>
    <col min="2" max="2" width="24.85546875" customWidth="1"/>
    <col min="3" max="3" width="31.28515625" customWidth="1"/>
    <col min="4" max="4" width="19" customWidth="1"/>
    <col min="5" max="5" width="18.85546875" customWidth="1"/>
    <col min="6" max="6" width="19" customWidth="1"/>
    <col min="7" max="7" width="21.85546875" customWidth="1"/>
    <col min="8" max="8" width="18.28515625" customWidth="1"/>
    <col min="9" max="9" width="18" customWidth="1"/>
    <col min="10" max="10" width="17.42578125" customWidth="1"/>
    <col min="11" max="11" width="25.28515625" customWidth="1"/>
    <col min="12" max="12" width="19.85546875" customWidth="1"/>
    <col min="13" max="13" width="19.28515625" customWidth="1"/>
    <col min="14" max="14" width="18.140625" customWidth="1"/>
    <col min="16" max="16" width="36.42578125" customWidth="1"/>
    <col min="17" max="17" width="32.5703125" customWidth="1"/>
    <col min="257" max="257" width="8.85546875" customWidth="1"/>
    <col min="258" max="258" width="24.85546875" customWidth="1"/>
    <col min="259" max="259" width="21" customWidth="1"/>
    <col min="260" max="260" width="19" customWidth="1"/>
    <col min="261" max="261" width="18.85546875" customWidth="1"/>
    <col min="262" max="262" width="19" customWidth="1"/>
    <col min="263" max="263" width="21.85546875" customWidth="1"/>
    <col min="264" max="264" width="18.28515625" customWidth="1"/>
    <col min="265" max="265" width="18" customWidth="1"/>
    <col min="266" max="266" width="17.42578125" customWidth="1"/>
    <col min="267" max="267" width="21.140625" customWidth="1"/>
    <col min="268" max="268" width="19.85546875" customWidth="1"/>
    <col min="269" max="269" width="19.28515625" customWidth="1"/>
    <col min="270" max="270" width="18.140625" customWidth="1"/>
    <col min="513" max="513" width="8.85546875" customWidth="1"/>
    <col min="514" max="514" width="24.85546875" customWidth="1"/>
    <col min="515" max="515" width="21" customWidth="1"/>
    <col min="516" max="516" width="19" customWidth="1"/>
    <col min="517" max="517" width="18.85546875" customWidth="1"/>
    <col min="518" max="518" width="19" customWidth="1"/>
    <col min="519" max="519" width="21.85546875" customWidth="1"/>
    <col min="520" max="520" width="18.28515625" customWidth="1"/>
    <col min="521" max="521" width="18" customWidth="1"/>
    <col min="522" max="522" width="17.42578125" customWidth="1"/>
    <col min="523" max="523" width="21.140625" customWidth="1"/>
    <col min="524" max="524" width="19.85546875" customWidth="1"/>
    <col min="525" max="525" width="19.28515625" customWidth="1"/>
    <col min="526" max="526" width="18.140625" customWidth="1"/>
    <col min="769" max="769" width="8.85546875" customWidth="1"/>
    <col min="770" max="770" width="24.85546875" customWidth="1"/>
    <col min="771" max="771" width="21" customWidth="1"/>
    <col min="772" max="772" width="19" customWidth="1"/>
    <col min="773" max="773" width="18.85546875" customWidth="1"/>
    <col min="774" max="774" width="19" customWidth="1"/>
    <col min="775" max="775" width="21.85546875" customWidth="1"/>
    <col min="776" max="776" width="18.28515625" customWidth="1"/>
    <col min="777" max="777" width="18" customWidth="1"/>
    <col min="778" max="778" width="17.42578125" customWidth="1"/>
    <col min="779" max="779" width="21.140625" customWidth="1"/>
    <col min="780" max="780" width="19.85546875" customWidth="1"/>
    <col min="781" max="781" width="19.28515625" customWidth="1"/>
    <col min="782" max="782" width="18.140625" customWidth="1"/>
    <col min="1025" max="1025" width="8.85546875" customWidth="1"/>
    <col min="1026" max="1026" width="24.85546875" customWidth="1"/>
    <col min="1027" max="1027" width="21" customWidth="1"/>
    <col min="1028" max="1028" width="19" customWidth="1"/>
    <col min="1029" max="1029" width="18.85546875" customWidth="1"/>
    <col min="1030" max="1030" width="19" customWidth="1"/>
    <col min="1031" max="1031" width="21.85546875" customWidth="1"/>
    <col min="1032" max="1032" width="18.28515625" customWidth="1"/>
    <col min="1033" max="1033" width="18" customWidth="1"/>
    <col min="1034" max="1034" width="17.42578125" customWidth="1"/>
    <col min="1035" max="1035" width="21.140625" customWidth="1"/>
    <col min="1036" max="1036" width="19.85546875" customWidth="1"/>
    <col min="1037" max="1037" width="19.28515625" customWidth="1"/>
    <col min="1038" max="1038" width="18.140625" customWidth="1"/>
    <col min="1281" max="1281" width="8.85546875" customWidth="1"/>
    <col min="1282" max="1282" width="24.85546875" customWidth="1"/>
    <col min="1283" max="1283" width="21" customWidth="1"/>
    <col min="1284" max="1284" width="19" customWidth="1"/>
    <col min="1285" max="1285" width="18.85546875" customWidth="1"/>
    <col min="1286" max="1286" width="19" customWidth="1"/>
    <col min="1287" max="1287" width="21.85546875" customWidth="1"/>
    <col min="1288" max="1288" width="18.28515625" customWidth="1"/>
    <col min="1289" max="1289" width="18" customWidth="1"/>
    <col min="1290" max="1290" width="17.42578125" customWidth="1"/>
    <col min="1291" max="1291" width="21.140625" customWidth="1"/>
    <col min="1292" max="1292" width="19.85546875" customWidth="1"/>
    <col min="1293" max="1293" width="19.28515625" customWidth="1"/>
    <col min="1294" max="1294" width="18.140625" customWidth="1"/>
    <col min="1537" max="1537" width="8.85546875" customWidth="1"/>
    <col min="1538" max="1538" width="24.85546875" customWidth="1"/>
    <col min="1539" max="1539" width="21" customWidth="1"/>
    <col min="1540" max="1540" width="19" customWidth="1"/>
    <col min="1541" max="1541" width="18.85546875" customWidth="1"/>
    <col min="1542" max="1542" width="19" customWidth="1"/>
    <col min="1543" max="1543" width="21.85546875" customWidth="1"/>
    <col min="1544" max="1544" width="18.28515625" customWidth="1"/>
    <col min="1545" max="1545" width="18" customWidth="1"/>
    <col min="1546" max="1546" width="17.42578125" customWidth="1"/>
    <col min="1547" max="1547" width="21.140625" customWidth="1"/>
    <col min="1548" max="1548" width="19.85546875" customWidth="1"/>
    <col min="1549" max="1549" width="19.28515625" customWidth="1"/>
    <col min="1550" max="1550" width="18.140625" customWidth="1"/>
    <col min="1793" max="1793" width="8.85546875" customWidth="1"/>
    <col min="1794" max="1794" width="24.85546875" customWidth="1"/>
    <col min="1795" max="1795" width="21" customWidth="1"/>
    <col min="1796" max="1796" width="19" customWidth="1"/>
    <col min="1797" max="1797" width="18.85546875" customWidth="1"/>
    <col min="1798" max="1798" width="19" customWidth="1"/>
    <col min="1799" max="1799" width="21.85546875" customWidth="1"/>
    <col min="1800" max="1800" width="18.28515625" customWidth="1"/>
    <col min="1801" max="1801" width="18" customWidth="1"/>
    <col min="1802" max="1802" width="17.42578125" customWidth="1"/>
    <col min="1803" max="1803" width="21.140625" customWidth="1"/>
    <col min="1804" max="1804" width="19.85546875" customWidth="1"/>
    <col min="1805" max="1805" width="19.28515625" customWidth="1"/>
    <col min="1806" max="1806" width="18.140625" customWidth="1"/>
    <col min="2049" max="2049" width="8.85546875" customWidth="1"/>
    <col min="2050" max="2050" width="24.85546875" customWidth="1"/>
    <col min="2051" max="2051" width="21" customWidth="1"/>
    <col min="2052" max="2052" width="19" customWidth="1"/>
    <col min="2053" max="2053" width="18.85546875" customWidth="1"/>
    <col min="2054" max="2054" width="19" customWidth="1"/>
    <col min="2055" max="2055" width="21.85546875" customWidth="1"/>
    <col min="2056" max="2056" width="18.28515625" customWidth="1"/>
    <col min="2057" max="2057" width="18" customWidth="1"/>
    <col min="2058" max="2058" width="17.42578125" customWidth="1"/>
    <col min="2059" max="2059" width="21.140625" customWidth="1"/>
    <col min="2060" max="2060" width="19.85546875" customWidth="1"/>
    <col min="2061" max="2061" width="19.28515625" customWidth="1"/>
    <col min="2062" max="2062" width="18.140625" customWidth="1"/>
    <col min="2305" max="2305" width="8.85546875" customWidth="1"/>
    <col min="2306" max="2306" width="24.85546875" customWidth="1"/>
    <col min="2307" max="2307" width="21" customWidth="1"/>
    <col min="2308" max="2308" width="19" customWidth="1"/>
    <col min="2309" max="2309" width="18.85546875" customWidth="1"/>
    <col min="2310" max="2310" width="19" customWidth="1"/>
    <col min="2311" max="2311" width="21.85546875" customWidth="1"/>
    <col min="2312" max="2312" width="18.28515625" customWidth="1"/>
    <col min="2313" max="2313" width="18" customWidth="1"/>
    <col min="2314" max="2314" width="17.42578125" customWidth="1"/>
    <col min="2315" max="2315" width="21.140625" customWidth="1"/>
    <col min="2316" max="2316" width="19.85546875" customWidth="1"/>
    <col min="2317" max="2317" width="19.28515625" customWidth="1"/>
    <col min="2318" max="2318" width="18.140625" customWidth="1"/>
    <col min="2561" max="2561" width="8.85546875" customWidth="1"/>
    <col min="2562" max="2562" width="24.85546875" customWidth="1"/>
    <col min="2563" max="2563" width="21" customWidth="1"/>
    <col min="2564" max="2564" width="19" customWidth="1"/>
    <col min="2565" max="2565" width="18.85546875" customWidth="1"/>
    <col min="2566" max="2566" width="19" customWidth="1"/>
    <col min="2567" max="2567" width="21.85546875" customWidth="1"/>
    <col min="2568" max="2568" width="18.28515625" customWidth="1"/>
    <col min="2569" max="2569" width="18" customWidth="1"/>
    <col min="2570" max="2570" width="17.42578125" customWidth="1"/>
    <col min="2571" max="2571" width="21.140625" customWidth="1"/>
    <col min="2572" max="2572" width="19.85546875" customWidth="1"/>
    <col min="2573" max="2573" width="19.28515625" customWidth="1"/>
    <col min="2574" max="2574" width="18.140625" customWidth="1"/>
    <col min="2817" max="2817" width="8.85546875" customWidth="1"/>
    <col min="2818" max="2818" width="24.85546875" customWidth="1"/>
    <col min="2819" max="2819" width="21" customWidth="1"/>
    <col min="2820" max="2820" width="19" customWidth="1"/>
    <col min="2821" max="2821" width="18.85546875" customWidth="1"/>
    <col min="2822" max="2822" width="19" customWidth="1"/>
    <col min="2823" max="2823" width="21.85546875" customWidth="1"/>
    <col min="2824" max="2824" width="18.28515625" customWidth="1"/>
    <col min="2825" max="2825" width="18" customWidth="1"/>
    <col min="2826" max="2826" width="17.42578125" customWidth="1"/>
    <col min="2827" max="2827" width="21.140625" customWidth="1"/>
    <col min="2828" max="2828" width="19.85546875" customWidth="1"/>
    <col min="2829" max="2829" width="19.28515625" customWidth="1"/>
    <col min="2830" max="2830" width="18.140625" customWidth="1"/>
    <col min="3073" max="3073" width="8.85546875" customWidth="1"/>
    <col min="3074" max="3074" width="24.85546875" customWidth="1"/>
    <col min="3075" max="3075" width="21" customWidth="1"/>
    <col min="3076" max="3076" width="19" customWidth="1"/>
    <col min="3077" max="3077" width="18.85546875" customWidth="1"/>
    <col min="3078" max="3078" width="19" customWidth="1"/>
    <col min="3079" max="3079" width="21.85546875" customWidth="1"/>
    <col min="3080" max="3080" width="18.28515625" customWidth="1"/>
    <col min="3081" max="3081" width="18" customWidth="1"/>
    <col min="3082" max="3082" width="17.42578125" customWidth="1"/>
    <col min="3083" max="3083" width="21.140625" customWidth="1"/>
    <col min="3084" max="3084" width="19.85546875" customWidth="1"/>
    <col min="3085" max="3085" width="19.28515625" customWidth="1"/>
    <col min="3086" max="3086" width="18.140625" customWidth="1"/>
    <col min="3329" max="3329" width="8.85546875" customWidth="1"/>
    <col min="3330" max="3330" width="24.85546875" customWidth="1"/>
    <col min="3331" max="3331" width="21" customWidth="1"/>
    <col min="3332" max="3332" width="19" customWidth="1"/>
    <col min="3333" max="3333" width="18.85546875" customWidth="1"/>
    <col min="3334" max="3334" width="19" customWidth="1"/>
    <col min="3335" max="3335" width="21.85546875" customWidth="1"/>
    <col min="3336" max="3336" width="18.28515625" customWidth="1"/>
    <col min="3337" max="3337" width="18" customWidth="1"/>
    <col min="3338" max="3338" width="17.42578125" customWidth="1"/>
    <col min="3339" max="3339" width="21.140625" customWidth="1"/>
    <col min="3340" max="3340" width="19.85546875" customWidth="1"/>
    <col min="3341" max="3341" width="19.28515625" customWidth="1"/>
    <col min="3342" max="3342" width="18.140625" customWidth="1"/>
    <col min="3585" max="3585" width="8.85546875" customWidth="1"/>
    <col min="3586" max="3586" width="24.85546875" customWidth="1"/>
    <col min="3587" max="3587" width="21" customWidth="1"/>
    <col min="3588" max="3588" width="19" customWidth="1"/>
    <col min="3589" max="3589" width="18.85546875" customWidth="1"/>
    <col min="3590" max="3590" width="19" customWidth="1"/>
    <col min="3591" max="3591" width="21.85546875" customWidth="1"/>
    <col min="3592" max="3592" width="18.28515625" customWidth="1"/>
    <col min="3593" max="3593" width="18" customWidth="1"/>
    <col min="3594" max="3594" width="17.42578125" customWidth="1"/>
    <col min="3595" max="3595" width="21.140625" customWidth="1"/>
    <col min="3596" max="3596" width="19.85546875" customWidth="1"/>
    <col min="3597" max="3597" width="19.28515625" customWidth="1"/>
    <col min="3598" max="3598" width="18.140625" customWidth="1"/>
    <col min="3841" max="3841" width="8.85546875" customWidth="1"/>
    <col min="3842" max="3842" width="24.85546875" customWidth="1"/>
    <col min="3843" max="3843" width="21" customWidth="1"/>
    <col min="3844" max="3844" width="19" customWidth="1"/>
    <col min="3845" max="3845" width="18.85546875" customWidth="1"/>
    <col min="3846" max="3846" width="19" customWidth="1"/>
    <col min="3847" max="3847" width="21.85546875" customWidth="1"/>
    <col min="3848" max="3848" width="18.28515625" customWidth="1"/>
    <col min="3849" max="3849" width="18" customWidth="1"/>
    <col min="3850" max="3850" width="17.42578125" customWidth="1"/>
    <col min="3851" max="3851" width="21.140625" customWidth="1"/>
    <col min="3852" max="3852" width="19.85546875" customWidth="1"/>
    <col min="3853" max="3853" width="19.28515625" customWidth="1"/>
    <col min="3854" max="3854" width="18.140625" customWidth="1"/>
    <col min="4097" max="4097" width="8.85546875" customWidth="1"/>
    <col min="4098" max="4098" width="24.85546875" customWidth="1"/>
    <col min="4099" max="4099" width="21" customWidth="1"/>
    <col min="4100" max="4100" width="19" customWidth="1"/>
    <col min="4101" max="4101" width="18.85546875" customWidth="1"/>
    <col min="4102" max="4102" width="19" customWidth="1"/>
    <col min="4103" max="4103" width="21.85546875" customWidth="1"/>
    <col min="4104" max="4104" width="18.28515625" customWidth="1"/>
    <col min="4105" max="4105" width="18" customWidth="1"/>
    <col min="4106" max="4106" width="17.42578125" customWidth="1"/>
    <col min="4107" max="4107" width="21.140625" customWidth="1"/>
    <col min="4108" max="4108" width="19.85546875" customWidth="1"/>
    <col min="4109" max="4109" width="19.28515625" customWidth="1"/>
    <col min="4110" max="4110" width="18.140625" customWidth="1"/>
    <col min="4353" max="4353" width="8.85546875" customWidth="1"/>
    <col min="4354" max="4354" width="24.85546875" customWidth="1"/>
    <col min="4355" max="4355" width="21" customWidth="1"/>
    <col min="4356" max="4356" width="19" customWidth="1"/>
    <col min="4357" max="4357" width="18.85546875" customWidth="1"/>
    <col min="4358" max="4358" width="19" customWidth="1"/>
    <col min="4359" max="4359" width="21.85546875" customWidth="1"/>
    <col min="4360" max="4360" width="18.28515625" customWidth="1"/>
    <col min="4361" max="4361" width="18" customWidth="1"/>
    <col min="4362" max="4362" width="17.42578125" customWidth="1"/>
    <col min="4363" max="4363" width="21.140625" customWidth="1"/>
    <col min="4364" max="4364" width="19.85546875" customWidth="1"/>
    <col min="4365" max="4365" width="19.28515625" customWidth="1"/>
    <col min="4366" max="4366" width="18.140625" customWidth="1"/>
    <col min="4609" max="4609" width="8.85546875" customWidth="1"/>
    <col min="4610" max="4610" width="24.85546875" customWidth="1"/>
    <col min="4611" max="4611" width="21" customWidth="1"/>
    <col min="4612" max="4612" width="19" customWidth="1"/>
    <col min="4613" max="4613" width="18.85546875" customWidth="1"/>
    <col min="4614" max="4614" width="19" customWidth="1"/>
    <col min="4615" max="4615" width="21.85546875" customWidth="1"/>
    <col min="4616" max="4616" width="18.28515625" customWidth="1"/>
    <col min="4617" max="4617" width="18" customWidth="1"/>
    <col min="4618" max="4618" width="17.42578125" customWidth="1"/>
    <col min="4619" max="4619" width="21.140625" customWidth="1"/>
    <col min="4620" max="4620" width="19.85546875" customWidth="1"/>
    <col min="4621" max="4621" width="19.28515625" customWidth="1"/>
    <col min="4622" max="4622" width="18.140625" customWidth="1"/>
    <col min="4865" max="4865" width="8.85546875" customWidth="1"/>
    <col min="4866" max="4866" width="24.85546875" customWidth="1"/>
    <col min="4867" max="4867" width="21" customWidth="1"/>
    <col min="4868" max="4868" width="19" customWidth="1"/>
    <col min="4869" max="4869" width="18.85546875" customWidth="1"/>
    <col min="4870" max="4870" width="19" customWidth="1"/>
    <col min="4871" max="4871" width="21.85546875" customWidth="1"/>
    <col min="4872" max="4872" width="18.28515625" customWidth="1"/>
    <col min="4873" max="4873" width="18" customWidth="1"/>
    <col min="4874" max="4874" width="17.42578125" customWidth="1"/>
    <col min="4875" max="4875" width="21.140625" customWidth="1"/>
    <col min="4876" max="4876" width="19.85546875" customWidth="1"/>
    <col min="4877" max="4877" width="19.28515625" customWidth="1"/>
    <col min="4878" max="4878" width="18.140625" customWidth="1"/>
    <col min="5121" max="5121" width="8.85546875" customWidth="1"/>
    <col min="5122" max="5122" width="24.85546875" customWidth="1"/>
    <col min="5123" max="5123" width="21" customWidth="1"/>
    <col min="5124" max="5124" width="19" customWidth="1"/>
    <col min="5125" max="5125" width="18.85546875" customWidth="1"/>
    <col min="5126" max="5126" width="19" customWidth="1"/>
    <col min="5127" max="5127" width="21.85546875" customWidth="1"/>
    <col min="5128" max="5128" width="18.28515625" customWidth="1"/>
    <col min="5129" max="5129" width="18" customWidth="1"/>
    <col min="5130" max="5130" width="17.42578125" customWidth="1"/>
    <col min="5131" max="5131" width="21.140625" customWidth="1"/>
    <col min="5132" max="5132" width="19.85546875" customWidth="1"/>
    <col min="5133" max="5133" width="19.28515625" customWidth="1"/>
    <col min="5134" max="5134" width="18.140625" customWidth="1"/>
    <col min="5377" max="5377" width="8.85546875" customWidth="1"/>
    <col min="5378" max="5378" width="24.85546875" customWidth="1"/>
    <col min="5379" max="5379" width="21" customWidth="1"/>
    <col min="5380" max="5380" width="19" customWidth="1"/>
    <col min="5381" max="5381" width="18.85546875" customWidth="1"/>
    <col min="5382" max="5382" width="19" customWidth="1"/>
    <col min="5383" max="5383" width="21.85546875" customWidth="1"/>
    <col min="5384" max="5384" width="18.28515625" customWidth="1"/>
    <col min="5385" max="5385" width="18" customWidth="1"/>
    <col min="5386" max="5386" width="17.42578125" customWidth="1"/>
    <col min="5387" max="5387" width="21.140625" customWidth="1"/>
    <col min="5388" max="5388" width="19.85546875" customWidth="1"/>
    <col min="5389" max="5389" width="19.28515625" customWidth="1"/>
    <col min="5390" max="5390" width="18.140625" customWidth="1"/>
    <col min="5633" max="5633" width="8.85546875" customWidth="1"/>
    <col min="5634" max="5634" width="24.85546875" customWidth="1"/>
    <col min="5635" max="5635" width="21" customWidth="1"/>
    <col min="5636" max="5636" width="19" customWidth="1"/>
    <col min="5637" max="5637" width="18.85546875" customWidth="1"/>
    <col min="5638" max="5638" width="19" customWidth="1"/>
    <col min="5639" max="5639" width="21.85546875" customWidth="1"/>
    <col min="5640" max="5640" width="18.28515625" customWidth="1"/>
    <col min="5641" max="5641" width="18" customWidth="1"/>
    <col min="5642" max="5642" width="17.42578125" customWidth="1"/>
    <col min="5643" max="5643" width="21.140625" customWidth="1"/>
    <col min="5644" max="5644" width="19.85546875" customWidth="1"/>
    <col min="5645" max="5645" width="19.28515625" customWidth="1"/>
    <col min="5646" max="5646" width="18.140625" customWidth="1"/>
    <col min="5889" max="5889" width="8.85546875" customWidth="1"/>
    <col min="5890" max="5890" width="24.85546875" customWidth="1"/>
    <col min="5891" max="5891" width="21" customWidth="1"/>
    <col min="5892" max="5892" width="19" customWidth="1"/>
    <col min="5893" max="5893" width="18.85546875" customWidth="1"/>
    <col min="5894" max="5894" width="19" customWidth="1"/>
    <col min="5895" max="5895" width="21.85546875" customWidth="1"/>
    <col min="5896" max="5896" width="18.28515625" customWidth="1"/>
    <col min="5897" max="5897" width="18" customWidth="1"/>
    <col min="5898" max="5898" width="17.42578125" customWidth="1"/>
    <col min="5899" max="5899" width="21.140625" customWidth="1"/>
    <col min="5900" max="5900" width="19.85546875" customWidth="1"/>
    <col min="5901" max="5901" width="19.28515625" customWidth="1"/>
    <col min="5902" max="5902" width="18.140625" customWidth="1"/>
    <col min="6145" max="6145" width="8.85546875" customWidth="1"/>
    <col min="6146" max="6146" width="24.85546875" customWidth="1"/>
    <col min="6147" max="6147" width="21" customWidth="1"/>
    <col min="6148" max="6148" width="19" customWidth="1"/>
    <col min="6149" max="6149" width="18.85546875" customWidth="1"/>
    <col min="6150" max="6150" width="19" customWidth="1"/>
    <col min="6151" max="6151" width="21.85546875" customWidth="1"/>
    <col min="6152" max="6152" width="18.28515625" customWidth="1"/>
    <col min="6153" max="6153" width="18" customWidth="1"/>
    <col min="6154" max="6154" width="17.42578125" customWidth="1"/>
    <col min="6155" max="6155" width="21.140625" customWidth="1"/>
    <col min="6156" max="6156" width="19.85546875" customWidth="1"/>
    <col min="6157" max="6157" width="19.28515625" customWidth="1"/>
    <col min="6158" max="6158" width="18.140625" customWidth="1"/>
    <col min="6401" max="6401" width="8.85546875" customWidth="1"/>
    <col min="6402" max="6402" width="24.85546875" customWidth="1"/>
    <col min="6403" max="6403" width="21" customWidth="1"/>
    <col min="6404" max="6404" width="19" customWidth="1"/>
    <col min="6405" max="6405" width="18.85546875" customWidth="1"/>
    <col min="6406" max="6406" width="19" customWidth="1"/>
    <col min="6407" max="6407" width="21.85546875" customWidth="1"/>
    <col min="6408" max="6408" width="18.28515625" customWidth="1"/>
    <col min="6409" max="6409" width="18" customWidth="1"/>
    <col min="6410" max="6410" width="17.42578125" customWidth="1"/>
    <col min="6411" max="6411" width="21.140625" customWidth="1"/>
    <col min="6412" max="6412" width="19.85546875" customWidth="1"/>
    <col min="6413" max="6413" width="19.28515625" customWidth="1"/>
    <col min="6414" max="6414" width="18.140625" customWidth="1"/>
    <col min="6657" max="6657" width="8.85546875" customWidth="1"/>
    <col min="6658" max="6658" width="24.85546875" customWidth="1"/>
    <col min="6659" max="6659" width="21" customWidth="1"/>
    <col min="6660" max="6660" width="19" customWidth="1"/>
    <col min="6661" max="6661" width="18.85546875" customWidth="1"/>
    <col min="6662" max="6662" width="19" customWidth="1"/>
    <col min="6663" max="6663" width="21.85546875" customWidth="1"/>
    <col min="6664" max="6664" width="18.28515625" customWidth="1"/>
    <col min="6665" max="6665" width="18" customWidth="1"/>
    <col min="6666" max="6666" width="17.42578125" customWidth="1"/>
    <col min="6667" max="6667" width="21.140625" customWidth="1"/>
    <col min="6668" max="6668" width="19.85546875" customWidth="1"/>
    <col min="6669" max="6669" width="19.28515625" customWidth="1"/>
    <col min="6670" max="6670" width="18.140625" customWidth="1"/>
    <col min="6913" max="6913" width="8.85546875" customWidth="1"/>
    <col min="6914" max="6914" width="24.85546875" customWidth="1"/>
    <col min="6915" max="6915" width="21" customWidth="1"/>
    <col min="6916" max="6916" width="19" customWidth="1"/>
    <col min="6917" max="6917" width="18.85546875" customWidth="1"/>
    <col min="6918" max="6918" width="19" customWidth="1"/>
    <col min="6919" max="6919" width="21.85546875" customWidth="1"/>
    <col min="6920" max="6920" width="18.28515625" customWidth="1"/>
    <col min="6921" max="6921" width="18" customWidth="1"/>
    <col min="6922" max="6922" width="17.42578125" customWidth="1"/>
    <col min="6923" max="6923" width="21.140625" customWidth="1"/>
    <col min="6924" max="6924" width="19.85546875" customWidth="1"/>
    <col min="6925" max="6925" width="19.28515625" customWidth="1"/>
    <col min="6926" max="6926" width="18.140625" customWidth="1"/>
    <col min="7169" max="7169" width="8.85546875" customWidth="1"/>
    <col min="7170" max="7170" width="24.85546875" customWidth="1"/>
    <col min="7171" max="7171" width="21" customWidth="1"/>
    <col min="7172" max="7172" width="19" customWidth="1"/>
    <col min="7173" max="7173" width="18.85546875" customWidth="1"/>
    <col min="7174" max="7174" width="19" customWidth="1"/>
    <col min="7175" max="7175" width="21.85546875" customWidth="1"/>
    <col min="7176" max="7176" width="18.28515625" customWidth="1"/>
    <col min="7177" max="7177" width="18" customWidth="1"/>
    <col min="7178" max="7178" width="17.42578125" customWidth="1"/>
    <col min="7179" max="7179" width="21.140625" customWidth="1"/>
    <col min="7180" max="7180" width="19.85546875" customWidth="1"/>
    <col min="7181" max="7181" width="19.28515625" customWidth="1"/>
    <col min="7182" max="7182" width="18.140625" customWidth="1"/>
    <col min="7425" max="7425" width="8.85546875" customWidth="1"/>
    <col min="7426" max="7426" width="24.85546875" customWidth="1"/>
    <col min="7427" max="7427" width="21" customWidth="1"/>
    <col min="7428" max="7428" width="19" customWidth="1"/>
    <col min="7429" max="7429" width="18.85546875" customWidth="1"/>
    <col min="7430" max="7430" width="19" customWidth="1"/>
    <col min="7431" max="7431" width="21.85546875" customWidth="1"/>
    <col min="7432" max="7432" width="18.28515625" customWidth="1"/>
    <col min="7433" max="7433" width="18" customWidth="1"/>
    <col min="7434" max="7434" width="17.42578125" customWidth="1"/>
    <col min="7435" max="7435" width="21.140625" customWidth="1"/>
    <col min="7436" max="7436" width="19.85546875" customWidth="1"/>
    <col min="7437" max="7437" width="19.28515625" customWidth="1"/>
    <col min="7438" max="7438" width="18.140625" customWidth="1"/>
    <col min="7681" max="7681" width="8.85546875" customWidth="1"/>
    <col min="7682" max="7682" width="24.85546875" customWidth="1"/>
    <col min="7683" max="7683" width="21" customWidth="1"/>
    <col min="7684" max="7684" width="19" customWidth="1"/>
    <col min="7685" max="7685" width="18.85546875" customWidth="1"/>
    <col min="7686" max="7686" width="19" customWidth="1"/>
    <col min="7687" max="7687" width="21.85546875" customWidth="1"/>
    <col min="7688" max="7688" width="18.28515625" customWidth="1"/>
    <col min="7689" max="7689" width="18" customWidth="1"/>
    <col min="7690" max="7690" width="17.42578125" customWidth="1"/>
    <col min="7691" max="7691" width="21.140625" customWidth="1"/>
    <col min="7692" max="7692" width="19.85546875" customWidth="1"/>
    <col min="7693" max="7693" width="19.28515625" customWidth="1"/>
    <col min="7694" max="7694" width="18.140625" customWidth="1"/>
    <col min="7937" max="7937" width="8.85546875" customWidth="1"/>
    <col min="7938" max="7938" width="24.85546875" customWidth="1"/>
    <col min="7939" max="7939" width="21" customWidth="1"/>
    <col min="7940" max="7940" width="19" customWidth="1"/>
    <col min="7941" max="7941" width="18.85546875" customWidth="1"/>
    <col min="7942" max="7942" width="19" customWidth="1"/>
    <col min="7943" max="7943" width="21.85546875" customWidth="1"/>
    <col min="7944" max="7944" width="18.28515625" customWidth="1"/>
    <col min="7945" max="7945" width="18" customWidth="1"/>
    <col min="7946" max="7946" width="17.42578125" customWidth="1"/>
    <col min="7947" max="7947" width="21.140625" customWidth="1"/>
    <col min="7948" max="7948" width="19.85546875" customWidth="1"/>
    <col min="7949" max="7949" width="19.28515625" customWidth="1"/>
    <col min="7950" max="7950" width="18.140625" customWidth="1"/>
    <col min="8193" max="8193" width="8.85546875" customWidth="1"/>
    <col min="8194" max="8194" width="24.85546875" customWidth="1"/>
    <col min="8195" max="8195" width="21" customWidth="1"/>
    <col min="8196" max="8196" width="19" customWidth="1"/>
    <col min="8197" max="8197" width="18.85546875" customWidth="1"/>
    <col min="8198" max="8198" width="19" customWidth="1"/>
    <col min="8199" max="8199" width="21.85546875" customWidth="1"/>
    <col min="8200" max="8200" width="18.28515625" customWidth="1"/>
    <col min="8201" max="8201" width="18" customWidth="1"/>
    <col min="8202" max="8202" width="17.42578125" customWidth="1"/>
    <col min="8203" max="8203" width="21.140625" customWidth="1"/>
    <col min="8204" max="8204" width="19.85546875" customWidth="1"/>
    <col min="8205" max="8205" width="19.28515625" customWidth="1"/>
    <col min="8206" max="8206" width="18.140625" customWidth="1"/>
    <col min="8449" max="8449" width="8.85546875" customWidth="1"/>
    <col min="8450" max="8450" width="24.85546875" customWidth="1"/>
    <col min="8451" max="8451" width="21" customWidth="1"/>
    <col min="8452" max="8452" width="19" customWidth="1"/>
    <col min="8453" max="8453" width="18.85546875" customWidth="1"/>
    <col min="8454" max="8454" width="19" customWidth="1"/>
    <col min="8455" max="8455" width="21.85546875" customWidth="1"/>
    <col min="8456" max="8456" width="18.28515625" customWidth="1"/>
    <col min="8457" max="8457" width="18" customWidth="1"/>
    <col min="8458" max="8458" width="17.42578125" customWidth="1"/>
    <col min="8459" max="8459" width="21.140625" customWidth="1"/>
    <col min="8460" max="8460" width="19.85546875" customWidth="1"/>
    <col min="8461" max="8461" width="19.28515625" customWidth="1"/>
    <col min="8462" max="8462" width="18.140625" customWidth="1"/>
    <col min="8705" max="8705" width="8.85546875" customWidth="1"/>
    <col min="8706" max="8706" width="24.85546875" customWidth="1"/>
    <col min="8707" max="8707" width="21" customWidth="1"/>
    <col min="8708" max="8708" width="19" customWidth="1"/>
    <col min="8709" max="8709" width="18.85546875" customWidth="1"/>
    <col min="8710" max="8710" width="19" customWidth="1"/>
    <col min="8711" max="8711" width="21.85546875" customWidth="1"/>
    <col min="8712" max="8712" width="18.28515625" customWidth="1"/>
    <col min="8713" max="8713" width="18" customWidth="1"/>
    <col min="8714" max="8714" width="17.42578125" customWidth="1"/>
    <col min="8715" max="8715" width="21.140625" customWidth="1"/>
    <col min="8716" max="8716" width="19.85546875" customWidth="1"/>
    <col min="8717" max="8717" width="19.28515625" customWidth="1"/>
    <col min="8718" max="8718" width="18.140625" customWidth="1"/>
    <col min="8961" max="8961" width="8.85546875" customWidth="1"/>
    <col min="8962" max="8962" width="24.85546875" customWidth="1"/>
    <col min="8963" max="8963" width="21" customWidth="1"/>
    <col min="8964" max="8964" width="19" customWidth="1"/>
    <col min="8965" max="8965" width="18.85546875" customWidth="1"/>
    <col min="8966" max="8966" width="19" customWidth="1"/>
    <col min="8967" max="8967" width="21.85546875" customWidth="1"/>
    <col min="8968" max="8968" width="18.28515625" customWidth="1"/>
    <col min="8969" max="8969" width="18" customWidth="1"/>
    <col min="8970" max="8970" width="17.42578125" customWidth="1"/>
    <col min="8971" max="8971" width="21.140625" customWidth="1"/>
    <col min="8972" max="8972" width="19.85546875" customWidth="1"/>
    <col min="8973" max="8973" width="19.28515625" customWidth="1"/>
    <col min="8974" max="8974" width="18.140625" customWidth="1"/>
    <col min="9217" max="9217" width="8.85546875" customWidth="1"/>
    <col min="9218" max="9218" width="24.85546875" customWidth="1"/>
    <col min="9219" max="9219" width="21" customWidth="1"/>
    <col min="9220" max="9220" width="19" customWidth="1"/>
    <col min="9221" max="9221" width="18.85546875" customWidth="1"/>
    <col min="9222" max="9222" width="19" customWidth="1"/>
    <col min="9223" max="9223" width="21.85546875" customWidth="1"/>
    <col min="9224" max="9224" width="18.28515625" customWidth="1"/>
    <col min="9225" max="9225" width="18" customWidth="1"/>
    <col min="9226" max="9226" width="17.42578125" customWidth="1"/>
    <col min="9227" max="9227" width="21.140625" customWidth="1"/>
    <col min="9228" max="9228" width="19.85546875" customWidth="1"/>
    <col min="9229" max="9229" width="19.28515625" customWidth="1"/>
    <col min="9230" max="9230" width="18.140625" customWidth="1"/>
    <col min="9473" max="9473" width="8.85546875" customWidth="1"/>
    <col min="9474" max="9474" width="24.85546875" customWidth="1"/>
    <col min="9475" max="9475" width="21" customWidth="1"/>
    <col min="9476" max="9476" width="19" customWidth="1"/>
    <col min="9477" max="9477" width="18.85546875" customWidth="1"/>
    <col min="9478" max="9478" width="19" customWidth="1"/>
    <col min="9479" max="9479" width="21.85546875" customWidth="1"/>
    <col min="9480" max="9480" width="18.28515625" customWidth="1"/>
    <col min="9481" max="9481" width="18" customWidth="1"/>
    <col min="9482" max="9482" width="17.42578125" customWidth="1"/>
    <col min="9483" max="9483" width="21.140625" customWidth="1"/>
    <col min="9484" max="9484" width="19.85546875" customWidth="1"/>
    <col min="9485" max="9485" width="19.28515625" customWidth="1"/>
    <col min="9486" max="9486" width="18.140625" customWidth="1"/>
    <col min="9729" max="9729" width="8.85546875" customWidth="1"/>
    <col min="9730" max="9730" width="24.85546875" customWidth="1"/>
    <col min="9731" max="9731" width="21" customWidth="1"/>
    <col min="9732" max="9732" width="19" customWidth="1"/>
    <col min="9733" max="9733" width="18.85546875" customWidth="1"/>
    <col min="9734" max="9734" width="19" customWidth="1"/>
    <col min="9735" max="9735" width="21.85546875" customWidth="1"/>
    <col min="9736" max="9736" width="18.28515625" customWidth="1"/>
    <col min="9737" max="9737" width="18" customWidth="1"/>
    <col min="9738" max="9738" width="17.42578125" customWidth="1"/>
    <col min="9739" max="9739" width="21.140625" customWidth="1"/>
    <col min="9740" max="9740" width="19.85546875" customWidth="1"/>
    <col min="9741" max="9741" width="19.28515625" customWidth="1"/>
    <col min="9742" max="9742" width="18.140625" customWidth="1"/>
    <col min="9985" max="9985" width="8.85546875" customWidth="1"/>
    <col min="9986" max="9986" width="24.85546875" customWidth="1"/>
    <col min="9987" max="9987" width="21" customWidth="1"/>
    <col min="9988" max="9988" width="19" customWidth="1"/>
    <col min="9989" max="9989" width="18.85546875" customWidth="1"/>
    <col min="9990" max="9990" width="19" customWidth="1"/>
    <col min="9991" max="9991" width="21.85546875" customWidth="1"/>
    <col min="9992" max="9992" width="18.28515625" customWidth="1"/>
    <col min="9993" max="9993" width="18" customWidth="1"/>
    <col min="9994" max="9994" width="17.42578125" customWidth="1"/>
    <col min="9995" max="9995" width="21.140625" customWidth="1"/>
    <col min="9996" max="9996" width="19.85546875" customWidth="1"/>
    <col min="9997" max="9997" width="19.28515625" customWidth="1"/>
    <col min="9998" max="9998" width="18.140625" customWidth="1"/>
    <col min="10241" max="10241" width="8.85546875" customWidth="1"/>
    <col min="10242" max="10242" width="24.85546875" customWidth="1"/>
    <col min="10243" max="10243" width="21" customWidth="1"/>
    <col min="10244" max="10244" width="19" customWidth="1"/>
    <col min="10245" max="10245" width="18.85546875" customWidth="1"/>
    <col min="10246" max="10246" width="19" customWidth="1"/>
    <col min="10247" max="10247" width="21.85546875" customWidth="1"/>
    <col min="10248" max="10248" width="18.28515625" customWidth="1"/>
    <col min="10249" max="10249" width="18" customWidth="1"/>
    <col min="10250" max="10250" width="17.42578125" customWidth="1"/>
    <col min="10251" max="10251" width="21.140625" customWidth="1"/>
    <col min="10252" max="10252" width="19.85546875" customWidth="1"/>
    <col min="10253" max="10253" width="19.28515625" customWidth="1"/>
    <col min="10254" max="10254" width="18.140625" customWidth="1"/>
    <col min="10497" max="10497" width="8.85546875" customWidth="1"/>
    <col min="10498" max="10498" width="24.85546875" customWidth="1"/>
    <col min="10499" max="10499" width="21" customWidth="1"/>
    <col min="10500" max="10500" width="19" customWidth="1"/>
    <col min="10501" max="10501" width="18.85546875" customWidth="1"/>
    <col min="10502" max="10502" width="19" customWidth="1"/>
    <col min="10503" max="10503" width="21.85546875" customWidth="1"/>
    <col min="10504" max="10504" width="18.28515625" customWidth="1"/>
    <col min="10505" max="10505" width="18" customWidth="1"/>
    <col min="10506" max="10506" width="17.42578125" customWidth="1"/>
    <col min="10507" max="10507" width="21.140625" customWidth="1"/>
    <col min="10508" max="10508" width="19.85546875" customWidth="1"/>
    <col min="10509" max="10509" width="19.28515625" customWidth="1"/>
    <col min="10510" max="10510" width="18.140625" customWidth="1"/>
    <col min="10753" max="10753" width="8.85546875" customWidth="1"/>
    <col min="10754" max="10754" width="24.85546875" customWidth="1"/>
    <col min="10755" max="10755" width="21" customWidth="1"/>
    <col min="10756" max="10756" width="19" customWidth="1"/>
    <col min="10757" max="10757" width="18.85546875" customWidth="1"/>
    <col min="10758" max="10758" width="19" customWidth="1"/>
    <col min="10759" max="10759" width="21.85546875" customWidth="1"/>
    <col min="10760" max="10760" width="18.28515625" customWidth="1"/>
    <col min="10761" max="10761" width="18" customWidth="1"/>
    <col min="10762" max="10762" width="17.42578125" customWidth="1"/>
    <col min="10763" max="10763" width="21.140625" customWidth="1"/>
    <col min="10764" max="10764" width="19.85546875" customWidth="1"/>
    <col min="10765" max="10765" width="19.28515625" customWidth="1"/>
    <col min="10766" max="10766" width="18.140625" customWidth="1"/>
    <col min="11009" max="11009" width="8.85546875" customWidth="1"/>
    <col min="11010" max="11010" width="24.85546875" customWidth="1"/>
    <col min="11011" max="11011" width="21" customWidth="1"/>
    <col min="11012" max="11012" width="19" customWidth="1"/>
    <col min="11013" max="11013" width="18.85546875" customWidth="1"/>
    <col min="11014" max="11014" width="19" customWidth="1"/>
    <col min="11015" max="11015" width="21.85546875" customWidth="1"/>
    <col min="11016" max="11016" width="18.28515625" customWidth="1"/>
    <col min="11017" max="11017" width="18" customWidth="1"/>
    <col min="11018" max="11018" width="17.42578125" customWidth="1"/>
    <col min="11019" max="11019" width="21.140625" customWidth="1"/>
    <col min="11020" max="11020" width="19.85546875" customWidth="1"/>
    <col min="11021" max="11021" width="19.28515625" customWidth="1"/>
    <col min="11022" max="11022" width="18.140625" customWidth="1"/>
    <col min="11265" max="11265" width="8.85546875" customWidth="1"/>
    <col min="11266" max="11266" width="24.85546875" customWidth="1"/>
    <col min="11267" max="11267" width="21" customWidth="1"/>
    <col min="11268" max="11268" width="19" customWidth="1"/>
    <col min="11269" max="11269" width="18.85546875" customWidth="1"/>
    <col min="11270" max="11270" width="19" customWidth="1"/>
    <col min="11271" max="11271" width="21.85546875" customWidth="1"/>
    <col min="11272" max="11272" width="18.28515625" customWidth="1"/>
    <col min="11273" max="11273" width="18" customWidth="1"/>
    <col min="11274" max="11274" width="17.42578125" customWidth="1"/>
    <col min="11275" max="11275" width="21.140625" customWidth="1"/>
    <col min="11276" max="11276" width="19.85546875" customWidth="1"/>
    <col min="11277" max="11277" width="19.28515625" customWidth="1"/>
    <col min="11278" max="11278" width="18.140625" customWidth="1"/>
    <col min="11521" max="11521" width="8.85546875" customWidth="1"/>
    <col min="11522" max="11522" width="24.85546875" customWidth="1"/>
    <col min="11523" max="11523" width="21" customWidth="1"/>
    <col min="11524" max="11524" width="19" customWidth="1"/>
    <col min="11525" max="11525" width="18.85546875" customWidth="1"/>
    <col min="11526" max="11526" width="19" customWidth="1"/>
    <col min="11527" max="11527" width="21.85546875" customWidth="1"/>
    <col min="11528" max="11528" width="18.28515625" customWidth="1"/>
    <col min="11529" max="11529" width="18" customWidth="1"/>
    <col min="11530" max="11530" width="17.42578125" customWidth="1"/>
    <col min="11531" max="11531" width="21.140625" customWidth="1"/>
    <col min="11532" max="11532" width="19.85546875" customWidth="1"/>
    <col min="11533" max="11533" width="19.28515625" customWidth="1"/>
    <col min="11534" max="11534" width="18.140625" customWidth="1"/>
    <col min="11777" max="11777" width="8.85546875" customWidth="1"/>
    <col min="11778" max="11778" width="24.85546875" customWidth="1"/>
    <col min="11779" max="11779" width="21" customWidth="1"/>
    <col min="11780" max="11780" width="19" customWidth="1"/>
    <col min="11781" max="11781" width="18.85546875" customWidth="1"/>
    <col min="11782" max="11782" width="19" customWidth="1"/>
    <col min="11783" max="11783" width="21.85546875" customWidth="1"/>
    <col min="11784" max="11784" width="18.28515625" customWidth="1"/>
    <col min="11785" max="11785" width="18" customWidth="1"/>
    <col min="11786" max="11786" width="17.42578125" customWidth="1"/>
    <col min="11787" max="11787" width="21.140625" customWidth="1"/>
    <col min="11788" max="11788" width="19.85546875" customWidth="1"/>
    <col min="11789" max="11789" width="19.28515625" customWidth="1"/>
    <col min="11790" max="11790" width="18.140625" customWidth="1"/>
    <col min="12033" max="12033" width="8.85546875" customWidth="1"/>
    <col min="12034" max="12034" width="24.85546875" customWidth="1"/>
    <col min="12035" max="12035" width="21" customWidth="1"/>
    <col min="12036" max="12036" width="19" customWidth="1"/>
    <col min="12037" max="12037" width="18.85546875" customWidth="1"/>
    <col min="12038" max="12038" width="19" customWidth="1"/>
    <col min="12039" max="12039" width="21.85546875" customWidth="1"/>
    <col min="12040" max="12040" width="18.28515625" customWidth="1"/>
    <col min="12041" max="12041" width="18" customWidth="1"/>
    <col min="12042" max="12042" width="17.42578125" customWidth="1"/>
    <col min="12043" max="12043" width="21.140625" customWidth="1"/>
    <col min="12044" max="12044" width="19.85546875" customWidth="1"/>
    <col min="12045" max="12045" width="19.28515625" customWidth="1"/>
    <col min="12046" max="12046" width="18.140625" customWidth="1"/>
    <col min="12289" max="12289" width="8.85546875" customWidth="1"/>
    <col min="12290" max="12290" width="24.85546875" customWidth="1"/>
    <col min="12291" max="12291" width="21" customWidth="1"/>
    <col min="12292" max="12292" width="19" customWidth="1"/>
    <col min="12293" max="12293" width="18.85546875" customWidth="1"/>
    <col min="12294" max="12294" width="19" customWidth="1"/>
    <col min="12295" max="12295" width="21.85546875" customWidth="1"/>
    <col min="12296" max="12296" width="18.28515625" customWidth="1"/>
    <col min="12297" max="12297" width="18" customWidth="1"/>
    <col min="12298" max="12298" width="17.42578125" customWidth="1"/>
    <col min="12299" max="12299" width="21.140625" customWidth="1"/>
    <col min="12300" max="12300" width="19.85546875" customWidth="1"/>
    <col min="12301" max="12301" width="19.28515625" customWidth="1"/>
    <col min="12302" max="12302" width="18.140625" customWidth="1"/>
    <col min="12545" max="12545" width="8.85546875" customWidth="1"/>
    <col min="12546" max="12546" width="24.85546875" customWidth="1"/>
    <col min="12547" max="12547" width="21" customWidth="1"/>
    <col min="12548" max="12548" width="19" customWidth="1"/>
    <col min="12549" max="12549" width="18.85546875" customWidth="1"/>
    <col min="12550" max="12550" width="19" customWidth="1"/>
    <col min="12551" max="12551" width="21.85546875" customWidth="1"/>
    <col min="12552" max="12552" width="18.28515625" customWidth="1"/>
    <col min="12553" max="12553" width="18" customWidth="1"/>
    <col min="12554" max="12554" width="17.42578125" customWidth="1"/>
    <col min="12555" max="12555" width="21.140625" customWidth="1"/>
    <col min="12556" max="12556" width="19.85546875" customWidth="1"/>
    <col min="12557" max="12557" width="19.28515625" customWidth="1"/>
    <col min="12558" max="12558" width="18.140625" customWidth="1"/>
    <col min="12801" max="12801" width="8.85546875" customWidth="1"/>
    <col min="12802" max="12802" width="24.85546875" customWidth="1"/>
    <col min="12803" max="12803" width="21" customWidth="1"/>
    <col min="12804" max="12804" width="19" customWidth="1"/>
    <col min="12805" max="12805" width="18.85546875" customWidth="1"/>
    <col min="12806" max="12806" width="19" customWidth="1"/>
    <col min="12807" max="12807" width="21.85546875" customWidth="1"/>
    <col min="12808" max="12808" width="18.28515625" customWidth="1"/>
    <col min="12809" max="12809" width="18" customWidth="1"/>
    <col min="12810" max="12810" width="17.42578125" customWidth="1"/>
    <col min="12811" max="12811" width="21.140625" customWidth="1"/>
    <col min="12812" max="12812" width="19.85546875" customWidth="1"/>
    <col min="12813" max="12813" width="19.28515625" customWidth="1"/>
    <col min="12814" max="12814" width="18.140625" customWidth="1"/>
    <col min="13057" max="13057" width="8.85546875" customWidth="1"/>
    <col min="13058" max="13058" width="24.85546875" customWidth="1"/>
    <col min="13059" max="13059" width="21" customWidth="1"/>
    <col min="13060" max="13060" width="19" customWidth="1"/>
    <col min="13061" max="13061" width="18.85546875" customWidth="1"/>
    <col min="13062" max="13062" width="19" customWidth="1"/>
    <col min="13063" max="13063" width="21.85546875" customWidth="1"/>
    <col min="13064" max="13064" width="18.28515625" customWidth="1"/>
    <col min="13065" max="13065" width="18" customWidth="1"/>
    <col min="13066" max="13066" width="17.42578125" customWidth="1"/>
    <col min="13067" max="13067" width="21.140625" customWidth="1"/>
    <col min="13068" max="13068" width="19.85546875" customWidth="1"/>
    <col min="13069" max="13069" width="19.28515625" customWidth="1"/>
    <col min="13070" max="13070" width="18.140625" customWidth="1"/>
    <col min="13313" max="13313" width="8.85546875" customWidth="1"/>
    <col min="13314" max="13314" width="24.85546875" customWidth="1"/>
    <col min="13315" max="13315" width="21" customWidth="1"/>
    <col min="13316" max="13316" width="19" customWidth="1"/>
    <col min="13317" max="13317" width="18.85546875" customWidth="1"/>
    <col min="13318" max="13318" width="19" customWidth="1"/>
    <col min="13319" max="13319" width="21.85546875" customWidth="1"/>
    <col min="13320" max="13320" width="18.28515625" customWidth="1"/>
    <col min="13321" max="13321" width="18" customWidth="1"/>
    <col min="13322" max="13322" width="17.42578125" customWidth="1"/>
    <col min="13323" max="13323" width="21.140625" customWidth="1"/>
    <col min="13324" max="13324" width="19.85546875" customWidth="1"/>
    <col min="13325" max="13325" width="19.28515625" customWidth="1"/>
    <col min="13326" max="13326" width="18.140625" customWidth="1"/>
    <col min="13569" max="13569" width="8.85546875" customWidth="1"/>
    <col min="13570" max="13570" width="24.85546875" customWidth="1"/>
    <col min="13571" max="13571" width="21" customWidth="1"/>
    <col min="13572" max="13572" width="19" customWidth="1"/>
    <col min="13573" max="13573" width="18.85546875" customWidth="1"/>
    <col min="13574" max="13574" width="19" customWidth="1"/>
    <col min="13575" max="13575" width="21.85546875" customWidth="1"/>
    <col min="13576" max="13576" width="18.28515625" customWidth="1"/>
    <col min="13577" max="13577" width="18" customWidth="1"/>
    <col min="13578" max="13578" width="17.42578125" customWidth="1"/>
    <col min="13579" max="13579" width="21.140625" customWidth="1"/>
    <col min="13580" max="13580" width="19.85546875" customWidth="1"/>
    <col min="13581" max="13581" width="19.28515625" customWidth="1"/>
    <col min="13582" max="13582" width="18.140625" customWidth="1"/>
    <col min="13825" max="13825" width="8.85546875" customWidth="1"/>
    <col min="13826" max="13826" width="24.85546875" customWidth="1"/>
    <col min="13827" max="13827" width="21" customWidth="1"/>
    <col min="13828" max="13828" width="19" customWidth="1"/>
    <col min="13829" max="13829" width="18.85546875" customWidth="1"/>
    <col min="13830" max="13830" width="19" customWidth="1"/>
    <col min="13831" max="13831" width="21.85546875" customWidth="1"/>
    <col min="13832" max="13832" width="18.28515625" customWidth="1"/>
    <col min="13833" max="13833" width="18" customWidth="1"/>
    <col min="13834" max="13834" width="17.42578125" customWidth="1"/>
    <col min="13835" max="13835" width="21.140625" customWidth="1"/>
    <col min="13836" max="13836" width="19.85546875" customWidth="1"/>
    <col min="13837" max="13837" width="19.28515625" customWidth="1"/>
    <col min="13838" max="13838" width="18.140625" customWidth="1"/>
    <col min="14081" max="14081" width="8.85546875" customWidth="1"/>
    <col min="14082" max="14082" width="24.85546875" customWidth="1"/>
    <col min="14083" max="14083" width="21" customWidth="1"/>
    <col min="14084" max="14084" width="19" customWidth="1"/>
    <col min="14085" max="14085" width="18.85546875" customWidth="1"/>
    <col min="14086" max="14086" width="19" customWidth="1"/>
    <col min="14087" max="14087" width="21.85546875" customWidth="1"/>
    <col min="14088" max="14088" width="18.28515625" customWidth="1"/>
    <col min="14089" max="14089" width="18" customWidth="1"/>
    <col min="14090" max="14090" width="17.42578125" customWidth="1"/>
    <col min="14091" max="14091" width="21.140625" customWidth="1"/>
    <col min="14092" max="14092" width="19.85546875" customWidth="1"/>
    <col min="14093" max="14093" width="19.28515625" customWidth="1"/>
    <col min="14094" max="14094" width="18.140625" customWidth="1"/>
    <col min="14337" max="14337" width="8.85546875" customWidth="1"/>
    <col min="14338" max="14338" width="24.85546875" customWidth="1"/>
    <col min="14339" max="14339" width="21" customWidth="1"/>
    <col min="14340" max="14340" width="19" customWidth="1"/>
    <col min="14341" max="14341" width="18.85546875" customWidth="1"/>
    <col min="14342" max="14342" width="19" customWidth="1"/>
    <col min="14343" max="14343" width="21.85546875" customWidth="1"/>
    <col min="14344" max="14344" width="18.28515625" customWidth="1"/>
    <col min="14345" max="14345" width="18" customWidth="1"/>
    <col min="14346" max="14346" width="17.42578125" customWidth="1"/>
    <col min="14347" max="14347" width="21.140625" customWidth="1"/>
    <col min="14348" max="14348" width="19.85546875" customWidth="1"/>
    <col min="14349" max="14349" width="19.28515625" customWidth="1"/>
    <col min="14350" max="14350" width="18.140625" customWidth="1"/>
    <col min="14593" max="14593" width="8.85546875" customWidth="1"/>
    <col min="14594" max="14594" width="24.85546875" customWidth="1"/>
    <col min="14595" max="14595" width="21" customWidth="1"/>
    <col min="14596" max="14596" width="19" customWidth="1"/>
    <col min="14597" max="14597" width="18.85546875" customWidth="1"/>
    <col min="14598" max="14598" width="19" customWidth="1"/>
    <col min="14599" max="14599" width="21.85546875" customWidth="1"/>
    <col min="14600" max="14600" width="18.28515625" customWidth="1"/>
    <col min="14601" max="14601" width="18" customWidth="1"/>
    <col min="14602" max="14602" width="17.42578125" customWidth="1"/>
    <col min="14603" max="14603" width="21.140625" customWidth="1"/>
    <col min="14604" max="14604" width="19.85546875" customWidth="1"/>
    <col min="14605" max="14605" width="19.28515625" customWidth="1"/>
    <col min="14606" max="14606" width="18.140625" customWidth="1"/>
    <col min="14849" max="14849" width="8.85546875" customWidth="1"/>
    <col min="14850" max="14850" width="24.85546875" customWidth="1"/>
    <col min="14851" max="14851" width="21" customWidth="1"/>
    <col min="14852" max="14852" width="19" customWidth="1"/>
    <col min="14853" max="14853" width="18.85546875" customWidth="1"/>
    <col min="14854" max="14854" width="19" customWidth="1"/>
    <col min="14855" max="14855" width="21.85546875" customWidth="1"/>
    <col min="14856" max="14856" width="18.28515625" customWidth="1"/>
    <col min="14857" max="14857" width="18" customWidth="1"/>
    <col min="14858" max="14858" width="17.42578125" customWidth="1"/>
    <col min="14859" max="14859" width="21.140625" customWidth="1"/>
    <col min="14860" max="14860" width="19.85546875" customWidth="1"/>
    <col min="14861" max="14861" width="19.28515625" customWidth="1"/>
    <col min="14862" max="14862" width="18.140625" customWidth="1"/>
    <col min="15105" max="15105" width="8.85546875" customWidth="1"/>
    <col min="15106" max="15106" width="24.85546875" customWidth="1"/>
    <col min="15107" max="15107" width="21" customWidth="1"/>
    <col min="15108" max="15108" width="19" customWidth="1"/>
    <col min="15109" max="15109" width="18.85546875" customWidth="1"/>
    <col min="15110" max="15110" width="19" customWidth="1"/>
    <col min="15111" max="15111" width="21.85546875" customWidth="1"/>
    <col min="15112" max="15112" width="18.28515625" customWidth="1"/>
    <col min="15113" max="15113" width="18" customWidth="1"/>
    <col min="15114" max="15114" width="17.42578125" customWidth="1"/>
    <col min="15115" max="15115" width="21.140625" customWidth="1"/>
    <col min="15116" max="15116" width="19.85546875" customWidth="1"/>
    <col min="15117" max="15117" width="19.28515625" customWidth="1"/>
    <col min="15118" max="15118" width="18.140625" customWidth="1"/>
    <col min="15361" max="15361" width="8.85546875" customWidth="1"/>
    <col min="15362" max="15362" width="24.85546875" customWidth="1"/>
    <col min="15363" max="15363" width="21" customWidth="1"/>
    <col min="15364" max="15364" width="19" customWidth="1"/>
    <col min="15365" max="15365" width="18.85546875" customWidth="1"/>
    <col min="15366" max="15366" width="19" customWidth="1"/>
    <col min="15367" max="15367" width="21.85546875" customWidth="1"/>
    <col min="15368" max="15368" width="18.28515625" customWidth="1"/>
    <col min="15369" max="15369" width="18" customWidth="1"/>
    <col min="15370" max="15370" width="17.42578125" customWidth="1"/>
    <col min="15371" max="15371" width="21.140625" customWidth="1"/>
    <col min="15372" max="15372" width="19.85546875" customWidth="1"/>
    <col min="15373" max="15373" width="19.28515625" customWidth="1"/>
    <col min="15374" max="15374" width="18.140625" customWidth="1"/>
    <col min="15617" max="15617" width="8.85546875" customWidth="1"/>
    <col min="15618" max="15618" width="24.85546875" customWidth="1"/>
    <col min="15619" max="15619" width="21" customWidth="1"/>
    <col min="15620" max="15620" width="19" customWidth="1"/>
    <col min="15621" max="15621" width="18.85546875" customWidth="1"/>
    <col min="15622" max="15622" width="19" customWidth="1"/>
    <col min="15623" max="15623" width="21.85546875" customWidth="1"/>
    <col min="15624" max="15624" width="18.28515625" customWidth="1"/>
    <col min="15625" max="15625" width="18" customWidth="1"/>
    <col min="15626" max="15626" width="17.42578125" customWidth="1"/>
    <col min="15627" max="15627" width="21.140625" customWidth="1"/>
    <col min="15628" max="15628" width="19.85546875" customWidth="1"/>
    <col min="15629" max="15629" width="19.28515625" customWidth="1"/>
    <col min="15630" max="15630" width="18.140625" customWidth="1"/>
    <col min="15873" max="15873" width="8.85546875" customWidth="1"/>
    <col min="15874" max="15874" width="24.85546875" customWidth="1"/>
    <col min="15875" max="15875" width="21" customWidth="1"/>
    <col min="15876" max="15876" width="19" customWidth="1"/>
    <col min="15877" max="15877" width="18.85546875" customWidth="1"/>
    <col min="15878" max="15878" width="19" customWidth="1"/>
    <col min="15879" max="15879" width="21.85546875" customWidth="1"/>
    <col min="15880" max="15880" width="18.28515625" customWidth="1"/>
    <col min="15881" max="15881" width="18" customWidth="1"/>
    <col min="15882" max="15882" width="17.42578125" customWidth="1"/>
    <col min="15883" max="15883" width="21.140625" customWidth="1"/>
    <col min="15884" max="15884" width="19.85546875" customWidth="1"/>
    <col min="15885" max="15885" width="19.28515625" customWidth="1"/>
    <col min="15886" max="15886" width="18.140625" customWidth="1"/>
    <col min="16129" max="16129" width="8.85546875" customWidth="1"/>
    <col min="16130" max="16130" width="24.85546875" customWidth="1"/>
    <col min="16131" max="16131" width="21" customWidth="1"/>
    <col min="16132" max="16132" width="19" customWidth="1"/>
    <col min="16133" max="16133" width="18.85546875" customWidth="1"/>
    <col min="16134" max="16134" width="19" customWidth="1"/>
    <col min="16135" max="16135" width="21.85546875" customWidth="1"/>
    <col min="16136" max="16136" width="18.28515625" customWidth="1"/>
    <col min="16137" max="16137" width="18" customWidth="1"/>
    <col min="16138" max="16138" width="17.42578125" customWidth="1"/>
    <col min="16139" max="16139" width="21.140625" customWidth="1"/>
    <col min="16140" max="16140" width="19.85546875" customWidth="1"/>
    <col min="16141" max="16141" width="19.28515625" customWidth="1"/>
    <col min="16142" max="16142" width="18.140625" customWidth="1"/>
  </cols>
  <sheetData>
    <row r="1" spans="1:17" ht="79.5" customHeight="1">
      <c r="A1" s="418" t="s">
        <v>225</v>
      </c>
      <c r="B1" s="418"/>
      <c r="C1" s="418"/>
      <c r="D1" s="418"/>
      <c r="E1" s="418"/>
      <c r="F1" s="418"/>
      <c r="G1" s="418"/>
      <c r="H1" s="418"/>
      <c r="I1" s="418"/>
      <c r="J1" s="418"/>
      <c r="K1" s="418"/>
      <c r="L1" s="418"/>
      <c r="M1" s="418"/>
      <c r="N1" s="418"/>
    </row>
    <row r="2" spans="1:17" ht="13.5" customHeight="1" thickBot="1">
      <c r="A2" s="112"/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</row>
    <row r="3" spans="1:17" ht="34.5" customHeight="1" thickBot="1">
      <c r="A3" s="419" t="s">
        <v>226</v>
      </c>
      <c r="B3" s="422" t="s">
        <v>72</v>
      </c>
      <c r="C3" s="425" t="s">
        <v>154</v>
      </c>
      <c r="D3" s="426"/>
      <c r="E3" s="426"/>
      <c r="F3" s="427"/>
      <c r="G3" s="425" t="s">
        <v>227</v>
      </c>
      <c r="H3" s="426"/>
      <c r="I3" s="426"/>
      <c r="J3" s="427"/>
      <c r="K3" s="425" t="s">
        <v>155</v>
      </c>
      <c r="L3" s="426"/>
      <c r="M3" s="426"/>
      <c r="N3" s="427"/>
    </row>
    <row r="4" spans="1:17" ht="101.25" customHeight="1">
      <c r="A4" s="420"/>
      <c r="B4" s="423"/>
      <c r="C4" s="415" t="s">
        <v>228</v>
      </c>
      <c r="D4" s="415"/>
      <c r="E4" s="415"/>
      <c r="F4" s="416" t="s">
        <v>229</v>
      </c>
      <c r="G4" s="415" t="s">
        <v>228</v>
      </c>
      <c r="H4" s="415"/>
      <c r="I4" s="415"/>
      <c r="J4" s="416" t="s">
        <v>229</v>
      </c>
      <c r="K4" s="415" t="s">
        <v>228</v>
      </c>
      <c r="L4" s="415"/>
      <c r="M4" s="415"/>
      <c r="N4" s="416" t="s">
        <v>229</v>
      </c>
    </row>
    <row r="5" spans="1:17" ht="169.5" customHeight="1" thickBot="1">
      <c r="A5" s="421"/>
      <c r="B5" s="424"/>
      <c r="C5" s="143" t="s">
        <v>230</v>
      </c>
      <c r="D5" s="144" t="s">
        <v>231</v>
      </c>
      <c r="E5" s="144" t="s">
        <v>74</v>
      </c>
      <c r="F5" s="417"/>
      <c r="G5" s="143" t="s">
        <v>230</v>
      </c>
      <c r="H5" s="144" t="s">
        <v>231</v>
      </c>
      <c r="I5" s="144" t="s">
        <v>74</v>
      </c>
      <c r="J5" s="417"/>
      <c r="K5" s="143" t="s">
        <v>230</v>
      </c>
      <c r="L5" s="144" t="s">
        <v>231</v>
      </c>
      <c r="M5" s="144" t="s">
        <v>74</v>
      </c>
      <c r="N5" s="417"/>
    </row>
    <row r="6" spans="1:17" ht="168.75" customHeight="1">
      <c r="A6" s="145" t="s">
        <v>0</v>
      </c>
      <c r="B6" s="146" t="s">
        <v>232</v>
      </c>
      <c r="C6" s="147">
        <v>14862792</v>
      </c>
      <c r="D6" s="148">
        <v>2050</v>
      </c>
      <c r="E6" s="148">
        <v>27507.95</v>
      </c>
      <c r="F6" s="149">
        <f>C6/D6</f>
        <v>7250.1424390243901</v>
      </c>
      <c r="G6" s="147">
        <v>10493280</v>
      </c>
      <c r="H6" s="148">
        <v>2524</v>
      </c>
      <c r="I6" s="148">
        <v>29321.35</v>
      </c>
      <c r="J6" s="149">
        <f>G6/H6</f>
        <v>4157.4009508716326</v>
      </c>
      <c r="K6" s="147">
        <v>14139048</v>
      </c>
      <c r="L6" s="148">
        <v>1754</v>
      </c>
      <c r="M6" s="148">
        <v>24742.19</v>
      </c>
      <c r="N6" s="149">
        <f>K6/L6</f>
        <v>8061.0307867730899</v>
      </c>
      <c r="P6" s="371">
        <f>(D6+H6+L6)/3</f>
        <v>2109.3333333333335</v>
      </c>
      <c r="Q6" s="371">
        <f>(E6+I6+M6)/3</f>
        <v>27190.49666666667</v>
      </c>
    </row>
    <row r="7" spans="1:17" ht="153.75" customHeight="1" thickBot="1">
      <c r="A7" s="150" t="s">
        <v>1</v>
      </c>
      <c r="B7" s="151" t="s">
        <v>233</v>
      </c>
      <c r="C7" s="152">
        <v>11677908</v>
      </c>
      <c r="D7" s="153">
        <v>2050</v>
      </c>
      <c r="E7" s="153">
        <f>E6</f>
        <v>27507.95</v>
      </c>
      <c r="F7" s="154">
        <f>C7/D7</f>
        <v>5696.5404878048785</v>
      </c>
      <c r="G7" s="152">
        <v>8244720</v>
      </c>
      <c r="H7" s="153">
        <f>H6</f>
        <v>2524</v>
      </c>
      <c r="I7" s="153">
        <f>I6</f>
        <v>29321.35</v>
      </c>
      <c r="J7" s="154">
        <f>G7/H7</f>
        <v>3266.5293185419969</v>
      </c>
      <c r="K7" s="152">
        <v>11109252</v>
      </c>
      <c r="L7" s="153">
        <f>L6</f>
        <v>1754</v>
      </c>
      <c r="M7" s="153">
        <f>M6</f>
        <v>24742.19</v>
      </c>
      <c r="N7" s="154">
        <f>K7/L7</f>
        <v>6333.6670467502854</v>
      </c>
    </row>
    <row r="8" spans="1:17" hidden="1">
      <c r="A8" s="112"/>
      <c r="B8" s="112"/>
      <c r="C8" s="155">
        <f>'[3]прил.3 к МУ'!C6</f>
        <v>31786025.760444984</v>
      </c>
      <c r="D8" s="112"/>
      <c r="E8" s="112"/>
      <c r="F8" s="112"/>
      <c r="G8" s="155">
        <f>'[3]прил.3 к МУ'!D6</f>
        <v>35874864.568175092</v>
      </c>
      <c r="H8" s="112"/>
      <c r="I8" s="112"/>
      <c r="J8" s="112"/>
      <c r="K8" s="155">
        <f>'[3]прил.3 к МУ'!E6</f>
        <v>48700337.129059494</v>
      </c>
      <c r="L8" s="112"/>
      <c r="M8" s="112"/>
      <c r="N8" s="112"/>
    </row>
    <row r="9" spans="1:17" ht="51" customHeight="1">
      <c r="A9" s="112"/>
      <c r="B9" s="112"/>
      <c r="C9" s="112"/>
      <c r="D9" s="112"/>
      <c r="E9" s="112"/>
      <c r="F9" s="112"/>
      <c r="G9" s="112"/>
      <c r="H9" s="112"/>
      <c r="I9" s="112"/>
      <c r="J9" s="112"/>
      <c r="K9" s="112"/>
      <c r="L9" s="112"/>
      <c r="M9" s="112"/>
      <c r="N9" s="112"/>
    </row>
    <row r="10" spans="1:17" ht="26.25" hidden="1" customHeight="1">
      <c r="A10" s="112"/>
      <c r="B10" s="156" t="s">
        <v>234</v>
      </c>
      <c r="C10" s="156">
        <v>1.0706098089640108</v>
      </c>
      <c r="D10" s="112"/>
      <c r="E10" s="112"/>
      <c r="F10" s="112"/>
      <c r="G10" s="112"/>
      <c r="H10" s="112"/>
      <c r="I10" s="112"/>
      <c r="J10" s="112"/>
      <c r="K10" s="112"/>
      <c r="L10" s="112"/>
      <c r="M10" s="112"/>
      <c r="N10" s="112"/>
    </row>
    <row r="11" spans="1:17" ht="25.5" hidden="1" customHeight="1">
      <c r="A11" s="112"/>
      <c r="B11" s="156" t="s">
        <v>235</v>
      </c>
      <c r="C11" s="156">
        <v>1.0385113807510544</v>
      </c>
      <c r="D11" s="112"/>
      <c r="E11" s="112"/>
      <c r="F11" s="112"/>
      <c r="G11" s="112"/>
      <c r="H11" s="112"/>
      <c r="I11" s="112"/>
      <c r="J11" s="112"/>
      <c r="K11" s="112"/>
      <c r="L11" s="112"/>
      <c r="M11" s="112"/>
      <c r="N11" s="112"/>
    </row>
    <row r="12" spans="1:17" ht="29.25" hidden="1" customHeight="1">
      <c r="A12" s="112"/>
      <c r="B12" s="156" t="s">
        <v>236</v>
      </c>
      <c r="C12" s="156">
        <v>1.0374660828449371</v>
      </c>
      <c r="D12" s="112"/>
      <c r="E12" s="112"/>
      <c r="F12" s="112"/>
      <c r="G12" s="112"/>
      <c r="H12" s="112"/>
      <c r="I12" s="112"/>
      <c r="J12" s="112"/>
      <c r="K12" s="112"/>
      <c r="L12" s="112"/>
      <c r="M12" s="112"/>
      <c r="N12" s="112"/>
    </row>
    <row r="13" spans="1:17" ht="30" hidden="1" customHeight="1">
      <c r="A13" s="112"/>
      <c r="B13" s="156" t="s">
        <v>237</v>
      </c>
      <c r="C13" s="156">
        <v>1.040056560701426</v>
      </c>
      <c r="D13" s="112"/>
      <c r="E13" s="112"/>
      <c r="F13" s="112"/>
      <c r="G13" s="112"/>
      <c r="H13" s="112"/>
      <c r="I13" s="112"/>
      <c r="J13" s="112"/>
      <c r="K13" s="112"/>
      <c r="L13" s="112"/>
      <c r="M13" s="112"/>
      <c r="N13" s="112"/>
    </row>
    <row r="14" spans="1:17" hidden="1">
      <c r="A14" s="112"/>
      <c r="B14" s="112"/>
      <c r="C14" s="112"/>
      <c r="D14" s="112"/>
      <c r="E14" s="112"/>
      <c r="F14" s="112"/>
      <c r="G14" s="112"/>
      <c r="H14" s="112"/>
      <c r="I14" s="112"/>
      <c r="J14" s="112"/>
      <c r="K14" s="112"/>
      <c r="L14" s="112"/>
      <c r="M14" s="112"/>
      <c r="N14" s="112"/>
    </row>
    <row r="15" spans="1:17" hidden="1">
      <c r="A15" s="112"/>
      <c r="B15" s="112"/>
      <c r="C15" s="112"/>
      <c r="D15" s="112"/>
      <c r="E15" s="112"/>
      <c r="F15" s="112"/>
      <c r="G15" s="112"/>
      <c r="H15" s="112"/>
      <c r="I15" s="112"/>
      <c r="J15" s="112"/>
      <c r="K15" s="112"/>
      <c r="L15" s="112"/>
      <c r="M15" s="112"/>
      <c r="N15" s="112"/>
    </row>
    <row r="16" spans="1:17" hidden="1">
      <c r="A16" s="112"/>
      <c r="B16" s="112"/>
      <c r="C16" s="112"/>
      <c r="D16" s="112"/>
      <c r="E16" s="112"/>
      <c r="F16" s="112"/>
      <c r="G16" s="112"/>
      <c r="H16" s="112"/>
      <c r="I16" s="112"/>
      <c r="J16" s="112"/>
      <c r="K16" s="112"/>
      <c r="L16" s="112"/>
      <c r="M16" s="112"/>
      <c r="N16" s="112"/>
    </row>
  </sheetData>
  <mergeCells count="12">
    <mergeCell ref="K4:M4"/>
    <mergeCell ref="N4:N5"/>
    <mergeCell ref="A1:N1"/>
    <mergeCell ref="A3:A5"/>
    <mergeCell ref="B3:B5"/>
    <mergeCell ref="C3:F3"/>
    <mergeCell ref="G3:J3"/>
    <mergeCell ref="K3:N3"/>
    <mergeCell ref="C4:E4"/>
    <mergeCell ref="F4:F5"/>
    <mergeCell ref="G4:I4"/>
    <mergeCell ref="J4:J5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S56"/>
  <sheetViews>
    <sheetView tabSelected="1" zoomScale="70" zoomScaleNormal="7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P10" sqref="P10:S10"/>
    </sheetView>
  </sheetViews>
  <sheetFormatPr defaultColWidth="9.140625" defaultRowHeight="12.75"/>
  <cols>
    <col min="1" max="1" width="5.140625" style="157" customWidth="1"/>
    <col min="2" max="2" width="57.85546875" style="157" customWidth="1"/>
    <col min="3" max="3" width="17.85546875" style="157" customWidth="1"/>
    <col min="4" max="4" width="15.7109375" style="157" customWidth="1"/>
    <col min="5" max="5" width="16.5703125" style="157" customWidth="1"/>
    <col min="6" max="6" width="14.42578125" style="157" customWidth="1"/>
    <col min="7" max="7" width="13.7109375" style="157" customWidth="1"/>
    <col min="8" max="8" width="14.42578125" style="157" customWidth="1"/>
    <col min="9" max="10" width="10.7109375" style="157" hidden="1" customWidth="1"/>
    <col min="11" max="11" width="12.42578125" style="157" hidden="1" customWidth="1"/>
    <col min="12" max="12" width="10.7109375" style="157" hidden="1" customWidth="1"/>
    <col min="13" max="15" width="15.85546875" style="157" customWidth="1"/>
    <col min="16" max="16" width="18.42578125" style="157" customWidth="1"/>
    <col min="17" max="256" width="9.140625" style="157"/>
    <col min="257" max="257" width="5.140625" style="157" customWidth="1"/>
    <col min="258" max="258" width="57.85546875" style="157" customWidth="1"/>
    <col min="259" max="259" width="17.85546875" style="157" customWidth="1"/>
    <col min="260" max="260" width="15.7109375" style="157" customWidth="1"/>
    <col min="261" max="261" width="16.5703125" style="157" customWidth="1"/>
    <col min="262" max="262" width="14.42578125" style="157" customWidth="1"/>
    <col min="263" max="263" width="13.7109375" style="157" customWidth="1"/>
    <col min="264" max="264" width="14.42578125" style="157" customWidth="1"/>
    <col min="265" max="268" width="0" style="157" hidden="1" customWidth="1"/>
    <col min="269" max="271" width="15.85546875" style="157" customWidth="1"/>
    <col min="272" max="272" width="18.42578125" style="157" customWidth="1"/>
    <col min="273" max="512" width="9.140625" style="157"/>
    <col min="513" max="513" width="5.140625" style="157" customWidth="1"/>
    <col min="514" max="514" width="57.85546875" style="157" customWidth="1"/>
    <col min="515" max="515" width="17.85546875" style="157" customWidth="1"/>
    <col min="516" max="516" width="15.7109375" style="157" customWidth="1"/>
    <col min="517" max="517" width="16.5703125" style="157" customWidth="1"/>
    <col min="518" max="518" width="14.42578125" style="157" customWidth="1"/>
    <col min="519" max="519" width="13.7109375" style="157" customWidth="1"/>
    <col min="520" max="520" width="14.42578125" style="157" customWidth="1"/>
    <col min="521" max="524" width="0" style="157" hidden="1" customWidth="1"/>
    <col min="525" max="527" width="15.85546875" style="157" customWidth="1"/>
    <col min="528" max="528" width="18.42578125" style="157" customWidth="1"/>
    <col min="529" max="768" width="9.140625" style="157"/>
    <col min="769" max="769" width="5.140625" style="157" customWidth="1"/>
    <col min="770" max="770" width="57.85546875" style="157" customWidth="1"/>
    <col min="771" max="771" width="17.85546875" style="157" customWidth="1"/>
    <col min="772" max="772" width="15.7109375" style="157" customWidth="1"/>
    <col min="773" max="773" width="16.5703125" style="157" customWidth="1"/>
    <col min="774" max="774" width="14.42578125" style="157" customWidth="1"/>
    <col min="775" max="775" width="13.7109375" style="157" customWidth="1"/>
    <col min="776" max="776" width="14.42578125" style="157" customWidth="1"/>
    <col min="777" max="780" width="0" style="157" hidden="1" customWidth="1"/>
    <col min="781" max="783" width="15.85546875" style="157" customWidth="1"/>
    <col min="784" max="784" width="18.42578125" style="157" customWidth="1"/>
    <col min="785" max="1024" width="9.140625" style="157"/>
    <col min="1025" max="1025" width="5.140625" style="157" customWidth="1"/>
    <col min="1026" max="1026" width="57.85546875" style="157" customWidth="1"/>
    <col min="1027" max="1027" width="17.85546875" style="157" customWidth="1"/>
    <col min="1028" max="1028" width="15.7109375" style="157" customWidth="1"/>
    <col min="1029" max="1029" width="16.5703125" style="157" customWidth="1"/>
    <col min="1030" max="1030" width="14.42578125" style="157" customWidth="1"/>
    <col min="1031" max="1031" width="13.7109375" style="157" customWidth="1"/>
    <col min="1032" max="1032" width="14.42578125" style="157" customWidth="1"/>
    <col min="1033" max="1036" width="0" style="157" hidden="1" customWidth="1"/>
    <col min="1037" max="1039" width="15.85546875" style="157" customWidth="1"/>
    <col min="1040" max="1040" width="18.42578125" style="157" customWidth="1"/>
    <col min="1041" max="1280" width="9.140625" style="157"/>
    <col min="1281" max="1281" width="5.140625" style="157" customWidth="1"/>
    <col min="1282" max="1282" width="57.85546875" style="157" customWidth="1"/>
    <col min="1283" max="1283" width="17.85546875" style="157" customWidth="1"/>
    <col min="1284" max="1284" width="15.7109375" style="157" customWidth="1"/>
    <col min="1285" max="1285" width="16.5703125" style="157" customWidth="1"/>
    <col min="1286" max="1286" width="14.42578125" style="157" customWidth="1"/>
    <col min="1287" max="1287" width="13.7109375" style="157" customWidth="1"/>
    <col min="1288" max="1288" width="14.42578125" style="157" customWidth="1"/>
    <col min="1289" max="1292" width="0" style="157" hidden="1" customWidth="1"/>
    <col min="1293" max="1295" width="15.85546875" style="157" customWidth="1"/>
    <col min="1296" max="1296" width="18.42578125" style="157" customWidth="1"/>
    <col min="1297" max="1536" width="9.140625" style="157"/>
    <col min="1537" max="1537" width="5.140625" style="157" customWidth="1"/>
    <col min="1538" max="1538" width="57.85546875" style="157" customWidth="1"/>
    <col min="1539" max="1539" width="17.85546875" style="157" customWidth="1"/>
    <col min="1540" max="1540" width="15.7109375" style="157" customWidth="1"/>
    <col min="1541" max="1541" width="16.5703125" style="157" customWidth="1"/>
    <col min="1542" max="1542" width="14.42578125" style="157" customWidth="1"/>
    <col min="1543" max="1543" width="13.7109375" style="157" customWidth="1"/>
    <col min="1544" max="1544" width="14.42578125" style="157" customWidth="1"/>
    <col min="1545" max="1548" width="0" style="157" hidden="1" customWidth="1"/>
    <col min="1549" max="1551" width="15.85546875" style="157" customWidth="1"/>
    <col min="1552" max="1552" width="18.42578125" style="157" customWidth="1"/>
    <col min="1553" max="1792" width="9.140625" style="157"/>
    <col min="1793" max="1793" width="5.140625" style="157" customWidth="1"/>
    <col min="1794" max="1794" width="57.85546875" style="157" customWidth="1"/>
    <col min="1795" max="1795" width="17.85546875" style="157" customWidth="1"/>
    <col min="1796" max="1796" width="15.7109375" style="157" customWidth="1"/>
    <col min="1797" max="1797" width="16.5703125" style="157" customWidth="1"/>
    <col min="1798" max="1798" width="14.42578125" style="157" customWidth="1"/>
    <col min="1799" max="1799" width="13.7109375" style="157" customWidth="1"/>
    <col min="1800" max="1800" width="14.42578125" style="157" customWidth="1"/>
    <col min="1801" max="1804" width="0" style="157" hidden="1" customWidth="1"/>
    <col min="1805" max="1807" width="15.85546875" style="157" customWidth="1"/>
    <col min="1808" max="1808" width="18.42578125" style="157" customWidth="1"/>
    <col min="1809" max="2048" width="9.140625" style="157"/>
    <col min="2049" max="2049" width="5.140625" style="157" customWidth="1"/>
    <col min="2050" max="2050" width="57.85546875" style="157" customWidth="1"/>
    <col min="2051" max="2051" width="17.85546875" style="157" customWidth="1"/>
    <col min="2052" max="2052" width="15.7109375" style="157" customWidth="1"/>
    <col min="2053" max="2053" width="16.5703125" style="157" customWidth="1"/>
    <col min="2054" max="2054" width="14.42578125" style="157" customWidth="1"/>
    <col min="2055" max="2055" width="13.7109375" style="157" customWidth="1"/>
    <col min="2056" max="2056" width="14.42578125" style="157" customWidth="1"/>
    <col min="2057" max="2060" width="0" style="157" hidden="1" customWidth="1"/>
    <col min="2061" max="2063" width="15.85546875" style="157" customWidth="1"/>
    <col min="2064" max="2064" width="18.42578125" style="157" customWidth="1"/>
    <col min="2065" max="2304" width="9.140625" style="157"/>
    <col min="2305" max="2305" width="5.140625" style="157" customWidth="1"/>
    <col min="2306" max="2306" width="57.85546875" style="157" customWidth="1"/>
    <col min="2307" max="2307" width="17.85546875" style="157" customWidth="1"/>
    <col min="2308" max="2308" width="15.7109375" style="157" customWidth="1"/>
    <col min="2309" max="2309" width="16.5703125" style="157" customWidth="1"/>
    <col min="2310" max="2310" width="14.42578125" style="157" customWidth="1"/>
    <col min="2311" max="2311" width="13.7109375" style="157" customWidth="1"/>
    <col min="2312" max="2312" width="14.42578125" style="157" customWidth="1"/>
    <col min="2313" max="2316" width="0" style="157" hidden="1" customWidth="1"/>
    <col min="2317" max="2319" width="15.85546875" style="157" customWidth="1"/>
    <col min="2320" max="2320" width="18.42578125" style="157" customWidth="1"/>
    <col min="2321" max="2560" width="9.140625" style="157"/>
    <col min="2561" max="2561" width="5.140625" style="157" customWidth="1"/>
    <col min="2562" max="2562" width="57.85546875" style="157" customWidth="1"/>
    <col min="2563" max="2563" width="17.85546875" style="157" customWidth="1"/>
    <col min="2564" max="2564" width="15.7109375" style="157" customWidth="1"/>
    <col min="2565" max="2565" width="16.5703125" style="157" customWidth="1"/>
    <col min="2566" max="2566" width="14.42578125" style="157" customWidth="1"/>
    <col min="2567" max="2567" width="13.7109375" style="157" customWidth="1"/>
    <col min="2568" max="2568" width="14.42578125" style="157" customWidth="1"/>
    <col min="2569" max="2572" width="0" style="157" hidden="1" customWidth="1"/>
    <col min="2573" max="2575" width="15.85546875" style="157" customWidth="1"/>
    <col min="2576" max="2576" width="18.42578125" style="157" customWidth="1"/>
    <col min="2577" max="2816" width="9.140625" style="157"/>
    <col min="2817" max="2817" width="5.140625" style="157" customWidth="1"/>
    <col min="2818" max="2818" width="57.85546875" style="157" customWidth="1"/>
    <col min="2819" max="2819" width="17.85546875" style="157" customWidth="1"/>
    <col min="2820" max="2820" width="15.7109375" style="157" customWidth="1"/>
    <col min="2821" max="2821" width="16.5703125" style="157" customWidth="1"/>
    <col min="2822" max="2822" width="14.42578125" style="157" customWidth="1"/>
    <col min="2823" max="2823" width="13.7109375" style="157" customWidth="1"/>
    <col min="2824" max="2824" width="14.42578125" style="157" customWidth="1"/>
    <col min="2825" max="2828" width="0" style="157" hidden="1" customWidth="1"/>
    <col min="2829" max="2831" width="15.85546875" style="157" customWidth="1"/>
    <col min="2832" max="2832" width="18.42578125" style="157" customWidth="1"/>
    <col min="2833" max="3072" width="9.140625" style="157"/>
    <col min="3073" max="3073" width="5.140625" style="157" customWidth="1"/>
    <col min="3074" max="3074" width="57.85546875" style="157" customWidth="1"/>
    <col min="3075" max="3075" width="17.85546875" style="157" customWidth="1"/>
    <col min="3076" max="3076" width="15.7109375" style="157" customWidth="1"/>
    <col min="3077" max="3077" width="16.5703125" style="157" customWidth="1"/>
    <col min="3078" max="3078" width="14.42578125" style="157" customWidth="1"/>
    <col min="3079" max="3079" width="13.7109375" style="157" customWidth="1"/>
    <col min="3080" max="3080" width="14.42578125" style="157" customWidth="1"/>
    <col min="3081" max="3084" width="0" style="157" hidden="1" customWidth="1"/>
    <col min="3085" max="3087" width="15.85546875" style="157" customWidth="1"/>
    <col min="3088" max="3088" width="18.42578125" style="157" customWidth="1"/>
    <col min="3089" max="3328" width="9.140625" style="157"/>
    <col min="3329" max="3329" width="5.140625" style="157" customWidth="1"/>
    <col min="3330" max="3330" width="57.85546875" style="157" customWidth="1"/>
    <col min="3331" max="3331" width="17.85546875" style="157" customWidth="1"/>
    <col min="3332" max="3332" width="15.7109375" style="157" customWidth="1"/>
    <col min="3333" max="3333" width="16.5703125" style="157" customWidth="1"/>
    <col min="3334" max="3334" width="14.42578125" style="157" customWidth="1"/>
    <col min="3335" max="3335" width="13.7109375" style="157" customWidth="1"/>
    <col min="3336" max="3336" width="14.42578125" style="157" customWidth="1"/>
    <col min="3337" max="3340" width="0" style="157" hidden="1" customWidth="1"/>
    <col min="3341" max="3343" width="15.85546875" style="157" customWidth="1"/>
    <col min="3344" max="3344" width="18.42578125" style="157" customWidth="1"/>
    <col min="3345" max="3584" width="9.140625" style="157"/>
    <col min="3585" max="3585" width="5.140625" style="157" customWidth="1"/>
    <col min="3586" max="3586" width="57.85546875" style="157" customWidth="1"/>
    <col min="3587" max="3587" width="17.85546875" style="157" customWidth="1"/>
    <col min="3588" max="3588" width="15.7109375" style="157" customWidth="1"/>
    <col min="3589" max="3589" width="16.5703125" style="157" customWidth="1"/>
    <col min="3590" max="3590" width="14.42578125" style="157" customWidth="1"/>
    <col min="3591" max="3591" width="13.7109375" style="157" customWidth="1"/>
    <col min="3592" max="3592" width="14.42578125" style="157" customWidth="1"/>
    <col min="3593" max="3596" width="0" style="157" hidden="1" customWidth="1"/>
    <col min="3597" max="3599" width="15.85546875" style="157" customWidth="1"/>
    <col min="3600" max="3600" width="18.42578125" style="157" customWidth="1"/>
    <col min="3601" max="3840" width="9.140625" style="157"/>
    <col min="3841" max="3841" width="5.140625" style="157" customWidth="1"/>
    <col min="3842" max="3842" width="57.85546875" style="157" customWidth="1"/>
    <col min="3843" max="3843" width="17.85546875" style="157" customWidth="1"/>
    <col min="3844" max="3844" width="15.7109375" style="157" customWidth="1"/>
    <col min="3845" max="3845" width="16.5703125" style="157" customWidth="1"/>
    <col min="3846" max="3846" width="14.42578125" style="157" customWidth="1"/>
    <col min="3847" max="3847" width="13.7109375" style="157" customWidth="1"/>
    <col min="3848" max="3848" width="14.42578125" style="157" customWidth="1"/>
    <col min="3849" max="3852" width="0" style="157" hidden="1" customWidth="1"/>
    <col min="3853" max="3855" width="15.85546875" style="157" customWidth="1"/>
    <col min="3856" max="3856" width="18.42578125" style="157" customWidth="1"/>
    <col min="3857" max="4096" width="9.140625" style="157"/>
    <col min="4097" max="4097" width="5.140625" style="157" customWidth="1"/>
    <col min="4098" max="4098" width="57.85546875" style="157" customWidth="1"/>
    <col min="4099" max="4099" width="17.85546875" style="157" customWidth="1"/>
    <col min="4100" max="4100" width="15.7109375" style="157" customWidth="1"/>
    <col min="4101" max="4101" width="16.5703125" style="157" customWidth="1"/>
    <col min="4102" max="4102" width="14.42578125" style="157" customWidth="1"/>
    <col min="4103" max="4103" width="13.7109375" style="157" customWidth="1"/>
    <col min="4104" max="4104" width="14.42578125" style="157" customWidth="1"/>
    <col min="4105" max="4108" width="0" style="157" hidden="1" customWidth="1"/>
    <col min="4109" max="4111" width="15.85546875" style="157" customWidth="1"/>
    <col min="4112" max="4112" width="18.42578125" style="157" customWidth="1"/>
    <col min="4113" max="4352" width="9.140625" style="157"/>
    <col min="4353" max="4353" width="5.140625" style="157" customWidth="1"/>
    <col min="4354" max="4354" width="57.85546875" style="157" customWidth="1"/>
    <col min="4355" max="4355" width="17.85546875" style="157" customWidth="1"/>
    <col min="4356" max="4356" width="15.7109375" style="157" customWidth="1"/>
    <col min="4357" max="4357" width="16.5703125" style="157" customWidth="1"/>
    <col min="4358" max="4358" width="14.42578125" style="157" customWidth="1"/>
    <col min="4359" max="4359" width="13.7109375" style="157" customWidth="1"/>
    <col min="4360" max="4360" width="14.42578125" style="157" customWidth="1"/>
    <col min="4361" max="4364" width="0" style="157" hidden="1" customWidth="1"/>
    <col min="4365" max="4367" width="15.85546875" style="157" customWidth="1"/>
    <col min="4368" max="4368" width="18.42578125" style="157" customWidth="1"/>
    <col min="4369" max="4608" width="9.140625" style="157"/>
    <col min="4609" max="4609" width="5.140625" style="157" customWidth="1"/>
    <col min="4610" max="4610" width="57.85546875" style="157" customWidth="1"/>
    <col min="4611" max="4611" width="17.85546875" style="157" customWidth="1"/>
    <col min="4612" max="4612" width="15.7109375" style="157" customWidth="1"/>
    <col min="4613" max="4613" width="16.5703125" style="157" customWidth="1"/>
    <col min="4614" max="4614" width="14.42578125" style="157" customWidth="1"/>
    <col min="4615" max="4615" width="13.7109375" style="157" customWidth="1"/>
    <col min="4616" max="4616" width="14.42578125" style="157" customWidth="1"/>
    <col min="4617" max="4620" width="0" style="157" hidden="1" customWidth="1"/>
    <col min="4621" max="4623" width="15.85546875" style="157" customWidth="1"/>
    <col min="4624" max="4624" width="18.42578125" style="157" customWidth="1"/>
    <col min="4625" max="4864" width="9.140625" style="157"/>
    <col min="4865" max="4865" width="5.140625" style="157" customWidth="1"/>
    <col min="4866" max="4866" width="57.85546875" style="157" customWidth="1"/>
    <col min="4867" max="4867" width="17.85546875" style="157" customWidth="1"/>
    <col min="4868" max="4868" width="15.7109375" style="157" customWidth="1"/>
    <col min="4869" max="4869" width="16.5703125" style="157" customWidth="1"/>
    <col min="4870" max="4870" width="14.42578125" style="157" customWidth="1"/>
    <col min="4871" max="4871" width="13.7109375" style="157" customWidth="1"/>
    <col min="4872" max="4872" width="14.42578125" style="157" customWidth="1"/>
    <col min="4873" max="4876" width="0" style="157" hidden="1" customWidth="1"/>
    <col min="4877" max="4879" width="15.85546875" style="157" customWidth="1"/>
    <col min="4880" max="4880" width="18.42578125" style="157" customWidth="1"/>
    <col min="4881" max="5120" width="9.140625" style="157"/>
    <col min="5121" max="5121" width="5.140625" style="157" customWidth="1"/>
    <col min="5122" max="5122" width="57.85546875" style="157" customWidth="1"/>
    <col min="5123" max="5123" width="17.85546875" style="157" customWidth="1"/>
    <col min="5124" max="5124" width="15.7109375" style="157" customWidth="1"/>
    <col min="5125" max="5125" width="16.5703125" style="157" customWidth="1"/>
    <col min="5126" max="5126" width="14.42578125" style="157" customWidth="1"/>
    <col min="5127" max="5127" width="13.7109375" style="157" customWidth="1"/>
    <col min="5128" max="5128" width="14.42578125" style="157" customWidth="1"/>
    <col min="5129" max="5132" width="0" style="157" hidden="1" customWidth="1"/>
    <col min="5133" max="5135" width="15.85546875" style="157" customWidth="1"/>
    <col min="5136" max="5136" width="18.42578125" style="157" customWidth="1"/>
    <col min="5137" max="5376" width="9.140625" style="157"/>
    <col min="5377" max="5377" width="5.140625" style="157" customWidth="1"/>
    <col min="5378" max="5378" width="57.85546875" style="157" customWidth="1"/>
    <col min="5379" max="5379" width="17.85546875" style="157" customWidth="1"/>
    <col min="5380" max="5380" width="15.7109375" style="157" customWidth="1"/>
    <col min="5381" max="5381" width="16.5703125" style="157" customWidth="1"/>
    <col min="5382" max="5382" width="14.42578125" style="157" customWidth="1"/>
    <col min="5383" max="5383" width="13.7109375" style="157" customWidth="1"/>
    <col min="5384" max="5384" width="14.42578125" style="157" customWidth="1"/>
    <col min="5385" max="5388" width="0" style="157" hidden="1" customWidth="1"/>
    <col min="5389" max="5391" width="15.85546875" style="157" customWidth="1"/>
    <col min="5392" max="5392" width="18.42578125" style="157" customWidth="1"/>
    <col min="5393" max="5632" width="9.140625" style="157"/>
    <col min="5633" max="5633" width="5.140625" style="157" customWidth="1"/>
    <col min="5634" max="5634" width="57.85546875" style="157" customWidth="1"/>
    <col min="5635" max="5635" width="17.85546875" style="157" customWidth="1"/>
    <col min="5636" max="5636" width="15.7109375" style="157" customWidth="1"/>
    <col min="5637" max="5637" width="16.5703125" style="157" customWidth="1"/>
    <col min="5638" max="5638" width="14.42578125" style="157" customWidth="1"/>
    <col min="5639" max="5639" width="13.7109375" style="157" customWidth="1"/>
    <col min="5640" max="5640" width="14.42578125" style="157" customWidth="1"/>
    <col min="5641" max="5644" width="0" style="157" hidden="1" customWidth="1"/>
    <col min="5645" max="5647" width="15.85546875" style="157" customWidth="1"/>
    <col min="5648" max="5648" width="18.42578125" style="157" customWidth="1"/>
    <col min="5649" max="5888" width="9.140625" style="157"/>
    <col min="5889" max="5889" width="5.140625" style="157" customWidth="1"/>
    <col min="5890" max="5890" width="57.85546875" style="157" customWidth="1"/>
    <col min="5891" max="5891" width="17.85546875" style="157" customWidth="1"/>
    <col min="5892" max="5892" width="15.7109375" style="157" customWidth="1"/>
    <col min="5893" max="5893" width="16.5703125" style="157" customWidth="1"/>
    <col min="5894" max="5894" width="14.42578125" style="157" customWidth="1"/>
    <col min="5895" max="5895" width="13.7109375" style="157" customWidth="1"/>
    <col min="5896" max="5896" width="14.42578125" style="157" customWidth="1"/>
    <col min="5897" max="5900" width="0" style="157" hidden="1" customWidth="1"/>
    <col min="5901" max="5903" width="15.85546875" style="157" customWidth="1"/>
    <col min="5904" max="5904" width="18.42578125" style="157" customWidth="1"/>
    <col min="5905" max="6144" width="9.140625" style="157"/>
    <col min="6145" max="6145" width="5.140625" style="157" customWidth="1"/>
    <col min="6146" max="6146" width="57.85546875" style="157" customWidth="1"/>
    <col min="6147" max="6147" width="17.85546875" style="157" customWidth="1"/>
    <col min="6148" max="6148" width="15.7109375" style="157" customWidth="1"/>
    <col min="6149" max="6149" width="16.5703125" style="157" customWidth="1"/>
    <col min="6150" max="6150" width="14.42578125" style="157" customWidth="1"/>
    <col min="6151" max="6151" width="13.7109375" style="157" customWidth="1"/>
    <col min="6152" max="6152" width="14.42578125" style="157" customWidth="1"/>
    <col min="6153" max="6156" width="0" style="157" hidden="1" customWidth="1"/>
    <col min="6157" max="6159" width="15.85546875" style="157" customWidth="1"/>
    <col min="6160" max="6160" width="18.42578125" style="157" customWidth="1"/>
    <col min="6161" max="6400" width="9.140625" style="157"/>
    <col min="6401" max="6401" width="5.140625" style="157" customWidth="1"/>
    <col min="6402" max="6402" width="57.85546875" style="157" customWidth="1"/>
    <col min="6403" max="6403" width="17.85546875" style="157" customWidth="1"/>
    <col min="6404" max="6404" width="15.7109375" style="157" customWidth="1"/>
    <col min="6405" max="6405" width="16.5703125" style="157" customWidth="1"/>
    <col min="6406" max="6406" width="14.42578125" style="157" customWidth="1"/>
    <col min="6407" max="6407" width="13.7109375" style="157" customWidth="1"/>
    <col min="6408" max="6408" width="14.42578125" style="157" customWidth="1"/>
    <col min="6409" max="6412" width="0" style="157" hidden="1" customWidth="1"/>
    <col min="6413" max="6415" width="15.85546875" style="157" customWidth="1"/>
    <col min="6416" max="6416" width="18.42578125" style="157" customWidth="1"/>
    <col min="6417" max="6656" width="9.140625" style="157"/>
    <col min="6657" max="6657" width="5.140625" style="157" customWidth="1"/>
    <col min="6658" max="6658" width="57.85546875" style="157" customWidth="1"/>
    <col min="6659" max="6659" width="17.85546875" style="157" customWidth="1"/>
    <col min="6660" max="6660" width="15.7109375" style="157" customWidth="1"/>
    <col min="6661" max="6661" width="16.5703125" style="157" customWidth="1"/>
    <col min="6662" max="6662" width="14.42578125" style="157" customWidth="1"/>
    <col min="6663" max="6663" width="13.7109375" style="157" customWidth="1"/>
    <col min="6664" max="6664" width="14.42578125" style="157" customWidth="1"/>
    <col min="6665" max="6668" width="0" style="157" hidden="1" customWidth="1"/>
    <col min="6669" max="6671" width="15.85546875" style="157" customWidth="1"/>
    <col min="6672" max="6672" width="18.42578125" style="157" customWidth="1"/>
    <col min="6673" max="6912" width="9.140625" style="157"/>
    <col min="6913" max="6913" width="5.140625" style="157" customWidth="1"/>
    <col min="6914" max="6914" width="57.85546875" style="157" customWidth="1"/>
    <col min="6915" max="6915" width="17.85546875" style="157" customWidth="1"/>
    <col min="6916" max="6916" width="15.7109375" style="157" customWidth="1"/>
    <col min="6917" max="6917" width="16.5703125" style="157" customWidth="1"/>
    <col min="6918" max="6918" width="14.42578125" style="157" customWidth="1"/>
    <col min="6919" max="6919" width="13.7109375" style="157" customWidth="1"/>
    <col min="6920" max="6920" width="14.42578125" style="157" customWidth="1"/>
    <col min="6921" max="6924" width="0" style="157" hidden="1" customWidth="1"/>
    <col min="6925" max="6927" width="15.85546875" style="157" customWidth="1"/>
    <col min="6928" max="6928" width="18.42578125" style="157" customWidth="1"/>
    <col min="6929" max="7168" width="9.140625" style="157"/>
    <col min="7169" max="7169" width="5.140625" style="157" customWidth="1"/>
    <col min="7170" max="7170" width="57.85546875" style="157" customWidth="1"/>
    <col min="7171" max="7171" width="17.85546875" style="157" customWidth="1"/>
    <col min="7172" max="7172" width="15.7109375" style="157" customWidth="1"/>
    <col min="7173" max="7173" width="16.5703125" style="157" customWidth="1"/>
    <col min="7174" max="7174" width="14.42578125" style="157" customWidth="1"/>
    <col min="7175" max="7175" width="13.7109375" style="157" customWidth="1"/>
    <col min="7176" max="7176" width="14.42578125" style="157" customWidth="1"/>
    <col min="7177" max="7180" width="0" style="157" hidden="1" customWidth="1"/>
    <col min="7181" max="7183" width="15.85546875" style="157" customWidth="1"/>
    <col min="7184" max="7184" width="18.42578125" style="157" customWidth="1"/>
    <col min="7185" max="7424" width="9.140625" style="157"/>
    <col min="7425" max="7425" width="5.140625" style="157" customWidth="1"/>
    <col min="7426" max="7426" width="57.85546875" style="157" customWidth="1"/>
    <col min="7427" max="7427" width="17.85546875" style="157" customWidth="1"/>
    <col min="7428" max="7428" width="15.7109375" style="157" customWidth="1"/>
    <col min="7429" max="7429" width="16.5703125" style="157" customWidth="1"/>
    <col min="7430" max="7430" width="14.42578125" style="157" customWidth="1"/>
    <col min="7431" max="7431" width="13.7109375" style="157" customWidth="1"/>
    <col min="7432" max="7432" width="14.42578125" style="157" customWidth="1"/>
    <col min="7433" max="7436" width="0" style="157" hidden="1" customWidth="1"/>
    <col min="7437" max="7439" width="15.85546875" style="157" customWidth="1"/>
    <col min="7440" max="7440" width="18.42578125" style="157" customWidth="1"/>
    <col min="7441" max="7680" width="9.140625" style="157"/>
    <col min="7681" max="7681" width="5.140625" style="157" customWidth="1"/>
    <col min="7682" max="7682" width="57.85546875" style="157" customWidth="1"/>
    <col min="7683" max="7683" width="17.85546875" style="157" customWidth="1"/>
    <col min="7684" max="7684" width="15.7109375" style="157" customWidth="1"/>
    <col min="7685" max="7685" width="16.5703125" style="157" customWidth="1"/>
    <col min="7686" max="7686" width="14.42578125" style="157" customWidth="1"/>
    <col min="7687" max="7687" width="13.7109375" style="157" customWidth="1"/>
    <col min="7688" max="7688" width="14.42578125" style="157" customWidth="1"/>
    <col min="7689" max="7692" width="0" style="157" hidden="1" customWidth="1"/>
    <col min="7693" max="7695" width="15.85546875" style="157" customWidth="1"/>
    <col min="7696" max="7696" width="18.42578125" style="157" customWidth="1"/>
    <col min="7697" max="7936" width="9.140625" style="157"/>
    <col min="7937" max="7937" width="5.140625" style="157" customWidth="1"/>
    <col min="7938" max="7938" width="57.85546875" style="157" customWidth="1"/>
    <col min="7939" max="7939" width="17.85546875" style="157" customWidth="1"/>
    <col min="7940" max="7940" width="15.7109375" style="157" customWidth="1"/>
    <col min="7941" max="7941" width="16.5703125" style="157" customWidth="1"/>
    <col min="7942" max="7942" width="14.42578125" style="157" customWidth="1"/>
    <col min="7943" max="7943" width="13.7109375" style="157" customWidth="1"/>
    <col min="7944" max="7944" width="14.42578125" style="157" customWidth="1"/>
    <col min="7945" max="7948" width="0" style="157" hidden="1" customWidth="1"/>
    <col min="7949" max="7951" width="15.85546875" style="157" customWidth="1"/>
    <col min="7952" max="7952" width="18.42578125" style="157" customWidth="1"/>
    <col min="7953" max="8192" width="9.140625" style="157"/>
    <col min="8193" max="8193" width="5.140625" style="157" customWidth="1"/>
    <col min="8194" max="8194" width="57.85546875" style="157" customWidth="1"/>
    <col min="8195" max="8195" width="17.85546875" style="157" customWidth="1"/>
    <col min="8196" max="8196" width="15.7109375" style="157" customWidth="1"/>
    <col min="8197" max="8197" width="16.5703125" style="157" customWidth="1"/>
    <col min="8198" max="8198" width="14.42578125" style="157" customWidth="1"/>
    <col min="8199" max="8199" width="13.7109375" style="157" customWidth="1"/>
    <col min="8200" max="8200" width="14.42578125" style="157" customWidth="1"/>
    <col min="8201" max="8204" width="0" style="157" hidden="1" customWidth="1"/>
    <col min="8205" max="8207" width="15.85546875" style="157" customWidth="1"/>
    <col min="8208" max="8208" width="18.42578125" style="157" customWidth="1"/>
    <col min="8209" max="8448" width="9.140625" style="157"/>
    <col min="8449" max="8449" width="5.140625" style="157" customWidth="1"/>
    <col min="8450" max="8450" width="57.85546875" style="157" customWidth="1"/>
    <col min="8451" max="8451" width="17.85546875" style="157" customWidth="1"/>
    <col min="8452" max="8452" width="15.7109375" style="157" customWidth="1"/>
    <col min="8453" max="8453" width="16.5703125" style="157" customWidth="1"/>
    <col min="8454" max="8454" width="14.42578125" style="157" customWidth="1"/>
    <col min="8455" max="8455" width="13.7109375" style="157" customWidth="1"/>
    <col min="8456" max="8456" width="14.42578125" style="157" customWidth="1"/>
    <col min="8457" max="8460" width="0" style="157" hidden="1" customWidth="1"/>
    <col min="8461" max="8463" width="15.85546875" style="157" customWidth="1"/>
    <col min="8464" max="8464" width="18.42578125" style="157" customWidth="1"/>
    <col min="8465" max="8704" width="9.140625" style="157"/>
    <col min="8705" max="8705" width="5.140625" style="157" customWidth="1"/>
    <col min="8706" max="8706" width="57.85546875" style="157" customWidth="1"/>
    <col min="8707" max="8707" width="17.85546875" style="157" customWidth="1"/>
    <col min="8708" max="8708" width="15.7109375" style="157" customWidth="1"/>
    <col min="8709" max="8709" width="16.5703125" style="157" customWidth="1"/>
    <col min="8710" max="8710" width="14.42578125" style="157" customWidth="1"/>
    <col min="8711" max="8711" width="13.7109375" style="157" customWidth="1"/>
    <col min="8712" max="8712" width="14.42578125" style="157" customWidth="1"/>
    <col min="8713" max="8716" width="0" style="157" hidden="1" customWidth="1"/>
    <col min="8717" max="8719" width="15.85546875" style="157" customWidth="1"/>
    <col min="8720" max="8720" width="18.42578125" style="157" customWidth="1"/>
    <col min="8721" max="8960" width="9.140625" style="157"/>
    <col min="8961" max="8961" width="5.140625" style="157" customWidth="1"/>
    <col min="8962" max="8962" width="57.85546875" style="157" customWidth="1"/>
    <col min="8963" max="8963" width="17.85546875" style="157" customWidth="1"/>
    <col min="8964" max="8964" width="15.7109375" style="157" customWidth="1"/>
    <col min="8965" max="8965" width="16.5703125" style="157" customWidth="1"/>
    <col min="8966" max="8966" width="14.42578125" style="157" customWidth="1"/>
    <col min="8967" max="8967" width="13.7109375" style="157" customWidth="1"/>
    <col min="8968" max="8968" width="14.42578125" style="157" customWidth="1"/>
    <col min="8969" max="8972" width="0" style="157" hidden="1" customWidth="1"/>
    <col min="8973" max="8975" width="15.85546875" style="157" customWidth="1"/>
    <col min="8976" max="8976" width="18.42578125" style="157" customWidth="1"/>
    <col min="8977" max="9216" width="9.140625" style="157"/>
    <col min="9217" max="9217" width="5.140625" style="157" customWidth="1"/>
    <col min="9218" max="9218" width="57.85546875" style="157" customWidth="1"/>
    <col min="9219" max="9219" width="17.85546875" style="157" customWidth="1"/>
    <col min="9220" max="9220" width="15.7109375" style="157" customWidth="1"/>
    <col min="9221" max="9221" width="16.5703125" style="157" customWidth="1"/>
    <col min="9222" max="9222" width="14.42578125" style="157" customWidth="1"/>
    <col min="9223" max="9223" width="13.7109375" style="157" customWidth="1"/>
    <col min="9224" max="9224" width="14.42578125" style="157" customWidth="1"/>
    <col min="9225" max="9228" width="0" style="157" hidden="1" customWidth="1"/>
    <col min="9229" max="9231" width="15.85546875" style="157" customWidth="1"/>
    <col min="9232" max="9232" width="18.42578125" style="157" customWidth="1"/>
    <col min="9233" max="9472" width="9.140625" style="157"/>
    <col min="9473" max="9473" width="5.140625" style="157" customWidth="1"/>
    <col min="9474" max="9474" width="57.85546875" style="157" customWidth="1"/>
    <col min="9475" max="9475" width="17.85546875" style="157" customWidth="1"/>
    <col min="9476" max="9476" width="15.7109375" style="157" customWidth="1"/>
    <col min="9477" max="9477" width="16.5703125" style="157" customWidth="1"/>
    <col min="9478" max="9478" width="14.42578125" style="157" customWidth="1"/>
    <col min="9479" max="9479" width="13.7109375" style="157" customWidth="1"/>
    <col min="9480" max="9480" width="14.42578125" style="157" customWidth="1"/>
    <col min="9481" max="9484" width="0" style="157" hidden="1" customWidth="1"/>
    <col min="9485" max="9487" width="15.85546875" style="157" customWidth="1"/>
    <col min="9488" max="9488" width="18.42578125" style="157" customWidth="1"/>
    <col min="9489" max="9728" width="9.140625" style="157"/>
    <col min="9729" max="9729" width="5.140625" style="157" customWidth="1"/>
    <col min="9730" max="9730" width="57.85546875" style="157" customWidth="1"/>
    <col min="9731" max="9731" width="17.85546875" style="157" customWidth="1"/>
    <col min="9732" max="9732" width="15.7109375" style="157" customWidth="1"/>
    <col min="9733" max="9733" width="16.5703125" style="157" customWidth="1"/>
    <col min="9734" max="9734" width="14.42578125" style="157" customWidth="1"/>
    <col min="9735" max="9735" width="13.7109375" style="157" customWidth="1"/>
    <col min="9736" max="9736" width="14.42578125" style="157" customWidth="1"/>
    <col min="9737" max="9740" width="0" style="157" hidden="1" customWidth="1"/>
    <col min="9741" max="9743" width="15.85546875" style="157" customWidth="1"/>
    <col min="9744" max="9744" width="18.42578125" style="157" customWidth="1"/>
    <col min="9745" max="9984" width="9.140625" style="157"/>
    <col min="9985" max="9985" width="5.140625" style="157" customWidth="1"/>
    <col min="9986" max="9986" width="57.85546875" style="157" customWidth="1"/>
    <col min="9987" max="9987" width="17.85546875" style="157" customWidth="1"/>
    <col min="9988" max="9988" width="15.7109375" style="157" customWidth="1"/>
    <col min="9989" max="9989" width="16.5703125" style="157" customWidth="1"/>
    <col min="9990" max="9990" width="14.42578125" style="157" customWidth="1"/>
    <col min="9991" max="9991" width="13.7109375" style="157" customWidth="1"/>
    <col min="9992" max="9992" width="14.42578125" style="157" customWidth="1"/>
    <col min="9993" max="9996" width="0" style="157" hidden="1" customWidth="1"/>
    <col min="9997" max="9999" width="15.85546875" style="157" customWidth="1"/>
    <col min="10000" max="10000" width="18.42578125" style="157" customWidth="1"/>
    <col min="10001" max="10240" width="9.140625" style="157"/>
    <col min="10241" max="10241" width="5.140625" style="157" customWidth="1"/>
    <col min="10242" max="10242" width="57.85546875" style="157" customWidth="1"/>
    <col min="10243" max="10243" width="17.85546875" style="157" customWidth="1"/>
    <col min="10244" max="10244" width="15.7109375" style="157" customWidth="1"/>
    <col min="10245" max="10245" width="16.5703125" style="157" customWidth="1"/>
    <col min="10246" max="10246" width="14.42578125" style="157" customWidth="1"/>
    <col min="10247" max="10247" width="13.7109375" style="157" customWidth="1"/>
    <col min="10248" max="10248" width="14.42578125" style="157" customWidth="1"/>
    <col min="10249" max="10252" width="0" style="157" hidden="1" customWidth="1"/>
    <col min="10253" max="10255" width="15.85546875" style="157" customWidth="1"/>
    <col min="10256" max="10256" width="18.42578125" style="157" customWidth="1"/>
    <col min="10257" max="10496" width="9.140625" style="157"/>
    <col min="10497" max="10497" width="5.140625" style="157" customWidth="1"/>
    <col min="10498" max="10498" width="57.85546875" style="157" customWidth="1"/>
    <col min="10499" max="10499" width="17.85546875" style="157" customWidth="1"/>
    <col min="10500" max="10500" width="15.7109375" style="157" customWidth="1"/>
    <col min="10501" max="10501" width="16.5703125" style="157" customWidth="1"/>
    <col min="10502" max="10502" width="14.42578125" style="157" customWidth="1"/>
    <col min="10503" max="10503" width="13.7109375" style="157" customWidth="1"/>
    <col min="10504" max="10504" width="14.42578125" style="157" customWidth="1"/>
    <col min="10505" max="10508" width="0" style="157" hidden="1" customWidth="1"/>
    <col min="10509" max="10511" width="15.85546875" style="157" customWidth="1"/>
    <col min="10512" max="10512" width="18.42578125" style="157" customWidth="1"/>
    <col min="10513" max="10752" width="9.140625" style="157"/>
    <col min="10753" max="10753" width="5.140625" style="157" customWidth="1"/>
    <col min="10754" max="10754" width="57.85546875" style="157" customWidth="1"/>
    <col min="10755" max="10755" width="17.85546875" style="157" customWidth="1"/>
    <col min="10756" max="10756" width="15.7109375" style="157" customWidth="1"/>
    <col min="10757" max="10757" width="16.5703125" style="157" customWidth="1"/>
    <col min="10758" max="10758" width="14.42578125" style="157" customWidth="1"/>
    <col min="10759" max="10759" width="13.7109375" style="157" customWidth="1"/>
    <col min="10760" max="10760" width="14.42578125" style="157" customWidth="1"/>
    <col min="10761" max="10764" width="0" style="157" hidden="1" customWidth="1"/>
    <col min="10765" max="10767" width="15.85546875" style="157" customWidth="1"/>
    <col min="10768" max="10768" width="18.42578125" style="157" customWidth="1"/>
    <col min="10769" max="11008" width="9.140625" style="157"/>
    <col min="11009" max="11009" width="5.140625" style="157" customWidth="1"/>
    <col min="11010" max="11010" width="57.85546875" style="157" customWidth="1"/>
    <col min="11011" max="11011" width="17.85546875" style="157" customWidth="1"/>
    <col min="11012" max="11012" width="15.7109375" style="157" customWidth="1"/>
    <col min="11013" max="11013" width="16.5703125" style="157" customWidth="1"/>
    <col min="11014" max="11014" width="14.42578125" style="157" customWidth="1"/>
    <col min="11015" max="11015" width="13.7109375" style="157" customWidth="1"/>
    <col min="11016" max="11016" width="14.42578125" style="157" customWidth="1"/>
    <col min="11017" max="11020" width="0" style="157" hidden="1" customWidth="1"/>
    <col min="11021" max="11023" width="15.85546875" style="157" customWidth="1"/>
    <col min="11024" max="11024" width="18.42578125" style="157" customWidth="1"/>
    <col min="11025" max="11264" width="9.140625" style="157"/>
    <col min="11265" max="11265" width="5.140625" style="157" customWidth="1"/>
    <col min="11266" max="11266" width="57.85546875" style="157" customWidth="1"/>
    <col min="11267" max="11267" width="17.85546875" style="157" customWidth="1"/>
    <col min="11268" max="11268" width="15.7109375" style="157" customWidth="1"/>
    <col min="11269" max="11269" width="16.5703125" style="157" customWidth="1"/>
    <col min="11270" max="11270" width="14.42578125" style="157" customWidth="1"/>
    <col min="11271" max="11271" width="13.7109375" style="157" customWidth="1"/>
    <col min="11272" max="11272" width="14.42578125" style="157" customWidth="1"/>
    <col min="11273" max="11276" width="0" style="157" hidden="1" customWidth="1"/>
    <col min="11277" max="11279" width="15.85546875" style="157" customWidth="1"/>
    <col min="11280" max="11280" width="18.42578125" style="157" customWidth="1"/>
    <col min="11281" max="11520" width="9.140625" style="157"/>
    <col min="11521" max="11521" width="5.140625" style="157" customWidth="1"/>
    <col min="11522" max="11522" width="57.85546875" style="157" customWidth="1"/>
    <col min="11523" max="11523" width="17.85546875" style="157" customWidth="1"/>
    <col min="11524" max="11524" width="15.7109375" style="157" customWidth="1"/>
    <col min="11525" max="11525" width="16.5703125" style="157" customWidth="1"/>
    <col min="11526" max="11526" width="14.42578125" style="157" customWidth="1"/>
    <col min="11527" max="11527" width="13.7109375" style="157" customWidth="1"/>
    <col min="11528" max="11528" width="14.42578125" style="157" customWidth="1"/>
    <col min="11529" max="11532" width="0" style="157" hidden="1" customWidth="1"/>
    <col min="11533" max="11535" width="15.85546875" style="157" customWidth="1"/>
    <col min="11536" max="11536" width="18.42578125" style="157" customWidth="1"/>
    <col min="11537" max="11776" width="9.140625" style="157"/>
    <col min="11777" max="11777" width="5.140625" style="157" customWidth="1"/>
    <col min="11778" max="11778" width="57.85546875" style="157" customWidth="1"/>
    <col min="11779" max="11779" width="17.85546875" style="157" customWidth="1"/>
    <col min="11780" max="11780" width="15.7109375" style="157" customWidth="1"/>
    <col min="11781" max="11781" width="16.5703125" style="157" customWidth="1"/>
    <col min="11782" max="11782" width="14.42578125" style="157" customWidth="1"/>
    <col min="11783" max="11783" width="13.7109375" style="157" customWidth="1"/>
    <col min="11784" max="11784" width="14.42578125" style="157" customWidth="1"/>
    <col min="11785" max="11788" width="0" style="157" hidden="1" customWidth="1"/>
    <col min="11789" max="11791" width="15.85546875" style="157" customWidth="1"/>
    <col min="11792" max="11792" width="18.42578125" style="157" customWidth="1"/>
    <col min="11793" max="12032" width="9.140625" style="157"/>
    <col min="12033" max="12033" width="5.140625" style="157" customWidth="1"/>
    <col min="12034" max="12034" width="57.85546875" style="157" customWidth="1"/>
    <col min="12035" max="12035" width="17.85546875" style="157" customWidth="1"/>
    <col min="12036" max="12036" width="15.7109375" style="157" customWidth="1"/>
    <col min="12037" max="12037" width="16.5703125" style="157" customWidth="1"/>
    <col min="12038" max="12038" width="14.42578125" style="157" customWidth="1"/>
    <col min="12039" max="12039" width="13.7109375" style="157" customWidth="1"/>
    <col min="12040" max="12040" width="14.42578125" style="157" customWidth="1"/>
    <col min="12041" max="12044" width="0" style="157" hidden="1" customWidth="1"/>
    <col min="12045" max="12047" width="15.85546875" style="157" customWidth="1"/>
    <col min="12048" max="12048" width="18.42578125" style="157" customWidth="1"/>
    <col min="12049" max="12288" width="9.140625" style="157"/>
    <col min="12289" max="12289" width="5.140625" style="157" customWidth="1"/>
    <col min="12290" max="12290" width="57.85546875" style="157" customWidth="1"/>
    <col min="12291" max="12291" width="17.85546875" style="157" customWidth="1"/>
    <col min="12292" max="12292" width="15.7109375" style="157" customWidth="1"/>
    <col min="12293" max="12293" width="16.5703125" style="157" customWidth="1"/>
    <col min="12294" max="12294" width="14.42578125" style="157" customWidth="1"/>
    <col min="12295" max="12295" width="13.7109375" style="157" customWidth="1"/>
    <col min="12296" max="12296" width="14.42578125" style="157" customWidth="1"/>
    <col min="12297" max="12300" width="0" style="157" hidden="1" customWidth="1"/>
    <col min="12301" max="12303" width="15.85546875" style="157" customWidth="1"/>
    <col min="12304" max="12304" width="18.42578125" style="157" customWidth="1"/>
    <col min="12305" max="12544" width="9.140625" style="157"/>
    <col min="12545" max="12545" width="5.140625" style="157" customWidth="1"/>
    <col min="12546" max="12546" width="57.85546875" style="157" customWidth="1"/>
    <col min="12547" max="12547" width="17.85546875" style="157" customWidth="1"/>
    <col min="12548" max="12548" width="15.7109375" style="157" customWidth="1"/>
    <col min="12549" max="12549" width="16.5703125" style="157" customWidth="1"/>
    <col min="12550" max="12550" width="14.42578125" style="157" customWidth="1"/>
    <col min="12551" max="12551" width="13.7109375" style="157" customWidth="1"/>
    <col min="12552" max="12552" width="14.42578125" style="157" customWidth="1"/>
    <col min="12553" max="12556" width="0" style="157" hidden="1" customWidth="1"/>
    <col min="12557" max="12559" width="15.85546875" style="157" customWidth="1"/>
    <col min="12560" max="12560" width="18.42578125" style="157" customWidth="1"/>
    <col min="12561" max="12800" width="9.140625" style="157"/>
    <col min="12801" max="12801" width="5.140625" style="157" customWidth="1"/>
    <col min="12802" max="12802" width="57.85546875" style="157" customWidth="1"/>
    <col min="12803" max="12803" width="17.85546875" style="157" customWidth="1"/>
    <col min="12804" max="12804" width="15.7109375" style="157" customWidth="1"/>
    <col min="12805" max="12805" width="16.5703125" style="157" customWidth="1"/>
    <col min="12806" max="12806" width="14.42578125" style="157" customWidth="1"/>
    <col min="12807" max="12807" width="13.7109375" style="157" customWidth="1"/>
    <col min="12808" max="12808" width="14.42578125" style="157" customWidth="1"/>
    <col min="12809" max="12812" width="0" style="157" hidden="1" customWidth="1"/>
    <col min="12813" max="12815" width="15.85546875" style="157" customWidth="1"/>
    <col min="12816" max="12816" width="18.42578125" style="157" customWidth="1"/>
    <col min="12817" max="13056" width="9.140625" style="157"/>
    <col min="13057" max="13057" width="5.140625" style="157" customWidth="1"/>
    <col min="13058" max="13058" width="57.85546875" style="157" customWidth="1"/>
    <col min="13059" max="13059" width="17.85546875" style="157" customWidth="1"/>
    <col min="13060" max="13060" width="15.7109375" style="157" customWidth="1"/>
    <col min="13061" max="13061" width="16.5703125" style="157" customWidth="1"/>
    <col min="13062" max="13062" width="14.42578125" style="157" customWidth="1"/>
    <col min="13063" max="13063" width="13.7109375" style="157" customWidth="1"/>
    <col min="13064" max="13064" width="14.42578125" style="157" customWidth="1"/>
    <col min="13065" max="13068" width="0" style="157" hidden="1" customWidth="1"/>
    <col min="13069" max="13071" width="15.85546875" style="157" customWidth="1"/>
    <col min="13072" max="13072" width="18.42578125" style="157" customWidth="1"/>
    <col min="13073" max="13312" width="9.140625" style="157"/>
    <col min="13313" max="13313" width="5.140625" style="157" customWidth="1"/>
    <col min="13314" max="13314" width="57.85546875" style="157" customWidth="1"/>
    <col min="13315" max="13315" width="17.85546875" style="157" customWidth="1"/>
    <col min="13316" max="13316" width="15.7109375" style="157" customWidth="1"/>
    <col min="13317" max="13317" width="16.5703125" style="157" customWidth="1"/>
    <col min="13318" max="13318" width="14.42578125" style="157" customWidth="1"/>
    <col min="13319" max="13319" width="13.7109375" style="157" customWidth="1"/>
    <col min="13320" max="13320" width="14.42578125" style="157" customWidth="1"/>
    <col min="13321" max="13324" width="0" style="157" hidden="1" customWidth="1"/>
    <col min="13325" max="13327" width="15.85546875" style="157" customWidth="1"/>
    <col min="13328" max="13328" width="18.42578125" style="157" customWidth="1"/>
    <col min="13329" max="13568" width="9.140625" style="157"/>
    <col min="13569" max="13569" width="5.140625" style="157" customWidth="1"/>
    <col min="13570" max="13570" width="57.85546875" style="157" customWidth="1"/>
    <col min="13571" max="13571" width="17.85546875" style="157" customWidth="1"/>
    <col min="13572" max="13572" width="15.7109375" style="157" customWidth="1"/>
    <col min="13573" max="13573" width="16.5703125" style="157" customWidth="1"/>
    <col min="13574" max="13574" width="14.42578125" style="157" customWidth="1"/>
    <col min="13575" max="13575" width="13.7109375" style="157" customWidth="1"/>
    <col min="13576" max="13576" width="14.42578125" style="157" customWidth="1"/>
    <col min="13577" max="13580" width="0" style="157" hidden="1" customWidth="1"/>
    <col min="13581" max="13583" width="15.85546875" style="157" customWidth="1"/>
    <col min="13584" max="13584" width="18.42578125" style="157" customWidth="1"/>
    <col min="13585" max="13824" width="9.140625" style="157"/>
    <col min="13825" max="13825" width="5.140625" style="157" customWidth="1"/>
    <col min="13826" max="13826" width="57.85546875" style="157" customWidth="1"/>
    <col min="13827" max="13827" width="17.85546875" style="157" customWidth="1"/>
    <col min="13828" max="13828" width="15.7109375" style="157" customWidth="1"/>
    <col min="13829" max="13829" width="16.5703125" style="157" customWidth="1"/>
    <col min="13830" max="13830" width="14.42578125" style="157" customWidth="1"/>
    <col min="13831" max="13831" width="13.7109375" style="157" customWidth="1"/>
    <col min="13832" max="13832" width="14.42578125" style="157" customWidth="1"/>
    <col min="13833" max="13836" width="0" style="157" hidden="1" customWidth="1"/>
    <col min="13837" max="13839" width="15.85546875" style="157" customWidth="1"/>
    <col min="13840" max="13840" width="18.42578125" style="157" customWidth="1"/>
    <col min="13841" max="14080" width="9.140625" style="157"/>
    <col min="14081" max="14081" width="5.140625" style="157" customWidth="1"/>
    <col min="14082" max="14082" width="57.85546875" style="157" customWidth="1"/>
    <col min="14083" max="14083" width="17.85546875" style="157" customWidth="1"/>
    <col min="14084" max="14084" width="15.7109375" style="157" customWidth="1"/>
    <col min="14085" max="14085" width="16.5703125" style="157" customWidth="1"/>
    <col min="14086" max="14086" width="14.42578125" style="157" customWidth="1"/>
    <col min="14087" max="14087" width="13.7109375" style="157" customWidth="1"/>
    <col min="14088" max="14088" width="14.42578125" style="157" customWidth="1"/>
    <col min="14089" max="14092" width="0" style="157" hidden="1" customWidth="1"/>
    <col min="14093" max="14095" width="15.85546875" style="157" customWidth="1"/>
    <col min="14096" max="14096" width="18.42578125" style="157" customWidth="1"/>
    <col min="14097" max="14336" width="9.140625" style="157"/>
    <col min="14337" max="14337" width="5.140625" style="157" customWidth="1"/>
    <col min="14338" max="14338" width="57.85546875" style="157" customWidth="1"/>
    <col min="14339" max="14339" width="17.85546875" style="157" customWidth="1"/>
    <col min="14340" max="14340" width="15.7109375" style="157" customWidth="1"/>
    <col min="14341" max="14341" width="16.5703125" style="157" customWidth="1"/>
    <col min="14342" max="14342" width="14.42578125" style="157" customWidth="1"/>
    <col min="14343" max="14343" width="13.7109375" style="157" customWidth="1"/>
    <col min="14344" max="14344" width="14.42578125" style="157" customWidth="1"/>
    <col min="14345" max="14348" width="0" style="157" hidden="1" customWidth="1"/>
    <col min="14349" max="14351" width="15.85546875" style="157" customWidth="1"/>
    <col min="14352" max="14352" width="18.42578125" style="157" customWidth="1"/>
    <col min="14353" max="14592" width="9.140625" style="157"/>
    <col min="14593" max="14593" width="5.140625" style="157" customWidth="1"/>
    <col min="14594" max="14594" width="57.85546875" style="157" customWidth="1"/>
    <col min="14595" max="14595" width="17.85546875" style="157" customWidth="1"/>
    <col min="14596" max="14596" width="15.7109375" style="157" customWidth="1"/>
    <col min="14597" max="14597" width="16.5703125" style="157" customWidth="1"/>
    <col min="14598" max="14598" width="14.42578125" style="157" customWidth="1"/>
    <col min="14599" max="14599" width="13.7109375" style="157" customWidth="1"/>
    <col min="14600" max="14600" width="14.42578125" style="157" customWidth="1"/>
    <col min="14601" max="14604" width="0" style="157" hidden="1" customWidth="1"/>
    <col min="14605" max="14607" width="15.85546875" style="157" customWidth="1"/>
    <col min="14608" max="14608" width="18.42578125" style="157" customWidth="1"/>
    <col min="14609" max="14848" width="9.140625" style="157"/>
    <col min="14849" max="14849" width="5.140625" style="157" customWidth="1"/>
    <col min="14850" max="14850" width="57.85546875" style="157" customWidth="1"/>
    <col min="14851" max="14851" width="17.85546875" style="157" customWidth="1"/>
    <col min="14852" max="14852" width="15.7109375" style="157" customWidth="1"/>
    <col min="14853" max="14853" width="16.5703125" style="157" customWidth="1"/>
    <col min="14854" max="14854" width="14.42578125" style="157" customWidth="1"/>
    <col min="14855" max="14855" width="13.7109375" style="157" customWidth="1"/>
    <col min="14856" max="14856" width="14.42578125" style="157" customWidth="1"/>
    <col min="14857" max="14860" width="0" style="157" hidden="1" customWidth="1"/>
    <col min="14861" max="14863" width="15.85546875" style="157" customWidth="1"/>
    <col min="14864" max="14864" width="18.42578125" style="157" customWidth="1"/>
    <col min="14865" max="15104" width="9.140625" style="157"/>
    <col min="15105" max="15105" width="5.140625" style="157" customWidth="1"/>
    <col min="15106" max="15106" width="57.85546875" style="157" customWidth="1"/>
    <col min="15107" max="15107" width="17.85546875" style="157" customWidth="1"/>
    <col min="15108" max="15108" width="15.7109375" style="157" customWidth="1"/>
    <col min="15109" max="15109" width="16.5703125" style="157" customWidth="1"/>
    <col min="15110" max="15110" width="14.42578125" style="157" customWidth="1"/>
    <col min="15111" max="15111" width="13.7109375" style="157" customWidth="1"/>
    <col min="15112" max="15112" width="14.42578125" style="157" customWidth="1"/>
    <col min="15113" max="15116" width="0" style="157" hidden="1" customWidth="1"/>
    <col min="15117" max="15119" width="15.85546875" style="157" customWidth="1"/>
    <col min="15120" max="15120" width="18.42578125" style="157" customWidth="1"/>
    <col min="15121" max="15360" width="9.140625" style="157"/>
    <col min="15361" max="15361" width="5.140625" style="157" customWidth="1"/>
    <col min="15362" max="15362" width="57.85546875" style="157" customWidth="1"/>
    <col min="15363" max="15363" width="17.85546875" style="157" customWidth="1"/>
    <col min="15364" max="15364" width="15.7109375" style="157" customWidth="1"/>
    <col min="15365" max="15365" width="16.5703125" style="157" customWidth="1"/>
    <col min="15366" max="15366" width="14.42578125" style="157" customWidth="1"/>
    <col min="15367" max="15367" width="13.7109375" style="157" customWidth="1"/>
    <col min="15368" max="15368" width="14.42578125" style="157" customWidth="1"/>
    <col min="15369" max="15372" width="0" style="157" hidden="1" customWidth="1"/>
    <col min="15373" max="15375" width="15.85546875" style="157" customWidth="1"/>
    <col min="15376" max="15376" width="18.42578125" style="157" customWidth="1"/>
    <col min="15377" max="15616" width="9.140625" style="157"/>
    <col min="15617" max="15617" width="5.140625" style="157" customWidth="1"/>
    <col min="15618" max="15618" width="57.85546875" style="157" customWidth="1"/>
    <col min="15619" max="15619" width="17.85546875" style="157" customWidth="1"/>
    <col min="15620" max="15620" width="15.7109375" style="157" customWidth="1"/>
    <col min="15621" max="15621" width="16.5703125" style="157" customWidth="1"/>
    <col min="15622" max="15622" width="14.42578125" style="157" customWidth="1"/>
    <col min="15623" max="15623" width="13.7109375" style="157" customWidth="1"/>
    <col min="15624" max="15624" width="14.42578125" style="157" customWidth="1"/>
    <col min="15625" max="15628" width="0" style="157" hidden="1" customWidth="1"/>
    <col min="15629" max="15631" width="15.85546875" style="157" customWidth="1"/>
    <col min="15632" max="15632" width="18.42578125" style="157" customWidth="1"/>
    <col min="15633" max="15872" width="9.140625" style="157"/>
    <col min="15873" max="15873" width="5.140625" style="157" customWidth="1"/>
    <col min="15874" max="15874" width="57.85546875" style="157" customWidth="1"/>
    <col min="15875" max="15875" width="17.85546875" style="157" customWidth="1"/>
    <col min="15876" max="15876" width="15.7109375" style="157" customWidth="1"/>
    <col min="15877" max="15877" width="16.5703125" style="157" customWidth="1"/>
    <col min="15878" max="15878" width="14.42578125" style="157" customWidth="1"/>
    <col min="15879" max="15879" width="13.7109375" style="157" customWidth="1"/>
    <col min="15880" max="15880" width="14.42578125" style="157" customWidth="1"/>
    <col min="15881" max="15884" width="0" style="157" hidden="1" customWidth="1"/>
    <col min="15885" max="15887" width="15.85546875" style="157" customWidth="1"/>
    <col min="15888" max="15888" width="18.42578125" style="157" customWidth="1"/>
    <col min="15889" max="16128" width="9.140625" style="157"/>
    <col min="16129" max="16129" width="5.140625" style="157" customWidth="1"/>
    <col min="16130" max="16130" width="57.85546875" style="157" customWidth="1"/>
    <col min="16131" max="16131" width="17.85546875" style="157" customWidth="1"/>
    <col min="16132" max="16132" width="15.7109375" style="157" customWidth="1"/>
    <col min="16133" max="16133" width="16.5703125" style="157" customWidth="1"/>
    <col min="16134" max="16134" width="14.42578125" style="157" customWidth="1"/>
    <col min="16135" max="16135" width="13.7109375" style="157" customWidth="1"/>
    <col min="16136" max="16136" width="14.42578125" style="157" customWidth="1"/>
    <col min="16137" max="16140" width="0" style="157" hidden="1" customWidth="1"/>
    <col min="16141" max="16143" width="15.85546875" style="157" customWidth="1"/>
    <col min="16144" max="16144" width="18.42578125" style="157" customWidth="1"/>
    <col min="16145" max="16384" width="9.140625" style="157"/>
  </cols>
  <sheetData>
    <row r="1" spans="1:19" ht="41.25" customHeight="1">
      <c r="B1" s="430" t="s">
        <v>238</v>
      </c>
      <c r="C1" s="430"/>
      <c r="D1" s="430"/>
      <c r="E1" s="430"/>
      <c r="F1" s="430"/>
      <c r="G1" s="430"/>
      <c r="H1" s="430"/>
      <c r="I1" s="430"/>
      <c r="J1" s="430"/>
      <c r="K1" s="430"/>
      <c r="L1" s="430"/>
      <c r="M1" s="430"/>
      <c r="N1" s="430"/>
      <c r="O1" s="430"/>
      <c r="P1" s="430"/>
    </row>
    <row r="3" spans="1:19" ht="60.75" customHeight="1">
      <c r="A3" s="158" t="s">
        <v>239</v>
      </c>
      <c r="B3" s="158" t="s">
        <v>87</v>
      </c>
      <c r="C3" s="431" t="s">
        <v>240</v>
      </c>
      <c r="D3" s="431"/>
      <c r="E3" s="431"/>
      <c r="F3" s="431" t="s">
        <v>372</v>
      </c>
      <c r="G3" s="431"/>
      <c r="H3" s="431"/>
      <c r="I3" s="432" t="s">
        <v>241</v>
      </c>
      <c r="J3" s="433"/>
      <c r="K3" s="434"/>
      <c r="L3" s="247" t="s">
        <v>242</v>
      </c>
      <c r="M3" s="431" t="s">
        <v>243</v>
      </c>
      <c r="N3" s="431"/>
      <c r="O3" s="431"/>
      <c r="P3" s="159"/>
      <c r="Q3" s="159"/>
    </row>
    <row r="4" spans="1:19" ht="77.25">
      <c r="A4" s="158"/>
      <c r="B4" s="158"/>
      <c r="C4" s="168" t="s">
        <v>244</v>
      </c>
      <c r="D4" s="168" t="s">
        <v>245</v>
      </c>
      <c r="E4" s="168" t="s">
        <v>246</v>
      </c>
      <c r="F4" s="168" t="s">
        <v>247</v>
      </c>
      <c r="G4" s="168" t="s">
        <v>245</v>
      </c>
      <c r="H4" s="168" t="s">
        <v>248</v>
      </c>
      <c r="I4" s="248" t="s">
        <v>249</v>
      </c>
      <c r="J4" s="248" t="s">
        <v>245</v>
      </c>
      <c r="K4" s="248" t="s">
        <v>250</v>
      </c>
      <c r="L4" s="247">
        <v>7.13</v>
      </c>
      <c r="M4" s="168" t="s">
        <v>251</v>
      </c>
      <c r="N4" s="370" t="s">
        <v>245</v>
      </c>
      <c r="O4" s="168" t="s">
        <v>250</v>
      </c>
      <c r="P4" s="269"/>
      <c r="Q4" s="159"/>
    </row>
    <row r="5" spans="1:19">
      <c r="A5" s="160">
        <v>1</v>
      </c>
      <c r="B5" s="160">
        <v>2</v>
      </c>
      <c r="C5" s="249">
        <v>3</v>
      </c>
      <c r="D5" s="249">
        <v>4</v>
      </c>
      <c r="E5" s="249">
        <v>5</v>
      </c>
      <c r="F5" s="249">
        <v>6</v>
      </c>
      <c r="G5" s="249">
        <v>7</v>
      </c>
      <c r="H5" s="249">
        <v>8</v>
      </c>
      <c r="I5" s="249">
        <v>9</v>
      </c>
      <c r="J5" s="249">
        <v>10</v>
      </c>
      <c r="K5" s="249">
        <v>11</v>
      </c>
      <c r="L5" s="249"/>
      <c r="M5" s="249">
        <v>9</v>
      </c>
      <c r="N5" s="249">
        <v>10</v>
      </c>
      <c r="O5" s="249">
        <v>11</v>
      </c>
    </row>
    <row r="6" spans="1:19" ht="38.25">
      <c r="A6" s="160">
        <v>1</v>
      </c>
      <c r="B6" s="158" t="s">
        <v>252</v>
      </c>
      <c r="C6" s="170">
        <f>C7+C8+C10</f>
        <v>1592.3555904248401</v>
      </c>
      <c r="D6" s="170">
        <v>14683.41</v>
      </c>
      <c r="E6" s="250">
        <f>E7+E8+E9+E10</f>
        <v>23381.21</v>
      </c>
      <c r="F6" s="170">
        <f>F7+F8+F10</f>
        <v>1162.1300000000001</v>
      </c>
      <c r="G6" s="170">
        <f>D6</f>
        <v>14683.41</v>
      </c>
      <c r="H6" s="250">
        <f>H7+H8+H10</f>
        <v>17064.031263299999</v>
      </c>
      <c r="I6" s="170">
        <v>1087.5999999999999</v>
      </c>
      <c r="J6" s="170">
        <v>10855.4</v>
      </c>
      <c r="K6" s="170">
        <v>11806.33304</v>
      </c>
      <c r="L6" s="170"/>
      <c r="M6" s="170">
        <f>M7+M8+M10</f>
        <v>907.92000000000007</v>
      </c>
      <c r="N6" s="170">
        <v>16330.14</v>
      </c>
      <c r="O6" s="250">
        <f>O7+O8+O10</f>
        <v>14826.460708800001</v>
      </c>
    </row>
    <row r="7" spans="1:19" ht="38.25">
      <c r="A7" s="158" t="s">
        <v>188</v>
      </c>
      <c r="B7" s="158" t="s">
        <v>253</v>
      </c>
      <c r="C7" s="251">
        <f>E7/D7*1000</f>
        <v>891.75470820470184</v>
      </c>
      <c r="D7" s="170">
        <v>14683.41</v>
      </c>
      <c r="E7" s="170">
        <v>13094</v>
      </c>
      <c r="F7" s="170">
        <v>621.73</v>
      </c>
      <c r="G7" s="170">
        <f>D7</f>
        <v>14683.41</v>
      </c>
      <c r="H7" s="170">
        <f>F7*G7/1000</f>
        <v>9129.1164993000002</v>
      </c>
      <c r="I7" s="251">
        <v>605.91999999999996</v>
      </c>
      <c r="J7" s="251">
        <v>10855.4</v>
      </c>
      <c r="K7" s="251">
        <v>6577.5039679999991</v>
      </c>
      <c r="L7" s="251"/>
      <c r="M7" s="170">
        <f>489*1.04</f>
        <v>508.56</v>
      </c>
      <c r="N7" s="170">
        <f>N6</f>
        <v>16330.14</v>
      </c>
      <c r="O7" s="170">
        <f>M7*N7/1000</f>
        <v>8304.8559984000003</v>
      </c>
    </row>
    <row r="8" spans="1:19" ht="25.5">
      <c r="A8" s="158" t="s">
        <v>190</v>
      </c>
      <c r="B8" s="158" t="s">
        <v>254</v>
      </c>
      <c r="C8" s="251">
        <f>E8/D8*1000</f>
        <v>254.77664929331812</v>
      </c>
      <c r="D8" s="170">
        <v>14683.41</v>
      </c>
      <c r="E8" s="170">
        <v>3740.99</v>
      </c>
      <c r="F8" s="170">
        <v>228.54</v>
      </c>
      <c r="G8" s="170">
        <f>D8</f>
        <v>14683.41</v>
      </c>
      <c r="H8" s="170">
        <f>F8*G8/1000</f>
        <v>3355.7465213999999</v>
      </c>
      <c r="I8" s="251">
        <v>174.23</v>
      </c>
      <c r="J8" s="251">
        <v>10855.4</v>
      </c>
      <c r="K8" s="251">
        <v>1891.3363419999996</v>
      </c>
      <c r="L8" s="251"/>
      <c r="M8" s="170">
        <f>384*1.04</f>
        <v>399.36</v>
      </c>
      <c r="N8" s="170">
        <f>N6</f>
        <v>16330.14</v>
      </c>
      <c r="O8" s="170">
        <f>M8*N8/1000</f>
        <v>6521.6047103999999</v>
      </c>
    </row>
    <row r="9" spans="1:19" ht="51">
      <c r="A9" s="158" t="s">
        <v>192</v>
      </c>
      <c r="B9" s="158" t="s">
        <v>255</v>
      </c>
      <c r="C9" s="252" t="s">
        <v>256</v>
      </c>
      <c r="D9" s="252"/>
      <c r="E9" s="252">
        <v>0</v>
      </c>
      <c r="F9" s="252"/>
      <c r="G9" s="252"/>
      <c r="H9" s="252" t="s">
        <v>257</v>
      </c>
      <c r="I9" s="251">
        <v>0</v>
      </c>
      <c r="J9" s="251">
        <v>0</v>
      </c>
      <c r="K9" s="251">
        <v>0</v>
      </c>
      <c r="L9" s="251"/>
      <c r="M9" s="170">
        <v>0</v>
      </c>
      <c r="N9" s="170">
        <v>0</v>
      </c>
      <c r="O9" s="251">
        <v>0</v>
      </c>
    </row>
    <row r="10" spans="1:19" s="162" customFormat="1" ht="77.25" customHeight="1">
      <c r="A10" s="161" t="s">
        <v>194</v>
      </c>
      <c r="B10" s="158" t="s">
        <v>258</v>
      </c>
      <c r="C10" s="170">
        <f>E10/D10*1000</f>
        <v>445.82423292682017</v>
      </c>
      <c r="D10" s="170">
        <v>14683.41</v>
      </c>
      <c r="E10" s="170">
        <v>6546.22</v>
      </c>
      <c r="F10" s="170">
        <v>311.86</v>
      </c>
      <c r="G10" s="170">
        <f>D10</f>
        <v>14683.41</v>
      </c>
      <c r="H10" s="170">
        <f>F10*G10/1000</f>
        <v>4579.1682426000007</v>
      </c>
      <c r="I10" s="170">
        <v>307.45</v>
      </c>
      <c r="J10" s="170">
        <v>10855.4</v>
      </c>
      <c r="K10" s="170">
        <v>3337.4927299999999</v>
      </c>
      <c r="L10" s="170"/>
      <c r="M10" s="170">
        <v>0</v>
      </c>
      <c r="N10" s="170"/>
      <c r="O10" s="170">
        <f>M10*N10/1000</f>
        <v>0</v>
      </c>
      <c r="P10" s="428"/>
      <c r="Q10" s="429"/>
      <c r="R10" s="429"/>
      <c r="S10" s="429"/>
    </row>
    <row r="11" spans="1:19" ht="38.25">
      <c r="A11" s="160">
        <v>2</v>
      </c>
      <c r="B11" s="158" t="s">
        <v>259</v>
      </c>
      <c r="C11" s="170" t="s">
        <v>260</v>
      </c>
      <c r="D11" s="170" t="s">
        <v>260</v>
      </c>
      <c r="E11" s="250">
        <f>E12+E13+E16+E18+E20+E21+E22+E23+E24+E28</f>
        <v>34326.086880000003</v>
      </c>
      <c r="F11" s="170" t="s">
        <v>260</v>
      </c>
      <c r="G11" s="170" t="s">
        <v>260</v>
      </c>
      <c r="H11" s="250">
        <f>H12+H13+H16+H18+H20+H21+H22+H23+H24+H28</f>
        <v>26813.870197999993</v>
      </c>
      <c r="I11" s="170" t="s">
        <v>260</v>
      </c>
      <c r="J11" s="170" t="s">
        <v>260</v>
      </c>
      <c r="K11" s="170">
        <v>26540.213595175002</v>
      </c>
      <c r="L11" s="170"/>
      <c r="M11" s="170" t="s">
        <v>260</v>
      </c>
      <c r="N11" s="170"/>
      <c r="O11" s="253">
        <f>O12+O13+O16+O18+O21+O22+O23+O24+O27+O28</f>
        <v>41520.596493960009</v>
      </c>
    </row>
    <row r="12" spans="1:19" ht="15">
      <c r="A12" s="158" t="s">
        <v>261</v>
      </c>
      <c r="B12" s="158" t="s">
        <v>262</v>
      </c>
      <c r="C12" s="254">
        <f>E12/D12*1000</f>
        <v>1532759.5238095238</v>
      </c>
      <c r="D12" s="170">
        <v>0.42</v>
      </c>
      <c r="E12" s="170">
        <v>643.75900000000001</v>
      </c>
      <c r="F12" s="255">
        <f>155638*C39</f>
        <v>829550.54</v>
      </c>
      <c r="G12" s="170">
        <f>D12</f>
        <v>0.42</v>
      </c>
      <c r="H12" s="170">
        <f>F12*G12/1000</f>
        <v>348.41122680000001</v>
      </c>
      <c r="I12" s="251">
        <v>101156.5</v>
      </c>
      <c r="J12" s="251">
        <v>2.58</v>
      </c>
      <c r="K12" s="251">
        <v>1860.8142800999999</v>
      </c>
      <c r="L12" s="251"/>
      <c r="M12" s="255">
        <f>1785382</f>
        <v>1785382</v>
      </c>
      <c r="N12" s="170">
        <v>0.41</v>
      </c>
      <c r="O12" s="170">
        <f>M12*N12/1000</f>
        <v>732.00662</v>
      </c>
    </row>
    <row r="13" spans="1:19" ht="15">
      <c r="A13" s="158" t="s">
        <v>263</v>
      </c>
      <c r="B13" s="158" t="s">
        <v>264</v>
      </c>
      <c r="C13" s="254">
        <f>E13/D13*1000</f>
        <v>1229108.3424613401</v>
      </c>
      <c r="D13" s="170">
        <v>24.832000000000001</v>
      </c>
      <c r="E13" s="170">
        <v>30521.218359999999</v>
      </c>
      <c r="F13" s="255">
        <f>180763*C39</f>
        <v>963466.79</v>
      </c>
      <c r="G13" s="170">
        <f>D13</f>
        <v>24.832000000000001</v>
      </c>
      <c r="H13" s="170">
        <f>F13*G13/1000</f>
        <v>23924.80732928</v>
      </c>
      <c r="I13" s="251">
        <v>70803.5</v>
      </c>
      <c r="J13" s="251">
        <v>43.4</v>
      </c>
      <c r="K13" s="251">
        <v>21909.576647000002</v>
      </c>
      <c r="L13" s="251"/>
      <c r="M13" s="255">
        <f>1431905</f>
        <v>1431905</v>
      </c>
      <c r="N13" s="170">
        <v>22.236999999999998</v>
      </c>
      <c r="O13" s="170">
        <f>M13*N13/1000</f>
        <v>31841.271485000001</v>
      </c>
    </row>
    <row r="14" spans="1:19" ht="25.5">
      <c r="A14" s="158"/>
      <c r="B14" s="158" t="s">
        <v>265</v>
      </c>
      <c r="C14" s="256"/>
      <c r="D14" s="170"/>
      <c r="E14" s="170"/>
      <c r="F14" s="257"/>
      <c r="G14" s="170"/>
      <c r="H14" s="170"/>
      <c r="I14" s="251"/>
      <c r="J14" s="251"/>
      <c r="K14" s="251"/>
      <c r="L14" s="251"/>
      <c r="M14" s="255"/>
      <c r="N14" s="258"/>
      <c r="O14" s="170"/>
    </row>
    <row r="15" spans="1:19" ht="15">
      <c r="A15" s="158"/>
      <c r="B15" s="158" t="s">
        <v>266</v>
      </c>
      <c r="C15" s="163" t="e">
        <f>E15/D15*1000</f>
        <v>#DIV/0!</v>
      </c>
      <c r="D15" s="170"/>
      <c r="E15" s="170"/>
      <c r="F15" s="259"/>
      <c r="G15" s="170"/>
      <c r="H15" s="252" t="e">
        <f>F15*G15/1000*#REF!</f>
        <v>#REF!</v>
      </c>
      <c r="I15" s="251">
        <v>124281.5</v>
      </c>
      <c r="J15" s="251">
        <v>0.43</v>
      </c>
      <c r="K15" s="251">
        <v>381.03465084999993</v>
      </c>
      <c r="L15" s="251"/>
      <c r="M15" s="255"/>
      <c r="N15" s="258"/>
      <c r="O15" s="170"/>
    </row>
    <row r="16" spans="1:19" ht="15">
      <c r="A16" s="158"/>
      <c r="B16" s="158" t="s">
        <v>267</v>
      </c>
      <c r="C16" s="254">
        <f>E16/D16*1000</f>
        <v>1018281.25</v>
      </c>
      <c r="D16" s="170">
        <v>3.2000000000000001E-2</v>
      </c>
      <c r="E16" s="170">
        <v>32.585000000000001</v>
      </c>
      <c r="F16" s="255">
        <f>201502*C40</f>
        <v>1184831.76</v>
      </c>
      <c r="G16" s="170">
        <f>D16</f>
        <v>3.2000000000000001E-2</v>
      </c>
      <c r="H16" s="170">
        <f>F16*G16/1000</f>
        <v>37.91461632</v>
      </c>
      <c r="I16" s="251">
        <v>74926.5</v>
      </c>
      <c r="J16" s="251">
        <v>1.8049999999999999</v>
      </c>
      <c r="K16" s="251">
        <v>964.27783072500006</v>
      </c>
      <c r="L16" s="251"/>
      <c r="M16" s="255">
        <f>1818843</f>
        <v>1818843</v>
      </c>
      <c r="N16" s="258">
        <v>2.01E-2</v>
      </c>
      <c r="O16" s="170">
        <f>M16*N16/1000</f>
        <v>36.558744300000001</v>
      </c>
    </row>
    <row r="17" spans="1:16" ht="25.5">
      <c r="A17" s="158"/>
      <c r="B17" s="158" t="s">
        <v>268</v>
      </c>
      <c r="C17" s="163" t="e">
        <f>E17/D17*1000</f>
        <v>#DIV/0!</v>
      </c>
      <c r="D17" s="170"/>
      <c r="E17" s="170"/>
      <c r="F17" s="259"/>
      <c r="G17" s="170"/>
      <c r="H17" s="252" t="e">
        <f>F17*G17/1000*#REF!</f>
        <v>#REF!</v>
      </c>
      <c r="I17" s="251"/>
      <c r="J17" s="251"/>
      <c r="K17" s="251"/>
      <c r="L17" s="251"/>
      <c r="M17" s="255"/>
      <c r="N17" s="258"/>
      <c r="O17" s="170"/>
    </row>
    <row r="18" spans="1:16" ht="25.5">
      <c r="A18" s="158"/>
      <c r="B18" s="158" t="s">
        <v>269</v>
      </c>
      <c r="C18" s="254">
        <f>E18/D18*1000</f>
        <v>1020614.2857142857</v>
      </c>
      <c r="D18" s="170">
        <v>0.14000000000000001</v>
      </c>
      <c r="E18" s="170">
        <v>142.886</v>
      </c>
      <c r="F18" s="255">
        <f>239308*C40</f>
        <v>1407131.04</v>
      </c>
      <c r="G18" s="170">
        <f>D18</f>
        <v>0.14000000000000001</v>
      </c>
      <c r="H18" s="170">
        <f>F18*G18/1000</f>
        <v>196.99834560000002</v>
      </c>
      <c r="I18" s="251"/>
      <c r="J18" s="251"/>
      <c r="K18" s="251"/>
      <c r="L18" s="251"/>
      <c r="M18" s="255">
        <f>1847196</f>
        <v>1847196</v>
      </c>
      <c r="N18" s="258">
        <v>0.14000000000000001</v>
      </c>
      <c r="O18" s="170">
        <f>M18*N18/1000</f>
        <v>258.60744000000005</v>
      </c>
    </row>
    <row r="19" spans="1:16" ht="25.5">
      <c r="A19" s="158" t="s">
        <v>270</v>
      </c>
      <c r="B19" s="158" t="s">
        <v>271</v>
      </c>
      <c r="C19" s="260"/>
      <c r="D19" s="167"/>
      <c r="E19" s="170"/>
      <c r="F19" s="255"/>
      <c r="G19" s="167"/>
      <c r="H19" s="252" t="e">
        <f>F19*G19/1000*#REF!</f>
        <v>#REF!</v>
      </c>
      <c r="I19" s="251">
        <v>84.01</v>
      </c>
      <c r="J19" s="251">
        <v>15</v>
      </c>
      <c r="K19" s="251">
        <v>8.9848695000000003</v>
      </c>
      <c r="L19" s="251"/>
      <c r="M19" s="255"/>
      <c r="N19" s="170"/>
      <c r="O19" s="170">
        <v>0</v>
      </c>
    </row>
    <row r="20" spans="1:16" s="165" customFormat="1" ht="24.75" customHeight="1">
      <c r="A20" s="164" t="s">
        <v>272</v>
      </c>
      <c r="B20" s="164" t="s">
        <v>273</v>
      </c>
      <c r="C20" s="254">
        <f t="shared" ref="C20:C31" si="0">E20/D20*1000</f>
        <v>204.94661114003125</v>
      </c>
      <c r="D20" s="167">
        <v>1921</v>
      </c>
      <c r="E20" s="170">
        <v>393.70244000000002</v>
      </c>
      <c r="F20" s="255">
        <v>0</v>
      </c>
      <c r="G20" s="170">
        <f>D20</f>
        <v>1921</v>
      </c>
      <c r="H20" s="170">
        <f>F20*G20</f>
        <v>0</v>
      </c>
      <c r="I20" s="251"/>
      <c r="J20" s="251"/>
      <c r="K20" s="251"/>
      <c r="L20" s="251"/>
      <c r="M20" s="255">
        <v>0</v>
      </c>
      <c r="N20" s="170">
        <v>0</v>
      </c>
      <c r="O20" s="170">
        <v>0</v>
      </c>
      <c r="P20" s="157"/>
    </row>
    <row r="21" spans="1:16" s="165" customFormat="1" ht="24.75" customHeight="1">
      <c r="A21" s="164" t="s">
        <v>274</v>
      </c>
      <c r="B21" s="164" t="s">
        <v>275</v>
      </c>
      <c r="C21" s="254">
        <f t="shared" si="0"/>
        <v>1039.8143445692886</v>
      </c>
      <c r="D21" s="167">
        <v>267</v>
      </c>
      <c r="E21" s="170">
        <v>277.63042999999999</v>
      </c>
      <c r="F21" s="255">
        <f>214*C41</f>
        <v>1628.54</v>
      </c>
      <c r="G21" s="170">
        <f>D21</f>
        <v>267</v>
      </c>
      <c r="H21" s="170">
        <f>F21*G21/1000</f>
        <v>434.82017999999999</v>
      </c>
      <c r="I21" s="251"/>
      <c r="J21" s="251"/>
      <c r="K21" s="251"/>
      <c r="L21" s="251"/>
      <c r="M21" s="255">
        <f>18669</f>
        <v>18669</v>
      </c>
      <c r="N21" s="170">
        <v>182.333</v>
      </c>
      <c r="O21" s="170">
        <f>M21*N21/1000</f>
        <v>3403.9747769999999</v>
      </c>
      <c r="P21" s="157"/>
    </row>
    <row r="22" spans="1:16" ht="30">
      <c r="A22" s="158" t="s">
        <v>276</v>
      </c>
      <c r="B22" s="166" t="s">
        <v>277</v>
      </c>
      <c r="C22" s="254">
        <f t="shared" si="0"/>
        <v>25320.152666666669</v>
      </c>
      <c r="D22" s="167">
        <v>15</v>
      </c>
      <c r="E22" s="170">
        <v>379.80229000000003</v>
      </c>
      <c r="F22" s="255">
        <f>3677*C41</f>
        <v>27981.97</v>
      </c>
      <c r="G22" s="170">
        <f>D22</f>
        <v>15</v>
      </c>
      <c r="H22" s="170">
        <f>F22*G22/1000</f>
        <v>419.72955000000007</v>
      </c>
      <c r="I22" s="251">
        <v>1981</v>
      </c>
      <c r="J22" s="251">
        <v>50</v>
      </c>
      <c r="K22" s="251">
        <v>706.22649999999999</v>
      </c>
      <c r="L22" s="251"/>
      <c r="M22" s="255">
        <f>32618</f>
        <v>32618</v>
      </c>
      <c r="N22" s="167">
        <v>15.667</v>
      </c>
      <c r="O22" s="170">
        <f>M22*N22/1000*C41</f>
        <v>3888.9094276600003</v>
      </c>
    </row>
    <row r="23" spans="1:16" ht="28.5" customHeight="1">
      <c r="A23" s="158"/>
      <c r="B23" s="166" t="s">
        <v>278</v>
      </c>
      <c r="C23" s="254">
        <f t="shared" si="0"/>
        <v>23052.879333333334</v>
      </c>
      <c r="D23" s="167">
        <v>15</v>
      </c>
      <c r="E23" s="170">
        <v>345.79318999999998</v>
      </c>
      <c r="F23" s="255">
        <f>3565*C41</f>
        <v>27129.65</v>
      </c>
      <c r="G23" s="170">
        <f>D23</f>
        <v>15</v>
      </c>
      <c r="H23" s="170">
        <f>F23*G23/1000</f>
        <v>406.94475</v>
      </c>
      <c r="I23" s="251"/>
      <c r="J23" s="251"/>
      <c r="K23" s="251"/>
      <c r="L23" s="251"/>
      <c r="M23" s="255">
        <f>35075</f>
        <v>35075</v>
      </c>
      <c r="N23" s="167">
        <v>15</v>
      </c>
      <c r="O23" s="170">
        <f>M23*N23/1000</f>
        <v>526.125</v>
      </c>
    </row>
    <row r="24" spans="1:16" ht="30">
      <c r="A24" s="158"/>
      <c r="B24" s="166" t="s">
        <v>279</v>
      </c>
      <c r="C24" s="254">
        <f t="shared" si="0"/>
        <v>36328.928</v>
      </c>
      <c r="D24" s="167">
        <v>15</v>
      </c>
      <c r="E24" s="170">
        <v>544.93391999999994</v>
      </c>
      <c r="F24" s="255">
        <f>7356*C41</f>
        <v>55979.16</v>
      </c>
      <c r="G24" s="167">
        <f>D24</f>
        <v>15</v>
      </c>
      <c r="H24" s="170">
        <f>F24*G24/1000</f>
        <v>839.68740000000003</v>
      </c>
      <c r="I24" s="251">
        <v>704.29</v>
      </c>
      <c r="J24" s="251">
        <v>15</v>
      </c>
      <c r="K24" s="251">
        <v>75.323815499999995</v>
      </c>
      <c r="L24" s="251"/>
      <c r="M24" s="255">
        <f>27138</f>
        <v>27138</v>
      </c>
      <c r="N24" s="167">
        <v>16</v>
      </c>
      <c r="O24" s="170">
        <f>M24*N24/1000</f>
        <v>434.20800000000003</v>
      </c>
    </row>
    <row r="25" spans="1:16" ht="30">
      <c r="A25" s="158"/>
      <c r="B25" s="166" t="s">
        <v>280</v>
      </c>
      <c r="C25" s="256"/>
      <c r="D25" s="167"/>
      <c r="E25" s="170"/>
      <c r="F25" s="259"/>
      <c r="G25" s="167"/>
      <c r="H25" s="170"/>
      <c r="I25" s="251"/>
      <c r="J25" s="251"/>
      <c r="K25" s="251"/>
      <c r="L25" s="251"/>
      <c r="M25" s="255"/>
      <c r="N25" s="167"/>
      <c r="O25" s="170"/>
    </row>
    <row r="26" spans="1:16" ht="30">
      <c r="A26" s="158"/>
      <c r="B26" s="166" t="s">
        <v>281</v>
      </c>
      <c r="C26" s="163" t="e">
        <f t="shared" si="0"/>
        <v>#DIV/0!</v>
      </c>
      <c r="D26" s="167"/>
      <c r="E26" s="170"/>
      <c r="F26" s="259"/>
      <c r="G26" s="167"/>
      <c r="H26" s="252" t="e">
        <f>F26*G26/1000*#REF!</f>
        <v>#REF!</v>
      </c>
      <c r="I26" s="251">
        <v>3722</v>
      </c>
      <c r="J26" s="251">
        <v>15</v>
      </c>
      <c r="K26" s="251">
        <v>398.06790000000001</v>
      </c>
      <c r="L26" s="251"/>
      <c r="M26" s="255"/>
      <c r="N26" s="167"/>
      <c r="O26" s="170"/>
    </row>
    <row r="27" spans="1:16" ht="30">
      <c r="A27" s="158" t="s">
        <v>282</v>
      </c>
      <c r="B27" s="166" t="s">
        <v>283</v>
      </c>
      <c r="C27" s="163" t="e">
        <f t="shared" si="0"/>
        <v>#DIV/0!</v>
      </c>
      <c r="D27" s="167"/>
      <c r="E27" s="170"/>
      <c r="F27" s="259"/>
      <c r="G27" s="167"/>
      <c r="H27" s="252" t="e">
        <f>F27*G27/1000*#REF!</f>
        <v>#REF!</v>
      </c>
      <c r="I27" s="251">
        <v>2233.5</v>
      </c>
      <c r="J27" s="251">
        <v>13</v>
      </c>
      <c r="K27" s="251">
        <v>207.02311499999999</v>
      </c>
      <c r="L27" s="251"/>
      <c r="M27" s="255">
        <f>66302</f>
        <v>66302</v>
      </c>
      <c r="N27" s="261">
        <v>5</v>
      </c>
      <c r="O27" s="170">
        <f>M27*N27/1000</f>
        <v>331.51</v>
      </c>
    </row>
    <row r="28" spans="1:16" ht="30">
      <c r="A28" s="158"/>
      <c r="B28" s="166" t="s">
        <v>284</v>
      </c>
      <c r="C28" s="254">
        <f t="shared" si="0"/>
        <v>69585.083333333328</v>
      </c>
      <c r="D28" s="167">
        <v>15</v>
      </c>
      <c r="E28" s="170">
        <v>1043.7762499999999</v>
      </c>
      <c r="F28" s="170">
        <f>1792*C41</f>
        <v>13637.12</v>
      </c>
      <c r="G28" s="167">
        <f>D28</f>
        <v>15</v>
      </c>
      <c r="H28" s="170">
        <f>F28*G28/1000</f>
        <v>204.55680000000001</v>
      </c>
      <c r="I28" s="251"/>
      <c r="J28" s="251"/>
      <c r="K28" s="251"/>
      <c r="L28" s="251"/>
      <c r="M28" s="255">
        <f>4495</f>
        <v>4495</v>
      </c>
      <c r="N28" s="261">
        <v>15</v>
      </c>
      <c r="O28" s="170">
        <f>M28*N28/1000</f>
        <v>67.424999999999997</v>
      </c>
    </row>
    <row r="29" spans="1:16" ht="30">
      <c r="A29" s="158" t="s">
        <v>285</v>
      </c>
      <c r="B29" s="166" t="s">
        <v>286</v>
      </c>
      <c r="C29" s="163" t="e">
        <f t="shared" si="0"/>
        <v>#DIV/0!</v>
      </c>
      <c r="D29" s="167"/>
      <c r="E29" s="170"/>
      <c r="F29" s="251"/>
      <c r="G29" s="167"/>
      <c r="H29" s="252" t="e">
        <f>F29*G29/1000*#REF!</f>
        <v>#REF!</v>
      </c>
      <c r="I29" s="251">
        <v>270.07</v>
      </c>
      <c r="J29" s="251">
        <v>15</v>
      </c>
      <c r="K29" s="251">
        <v>28.883986499999999</v>
      </c>
      <c r="L29" s="251"/>
      <c r="M29" s="170"/>
      <c r="N29" s="167"/>
      <c r="O29" s="170"/>
    </row>
    <row r="30" spans="1:16" ht="30">
      <c r="A30" s="158"/>
      <c r="B30" s="166" t="s">
        <v>287</v>
      </c>
      <c r="C30" s="256"/>
      <c r="D30" s="167"/>
      <c r="E30" s="170"/>
      <c r="F30" s="251"/>
      <c r="G30" s="167"/>
      <c r="H30" s="170"/>
      <c r="I30" s="251"/>
      <c r="J30" s="251"/>
      <c r="K30" s="251"/>
      <c r="L30" s="251"/>
      <c r="M30" s="170"/>
      <c r="N30" s="167"/>
      <c r="O30" s="170"/>
    </row>
    <row r="31" spans="1:16" ht="32.25" customHeight="1">
      <c r="A31" s="158" t="s">
        <v>288</v>
      </c>
      <c r="B31" s="168" t="s">
        <v>289</v>
      </c>
      <c r="C31" s="163" t="e">
        <f t="shared" si="0"/>
        <v>#DIV/0!</v>
      </c>
      <c r="D31" s="167"/>
      <c r="E31" s="170"/>
      <c r="F31" s="170"/>
      <c r="G31" s="167"/>
      <c r="H31" s="251"/>
      <c r="I31" s="251"/>
      <c r="J31" s="251"/>
      <c r="K31" s="251"/>
      <c r="L31" s="251"/>
      <c r="M31" s="170"/>
      <c r="N31" s="170"/>
      <c r="O31" s="251"/>
    </row>
    <row r="32" spans="1:16" ht="25.5">
      <c r="A32" s="160">
        <v>3</v>
      </c>
      <c r="B32" s="158" t="s">
        <v>290</v>
      </c>
      <c r="C32" s="170" t="s">
        <v>260</v>
      </c>
      <c r="D32" s="167">
        <f>D33*D34/1000</f>
        <v>0</v>
      </c>
      <c r="E32" s="170">
        <f>E33*E34/1000</f>
        <v>712.66949152542372</v>
      </c>
      <c r="F32" s="170" t="s">
        <v>260</v>
      </c>
      <c r="G32" s="170"/>
      <c r="H32" s="170">
        <f>H33*H34/1000</f>
        <v>712.66949152542372</v>
      </c>
      <c r="I32" s="170" t="s">
        <v>260</v>
      </c>
      <c r="J32" s="170" t="s">
        <v>260</v>
      </c>
      <c r="K32" s="170">
        <v>542.54237288135596</v>
      </c>
      <c r="L32" s="170"/>
      <c r="M32" s="170" t="s">
        <v>260</v>
      </c>
      <c r="N32" s="170"/>
      <c r="O32" s="170">
        <f>O33*O34/1000</f>
        <v>932.24321999999995</v>
      </c>
    </row>
    <row r="33" spans="1:16" ht="19.5" customHeight="1">
      <c r="A33" s="158" t="s">
        <v>291</v>
      </c>
      <c r="B33" s="158" t="s">
        <v>292</v>
      </c>
      <c r="C33" s="170" t="s">
        <v>260</v>
      </c>
      <c r="D33" s="170"/>
      <c r="E33" s="170">
        <f>550/1.18</f>
        <v>466.10169491525426</v>
      </c>
      <c r="F33" s="170" t="s">
        <v>260</v>
      </c>
      <c r="G33" s="170"/>
      <c r="H33" s="170">
        <f>E33</f>
        <v>466.10169491525426</v>
      </c>
      <c r="I33" s="170" t="s">
        <v>260</v>
      </c>
      <c r="J33" s="170" t="s">
        <v>260</v>
      </c>
      <c r="K33" s="170">
        <v>466.10169491525426</v>
      </c>
      <c r="L33" s="170"/>
      <c r="M33" s="170" t="s">
        <v>260</v>
      </c>
      <c r="N33" s="170"/>
      <c r="O33" s="170">
        <v>458.33</v>
      </c>
    </row>
    <row r="34" spans="1:16" ht="81.75" customHeight="1">
      <c r="A34" s="158" t="s">
        <v>293</v>
      </c>
      <c r="B34" s="169" t="s">
        <v>294</v>
      </c>
      <c r="C34" s="170" t="s">
        <v>260</v>
      </c>
      <c r="D34" s="170"/>
      <c r="E34" s="170">
        <v>1529</v>
      </c>
      <c r="F34" s="170" t="s">
        <v>260</v>
      </c>
      <c r="G34" s="170"/>
      <c r="H34" s="167">
        <f>E34</f>
        <v>1529</v>
      </c>
      <c r="I34" s="170" t="s">
        <v>260</v>
      </c>
      <c r="J34" s="170"/>
      <c r="K34" s="167">
        <v>1164</v>
      </c>
      <c r="L34" s="170"/>
      <c r="M34" s="170" t="s">
        <v>260</v>
      </c>
      <c r="N34" s="170"/>
      <c r="O34" s="254">
        <v>2034</v>
      </c>
    </row>
    <row r="35" spans="1:16" ht="49.15" customHeight="1">
      <c r="A35" s="160">
        <v>4</v>
      </c>
      <c r="B35" s="158" t="s">
        <v>295</v>
      </c>
      <c r="C35" s="170" t="s">
        <v>260</v>
      </c>
      <c r="D35" s="170" t="s">
        <v>260</v>
      </c>
      <c r="E35" s="170">
        <f>E6+E11-E32</f>
        <v>56994.627388474575</v>
      </c>
      <c r="F35" s="170" t="s">
        <v>260</v>
      </c>
      <c r="G35" s="170" t="s">
        <v>260</v>
      </c>
      <c r="H35" s="170">
        <f>H6+H11-H32</f>
        <v>43165.231969774562</v>
      </c>
      <c r="I35" s="170" t="s">
        <v>260</v>
      </c>
      <c r="J35" s="170" t="s">
        <v>260</v>
      </c>
      <c r="K35" s="262">
        <v>37804.004262293645</v>
      </c>
      <c r="L35" s="170"/>
      <c r="M35" s="170" t="s">
        <v>260</v>
      </c>
      <c r="N35" s="170" t="s">
        <v>260</v>
      </c>
      <c r="O35" s="263">
        <f>O6+O11-O32</f>
        <v>55414.813982760017</v>
      </c>
    </row>
    <row r="36" spans="1:16" ht="28.5" customHeight="1">
      <c r="A36" s="171">
        <v>5</v>
      </c>
      <c r="B36" s="172" t="s">
        <v>296</v>
      </c>
      <c r="C36" s="264"/>
      <c r="D36" s="264"/>
      <c r="E36" s="264"/>
      <c r="F36" s="264"/>
      <c r="G36" s="264"/>
      <c r="H36" s="264">
        <f>E36</f>
        <v>0</v>
      </c>
      <c r="I36" s="264"/>
      <c r="J36" s="264"/>
      <c r="K36" s="264">
        <v>0</v>
      </c>
      <c r="L36" s="264"/>
      <c r="M36" s="264"/>
      <c r="N36" s="264"/>
      <c r="O36" s="265"/>
    </row>
    <row r="37" spans="1:16" ht="43.5" customHeight="1">
      <c r="A37" s="171">
        <v>6</v>
      </c>
      <c r="B37" s="158" t="s">
        <v>297</v>
      </c>
      <c r="C37" s="266"/>
      <c r="D37" s="266"/>
      <c r="E37" s="266">
        <f>E35-E36</f>
        <v>56994.627388474575</v>
      </c>
      <c r="F37" s="266"/>
      <c r="G37" s="266"/>
      <c r="H37" s="267"/>
      <c r="I37" s="266"/>
      <c r="J37" s="266"/>
      <c r="K37" s="268">
        <v>37804.004262293645</v>
      </c>
      <c r="L37" s="266"/>
      <c r="M37" s="266"/>
      <c r="N37" s="266"/>
      <c r="O37" s="267">
        <f>O35+O36</f>
        <v>55414.813982760017</v>
      </c>
      <c r="P37" s="173"/>
    </row>
    <row r="38" spans="1:16" ht="18" customHeight="1"/>
    <row r="39" spans="1:16" ht="18.75" customHeight="1">
      <c r="B39" s="174" t="s">
        <v>298</v>
      </c>
      <c r="C39" s="175">
        <v>5.33</v>
      </c>
    </row>
    <row r="40" spans="1:16" ht="15">
      <c r="B40" s="174" t="s">
        <v>298</v>
      </c>
      <c r="C40" s="176">
        <v>5.88</v>
      </c>
      <c r="D40" s="177"/>
      <c r="E40" s="177"/>
      <c r="F40" s="177"/>
    </row>
    <row r="41" spans="1:16" ht="15">
      <c r="B41" s="174" t="s">
        <v>298</v>
      </c>
      <c r="C41" s="176">
        <v>7.61</v>
      </c>
      <c r="D41" s="177"/>
      <c r="E41" s="177"/>
      <c r="F41" s="177"/>
    </row>
    <row r="42" spans="1:16" ht="15">
      <c r="B42" s="178"/>
      <c r="C42" s="178"/>
      <c r="D42" s="179"/>
      <c r="E42" s="179"/>
      <c r="F42" s="177"/>
    </row>
    <row r="43" spans="1:16" ht="15">
      <c r="B43" s="177"/>
      <c r="C43" s="177"/>
      <c r="D43" s="177"/>
      <c r="E43" s="177"/>
      <c r="F43" s="177"/>
    </row>
    <row r="44" spans="1:16" ht="15">
      <c r="B44" s="178"/>
      <c r="C44" s="180"/>
      <c r="D44" s="177"/>
      <c r="E44" s="177"/>
      <c r="F44" s="177"/>
    </row>
    <row r="45" spans="1:16" ht="15">
      <c r="B45" s="178"/>
      <c r="C45" s="180"/>
      <c r="D45" s="177"/>
      <c r="E45" s="177"/>
      <c r="F45" s="177"/>
    </row>
    <row r="46" spans="1:16" ht="15">
      <c r="B46" s="178"/>
      <c r="C46" s="178"/>
      <c r="D46" s="179"/>
      <c r="E46" s="179"/>
      <c r="F46" s="179"/>
    </row>
    <row r="48" spans="1:16" ht="15" hidden="1">
      <c r="B48" s="157" t="s">
        <v>299</v>
      </c>
      <c r="H48" s="177">
        <v>51547.76</v>
      </c>
    </row>
    <row r="49" spans="2:12" hidden="1"/>
    <row r="50" spans="2:12" ht="15.75" hidden="1">
      <c r="H50" s="181">
        <f>H37-H11+H48</f>
        <v>24733.889802000009</v>
      </c>
    </row>
    <row r="51" spans="2:12" hidden="1">
      <c r="B51" s="182" t="s">
        <v>300</v>
      </c>
      <c r="C51" s="182"/>
      <c r="D51" s="182"/>
      <c r="E51" s="182"/>
      <c r="F51" s="182"/>
      <c r="G51" s="182"/>
      <c r="H51" s="182"/>
      <c r="I51" s="159"/>
      <c r="J51" s="159"/>
      <c r="K51" s="159"/>
      <c r="L51" s="159"/>
    </row>
    <row r="52" spans="2:12" hidden="1">
      <c r="B52" s="182" t="s">
        <v>301</v>
      </c>
      <c r="C52" s="182"/>
      <c r="D52" s="182"/>
      <c r="E52" s="182"/>
      <c r="F52" s="182"/>
      <c r="G52" s="182"/>
      <c r="H52" s="182"/>
      <c r="I52" s="159"/>
      <c r="J52" s="159"/>
      <c r="K52" s="159"/>
      <c r="L52" s="159"/>
    </row>
    <row r="53" spans="2:12" hidden="1">
      <c r="B53" s="182" t="s">
        <v>302</v>
      </c>
      <c r="C53" s="182"/>
      <c r="D53" s="182"/>
      <c r="E53" s="182"/>
      <c r="F53" s="182"/>
      <c r="G53" s="182"/>
      <c r="H53" s="182"/>
      <c r="I53" s="159"/>
      <c r="J53" s="159"/>
      <c r="K53" s="159"/>
      <c r="L53" s="159"/>
    </row>
    <row r="54" spans="2:12" hidden="1">
      <c r="B54" s="182" t="s">
        <v>303</v>
      </c>
      <c r="C54" s="182"/>
      <c r="D54" s="182"/>
      <c r="E54" s="182"/>
      <c r="F54" s="182"/>
      <c r="G54" s="182"/>
      <c r="H54" s="182"/>
      <c r="I54" s="159"/>
      <c r="J54" s="159"/>
      <c r="K54" s="159"/>
      <c r="L54" s="159"/>
    </row>
    <row r="55" spans="2:12" hidden="1">
      <c r="B55" s="182"/>
      <c r="C55" s="182"/>
      <c r="D55" s="182"/>
      <c r="E55" s="182"/>
      <c r="F55" s="182"/>
      <c r="G55" s="182"/>
      <c r="H55" s="182"/>
      <c r="I55" s="159"/>
      <c r="J55" s="159"/>
      <c r="K55" s="159"/>
      <c r="L55" s="159"/>
    </row>
    <row r="56" spans="2:12" ht="15.75" hidden="1">
      <c r="B56" s="182" t="s">
        <v>304</v>
      </c>
      <c r="C56" s="182"/>
      <c r="D56" s="182"/>
      <c r="E56" s="182"/>
      <c r="F56" s="182"/>
      <c r="G56" s="182"/>
      <c r="H56" s="182"/>
      <c r="I56" s="183"/>
      <c r="J56" s="183"/>
      <c r="K56" s="183"/>
      <c r="L56" s="183"/>
    </row>
  </sheetData>
  <mergeCells count="6">
    <mergeCell ref="P10:S10"/>
    <mergeCell ref="B1:P1"/>
    <mergeCell ref="C3:E3"/>
    <mergeCell ref="F3:H3"/>
    <mergeCell ref="I3:K3"/>
    <mergeCell ref="M3:O3"/>
  </mergeCells>
  <pageMargins left="0" right="0" top="0" bottom="0" header="0.31496062992125984" footer="0.31496062992125984"/>
  <pageSetup paperSize="8" scale="75" fitToWidth="2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V54"/>
  <sheetViews>
    <sheetView zoomScale="50" zoomScaleNormal="50" zoomScaleSheetLayoutView="75"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R26" sqref="R26"/>
    </sheetView>
  </sheetViews>
  <sheetFormatPr defaultColWidth="9.140625" defaultRowHeight="15"/>
  <cols>
    <col min="1" max="1" width="11.28515625" style="184" customWidth="1"/>
    <col min="2" max="2" width="57.85546875" style="186" customWidth="1"/>
    <col min="3" max="3" width="21.85546875" style="186" customWidth="1"/>
    <col min="4" max="4" width="22.140625" style="186" customWidth="1"/>
    <col min="5" max="5" width="23.5703125" style="186" customWidth="1"/>
    <col min="6" max="6" width="21" style="186" hidden="1" customWidth="1"/>
    <col min="7" max="7" width="19.7109375" style="186" hidden="1" customWidth="1"/>
    <col min="8" max="8" width="21.42578125" style="186" hidden="1" customWidth="1"/>
    <col min="9" max="9" width="25.42578125" style="186" customWidth="1"/>
    <col min="10" max="10" width="20.5703125" style="186" customWidth="1"/>
    <col min="11" max="11" width="22.85546875" style="186" customWidth="1"/>
    <col min="12" max="12" width="27" style="186" customWidth="1"/>
    <col min="13" max="13" width="22.140625" style="186" customWidth="1"/>
    <col min="14" max="14" width="26.140625" style="186" customWidth="1"/>
    <col min="15" max="15" width="15.28515625" style="186" customWidth="1"/>
    <col min="16" max="16" width="12.42578125" style="186" customWidth="1"/>
    <col min="17" max="17" width="16.28515625" style="186" customWidth="1"/>
    <col min="18" max="18" width="16.5703125" style="186" customWidth="1"/>
    <col min="19" max="19" width="11.7109375" style="186" customWidth="1"/>
    <col min="20" max="20" width="16.140625" style="186" customWidth="1"/>
    <col min="21" max="256" width="9.140625" style="186"/>
    <col min="257" max="257" width="11.28515625" style="186" customWidth="1"/>
    <col min="258" max="258" width="57.85546875" style="186" customWidth="1"/>
    <col min="259" max="259" width="21.85546875" style="186" customWidth="1"/>
    <col min="260" max="260" width="22.140625" style="186" customWidth="1"/>
    <col min="261" max="261" width="23.5703125" style="186" customWidth="1"/>
    <col min="262" max="264" width="0" style="186" hidden="1" customWidth="1"/>
    <col min="265" max="265" width="25.42578125" style="186" customWidth="1"/>
    <col min="266" max="266" width="20.5703125" style="186" customWidth="1"/>
    <col min="267" max="267" width="22.85546875" style="186" customWidth="1"/>
    <col min="268" max="268" width="27" style="186" customWidth="1"/>
    <col min="269" max="269" width="22.140625" style="186" customWidth="1"/>
    <col min="270" max="270" width="26.140625" style="186" customWidth="1"/>
    <col min="271" max="271" width="15.28515625" style="186" customWidth="1"/>
    <col min="272" max="272" width="12.42578125" style="186" customWidth="1"/>
    <col min="273" max="273" width="16.28515625" style="186" customWidth="1"/>
    <col min="274" max="274" width="16.5703125" style="186" customWidth="1"/>
    <col min="275" max="275" width="11.7109375" style="186" customWidth="1"/>
    <col min="276" max="276" width="16.140625" style="186" customWidth="1"/>
    <col min="277" max="512" width="9.140625" style="186"/>
    <col min="513" max="513" width="11.28515625" style="186" customWidth="1"/>
    <col min="514" max="514" width="57.85546875" style="186" customWidth="1"/>
    <col min="515" max="515" width="21.85546875" style="186" customWidth="1"/>
    <col min="516" max="516" width="22.140625" style="186" customWidth="1"/>
    <col min="517" max="517" width="23.5703125" style="186" customWidth="1"/>
    <col min="518" max="520" width="0" style="186" hidden="1" customWidth="1"/>
    <col min="521" max="521" width="25.42578125" style="186" customWidth="1"/>
    <col min="522" max="522" width="20.5703125" style="186" customWidth="1"/>
    <col min="523" max="523" width="22.85546875" style="186" customWidth="1"/>
    <col min="524" max="524" width="27" style="186" customWidth="1"/>
    <col min="525" max="525" width="22.140625" style="186" customWidth="1"/>
    <col min="526" max="526" width="26.140625" style="186" customWidth="1"/>
    <col min="527" max="527" width="15.28515625" style="186" customWidth="1"/>
    <col min="528" max="528" width="12.42578125" style="186" customWidth="1"/>
    <col min="529" max="529" width="16.28515625" style="186" customWidth="1"/>
    <col min="530" max="530" width="16.5703125" style="186" customWidth="1"/>
    <col min="531" max="531" width="11.7109375" style="186" customWidth="1"/>
    <col min="532" max="532" width="16.140625" style="186" customWidth="1"/>
    <col min="533" max="768" width="9.140625" style="186"/>
    <col min="769" max="769" width="11.28515625" style="186" customWidth="1"/>
    <col min="770" max="770" width="57.85546875" style="186" customWidth="1"/>
    <col min="771" max="771" width="21.85546875" style="186" customWidth="1"/>
    <col min="772" max="772" width="22.140625" style="186" customWidth="1"/>
    <col min="773" max="773" width="23.5703125" style="186" customWidth="1"/>
    <col min="774" max="776" width="0" style="186" hidden="1" customWidth="1"/>
    <col min="777" max="777" width="25.42578125" style="186" customWidth="1"/>
    <col min="778" max="778" width="20.5703125" style="186" customWidth="1"/>
    <col min="779" max="779" width="22.85546875" style="186" customWidth="1"/>
    <col min="780" max="780" width="27" style="186" customWidth="1"/>
    <col min="781" max="781" width="22.140625" style="186" customWidth="1"/>
    <col min="782" max="782" width="26.140625" style="186" customWidth="1"/>
    <col min="783" max="783" width="15.28515625" style="186" customWidth="1"/>
    <col min="784" max="784" width="12.42578125" style="186" customWidth="1"/>
    <col min="785" max="785" width="16.28515625" style="186" customWidth="1"/>
    <col min="786" max="786" width="16.5703125" style="186" customWidth="1"/>
    <col min="787" max="787" width="11.7109375" style="186" customWidth="1"/>
    <col min="788" max="788" width="16.140625" style="186" customWidth="1"/>
    <col min="789" max="1024" width="9.140625" style="186"/>
    <col min="1025" max="1025" width="11.28515625" style="186" customWidth="1"/>
    <col min="1026" max="1026" width="57.85546875" style="186" customWidth="1"/>
    <col min="1027" max="1027" width="21.85546875" style="186" customWidth="1"/>
    <col min="1028" max="1028" width="22.140625" style="186" customWidth="1"/>
    <col min="1029" max="1029" width="23.5703125" style="186" customWidth="1"/>
    <col min="1030" max="1032" width="0" style="186" hidden="1" customWidth="1"/>
    <col min="1033" max="1033" width="25.42578125" style="186" customWidth="1"/>
    <col min="1034" max="1034" width="20.5703125" style="186" customWidth="1"/>
    <col min="1035" max="1035" width="22.85546875" style="186" customWidth="1"/>
    <col min="1036" max="1036" width="27" style="186" customWidth="1"/>
    <col min="1037" max="1037" width="22.140625" style="186" customWidth="1"/>
    <col min="1038" max="1038" width="26.140625" style="186" customWidth="1"/>
    <col min="1039" max="1039" width="15.28515625" style="186" customWidth="1"/>
    <col min="1040" max="1040" width="12.42578125" style="186" customWidth="1"/>
    <col min="1041" max="1041" width="16.28515625" style="186" customWidth="1"/>
    <col min="1042" max="1042" width="16.5703125" style="186" customWidth="1"/>
    <col min="1043" max="1043" width="11.7109375" style="186" customWidth="1"/>
    <col min="1044" max="1044" width="16.140625" style="186" customWidth="1"/>
    <col min="1045" max="1280" width="9.140625" style="186"/>
    <col min="1281" max="1281" width="11.28515625" style="186" customWidth="1"/>
    <col min="1282" max="1282" width="57.85546875" style="186" customWidth="1"/>
    <col min="1283" max="1283" width="21.85546875" style="186" customWidth="1"/>
    <col min="1284" max="1284" width="22.140625" style="186" customWidth="1"/>
    <col min="1285" max="1285" width="23.5703125" style="186" customWidth="1"/>
    <col min="1286" max="1288" width="0" style="186" hidden="1" customWidth="1"/>
    <col min="1289" max="1289" width="25.42578125" style="186" customWidth="1"/>
    <col min="1290" max="1290" width="20.5703125" style="186" customWidth="1"/>
    <col min="1291" max="1291" width="22.85546875" style="186" customWidth="1"/>
    <col min="1292" max="1292" width="27" style="186" customWidth="1"/>
    <col min="1293" max="1293" width="22.140625" style="186" customWidth="1"/>
    <col min="1294" max="1294" width="26.140625" style="186" customWidth="1"/>
    <col min="1295" max="1295" width="15.28515625" style="186" customWidth="1"/>
    <col min="1296" max="1296" width="12.42578125" style="186" customWidth="1"/>
    <col min="1297" max="1297" width="16.28515625" style="186" customWidth="1"/>
    <col min="1298" max="1298" width="16.5703125" style="186" customWidth="1"/>
    <col min="1299" max="1299" width="11.7109375" style="186" customWidth="1"/>
    <col min="1300" max="1300" width="16.140625" style="186" customWidth="1"/>
    <col min="1301" max="1536" width="9.140625" style="186"/>
    <col min="1537" max="1537" width="11.28515625" style="186" customWidth="1"/>
    <col min="1538" max="1538" width="57.85546875" style="186" customWidth="1"/>
    <col min="1539" max="1539" width="21.85546875" style="186" customWidth="1"/>
    <col min="1540" max="1540" width="22.140625" style="186" customWidth="1"/>
    <col min="1541" max="1541" width="23.5703125" style="186" customWidth="1"/>
    <col min="1542" max="1544" width="0" style="186" hidden="1" customWidth="1"/>
    <col min="1545" max="1545" width="25.42578125" style="186" customWidth="1"/>
    <col min="1546" max="1546" width="20.5703125" style="186" customWidth="1"/>
    <col min="1547" max="1547" width="22.85546875" style="186" customWidth="1"/>
    <col min="1548" max="1548" width="27" style="186" customWidth="1"/>
    <col min="1549" max="1549" width="22.140625" style="186" customWidth="1"/>
    <col min="1550" max="1550" width="26.140625" style="186" customWidth="1"/>
    <col min="1551" max="1551" width="15.28515625" style="186" customWidth="1"/>
    <col min="1552" max="1552" width="12.42578125" style="186" customWidth="1"/>
    <col min="1553" max="1553" width="16.28515625" style="186" customWidth="1"/>
    <col min="1554" max="1554" width="16.5703125" style="186" customWidth="1"/>
    <col min="1555" max="1555" width="11.7109375" style="186" customWidth="1"/>
    <col min="1556" max="1556" width="16.140625" style="186" customWidth="1"/>
    <col min="1557" max="1792" width="9.140625" style="186"/>
    <col min="1793" max="1793" width="11.28515625" style="186" customWidth="1"/>
    <col min="1794" max="1794" width="57.85546875" style="186" customWidth="1"/>
    <col min="1795" max="1795" width="21.85546875" style="186" customWidth="1"/>
    <col min="1796" max="1796" width="22.140625" style="186" customWidth="1"/>
    <col min="1797" max="1797" width="23.5703125" style="186" customWidth="1"/>
    <col min="1798" max="1800" width="0" style="186" hidden="1" customWidth="1"/>
    <col min="1801" max="1801" width="25.42578125" style="186" customWidth="1"/>
    <col min="1802" max="1802" width="20.5703125" style="186" customWidth="1"/>
    <col min="1803" max="1803" width="22.85546875" style="186" customWidth="1"/>
    <col min="1804" max="1804" width="27" style="186" customWidth="1"/>
    <col min="1805" max="1805" width="22.140625" style="186" customWidth="1"/>
    <col min="1806" max="1806" width="26.140625" style="186" customWidth="1"/>
    <col min="1807" max="1807" width="15.28515625" style="186" customWidth="1"/>
    <col min="1808" max="1808" width="12.42578125" style="186" customWidth="1"/>
    <col min="1809" max="1809" width="16.28515625" style="186" customWidth="1"/>
    <col min="1810" max="1810" width="16.5703125" style="186" customWidth="1"/>
    <col min="1811" max="1811" width="11.7109375" style="186" customWidth="1"/>
    <col min="1812" max="1812" width="16.140625" style="186" customWidth="1"/>
    <col min="1813" max="2048" width="9.140625" style="186"/>
    <col min="2049" max="2049" width="11.28515625" style="186" customWidth="1"/>
    <col min="2050" max="2050" width="57.85546875" style="186" customWidth="1"/>
    <col min="2051" max="2051" width="21.85546875" style="186" customWidth="1"/>
    <col min="2052" max="2052" width="22.140625" style="186" customWidth="1"/>
    <col min="2053" max="2053" width="23.5703125" style="186" customWidth="1"/>
    <col min="2054" max="2056" width="0" style="186" hidden="1" customWidth="1"/>
    <col min="2057" max="2057" width="25.42578125" style="186" customWidth="1"/>
    <col min="2058" max="2058" width="20.5703125" style="186" customWidth="1"/>
    <col min="2059" max="2059" width="22.85546875" style="186" customWidth="1"/>
    <col min="2060" max="2060" width="27" style="186" customWidth="1"/>
    <col min="2061" max="2061" width="22.140625" style="186" customWidth="1"/>
    <col min="2062" max="2062" width="26.140625" style="186" customWidth="1"/>
    <col min="2063" max="2063" width="15.28515625" style="186" customWidth="1"/>
    <col min="2064" max="2064" width="12.42578125" style="186" customWidth="1"/>
    <col min="2065" max="2065" width="16.28515625" style="186" customWidth="1"/>
    <col min="2066" max="2066" width="16.5703125" style="186" customWidth="1"/>
    <col min="2067" max="2067" width="11.7109375" style="186" customWidth="1"/>
    <col min="2068" max="2068" width="16.140625" style="186" customWidth="1"/>
    <col min="2069" max="2304" width="9.140625" style="186"/>
    <col min="2305" max="2305" width="11.28515625" style="186" customWidth="1"/>
    <col min="2306" max="2306" width="57.85546875" style="186" customWidth="1"/>
    <col min="2307" max="2307" width="21.85546875" style="186" customWidth="1"/>
    <col min="2308" max="2308" width="22.140625" style="186" customWidth="1"/>
    <col min="2309" max="2309" width="23.5703125" style="186" customWidth="1"/>
    <col min="2310" max="2312" width="0" style="186" hidden="1" customWidth="1"/>
    <col min="2313" max="2313" width="25.42578125" style="186" customWidth="1"/>
    <col min="2314" max="2314" width="20.5703125" style="186" customWidth="1"/>
    <col min="2315" max="2315" width="22.85546875" style="186" customWidth="1"/>
    <col min="2316" max="2316" width="27" style="186" customWidth="1"/>
    <col min="2317" max="2317" width="22.140625" style="186" customWidth="1"/>
    <col min="2318" max="2318" width="26.140625" style="186" customWidth="1"/>
    <col min="2319" max="2319" width="15.28515625" style="186" customWidth="1"/>
    <col min="2320" max="2320" width="12.42578125" style="186" customWidth="1"/>
    <col min="2321" max="2321" width="16.28515625" style="186" customWidth="1"/>
    <col min="2322" max="2322" width="16.5703125" style="186" customWidth="1"/>
    <col min="2323" max="2323" width="11.7109375" style="186" customWidth="1"/>
    <col min="2324" max="2324" width="16.140625" style="186" customWidth="1"/>
    <col min="2325" max="2560" width="9.140625" style="186"/>
    <col min="2561" max="2561" width="11.28515625" style="186" customWidth="1"/>
    <col min="2562" max="2562" width="57.85546875" style="186" customWidth="1"/>
    <col min="2563" max="2563" width="21.85546875" style="186" customWidth="1"/>
    <col min="2564" max="2564" width="22.140625" style="186" customWidth="1"/>
    <col min="2565" max="2565" width="23.5703125" style="186" customWidth="1"/>
    <col min="2566" max="2568" width="0" style="186" hidden="1" customWidth="1"/>
    <col min="2569" max="2569" width="25.42578125" style="186" customWidth="1"/>
    <col min="2570" max="2570" width="20.5703125" style="186" customWidth="1"/>
    <col min="2571" max="2571" width="22.85546875" style="186" customWidth="1"/>
    <col min="2572" max="2572" width="27" style="186" customWidth="1"/>
    <col min="2573" max="2573" width="22.140625" style="186" customWidth="1"/>
    <col min="2574" max="2574" width="26.140625" style="186" customWidth="1"/>
    <col min="2575" max="2575" width="15.28515625" style="186" customWidth="1"/>
    <col min="2576" max="2576" width="12.42578125" style="186" customWidth="1"/>
    <col min="2577" max="2577" width="16.28515625" style="186" customWidth="1"/>
    <col min="2578" max="2578" width="16.5703125" style="186" customWidth="1"/>
    <col min="2579" max="2579" width="11.7109375" style="186" customWidth="1"/>
    <col min="2580" max="2580" width="16.140625" style="186" customWidth="1"/>
    <col min="2581" max="2816" width="9.140625" style="186"/>
    <col min="2817" max="2817" width="11.28515625" style="186" customWidth="1"/>
    <col min="2818" max="2818" width="57.85546875" style="186" customWidth="1"/>
    <col min="2819" max="2819" width="21.85546875" style="186" customWidth="1"/>
    <col min="2820" max="2820" width="22.140625" style="186" customWidth="1"/>
    <col min="2821" max="2821" width="23.5703125" style="186" customWidth="1"/>
    <col min="2822" max="2824" width="0" style="186" hidden="1" customWidth="1"/>
    <col min="2825" max="2825" width="25.42578125" style="186" customWidth="1"/>
    <col min="2826" max="2826" width="20.5703125" style="186" customWidth="1"/>
    <col min="2827" max="2827" width="22.85546875" style="186" customWidth="1"/>
    <col min="2828" max="2828" width="27" style="186" customWidth="1"/>
    <col min="2829" max="2829" width="22.140625" style="186" customWidth="1"/>
    <col min="2830" max="2830" width="26.140625" style="186" customWidth="1"/>
    <col min="2831" max="2831" width="15.28515625" style="186" customWidth="1"/>
    <col min="2832" max="2832" width="12.42578125" style="186" customWidth="1"/>
    <col min="2833" max="2833" width="16.28515625" style="186" customWidth="1"/>
    <col min="2834" max="2834" width="16.5703125" style="186" customWidth="1"/>
    <col min="2835" max="2835" width="11.7109375" style="186" customWidth="1"/>
    <col min="2836" max="2836" width="16.140625" style="186" customWidth="1"/>
    <col min="2837" max="3072" width="9.140625" style="186"/>
    <col min="3073" max="3073" width="11.28515625" style="186" customWidth="1"/>
    <col min="3074" max="3074" width="57.85546875" style="186" customWidth="1"/>
    <col min="3075" max="3075" width="21.85546875" style="186" customWidth="1"/>
    <col min="3076" max="3076" width="22.140625" style="186" customWidth="1"/>
    <col min="3077" max="3077" width="23.5703125" style="186" customWidth="1"/>
    <col min="3078" max="3080" width="0" style="186" hidden="1" customWidth="1"/>
    <col min="3081" max="3081" width="25.42578125" style="186" customWidth="1"/>
    <col min="3082" max="3082" width="20.5703125" style="186" customWidth="1"/>
    <col min="3083" max="3083" width="22.85546875" style="186" customWidth="1"/>
    <col min="3084" max="3084" width="27" style="186" customWidth="1"/>
    <col min="3085" max="3085" width="22.140625" style="186" customWidth="1"/>
    <col min="3086" max="3086" width="26.140625" style="186" customWidth="1"/>
    <col min="3087" max="3087" width="15.28515625" style="186" customWidth="1"/>
    <col min="3088" max="3088" width="12.42578125" style="186" customWidth="1"/>
    <col min="3089" max="3089" width="16.28515625" style="186" customWidth="1"/>
    <col min="3090" max="3090" width="16.5703125" style="186" customWidth="1"/>
    <col min="3091" max="3091" width="11.7109375" style="186" customWidth="1"/>
    <col min="3092" max="3092" width="16.140625" style="186" customWidth="1"/>
    <col min="3093" max="3328" width="9.140625" style="186"/>
    <col min="3329" max="3329" width="11.28515625" style="186" customWidth="1"/>
    <col min="3330" max="3330" width="57.85546875" style="186" customWidth="1"/>
    <col min="3331" max="3331" width="21.85546875" style="186" customWidth="1"/>
    <col min="3332" max="3332" width="22.140625" style="186" customWidth="1"/>
    <col min="3333" max="3333" width="23.5703125" style="186" customWidth="1"/>
    <col min="3334" max="3336" width="0" style="186" hidden="1" customWidth="1"/>
    <col min="3337" max="3337" width="25.42578125" style="186" customWidth="1"/>
    <col min="3338" max="3338" width="20.5703125" style="186" customWidth="1"/>
    <col min="3339" max="3339" width="22.85546875" style="186" customWidth="1"/>
    <col min="3340" max="3340" width="27" style="186" customWidth="1"/>
    <col min="3341" max="3341" width="22.140625" style="186" customWidth="1"/>
    <col min="3342" max="3342" width="26.140625" style="186" customWidth="1"/>
    <col min="3343" max="3343" width="15.28515625" style="186" customWidth="1"/>
    <col min="3344" max="3344" width="12.42578125" style="186" customWidth="1"/>
    <col min="3345" max="3345" width="16.28515625" style="186" customWidth="1"/>
    <col min="3346" max="3346" width="16.5703125" style="186" customWidth="1"/>
    <col min="3347" max="3347" width="11.7109375" style="186" customWidth="1"/>
    <col min="3348" max="3348" width="16.140625" style="186" customWidth="1"/>
    <col min="3349" max="3584" width="9.140625" style="186"/>
    <col min="3585" max="3585" width="11.28515625" style="186" customWidth="1"/>
    <col min="3586" max="3586" width="57.85546875" style="186" customWidth="1"/>
    <col min="3587" max="3587" width="21.85546875" style="186" customWidth="1"/>
    <col min="3588" max="3588" width="22.140625" style="186" customWidth="1"/>
    <col min="3589" max="3589" width="23.5703125" style="186" customWidth="1"/>
    <col min="3590" max="3592" width="0" style="186" hidden="1" customWidth="1"/>
    <col min="3593" max="3593" width="25.42578125" style="186" customWidth="1"/>
    <col min="3594" max="3594" width="20.5703125" style="186" customWidth="1"/>
    <col min="3595" max="3595" width="22.85546875" style="186" customWidth="1"/>
    <col min="3596" max="3596" width="27" style="186" customWidth="1"/>
    <col min="3597" max="3597" width="22.140625" style="186" customWidth="1"/>
    <col min="3598" max="3598" width="26.140625" style="186" customWidth="1"/>
    <col min="3599" max="3599" width="15.28515625" style="186" customWidth="1"/>
    <col min="3600" max="3600" width="12.42578125" style="186" customWidth="1"/>
    <col min="3601" max="3601" width="16.28515625" style="186" customWidth="1"/>
    <col min="3602" max="3602" width="16.5703125" style="186" customWidth="1"/>
    <col min="3603" max="3603" width="11.7109375" style="186" customWidth="1"/>
    <col min="3604" max="3604" width="16.140625" style="186" customWidth="1"/>
    <col min="3605" max="3840" width="9.140625" style="186"/>
    <col min="3841" max="3841" width="11.28515625" style="186" customWidth="1"/>
    <col min="3842" max="3842" width="57.85546875" style="186" customWidth="1"/>
    <col min="3843" max="3843" width="21.85546875" style="186" customWidth="1"/>
    <col min="3844" max="3844" width="22.140625" style="186" customWidth="1"/>
    <col min="3845" max="3845" width="23.5703125" style="186" customWidth="1"/>
    <col min="3846" max="3848" width="0" style="186" hidden="1" customWidth="1"/>
    <col min="3849" max="3849" width="25.42578125" style="186" customWidth="1"/>
    <col min="3850" max="3850" width="20.5703125" style="186" customWidth="1"/>
    <col min="3851" max="3851" width="22.85546875" style="186" customWidth="1"/>
    <col min="3852" max="3852" width="27" style="186" customWidth="1"/>
    <col min="3853" max="3853" width="22.140625" style="186" customWidth="1"/>
    <col min="3854" max="3854" width="26.140625" style="186" customWidth="1"/>
    <col min="3855" max="3855" width="15.28515625" style="186" customWidth="1"/>
    <col min="3856" max="3856" width="12.42578125" style="186" customWidth="1"/>
    <col min="3857" max="3857" width="16.28515625" style="186" customWidth="1"/>
    <col min="3858" max="3858" width="16.5703125" style="186" customWidth="1"/>
    <col min="3859" max="3859" width="11.7109375" style="186" customWidth="1"/>
    <col min="3860" max="3860" width="16.140625" style="186" customWidth="1"/>
    <col min="3861" max="4096" width="9.140625" style="186"/>
    <col min="4097" max="4097" width="11.28515625" style="186" customWidth="1"/>
    <col min="4098" max="4098" width="57.85546875" style="186" customWidth="1"/>
    <col min="4099" max="4099" width="21.85546875" style="186" customWidth="1"/>
    <col min="4100" max="4100" width="22.140625" style="186" customWidth="1"/>
    <col min="4101" max="4101" width="23.5703125" style="186" customWidth="1"/>
    <col min="4102" max="4104" width="0" style="186" hidden="1" customWidth="1"/>
    <col min="4105" max="4105" width="25.42578125" style="186" customWidth="1"/>
    <col min="4106" max="4106" width="20.5703125" style="186" customWidth="1"/>
    <col min="4107" max="4107" width="22.85546875" style="186" customWidth="1"/>
    <col min="4108" max="4108" width="27" style="186" customWidth="1"/>
    <col min="4109" max="4109" width="22.140625" style="186" customWidth="1"/>
    <col min="4110" max="4110" width="26.140625" style="186" customWidth="1"/>
    <col min="4111" max="4111" width="15.28515625" style="186" customWidth="1"/>
    <col min="4112" max="4112" width="12.42578125" style="186" customWidth="1"/>
    <col min="4113" max="4113" width="16.28515625" style="186" customWidth="1"/>
    <col min="4114" max="4114" width="16.5703125" style="186" customWidth="1"/>
    <col min="4115" max="4115" width="11.7109375" style="186" customWidth="1"/>
    <col min="4116" max="4116" width="16.140625" style="186" customWidth="1"/>
    <col min="4117" max="4352" width="9.140625" style="186"/>
    <col min="4353" max="4353" width="11.28515625" style="186" customWidth="1"/>
    <col min="4354" max="4354" width="57.85546875" style="186" customWidth="1"/>
    <col min="4355" max="4355" width="21.85546875" style="186" customWidth="1"/>
    <col min="4356" max="4356" width="22.140625" style="186" customWidth="1"/>
    <col min="4357" max="4357" width="23.5703125" style="186" customWidth="1"/>
    <col min="4358" max="4360" width="0" style="186" hidden="1" customWidth="1"/>
    <col min="4361" max="4361" width="25.42578125" style="186" customWidth="1"/>
    <col min="4362" max="4362" width="20.5703125" style="186" customWidth="1"/>
    <col min="4363" max="4363" width="22.85546875" style="186" customWidth="1"/>
    <col min="4364" max="4364" width="27" style="186" customWidth="1"/>
    <col min="4365" max="4365" width="22.140625" style="186" customWidth="1"/>
    <col min="4366" max="4366" width="26.140625" style="186" customWidth="1"/>
    <col min="4367" max="4367" width="15.28515625" style="186" customWidth="1"/>
    <col min="4368" max="4368" width="12.42578125" style="186" customWidth="1"/>
    <col min="4369" max="4369" width="16.28515625" style="186" customWidth="1"/>
    <col min="4370" max="4370" width="16.5703125" style="186" customWidth="1"/>
    <col min="4371" max="4371" width="11.7109375" style="186" customWidth="1"/>
    <col min="4372" max="4372" width="16.140625" style="186" customWidth="1"/>
    <col min="4373" max="4608" width="9.140625" style="186"/>
    <col min="4609" max="4609" width="11.28515625" style="186" customWidth="1"/>
    <col min="4610" max="4610" width="57.85546875" style="186" customWidth="1"/>
    <col min="4611" max="4611" width="21.85546875" style="186" customWidth="1"/>
    <col min="4612" max="4612" width="22.140625" style="186" customWidth="1"/>
    <col min="4613" max="4613" width="23.5703125" style="186" customWidth="1"/>
    <col min="4614" max="4616" width="0" style="186" hidden="1" customWidth="1"/>
    <col min="4617" max="4617" width="25.42578125" style="186" customWidth="1"/>
    <col min="4618" max="4618" width="20.5703125" style="186" customWidth="1"/>
    <col min="4619" max="4619" width="22.85546875" style="186" customWidth="1"/>
    <col min="4620" max="4620" width="27" style="186" customWidth="1"/>
    <col min="4621" max="4621" width="22.140625" style="186" customWidth="1"/>
    <col min="4622" max="4622" width="26.140625" style="186" customWidth="1"/>
    <col min="4623" max="4623" width="15.28515625" style="186" customWidth="1"/>
    <col min="4624" max="4624" width="12.42578125" style="186" customWidth="1"/>
    <col min="4625" max="4625" width="16.28515625" style="186" customWidth="1"/>
    <col min="4626" max="4626" width="16.5703125" style="186" customWidth="1"/>
    <col min="4627" max="4627" width="11.7109375" style="186" customWidth="1"/>
    <col min="4628" max="4628" width="16.140625" style="186" customWidth="1"/>
    <col min="4629" max="4864" width="9.140625" style="186"/>
    <col min="4865" max="4865" width="11.28515625" style="186" customWidth="1"/>
    <col min="4866" max="4866" width="57.85546875" style="186" customWidth="1"/>
    <col min="4867" max="4867" width="21.85546875" style="186" customWidth="1"/>
    <col min="4868" max="4868" width="22.140625" style="186" customWidth="1"/>
    <col min="4869" max="4869" width="23.5703125" style="186" customWidth="1"/>
    <col min="4870" max="4872" width="0" style="186" hidden="1" customWidth="1"/>
    <col min="4873" max="4873" width="25.42578125" style="186" customWidth="1"/>
    <col min="4874" max="4874" width="20.5703125" style="186" customWidth="1"/>
    <col min="4875" max="4875" width="22.85546875" style="186" customWidth="1"/>
    <col min="4876" max="4876" width="27" style="186" customWidth="1"/>
    <col min="4877" max="4877" width="22.140625" style="186" customWidth="1"/>
    <col min="4878" max="4878" width="26.140625" style="186" customWidth="1"/>
    <col min="4879" max="4879" width="15.28515625" style="186" customWidth="1"/>
    <col min="4880" max="4880" width="12.42578125" style="186" customWidth="1"/>
    <col min="4881" max="4881" width="16.28515625" style="186" customWidth="1"/>
    <col min="4882" max="4882" width="16.5703125" style="186" customWidth="1"/>
    <col min="4883" max="4883" width="11.7109375" style="186" customWidth="1"/>
    <col min="4884" max="4884" width="16.140625" style="186" customWidth="1"/>
    <col min="4885" max="5120" width="9.140625" style="186"/>
    <col min="5121" max="5121" width="11.28515625" style="186" customWidth="1"/>
    <col min="5122" max="5122" width="57.85546875" style="186" customWidth="1"/>
    <col min="5123" max="5123" width="21.85546875" style="186" customWidth="1"/>
    <col min="5124" max="5124" width="22.140625" style="186" customWidth="1"/>
    <col min="5125" max="5125" width="23.5703125" style="186" customWidth="1"/>
    <col min="5126" max="5128" width="0" style="186" hidden="1" customWidth="1"/>
    <col min="5129" max="5129" width="25.42578125" style="186" customWidth="1"/>
    <col min="5130" max="5130" width="20.5703125" style="186" customWidth="1"/>
    <col min="5131" max="5131" width="22.85546875" style="186" customWidth="1"/>
    <col min="5132" max="5132" width="27" style="186" customWidth="1"/>
    <col min="5133" max="5133" width="22.140625" style="186" customWidth="1"/>
    <col min="5134" max="5134" width="26.140625" style="186" customWidth="1"/>
    <col min="5135" max="5135" width="15.28515625" style="186" customWidth="1"/>
    <col min="5136" max="5136" width="12.42578125" style="186" customWidth="1"/>
    <col min="5137" max="5137" width="16.28515625" style="186" customWidth="1"/>
    <col min="5138" max="5138" width="16.5703125" style="186" customWidth="1"/>
    <col min="5139" max="5139" width="11.7109375" style="186" customWidth="1"/>
    <col min="5140" max="5140" width="16.140625" style="186" customWidth="1"/>
    <col min="5141" max="5376" width="9.140625" style="186"/>
    <col min="5377" max="5377" width="11.28515625" style="186" customWidth="1"/>
    <col min="5378" max="5378" width="57.85546875" style="186" customWidth="1"/>
    <col min="5379" max="5379" width="21.85546875" style="186" customWidth="1"/>
    <col min="5380" max="5380" width="22.140625" style="186" customWidth="1"/>
    <col min="5381" max="5381" width="23.5703125" style="186" customWidth="1"/>
    <col min="5382" max="5384" width="0" style="186" hidden="1" customWidth="1"/>
    <col min="5385" max="5385" width="25.42578125" style="186" customWidth="1"/>
    <col min="5386" max="5386" width="20.5703125" style="186" customWidth="1"/>
    <col min="5387" max="5387" width="22.85546875" style="186" customWidth="1"/>
    <col min="5388" max="5388" width="27" style="186" customWidth="1"/>
    <col min="5389" max="5389" width="22.140625" style="186" customWidth="1"/>
    <col min="5390" max="5390" width="26.140625" style="186" customWidth="1"/>
    <col min="5391" max="5391" width="15.28515625" style="186" customWidth="1"/>
    <col min="5392" max="5392" width="12.42578125" style="186" customWidth="1"/>
    <col min="5393" max="5393" width="16.28515625" style="186" customWidth="1"/>
    <col min="5394" max="5394" width="16.5703125" style="186" customWidth="1"/>
    <col min="5395" max="5395" width="11.7109375" style="186" customWidth="1"/>
    <col min="5396" max="5396" width="16.140625" style="186" customWidth="1"/>
    <col min="5397" max="5632" width="9.140625" style="186"/>
    <col min="5633" max="5633" width="11.28515625" style="186" customWidth="1"/>
    <col min="5634" max="5634" width="57.85546875" style="186" customWidth="1"/>
    <col min="5635" max="5635" width="21.85546875" style="186" customWidth="1"/>
    <col min="5636" max="5636" width="22.140625" style="186" customWidth="1"/>
    <col min="5637" max="5637" width="23.5703125" style="186" customWidth="1"/>
    <col min="5638" max="5640" width="0" style="186" hidden="1" customWidth="1"/>
    <col min="5641" max="5641" width="25.42578125" style="186" customWidth="1"/>
    <col min="5642" max="5642" width="20.5703125" style="186" customWidth="1"/>
    <col min="5643" max="5643" width="22.85546875" style="186" customWidth="1"/>
    <col min="5644" max="5644" width="27" style="186" customWidth="1"/>
    <col min="5645" max="5645" width="22.140625" style="186" customWidth="1"/>
    <col min="5646" max="5646" width="26.140625" style="186" customWidth="1"/>
    <col min="5647" max="5647" width="15.28515625" style="186" customWidth="1"/>
    <col min="5648" max="5648" width="12.42578125" style="186" customWidth="1"/>
    <col min="5649" max="5649" width="16.28515625" style="186" customWidth="1"/>
    <col min="5650" max="5650" width="16.5703125" style="186" customWidth="1"/>
    <col min="5651" max="5651" width="11.7109375" style="186" customWidth="1"/>
    <col min="5652" max="5652" width="16.140625" style="186" customWidth="1"/>
    <col min="5653" max="5888" width="9.140625" style="186"/>
    <col min="5889" max="5889" width="11.28515625" style="186" customWidth="1"/>
    <col min="5890" max="5890" width="57.85546875" style="186" customWidth="1"/>
    <col min="5891" max="5891" width="21.85546875" style="186" customWidth="1"/>
    <col min="5892" max="5892" width="22.140625" style="186" customWidth="1"/>
    <col min="5893" max="5893" width="23.5703125" style="186" customWidth="1"/>
    <col min="5894" max="5896" width="0" style="186" hidden="1" customWidth="1"/>
    <col min="5897" max="5897" width="25.42578125" style="186" customWidth="1"/>
    <col min="5898" max="5898" width="20.5703125" style="186" customWidth="1"/>
    <col min="5899" max="5899" width="22.85546875" style="186" customWidth="1"/>
    <col min="5900" max="5900" width="27" style="186" customWidth="1"/>
    <col min="5901" max="5901" width="22.140625" style="186" customWidth="1"/>
    <col min="5902" max="5902" width="26.140625" style="186" customWidth="1"/>
    <col min="5903" max="5903" width="15.28515625" style="186" customWidth="1"/>
    <col min="5904" max="5904" width="12.42578125" style="186" customWidth="1"/>
    <col min="5905" max="5905" width="16.28515625" style="186" customWidth="1"/>
    <col min="5906" max="5906" width="16.5703125" style="186" customWidth="1"/>
    <col min="5907" max="5907" width="11.7109375" style="186" customWidth="1"/>
    <col min="5908" max="5908" width="16.140625" style="186" customWidth="1"/>
    <col min="5909" max="6144" width="9.140625" style="186"/>
    <col min="6145" max="6145" width="11.28515625" style="186" customWidth="1"/>
    <col min="6146" max="6146" width="57.85546875" style="186" customWidth="1"/>
    <col min="6147" max="6147" width="21.85546875" style="186" customWidth="1"/>
    <col min="6148" max="6148" width="22.140625" style="186" customWidth="1"/>
    <col min="6149" max="6149" width="23.5703125" style="186" customWidth="1"/>
    <col min="6150" max="6152" width="0" style="186" hidden="1" customWidth="1"/>
    <col min="6153" max="6153" width="25.42578125" style="186" customWidth="1"/>
    <col min="6154" max="6154" width="20.5703125" style="186" customWidth="1"/>
    <col min="6155" max="6155" width="22.85546875" style="186" customWidth="1"/>
    <col min="6156" max="6156" width="27" style="186" customWidth="1"/>
    <col min="6157" max="6157" width="22.140625" style="186" customWidth="1"/>
    <col min="6158" max="6158" width="26.140625" style="186" customWidth="1"/>
    <col min="6159" max="6159" width="15.28515625" style="186" customWidth="1"/>
    <col min="6160" max="6160" width="12.42578125" style="186" customWidth="1"/>
    <col min="6161" max="6161" width="16.28515625" style="186" customWidth="1"/>
    <col min="6162" max="6162" width="16.5703125" style="186" customWidth="1"/>
    <col min="6163" max="6163" width="11.7109375" style="186" customWidth="1"/>
    <col min="6164" max="6164" width="16.140625" style="186" customWidth="1"/>
    <col min="6165" max="6400" width="9.140625" style="186"/>
    <col min="6401" max="6401" width="11.28515625" style="186" customWidth="1"/>
    <col min="6402" max="6402" width="57.85546875" style="186" customWidth="1"/>
    <col min="6403" max="6403" width="21.85546875" style="186" customWidth="1"/>
    <col min="6404" max="6404" width="22.140625" style="186" customWidth="1"/>
    <col min="6405" max="6405" width="23.5703125" style="186" customWidth="1"/>
    <col min="6406" max="6408" width="0" style="186" hidden="1" customWidth="1"/>
    <col min="6409" max="6409" width="25.42578125" style="186" customWidth="1"/>
    <col min="6410" max="6410" width="20.5703125" style="186" customWidth="1"/>
    <col min="6411" max="6411" width="22.85546875" style="186" customWidth="1"/>
    <col min="6412" max="6412" width="27" style="186" customWidth="1"/>
    <col min="6413" max="6413" width="22.140625" style="186" customWidth="1"/>
    <col min="6414" max="6414" width="26.140625" style="186" customWidth="1"/>
    <col min="6415" max="6415" width="15.28515625" style="186" customWidth="1"/>
    <col min="6416" max="6416" width="12.42578125" style="186" customWidth="1"/>
    <col min="6417" max="6417" width="16.28515625" style="186" customWidth="1"/>
    <col min="6418" max="6418" width="16.5703125" style="186" customWidth="1"/>
    <col min="6419" max="6419" width="11.7109375" style="186" customWidth="1"/>
    <col min="6420" max="6420" width="16.140625" style="186" customWidth="1"/>
    <col min="6421" max="6656" width="9.140625" style="186"/>
    <col min="6657" max="6657" width="11.28515625" style="186" customWidth="1"/>
    <col min="6658" max="6658" width="57.85546875" style="186" customWidth="1"/>
    <col min="6659" max="6659" width="21.85546875" style="186" customWidth="1"/>
    <col min="6660" max="6660" width="22.140625" style="186" customWidth="1"/>
    <col min="6661" max="6661" width="23.5703125" style="186" customWidth="1"/>
    <col min="6662" max="6664" width="0" style="186" hidden="1" customWidth="1"/>
    <col min="6665" max="6665" width="25.42578125" style="186" customWidth="1"/>
    <col min="6666" max="6666" width="20.5703125" style="186" customWidth="1"/>
    <col min="6667" max="6667" width="22.85546875" style="186" customWidth="1"/>
    <col min="6668" max="6668" width="27" style="186" customWidth="1"/>
    <col min="6669" max="6669" width="22.140625" style="186" customWidth="1"/>
    <col min="6670" max="6670" width="26.140625" style="186" customWidth="1"/>
    <col min="6671" max="6671" width="15.28515625" style="186" customWidth="1"/>
    <col min="6672" max="6672" width="12.42578125" style="186" customWidth="1"/>
    <col min="6673" max="6673" width="16.28515625" style="186" customWidth="1"/>
    <col min="6674" max="6674" width="16.5703125" style="186" customWidth="1"/>
    <col min="6675" max="6675" width="11.7109375" style="186" customWidth="1"/>
    <col min="6676" max="6676" width="16.140625" style="186" customWidth="1"/>
    <col min="6677" max="6912" width="9.140625" style="186"/>
    <col min="6913" max="6913" width="11.28515625" style="186" customWidth="1"/>
    <col min="6914" max="6914" width="57.85546875" style="186" customWidth="1"/>
    <col min="6915" max="6915" width="21.85546875" style="186" customWidth="1"/>
    <col min="6916" max="6916" width="22.140625" style="186" customWidth="1"/>
    <col min="6917" max="6917" width="23.5703125" style="186" customWidth="1"/>
    <col min="6918" max="6920" width="0" style="186" hidden="1" customWidth="1"/>
    <col min="6921" max="6921" width="25.42578125" style="186" customWidth="1"/>
    <col min="6922" max="6922" width="20.5703125" style="186" customWidth="1"/>
    <col min="6923" max="6923" width="22.85546875" style="186" customWidth="1"/>
    <col min="6924" max="6924" width="27" style="186" customWidth="1"/>
    <col min="6925" max="6925" width="22.140625" style="186" customWidth="1"/>
    <col min="6926" max="6926" width="26.140625" style="186" customWidth="1"/>
    <col min="6927" max="6927" width="15.28515625" style="186" customWidth="1"/>
    <col min="6928" max="6928" width="12.42578125" style="186" customWidth="1"/>
    <col min="6929" max="6929" width="16.28515625" style="186" customWidth="1"/>
    <col min="6930" max="6930" width="16.5703125" style="186" customWidth="1"/>
    <col min="6931" max="6931" width="11.7109375" style="186" customWidth="1"/>
    <col min="6932" max="6932" width="16.140625" style="186" customWidth="1"/>
    <col min="6933" max="7168" width="9.140625" style="186"/>
    <col min="7169" max="7169" width="11.28515625" style="186" customWidth="1"/>
    <col min="7170" max="7170" width="57.85546875" style="186" customWidth="1"/>
    <col min="7171" max="7171" width="21.85546875" style="186" customWidth="1"/>
    <col min="7172" max="7172" width="22.140625" style="186" customWidth="1"/>
    <col min="7173" max="7173" width="23.5703125" style="186" customWidth="1"/>
    <col min="7174" max="7176" width="0" style="186" hidden="1" customWidth="1"/>
    <col min="7177" max="7177" width="25.42578125" style="186" customWidth="1"/>
    <col min="7178" max="7178" width="20.5703125" style="186" customWidth="1"/>
    <col min="7179" max="7179" width="22.85546875" style="186" customWidth="1"/>
    <col min="7180" max="7180" width="27" style="186" customWidth="1"/>
    <col min="7181" max="7181" width="22.140625" style="186" customWidth="1"/>
    <col min="7182" max="7182" width="26.140625" style="186" customWidth="1"/>
    <col min="7183" max="7183" width="15.28515625" style="186" customWidth="1"/>
    <col min="7184" max="7184" width="12.42578125" style="186" customWidth="1"/>
    <col min="7185" max="7185" width="16.28515625" style="186" customWidth="1"/>
    <col min="7186" max="7186" width="16.5703125" style="186" customWidth="1"/>
    <col min="7187" max="7187" width="11.7109375" style="186" customWidth="1"/>
    <col min="7188" max="7188" width="16.140625" style="186" customWidth="1"/>
    <col min="7189" max="7424" width="9.140625" style="186"/>
    <col min="7425" max="7425" width="11.28515625" style="186" customWidth="1"/>
    <col min="7426" max="7426" width="57.85546875" style="186" customWidth="1"/>
    <col min="7427" max="7427" width="21.85546875" style="186" customWidth="1"/>
    <col min="7428" max="7428" width="22.140625" style="186" customWidth="1"/>
    <col min="7429" max="7429" width="23.5703125" style="186" customWidth="1"/>
    <col min="7430" max="7432" width="0" style="186" hidden="1" customWidth="1"/>
    <col min="7433" max="7433" width="25.42578125" style="186" customWidth="1"/>
    <col min="7434" max="7434" width="20.5703125" style="186" customWidth="1"/>
    <col min="7435" max="7435" width="22.85546875" style="186" customWidth="1"/>
    <col min="7436" max="7436" width="27" style="186" customWidth="1"/>
    <col min="7437" max="7437" width="22.140625" style="186" customWidth="1"/>
    <col min="7438" max="7438" width="26.140625" style="186" customWidth="1"/>
    <col min="7439" max="7439" width="15.28515625" style="186" customWidth="1"/>
    <col min="7440" max="7440" width="12.42578125" style="186" customWidth="1"/>
    <col min="7441" max="7441" width="16.28515625" style="186" customWidth="1"/>
    <col min="7442" max="7442" width="16.5703125" style="186" customWidth="1"/>
    <col min="7443" max="7443" width="11.7109375" style="186" customWidth="1"/>
    <col min="7444" max="7444" width="16.140625" style="186" customWidth="1"/>
    <col min="7445" max="7680" width="9.140625" style="186"/>
    <col min="7681" max="7681" width="11.28515625" style="186" customWidth="1"/>
    <col min="7682" max="7682" width="57.85546875" style="186" customWidth="1"/>
    <col min="7683" max="7683" width="21.85546875" style="186" customWidth="1"/>
    <col min="7684" max="7684" width="22.140625" style="186" customWidth="1"/>
    <col min="7685" max="7685" width="23.5703125" style="186" customWidth="1"/>
    <col min="7686" max="7688" width="0" style="186" hidden="1" customWidth="1"/>
    <col min="7689" max="7689" width="25.42578125" style="186" customWidth="1"/>
    <col min="7690" max="7690" width="20.5703125" style="186" customWidth="1"/>
    <col min="7691" max="7691" width="22.85546875" style="186" customWidth="1"/>
    <col min="7692" max="7692" width="27" style="186" customWidth="1"/>
    <col min="7693" max="7693" width="22.140625" style="186" customWidth="1"/>
    <col min="7694" max="7694" width="26.140625" style="186" customWidth="1"/>
    <col min="7695" max="7695" width="15.28515625" style="186" customWidth="1"/>
    <col min="7696" max="7696" width="12.42578125" style="186" customWidth="1"/>
    <col min="7697" max="7697" width="16.28515625" style="186" customWidth="1"/>
    <col min="7698" max="7698" width="16.5703125" style="186" customWidth="1"/>
    <col min="7699" max="7699" width="11.7109375" style="186" customWidth="1"/>
    <col min="7700" max="7700" width="16.140625" style="186" customWidth="1"/>
    <col min="7701" max="7936" width="9.140625" style="186"/>
    <col min="7937" max="7937" width="11.28515625" style="186" customWidth="1"/>
    <col min="7938" max="7938" width="57.85546875" style="186" customWidth="1"/>
    <col min="7939" max="7939" width="21.85546875" style="186" customWidth="1"/>
    <col min="7940" max="7940" width="22.140625" style="186" customWidth="1"/>
    <col min="7941" max="7941" width="23.5703125" style="186" customWidth="1"/>
    <col min="7942" max="7944" width="0" style="186" hidden="1" customWidth="1"/>
    <col min="7945" max="7945" width="25.42578125" style="186" customWidth="1"/>
    <col min="7946" max="7946" width="20.5703125" style="186" customWidth="1"/>
    <col min="7947" max="7947" width="22.85546875" style="186" customWidth="1"/>
    <col min="7948" max="7948" width="27" style="186" customWidth="1"/>
    <col min="7949" max="7949" width="22.140625" style="186" customWidth="1"/>
    <col min="7950" max="7950" width="26.140625" style="186" customWidth="1"/>
    <col min="7951" max="7951" width="15.28515625" style="186" customWidth="1"/>
    <col min="7952" max="7952" width="12.42578125" style="186" customWidth="1"/>
    <col min="7953" max="7953" width="16.28515625" style="186" customWidth="1"/>
    <col min="7954" max="7954" width="16.5703125" style="186" customWidth="1"/>
    <col min="7955" max="7955" width="11.7109375" style="186" customWidth="1"/>
    <col min="7956" max="7956" width="16.140625" style="186" customWidth="1"/>
    <col min="7957" max="8192" width="9.140625" style="186"/>
    <col min="8193" max="8193" width="11.28515625" style="186" customWidth="1"/>
    <col min="8194" max="8194" width="57.85546875" style="186" customWidth="1"/>
    <col min="8195" max="8195" width="21.85546875" style="186" customWidth="1"/>
    <col min="8196" max="8196" width="22.140625" style="186" customWidth="1"/>
    <col min="8197" max="8197" width="23.5703125" style="186" customWidth="1"/>
    <col min="8198" max="8200" width="0" style="186" hidden="1" customWidth="1"/>
    <col min="8201" max="8201" width="25.42578125" style="186" customWidth="1"/>
    <col min="8202" max="8202" width="20.5703125" style="186" customWidth="1"/>
    <col min="8203" max="8203" width="22.85546875" style="186" customWidth="1"/>
    <col min="8204" max="8204" width="27" style="186" customWidth="1"/>
    <col min="8205" max="8205" width="22.140625" style="186" customWidth="1"/>
    <col min="8206" max="8206" width="26.140625" style="186" customWidth="1"/>
    <col min="8207" max="8207" width="15.28515625" style="186" customWidth="1"/>
    <col min="8208" max="8208" width="12.42578125" style="186" customWidth="1"/>
    <col min="8209" max="8209" width="16.28515625" style="186" customWidth="1"/>
    <col min="8210" max="8210" width="16.5703125" style="186" customWidth="1"/>
    <col min="8211" max="8211" width="11.7109375" style="186" customWidth="1"/>
    <col min="8212" max="8212" width="16.140625" style="186" customWidth="1"/>
    <col min="8213" max="8448" width="9.140625" style="186"/>
    <col min="8449" max="8449" width="11.28515625" style="186" customWidth="1"/>
    <col min="8450" max="8450" width="57.85546875" style="186" customWidth="1"/>
    <col min="8451" max="8451" width="21.85546875" style="186" customWidth="1"/>
    <col min="8452" max="8452" width="22.140625" style="186" customWidth="1"/>
    <col min="8453" max="8453" width="23.5703125" style="186" customWidth="1"/>
    <col min="8454" max="8456" width="0" style="186" hidden="1" customWidth="1"/>
    <col min="8457" max="8457" width="25.42578125" style="186" customWidth="1"/>
    <col min="8458" max="8458" width="20.5703125" style="186" customWidth="1"/>
    <col min="8459" max="8459" width="22.85546875" style="186" customWidth="1"/>
    <col min="8460" max="8460" width="27" style="186" customWidth="1"/>
    <col min="8461" max="8461" width="22.140625" style="186" customWidth="1"/>
    <col min="8462" max="8462" width="26.140625" style="186" customWidth="1"/>
    <col min="8463" max="8463" width="15.28515625" style="186" customWidth="1"/>
    <col min="8464" max="8464" width="12.42578125" style="186" customWidth="1"/>
    <col min="8465" max="8465" width="16.28515625" style="186" customWidth="1"/>
    <col min="8466" max="8466" width="16.5703125" style="186" customWidth="1"/>
    <col min="8467" max="8467" width="11.7109375" style="186" customWidth="1"/>
    <col min="8468" max="8468" width="16.140625" style="186" customWidth="1"/>
    <col min="8469" max="8704" width="9.140625" style="186"/>
    <col min="8705" max="8705" width="11.28515625" style="186" customWidth="1"/>
    <col min="8706" max="8706" width="57.85546875" style="186" customWidth="1"/>
    <col min="8707" max="8707" width="21.85546875" style="186" customWidth="1"/>
    <col min="8708" max="8708" width="22.140625" style="186" customWidth="1"/>
    <col min="8709" max="8709" width="23.5703125" style="186" customWidth="1"/>
    <col min="8710" max="8712" width="0" style="186" hidden="1" customWidth="1"/>
    <col min="8713" max="8713" width="25.42578125" style="186" customWidth="1"/>
    <col min="8714" max="8714" width="20.5703125" style="186" customWidth="1"/>
    <col min="8715" max="8715" width="22.85546875" style="186" customWidth="1"/>
    <col min="8716" max="8716" width="27" style="186" customWidth="1"/>
    <col min="8717" max="8717" width="22.140625" style="186" customWidth="1"/>
    <col min="8718" max="8718" width="26.140625" style="186" customWidth="1"/>
    <col min="8719" max="8719" width="15.28515625" style="186" customWidth="1"/>
    <col min="8720" max="8720" width="12.42578125" style="186" customWidth="1"/>
    <col min="8721" max="8721" width="16.28515625" style="186" customWidth="1"/>
    <col min="8722" max="8722" width="16.5703125" style="186" customWidth="1"/>
    <col min="8723" max="8723" width="11.7109375" style="186" customWidth="1"/>
    <col min="8724" max="8724" width="16.140625" style="186" customWidth="1"/>
    <col min="8725" max="8960" width="9.140625" style="186"/>
    <col min="8961" max="8961" width="11.28515625" style="186" customWidth="1"/>
    <col min="8962" max="8962" width="57.85546875" style="186" customWidth="1"/>
    <col min="8963" max="8963" width="21.85546875" style="186" customWidth="1"/>
    <col min="8964" max="8964" width="22.140625" style="186" customWidth="1"/>
    <col min="8965" max="8965" width="23.5703125" style="186" customWidth="1"/>
    <col min="8966" max="8968" width="0" style="186" hidden="1" customWidth="1"/>
    <col min="8969" max="8969" width="25.42578125" style="186" customWidth="1"/>
    <col min="8970" max="8970" width="20.5703125" style="186" customWidth="1"/>
    <col min="8971" max="8971" width="22.85546875" style="186" customWidth="1"/>
    <col min="8972" max="8972" width="27" style="186" customWidth="1"/>
    <col min="8973" max="8973" width="22.140625" style="186" customWidth="1"/>
    <col min="8974" max="8974" width="26.140625" style="186" customWidth="1"/>
    <col min="8975" max="8975" width="15.28515625" style="186" customWidth="1"/>
    <col min="8976" max="8976" width="12.42578125" style="186" customWidth="1"/>
    <col min="8977" max="8977" width="16.28515625" style="186" customWidth="1"/>
    <col min="8978" max="8978" width="16.5703125" style="186" customWidth="1"/>
    <col min="8979" max="8979" width="11.7109375" style="186" customWidth="1"/>
    <col min="8980" max="8980" width="16.140625" style="186" customWidth="1"/>
    <col min="8981" max="9216" width="9.140625" style="186"/>
    <col min="9217" max="9217" width="11.28515625" style="186" customWidth="1"/>
    <col min="9218" max="9218" width="57.85546875" style="186" customWidth="1"/>
    <col min="9219" max="9219" width="21.85546875" style="186" customWidth="1"/>
    <col min="9220" max="9220" width="22.140625" style="186" customWidth="1"/>
    <col min="9221" max="9221" width="23.5703125" style="186" customWidth="1"/>
    <col min="9222" max="9224" width="0" style="186" hidden="1" customWidth="1"/>
    <col min="9225" max="9225" width="25.42578125" style="186" customWidth="1"/>
    <col min="9226" max="9226" width="20.5703125" style="186" customWidth="1"/>
    <col min="9227" max="9227" width="22.85546875" style="186" customWidth="1"/>
    <col min="9228" max="9228" width="27" style="186" customWidth="1"/>
    <col min="9229" max="9229" width="22.140625" style="186" customWidth="1"/>
    <col min="9230" max="9230" width="26.140625" style="186" customWidth="1"/>
    <col min="9231" max="9231" width="15.28515625" style="186" customWidth="1"/>
    <col min="9232" max="9232" width="12.42578125" style="186" customWidth="1"/>
    <col min="9233" max="9233" width="16.28515625" style="186" customWidth="1"/>
    <col min="9234" max="9234" width="16.5703125" style="186" customWidth="1"/>
    <col min="9235" max="9235" width="11.7109375" style="186" customWidth="1"/>
    <col min="9236" max="9236" width="16.140625" style="186" customWidth="1"/>
    <col min="9237" max="9472" width="9.140625" style="186"/>
    <col min="9473" max="9473" width="11.28515625" style="186" customWidth="1"/>
    <col min="9474" max="9474" width="57.85546875" style="186" customWidth="1"/>
    <col min="9475" max="9475" width="21.85546875" style="186" customWidth="1"/>
    <col min="9476" max="9476" width="22.140625" style="186" customWidth="1"/>
    <col min="9477" max="9477" width="23.5703125" style="186" customWidth="1"/>
    <col min="9478" max="9480" width="0" style="186" hidden="1" customWidth="1"/>
    <col min="9481" max="9481" width="25.42578125" style="186" customWidth="1"/>
    <col min="9482" max="9482" width="20.5703125" style="186" customWidth="1"/>
    <col min="9483" max="9483" width="22.85546875" style="186" customWidth="1"/>
    <col min="9484" max="9484" width="27" style="186" customWidth="1"/>
    <col min="9485" max="9485" width="22.140625" style="186" customWidth="1"/>
    <col min="9486" max="9486" width="26.140625" style="186" customWidth="1"/>
    <col min="9487" max="9487" width="15.28515625" style="186" customWidth="1"/>
    <col min="9488" max="9488" width="12.42578125" style="186" customWidth="1"/>
    <col min="9489" max="9489" width="16.28515625" style="186" customWidth="1"/>
    <col min="9490" max="9490" width="16.5703125" style="186" customWidth="1"/>
    <col min="9491" max="9491" width="11.7109375" style="186" customWidth="1"/>
    <col min="9492" max="9492" width="16.140625" style="186" customWidth="1"/>
    <col min="9493" max="9728" width="9.140625" style="186"/>
    <col min="9729" max="9729" width="11.28515625" style="186" customWidth="1"/>
    <col min="9730" max="9730" width="57.85546875" style="186" customWidth="1"/>
    <col min="9731" max="9731" width="21.85546875" style="186" customWidth="1"/>
    <col min="9732" max="9732" width="22.140625" style="186" customWidth="1"/>
    <col min="9733" max="9733" width="23.5703125" style="186" customWidth="1"/>
    <col min="9734" max="9736" width="0" style="186" hidden="1" customWidth="1"/>
    <col min="9737" max="9737" width="25.42578125" style="186" customWidth="1"/>
    <col min="9738" max="9738" width="20.5703125" style="186" customWidth="1"/>
    <col min="9739" max="9739" width="22.85546875" style="186" customWidth="1"/>
    <col min="9740" max="9740" width="27" style="186" customWidth="1"/>
    <col min="9741" max="9741" width="22.140625" style="186" customWidth="1"/>
    <col min="9742" max="9742" width="26.140625" style="186" customWidth="1"/>
    <col min="9743" max="9743" width="15.28515625" style="186" customWidth="1"/>
    <col min="9744" max="9744" width="12.42578125" style="186" customWidth="1"/>
    <col min="9745" max="9745" width="16.28515625" style="186" customWidth="1"/>
    <col min="9746" max="9746" width="16.5703125" style="186" customWidth="1"/>
    <col min="9747" max="9747" width="11.7109375" style="186" customWidth="1"/>
    <col min="9748" max="9748" width="16.140625" style="186" customWidth="1"/>
    <col min="9749" max="9984" width="9.140625" style="186"/>
    <col min="9985" max="9985" width="11.28515625" style="186" customWidth="1"/>
    <col min="9986" max="9986" width="57.85546875" style="186" customWidth="1"/>
    <col min="9987" max="9987" width="21.85546875" style="186" customWidth="1"/>
    <col min="9988" max="9988" width="22.140625" style="186" customWidth="1"/>
    <col min="9989" max="9989" width="23.5703125" style="186" customWidth="1"/>
    <col min="9990" max="9992" width="0" style="186" hidden="1" customWidth="1"/>
    <col min="9993" max="9993" width="25.42578125" style="186" customWidth="1"/>
    <col min="9994" max="9994" width="20.5703125" style="186" customWidth="1"/>
    <col min="9995" max="9995" width="22.85546875" style="186" customWidth="1"/>
    <col min="9996" max="9996" width="27" style="186" customWidth="1"/>
    <col min="9997" max="9997" width="22.140625" style="186" customWidth="1"/>
    <col min="9998" max="9998" width="26.140625" style="186" customWidth="1"/>
    <col min="9999" max="9999" width="15.28515625" style="186" customWidth="1"/>
    <col min="10000" max="10000" width="12.42578125" style="186" customWidth="1"/>
    <col min="10001" max="10001" width="16.28515625" style="186" customWidth="1"/>
    <col min="10002" max="10002" width="16.5703125" style="186" customWidth="1"/>
    <col min="10003" max="10003" width="11.7109375" style="186" customWidth="1"/>
    <col min="10004" max="10004" width="16.140625" style="186" customWidth="1"/>
    <col min="10005" max="10240" width="9.140625" style="186"/>
    <col min="10241" max="10241" width="11.28515625" style="186" customWidth="1"/>
    <col min="10242" max="10242" width="57.85546875" style="186" customWidth="1"/>
    <col min="10243" max="10243" width="21.85546875" style="186" customWidth="1"/>
    <col min="10244" max="10244" width="22.140625" style="186" customWidth="1"/>
    <col min="10245" max="10245" width="23.5703125" style="186" customWidth="1"/>
    <col min="10246" max="10248" width="0" style="186" hidden="1" customWidth="1"/>
    <col min="10249" max="10249" width="25.42578125" style="186" customWidth="1"/>
    <col min="10250" max="10250" width="20.5703125" style="186" customWidth="1"/>
    <col min="10251" max="10251" width="22.85546875" style="186" customWidth="1"/>
    <col min="10252" max="10252" width="27" style="186" customWidth="1"/>
    <col min="10253" max="10253" width="22.140625" style="186" customWidth="1"/>
    <col min="10254" max="10254" width="26.140625" style="186" customWidth="1"/>
    <col min="10255" max="10255" width="15.28515625" style="186" customWidth="1"/>
    <col min="10256" max="10256" width="12.42578125" style="186" customWidth="1"/>
    <col min="10257" max="10257" width="16.28515625" style="186" customWidth="1"/>
    <col min="10258" max="10258" width="16.5703125" style="186" customWidth="1"/>
    <col min="10259" max="10259" width="11.7109375" style="186" customWidth="1"/>
    <col min="10260" max="10260" width="16.140625" style="186" customWidth="1"/>
    <col min="10261" max="10496" width="9.140625" style="186"/>
    <col min="10497" max="10497" width="11.28515625" style="186" customWidth="1"/>
    <col min="10498" max="10498" width="57.85546875" style="186" customWidth="1"/>
    <col min="10499" max="10499" width="21.85546875" style="186" customWidth="1"/>
    <col min="10500" max="10500" width="22.140625" style="186" customWidth="1"/>
    <col min="10501" max="10501" width="23.5703125" style="186" customWidth="1"/>
    <col min="10502" max="10504" width="0" style="186" hidden="1" customWidth="1"/>
    <col min="10505" max="10505" width="25.42578125" style="186" customWidth="1"/>
    <col min="10506" max="10506" width="20.5703125" style="186" customWidth="1"/>
    <col min="10507" max="10507" width="22.85546875" style="186" customWidth="1"/>
    <col min="10508" max="10508" width="27" style="186" customWidth="1"/>
    <col min="10509" max="10509" width="22.140625" style="186" customWidth="1"/>
    <col min="10510" max="10510" width="26.140625" style="186" customWidth="1"/>
    <col min="10511" max="10511" width="15.28515625" style="186" customWidth="1"/>
    <col min="10512" max="10512" width="12.42578125" style="186" customWidth="1"/>
    <col min="10513" max="10513" width="16.28515625" style="186" customWidth="1"/>
    <col min="10514" max="10514" width="16.5703125" style="186" customWidth="1"/>
    <col min="10515" max="10515" width="11.7109375" style="186" customWidth="1"/>
    <col min="10516" max="10516" width="16.140625" style="186" customWidth="1"/>
    <col min="10517" max="10752" width="9.140625" style="186"/>
    <col min="10753" max="10753" width="11.28515625" style="186" customWidth="1"/>
    <col min="10754" max="10754" width="57.85546875" style="186" customWidth="1"/>
    <col min="10755" max="10755" width="21.85546875" style="186" customWidth="1"/>
    <col min="10756" max="10756" width="22.140625" style="186" customWidth="1"/>
    <col min="10757" max="10757" width="23.5703125" style="186" customWidth="1"/>
    <col min="10758" max="10760" width="0" style="186" hidden="1" customWidth="1"/>
    <col min="10761" max="10761" width="25.42578125" style="186" customWidth="1"/>
    <col min="10762" max="10762" width="20.5703125" style="186" customWidth="1"/>
    <col min="10763" max="10763" width="22.85546875" style="186" customWidth="1"/>
    <col min="10764" max="10764" width="27" style="186" customWidth="1"/>
    <col min="10765" max="10765" width="22.140625" style="186" customWidth="1"/>
    <col min="10766" max="10766" width="26.140625" style="186" customWidth="1"/>
    <col min="10767" max="10767" width="15.28515625" style="186" customWidth="1"/>
    <col min="10768" max="10768" width="12.42578125" style="186" customWidth="1"/>
    <col min="10769" max="10769" width="16.28515625" style="186" customWidth="1"/>
    <col min="10770" max="10770" width="16.5703125" style="186" customWidth="1"/>
    <col min="10771" max="10771" width="11.7109375" style="186" customWidth="1"/>
    <col min="10772" max="10772" width="16.140625" style="186" customWidth="1"/>
    <col min="10773" max="11008" width="9.140625" style="186"/>
    <col min="11009" max="11009" width="11.28515625" style="186" customWidth="1"/>
    <col min="11010" max="11010" width="57.85546875" style="186" customWidth="1"/>
    <col min="11011" max="11011" width="21.85546875" style="186" customWidth="1"/>
    <col min="11012" max="11012" width="22.140625" style="186" customWidth="1"/>
    <col min="11013" max="11013" width="23.5703125" style="186" customWidth="1"/>
    <col min="11014" max="11016" width="0" style="186" hidden="1" customWidth="1"/>
    <col min="11017" max="11017" width="25.42578125" style="186" customWidth="1"/>
    <col min="11018" max="11018" width="20.5703125" style="186" customWidth="1"/>
    <col min="11019" max="11019" width="22.85546875" style="186" customWidth="1"/>
    <col min="11020" max="11020" width="27" style="186" customWidth="1"/>
    <col min="11021" max="11021" width="22.140625" style="186" customWidth="1"/>
    <col min="11022" max="11022" width="26.140625" style="186" customWidth="1"/>
    <col min="11023" max="11023" width="15.28515625" style="186" customWidth="1"/>
    <col min="11024" max="11024" width="12.42578125" style="186" customWidth="1"/>
    <col min="11025" max="11025" width="16.28515625" style="186" customWidth="1"/>
    <col min="11026" max="11026" width="16.5703125" style="186" customWidth="1"/>
    <col min="11027" max="11027" width="11.7109375" style="186" customWidth="1"/>
    <col min="11028" max="11028" width="16.140625" style="186" customWidth="1"/>
    <col min="11029" max="11264" width="9.140625" style="186"/>
    <col min="11265" max="11265" width="11.28515625" style="186" customWidth="1"/>
    <col min="11266" max="11266" width="57.85546875" style="186" customWidth="1"/>
    <col min="11267" max="11267" width="21.85546875" style="186" customWidth="1"/>
    <col min="11268" max="11268" width="22.140625" style="186" customWidth="1"/>
    <col min="11269" max="11269" width="23.5703125" style="186" customWidth="1"/>
    <col min="11270" max="11272" width="0" style="186" hidden="1" customWidth="1"/>
    <col min="11273" max="11273" width="25.42578125" style="186" customWidth="1"/>
    <col min="11274" max="11274" width="20.5703125" style="186" customWidth="1"/>
    <col min="11275" max="11275" width="22.85546875" style="186" customWidth="1"/>
    <col min="11276" max="11276" width="27" style="186" customWidth="1"/>
    <col min="11277" max="11277" width="22.140625" style="186" customWidth="1"/>
    <col min="11278" max="11278" width="26.140625" style="186" customWidth="1"/>
    <col min="11279" max="11279" width="15.28515625" style="186" customWidth="1"/>
    <col min="11280" max="11280" width="12.42578125" style="186" customWidth="1"/>
    <col min="11281" max="11281" width="16.28515625" style="186" customWidth="1"/>
    <col min="11282" max="11282" width="16.5703125" style="186" customWidth="1"/>
    <col min="11283" max="11283" width="11.7109375" style="186" customWidth="1"/>
    <col min="11284" max="11284" width="16.140625" style="186" customWidth="1"/>
    <col min="11285" max="11520" width="9.140625" style="186"/>
    <col min="11521" max="11521" width="11.28515625" style="186" customWidth="1"/>
    <col min="11522" max="11522" width="57.85546875" style="186" customWidth="1"/>
    <col min="11523" max="11523" width="21.85546875" style="186" customWidth="1"/>
    <col min="11524" max="11524" width="22.140625" style="186" customWidth="1"/>
    <col min="11525" max="11525" width="23.5703125" style="186" customWidth="1"/>
    <col min="11526" max="11528" width="0" style="186" hidden="1" customWidth="1"/>
    <col min="11529" max="11529" width="25.42578125" style="186" customWidth="1"/>
    <col min="11530" max="11530" width="20.5703125" style="186" customWidth="1"/>
    <col min="11531" max="11531" width="22.85546875" style="186" customWidth="1"/>
    <col min="11532" max="11532" width="27" style="186" customWidth="1"/>
    <col min="11533" max="11533" width="22.140625" style="186" customWidth="1"/>
    <col min="11534" max="11534" width="26.140625" style="186" customWidth="1"/>
    <col min="11535" max="11535" width="15.28515625" style="186" customWidth="1"/>
    <col min="11536" max="11536" width="12.42578125" style="186" customWidth="1"/>
    <col min="11537" max="11537" width="16.28515625" style="186" customWidth="1"/>
    <col min="11538" max="11538" width="16.5703125" style="186" customWidth="1"/>
    <col min="11539" max="11539" width="11.7109375" style="186" customWidth="1"/>
    <col min="11540" max="11540" width="16.140625" style="186" customWidth="1"/>
    <col min="11541" max="11776" width="9.140625" style="186"/>
    <col min="11777" max="11777" width="11.28515625" style="186" customWidth="1"/>
    <col min="11778" max="11778" width="57.85546875" style="186" customWidth="1"/>
    <col min="11779" max="11779" width="21.85546875" style="186" customWidth="1"/>
    <col min="11780" max="11780" width="22.140625" style="186" customWidth="1"/>
    <col min="11781" max="11781" width="23.5703125" style="186" customWidth="1"/>
    <col min="11782" max="11784" width="0" style="186" hidden="1" customWidth="1"/>
    <col min="11785" max="11785" width="25.42578125" style="186" customWidth="1"/>
    <col min="11786" max="11786" width="20.5703125" style="186" customWidth="1"/>
    <col min="11787" max="11787" width="22.85546875" style="186" customWidth="1"/>
    <col min="11788" max="11788" width="27" style="186" customWidth="1"/>
    <col min="11789" max="11789" width="22.140625" style="186" customWidth="1"/>
    <col min="11790" max="11790" width="26.140625" style="186" customWidth="1"/>
    <col min="11791" max="11791" width="15.28515625" style="186" customWidth="1"/>
    <col min="11792" max="11792" width="12.42578125" style="186" customWidth="1"/>
    <col min="11793" max="11793" width="16.28515625" style="186" customWidth="1"/>
    <col min="11794" max="11794" width="16.5703125" style="186" customWidth="1"/>
    <col min="11795" max="11795" width="11.7109375" style="186" customWidth="1"/>
    <col min="11796" max="11796" width="16.140625" style="186" customWidth="1"/>
    <col min="11797" max="12032" width="9.140625" style="186"/>
    <col min="12033" max="12033" width="11.28515625" style="186" customWidth="1"/>
    <col min="12034" max="12034" width="57.85546875" style="186" customWidth="1"/>
    <col min="12035" max="12035" width="21.85546875" style="186" customWidth="1"/>
    <col min="12036" max="12036" width="22.140625" style="186" customWidth="1"/>
    <col min="12037" max="12037" width="23.5703125" style="186" customWidth="1"/>
    <col min="12038" max="12040" width="0" style="186" hidden="1" customWidth="1"/>
    <col min="12041" max="12041" width="25.42578125" style="186" customWidth="1"/>
    <col min="12042" max="12042" width="20.5703125" style="186" customWidth="1"/>
    <col min="12043" max="12043" width="22.85546875" style="186" customWidth="1"/>
    <col min="12044" max="12044" width="27" style="186" customWidth="1"/>
    <col min="12045" max="12045" width="22.140625" style="186" customWidth="1"/>
    <col min="12046" max="12046" width="26.140625" style="186" customWidth="1"/>
    <col min="12047" max="12047" width="15.28515625" style="186" customWidth="1"/>
    <col min="12048" max="12048" width="12.42578125" style="186" customWidth="1"/>
    <col min="12049" max="12049" width="16.28515625" style="186" customWidth="1"/>
    <col min="12050" max="12050" width="16.5703125" style="186" customWidth="1"/>
    <col min="12051" max="12051" width="11.7109375" style="186" customWidth="1"/>
    <col min="12052" max="12052" width="16.140625" style="186" customWidth="1"/>
    <col min="12053" max="12288" width="9.140625" style="186"/>
    <col min="12289" max="12289" width="11.28515625" style="186" customWidth="1"/>
    <col min="12290" max="12290" width="57.85546875" style="186" customWidth="1"/>
    <col min="12291" max="12291" width="21.85546875" style="186" customWidth="1"/>
    <col min="12292" max="12292" width="22.140625" style="186" customWidth="1"/>
    <col min="12293" max="12293" width="23.5703125" style="186" customWidth="1"/>
    <col min="12294" max="12296" width="0" style="186" hidden="1" customWidth="1"/>
    <col min="12297" max="12297" width="25.42578125" style="186" customWidth="1"/>
    <col min="12298" max="12298" width="20.5703125" style="186" customWidth="1"/>
    <col min="12299" max="12299" width="22.85546875" style="186" customWidth="1"/>
    <col min="12300" max="12300" width="27" style="186" customWidth="1"/>
    <col min="12301" max="12301" width="22.140625" style="186" customWidth="1"/>
    <col min="12302" max="12302" width="26.140625" style="186" customWidth="1"/>
    <col min="12303" max="12303" width="15.28515625" style="186" customWidth="1"/>
    <col min="12304" max="12304" width="12.42578125" style="186" customWidth="1"/>
    <col min="12305" max="12305" width="16.28515625" style="186" customWidth="1"/>
    <col min="12306" max="12306" width="16.5703125" style="186" customWidth="1"/>
    <col min="12307" max="12307" width="11.7109375" style="186" customWidth="1"/>
    <col min="12308" max="12308" width="16.140625" style="186" customWidth="1"/>
    <col min="12309" max="12544" width="9.140625" style="186"/>
    <col min="12545" max="12545" width="11.28515625" style="186" customWidth="1"/>
    <col min="12546" max="12546" width="57.85546875" style="186" customWidth="1"/>
    <col min="12547" max="12547" width="21.85546875" style="186" customWidth="1"/>
    <col min="12548" max="12548" width="22.140625" style="186" customWidth="1"/>
    <col min="12549" max="12549" width="23.5703125" style="186" customWidth="1"/>
    <col min="12550" max="12552" width="0" style="186" hidden="1" customWidth="1"/>
    <col min="12553" max="12553" width="25.42578125" style="186" customWidth="1"/>
    <col min="12554" max="12554" width="20.5703125" style="186" customWidth="1"/>
    <col min="12555" max="12555" width="22.85546875" style="186" customWidth="1"/>
    <col min="12556" max="12556" width="27" style="186" customWidth="1"/>
    <col min="12557" max="12557" width="22.140625" style="186" customWidth="1"/>
    <col min="12558" max="12558" width="26.140625" style="186" customWidth="1"/>
    <col min="12559" max="12559" width="15.28515625" style="186" customWidth="1"/>
    <col min="12560" max="12560" width="12.42578125" style="186" customWidth="1"/>
    <col min="12561" max="12561" width="16.28515625" style="186" customWidth="1"/>
    <col min="12562" max="12562" width="16.5703125" style="186" customWidth="1"/>
    <col min="12563" max="12563" width="11.7109375" style="186" customWidth="1"/>
    <col min="12564" max="12564" width="16.140625" style="186" customWidth="1"/>
    <col min="12565" max="12800" width="9.140625" style="186"/>
    <col min="12801" max="12801" width="11.28515625" style="186" customWidth="1"/>
    <col min="12802" max="12802" width="57.85546875" style="186" customWidth="1"/>
    <col min="12803" max="12803" width="21.85546875" style="186" customWidth="1"/>
    <col min="12804" max="12804" width="22.140625" style="186" customWidth="1"/>
    <col min="12805" max="12805" width="23.5703125" style="186" customWidth="1"/>
    <col min="12806" max="12808" width="0" style="186" hidden="1" customWidth="1"/>
    <col min="12809" max="12809" width="25.42578125" style="186" customWidth="1"/>
    <col min="12810" max="12810" width="20.5703125" style="186" customWidth="1"/>
    <col min="12811" max="12811" width="22.85546875" style="186" customWidth="1"/>
    <col min="12812" max="12812" width="27" style="186" customWidth="1"/>
    <col min="12813" max="12813" width="22.140625" style="186" customWidth="1"/>
    <col min="12814" max="12814" width="26.140625" style="186" customWidth="1"/>
    <col min="12815" max="12815" width="15.28515625" style="186" customWidth="1"/>
    <col min="12816" max="12816" width="12.42578125" style="186" customWidth="1"/>
    <col min="12817" max="12817" width="16.28515625" style="186" customWidth="1"/>
    <col min="12818" max="12818" width="16.5703125" style="186" customWidth="1"/>
    <col min="12819" max="12819" width="11.7109375" style="186" customWidth="1"/>
    <col min="12820" max="12820" width="16.140625" style="186" customWidth="1"/>
    <col min="12821" max="13056" width="9.140625" style="186"/>
    <col min="13057" max="13057" width="11.28515625" style="186" customWidth="1"/>
    <col min="13058" max="13058" width="57.85546875" style="186" customWidth="1"/>
    <col min="13059" max="13059" width="21.85546875" style="186" customWidth="1"/>
    <col min="13060" max="13060" width="22.140625" style="186" customWidth="1"/>
    <col min="13061" max="13061" width="23.5703125" style="186" customWidth="1"/>
    <col min="13062" max="13064" width="0" style="186" hidden="1" customWidth="1"/>
    <col min="13065" max="13065" width="25.42578125" style="186" customWidth="1"/>
    <col min="13066" max="13066" width="20.5703125" style="186" customWidth="1"/>
    <col min="13067" max="13067" width="22.85546875" style="186" customWidth="1"/>
    <col min="13068" max="13068" width="27" style="186" customWidth="1"/>
    <col min="13069" max="13069" width="22.140625" style="186" customWidth="1"/>
    <col min="13070" max="13070" width="26.140625" style="186" customWidth="1"/>
    <col min="13071" max="13071" width="15.28515625" style="186" customWidth="1"/>
    <col min="13072" max="13072" width="12.42578125" style="186" customWidth="1"/>
    <col min="13073" max="13073" width="16.28515625" style="186" customWidth="1"/>
    <col min="13074" max="13074" width="16.5703125" style="186" customWidth="1"/>
    <col min="13075" max="13075" width="11.7109375" style="186" customWidth="1"/>
    <col min="13076" max="13076" width="16.140625" style="186" customWidth="1"/>
    <col min="13077" max="13312" width="9.140625" style="186"/>
    <col min="13313" max="13313" width="11.28515625" style="186" customWidth="1"/>
    <col min="13314" max="13314" width="57.85546875" style="186" customWidth="1"/>
    <col min="13315" max="13315" width="21.85546875" style="186" customWidth="1"/>
    <col min="13316" max="13316" width="22.140625" style="186" customWidth="1"/>
    <col min="13317" max="13317" width="23.5703125" style="186" customWidth="1"/>
    <col min="13318" max="13320" width="0" style="186" hidden="1" customWidth="1"/>
    <col min="13321" max="13321" width="25.42578125" style="186" customWidth="1"/>
    <col min="13322" max="13322" width="20.5703125" style="186" customWidth="1"/>
    <col min="13323" max="13323" width="22.85546875" style="186" customWidth="1"/>
    <col min="13324" max="13324" width="27" style="186" customWidth="1"/>
    <col min="13325" max="13325" width="22.140625" style="186" customWidth="1"/>
    <col min="13326" max="13326" width="26.140625" style="186" customWidth="1"/>
    <col min="13327" max="13327" width="15.28515625" style="186" customWidth="1"/>
    <col min="13328" max="13328" width="12.42578125" style="186" customWidth="1"/>
    <col min="13329" max="13329" width="16.28515625" style="186" customWidth="1"/>
    <col min="13330" max="13330" width="16.5703125" style="186" customWidth="1"/>
    <col min="13331" max="13331" width="11.7109375" style="186" customWidth="1"/>
    <col min="13332" max="13332" width="16.140625" style="186" customWidth="1"/>
    <col min="13333" max="13568" width="9.140625" style="186"/>
    <col min="13569" max="13569" width="11.28515625" style="186" customWidth="1"/>
    <col min="13570" max="13570" width="57.85546875" style="186" customWidth="1"/>
    <col min="13571" max="13571" width="21.85546875" style="186" customWidth="1"/>
    <col min="13572" max="13572" width="22.140625" style="186" customWidth="1"/>
    <col min="13573" max="13573" width="23.5703125" style="186" customWidth="1"/>
    <col min="13574" max="13576" width="0" style="186" hidden="1" customWidth="1"/>
    <col min="13577" max="13577" width="25.42578125" style="186" customWidth="1"/>
    <col min="13578" max="13578" width="20.5703125" style="186" customWidth="1"/>
    <col min="13579" max="13579" width="22.85546875" style="186" customWidth="1"/>
    <col min="13580" max="13580" width="27" style="186" customWidth="1"/>
    <col min="13581" max="13581" width="22.140625" style="186" customWidth="1"/>
    <col min="13582" max="13582" width="26.140625" style="186" customWidth="1"/>
    <col min="13583" max="13583" width="15.28515625" style="186" customWidth="1"/>
    <col min="13584" max="13584" width="12.42578125" style="186" customWidth="1"/>
    <col min="13585" max="13585" width="16.28515625" style="186" customWidth="1"/>
    <col min="13586" max="13586" width="16.5703125" style="186" customWidth="1"/>
    <col min="13587" max="13587" width="11.7109375" style="186" customWidth="1"/>
    <col min="13588" max="13588" width="16.140625" style="186" customWidth="1"/>
    <col min="13589" max="13824" width="9.140625" style="186"/>
    <col min="13825" max="13825" width="11.28515625" style="186" customWidth="1"/>
    <col min="13826" max="13826" width="57.85546875" style="186" customWidth="1"/>
    <col min="13827" max="13827" width="21.85546875" style="186" customWidth="1"/>
    <col min="13828" max="13828" width="22.140625" style="186" customWidth="1"/>
    <col min="13829" max="13829" width="23.5703125" style="186" customWidth="1"/>
    <col min="13830" max="13832" width="0" style="186" hidden="1" customWidth="1"/>
    <col min="13833" max="13833" width="25.42578125" style="186" customWidth="1"/>
    <col min="13834" max="13834" width="20.5703125" style="186" customWidth="1"/>
    <col min="13835" max="13835" width="22.85546875" style="186" customWidth="1"/>
    <col min="13836" max="13836" width="27" style="186" customWidth="1"/>
    <col min="13837" max="13837" width="22.140625" style="186" customWidth="1"/>
    <col min="13838" max="13838" width="26.140625" style="186" customWidth="1"/>
    <col min="13839" max="13839" width="15.28515625" style="186" customWidth="1"/>
    <col min="13840" max="13840" width="12.42578125" style="186" customWidth="1"/>
    <col min="13841" max="13841" width="16.28515625" style="186" customWidth="1"/>
    <col min="13842" max="13842" width="16.5703125" style="186" customWidth="1"/>
    <col min="13843" max="13843" width="11.7109375" style="186" customWidth="1"/>
    <col min="13844" max="13844" width="16.140625" style="186" customWidth="1"/>
    <col min="13845" max="14080" width="9.140625" style="186"/>
    <col min="14081" max="14081" width="11.28515625" style="186" customWidth="1"/>
    <col min="14082" max="14082" width="57.85546875" style="186" customWidth="1"/>
    <col min="14083" max="14083" width="21.85546875" style="186" customWidth="1"/>
    <col min="14084" max="14084" width="22.140625" style="186" customWidth="1"/>
    <col min="14085" max="14085" width="23.5703125" style="186" customWidth="1"/>
    <col min="14086" max="14088" width="0" style="186" hidden="1" customWidth="1"/>
    <col min="14089" max="14089" width="25.42578125" style="186" customWidth="1"/>
    <col min="14090" max="14090" width="20.5703125" style="186" customWidth="1"/>
    <col min="14091" max="14091" width="22.85546875" style="186" customWidth="1"/>
    <col min="14092" max="14092" width="27" style="186" customWidth="1"/>
    <col min="14093" max="14093" width="22.140625" style="186" customWidth="1"/>
    <col min="14094" max="14094" width="26.140625" style="186" customWidth="1"/>
    <col min="14095" max="14095" width="15.28515625" style="186" customWidth="1"/>
    <col min="14096" max="14096" width="12.42578125" style="186" customWidth="1"/>
    <col min="14097" max="14097" width="16.28515625" style="186" customWidth="1"/>
    <col min="14098" max="14098" width="16.5703125" style="186" customWidth="1"/>
    <col min="14099" max="14099" width="11.7109375" style="186" customWidth="1"/>
    <col min="14100" max="14100" width="16.140625" style="186" customWidth="1"/>
    <col min="14101" max="14336" width="9.140625" style="186"/>
    <col min="14337" max="14337" width="11.28515625" style="186" customWidth="1"/>
    <col min="14338" max="14338" width="57.85546875" style="186" customWidth="1"/>
    <col min="14339" max="14339" width="21.85546875" style="186" customWidth="1"/>
    <col min="14340" max="14340" width="22.140625" style="186" customWidth="1"/>
    <col min="14341" max="14341" width="23.5703125" style="186" customWidth="1"/>
    <col min="14342" max="14344" width="0" style="186" hidden="1" customWidth="1"/>
    <col min="14345" max="14345" width="25.42578125" style="186" customWidth="1"/>
    <col min="14346" max="14346" width="20.5703125" style="186" customWidth="1"/>
    <col min="14347" max="14347" width="22.85546875" style="186" customWidth="1"/>
    <col min="14348" max="14348" width="27" style="186" customWidth="1"/>
    <col min="14349" max="14349" width="22.140625" style="186" customWidth="1"/>
    <col min="14350" max="14350" width="26.140625" style="186" customWidth="1"/>
    <col min="14351" max="14351" width="15.28515625" style="186" customWidth="1"/>
    <col min="14352" max="14352" width="12.42578125" style="186" customWidth="1"/>
    <col min="14353" max="14353" width="16.28515625" style="186" customWidth="1"/>
    <col min="14354" max="14354" width="16.5703125" style="186" customWidth="1"/>
    <col min="14355" max="14355" width="11.7109375" style="186" customWidth="1"/>
    <col min="14356" max="14356" width="16.140625" style="186" customWidth="1"/>
    <col min="14357" max="14592" width="9.140625" style="186"/>
    <col min="14593" max="14593" width="11.28515625" style="186" customWidth="1"/>
    <col min="14594" max="14594" width="57.85546875" style="186" customWidth="1"/>
    <col min="14595" max="14595" width="21.85546875" style="186" customWidth="1"/>
    <col min="14596" max="14596" width="22.140625" style="186" customWidth="1"/>
    <col min="14597" max="14597" width="23.5703125" style="186" customWidth="1"/>
    <col min="14598" max="14600" width="0" style="186" hidden="1" customWidth="1"/>
    <col min="14601" max="14601" width="25.42578125" style="186" customWidth="1"/>
    <col min="14602" max="14602" width="20.5703125" style="186" customWidth="1"/>
    <col min="14603" max="14603" width="22.85546875" style="186" customWidth="1"/>
    <col min="14604" max="14604" width="27" style="186" customWidth="1"/>
    <col min="14605" max="14605" width="22.140625" style="186" customWidth="1"/>
    <col min="14606" max="14606" width="26.140625" style="186" customWidth="1"/>
    <col min="14607" max="14607" width="15.28515625" style="186" customWidth="1"/>
    <col min="14608" max="14608" width="12.42578125" style="186" customWidth="1"/>
    <col min="14609" max="14609" width="16.28515625" style="186" customWidth="1"/>
    <col min="14610" max="14610" width="16.5703125" style="186" customWidth="1"/>
    <col min="14611" max="14611" width="11.7109375" style="186" customWidth="1"/>
    <col min="14612" max="14612" width="16.140625" style="186" customWidth="1"/>
    <col min="14613" max="14848" width="9.140625" style="186"/>
    <col min="14849" max="14849" width="11.28515625" style="186" customWidth="1"/>
    <col min="14850" max="14850" width="57.85546875" style="186" customWidth="1"/>
    <col min="14851" max="14851" width="21.85546875" style="186" customWidth="1"/>
    <col min="14852" max="14852" width="22.140625" style="186" customWidth="1"/>
    <col min="14853" max="14853" width="23.5703125" style="186" customWidth="1"/>
    <col min="14854" max="14856" width="0" style="186" hidden="1" customWidth="1"/>
    <col min="14857" max="14857" width="25.42578125" style="186" customWidth="1"/>
    <col min="14858" max="14858" width="20.5703125" style="186" customWidth="1"/>
    <col min="14859" max="14859" width="22.85546875" style="186" customWidth="1"/>
    <col min="14860" max="14860" width="27" style="186" customWidth="1"/>
    <col min="14861" max="14861" width="22.140625" style="186" customWidth="1"/>
    <col min="14862" max="14862" width="26.140625" style="186" customWidth="1"/>
    <col min="14863" max="14863" width="15.28515625" style="186" customWidth="1"/>
    <col min="14864" max="14864" width="12.42578125" style="186" customWidth="1"/>
    <col min="14865" max="14865" width="16.28515625" style="186" customWidth="1"/>
    <col min="14866" max="14866" width="16.5703125" style="186" customWidth="1"/>
    <col min="14867" max="14867" width="11.7109375" style="186" customWidth="1"/>
    <col min="14868" max="14868" width="16.140625" style="186" customWidth="1"/>
    <col min="14869" max="15104" width="9.140625" style="186"/>
    <col min="15105" max="15105" width="11.28515625" style="186" customWidth="1"/>
    <col min="15106" max="15106" width="57.85546875" style="186" customWidth="1"/>
    <col min="15107" max="15107" width="21.85546875" style="186" customWidth="1"/>
    <col min="15108" max="15108" width="22.140625" style="186" customWidth="1"/>
    <col min="15109" max="15109" width="23.5703125" style="186" customWidth="1"/>
    <col min="15110" max="15112" width="0" style="186" hidden="1" customWidth="1"/>
    <col min="15113" max="15113" width="25.42578125" style="186" customWidth="1"/>
    <col min="15114" max="15114" width="20.5703125" style="186" customWidth="1"/>
    <col min="15115" max="15115" width="22.85546875" style="186" customWidth="1"/>
    <col min="15116" max="15116" width="27" style="186" customWidth="1"/>
    <col min="15117" max="15117" width="22.140625" style="186" customWidth="1"/>
    <col min="15118" max="15118" width="26.140625" style="186" customWidth="1"/>
    <col min="15119" max="15119" width="15.28515625" style="186" customWidth="1"/>
    <col min="15120" max="15120" width="12.42578125" style="186" customWidth="1"/>
    <col min="15121" max="15121" width="16.28515625" style="186" customWidth="1"/>
    <col min="15122" max="15122" width="16.5703125" style="186" customWidth="1"/>
    <col min="15123" max="15123" width="11.7109375" style="186" customWidth="1"/>
    <col min="15124" max="15124" width="16.140625" style="186" customWidth="1"/>
    <col min="15125" max="15360" width="9.140625" style="186"/>
    <col min="15361" max="15361" width="11.28515625" style="186" customWidth="1"/>
    <col min="15362" max="15362" width="57.85546875" style="186" customWidth="1"/>
    <col min="15363" max="15363" width="21.85546875" style="186" customWidth="1"/>
    <col min="15364" max="15364" width="22.140625" style="186" customWidth="1"/>
    <col min="15365" max="15365" width="23.5703125" style="186" customWidth="1"/>
    <col min="15366" max="15368" width="0" style="186" hidden="1" customWidth="1"/>
    <col min="15369" max="15369" width="25.42578125" style="186" customWidth="1"/>
    <col min="15370" max="15370" width="20.5703125" style="186" customWidth="1"/>
    <col min="15371" max="15371" width="22.85546875" style="186" customWidth="1"/>
    <col min="15372" max="15372" width="27" style="186" customWidth="1"/>
    <col min="15373" max="15373" width="22.140625" style="186" customWidth="1"/>
    <col min="15374" max="15374" width="26.140625" style="186" customWidth="1"/>
    <col min="15375" max="15375" width="15.28515625" style="186" customWidth="1"/>
    <col min="15376" max="15376" width="12.42578125" style="186" customWidth="1"/>
    <col min="15377" max="15377" width="16.28515625" style="186" customWidth="1"/>
    <col min="15378" max="15378" width="16.5703125" style="186" customWidth="1"/>
    <col min="15379" max="15379" width="11.7109375" style="186" customWidth="1"/>
    <col min="15380" max="15380" width="16.140625" style="186" customWidth="1"/>
    <col min="15381" max="15616" width="9.140625" style="186"/>
    <col min="15617" max="15617" width="11.28515625" style="186" customWidth="1"/>
    <col min="15618" max="15618" width="57.85546875" style="186" customWidth="1"/>
    <col min="15619" max="15619" width="21.85546875" style="186" customWidth="1"/>
    <col min="15620" max="15620" width="22.140625" style="186" customWidth="1"/>
    <col min="15621" max="15621" width="23.5703125" style="186" customWidth="1"/>
    <col min="15622" max="15624" width="0" style="186" hidden="1" customWidth="1"/>
    <col min="15625" max="15625" width="25.42578125" style="186" customWidth="1"/>
    <col min="15626" max="15626" width="20.5703125" style="186" customWidth="1"/>
    <col min="15627" max="15627" width="22.85546875" style="186" customWidth="1"/>
    <col min="15628" max="15628" width="27" style="186" customWidth="1"/>
    <col min="15629" max="15629" width="22.140625" style="186" customWidth="1"/>
    <col min="15630" max="15630" width="26.140625" style="186" customWidth="1"/>
    <col min="15631" max="15631" width="15.28515625" style="186" customWidth="1"/>
    <col min="15632" max="15632" width="12.42578125" style="186" customWidth="1"/>
    <col min="15633" max="15633" width="16.28515625" style="186" customWidth="1"/>
    <col min="15634" max="15634" width="16.5703125" style="186" customWidth="1"/>
    <col min="15635" max="15635" width="11.7109375" style="186" customWidth="1"/>
    <col min="15636" max="15636" width="16.140625" style="186" customWidth="1"/>
    <col min="15637" max="15872" width="9.140625" style="186"/>
    <col min="15873" max="15873" width="11.28515625" style="186" customWidth="1"/>
    <col min="15874" max="15874" width="57.85546875" style="186" customWidth="1"/>
    <col min="15875" max="15875" width="21.85546875" style="186" customWidth="1"/>
    <col min="15876" max="15876" width="22.140625" style="186" customWidth="1"/>
    <col min="15877" max="15877" width="23.5703125" style="186" customWidth="1"/>
    <col min="15878" max="15880" width="0" style="186" hidden="1" customWidth="1"/>
    <col min="15881" max="15881" width="25.42578125" style="186" customWidth="1"/>
    <col min="15882" max="15882" width="20.5703125" style="186" customWidth="1"/>
    <col min="15883" max="15883" width="22.85546875" style="186" customWidth="1"/>
    <col min="15884" max="15884" width="27" style="186" customWidth="1"/>
    <col min="15885" max="15885" width="22.140625" style="186" customWidth="1"/>
    <col min="15886" max="15886" width="26.140625" style="186" customWidth="1"/>
    <col min="15887" max="15887" width="15.28515625" style="186" customWidth="1"/>
    <col min="15888" max="15888" width="12.42578125" style="186" customWidth="1"/>
    <col min="15889" max="15889" width="16.28515625" style="186" customWidth="1"/>
    <col min="15890" max="15890" width="16.5703125" style="186" customWidth="1"/>
    <col min="15891" max="15891" width="11.7109375" style="186" customWidth="1"/>
    <col min="15892" max="15892" width="16.140625" style="186" customWidth="1"/>
    <col min="15893" max="16128" width="9.140625" style="186"/>
    <col min="16129" max="16129" width="11.28515625" style="186" customWidth="1"/>
    <col min="16130" max="16130" width="57.85546875" style="186" customWidth="1"/>
    <col min="16131" max="16131" width="21.85546875" style="186" customWidth="1"/>
    <col min="16132" max="16132" width="22.140625" style="186" customWidth="1"/>
    <col min="16133" max="16133" width="23.5703125" style="186" customWidth="1"/>
    <col min="16134" max="16136" width="0" style="186" hidden="1" customWidth="1"/>
    <col min="16137" max="16137" width="25.42578125" style="186" customWidth="1"/>
    <col min="16138" max="16138" width="20.5703125" style="186" customWidth="1"/>
    <col min="16139" max="16139" width="22.85546875" style="186" customWidth="1"/>
    <col min="16140" max="16140" width="27" style="186" customWidth="1"/>
    <col min="16141" max="16141" width="22.140625" style="186" customWidth="1"/>
    <col min="16142" max="16142" width="26.140625" style="186" customWidth="1"/>
    <col min="16143" max="16143" width="15.28515625" style="186" customWidth="1"/>
    <col min="16144" max="16144" width="12.42578125" style="186" customWidth="1"/>
    <col min="16145" max="16145" width="16.28515625" style="186" customWidth="1"/>
    <col min="16146" max="16146" width="16.5703125" style="186" customWidth="1"/>
    <col min="16147" max="16147" width="11.7109375" style="186" customWidth="1"/>
    <col min="16148" max="16148" width="16.140625" style="186" customWidth="1"/>
    <col min="16149" max="16384" width="9.140625" style="186"/>
  </cols>
  <sheetData>
    <row r="1" spans="1:22" ht="18.75">
      <c r="B1" s="185"/>
      <c r="L1" s="438" t="s">
        <v>305</v>
      </c>
      <c r="M1" s="438"/>
      <c r="N1" s="438"/>
    </row>
    <row r="2" spans="1:22">
      <c r="N2" s="187"/>
    </row>
    <row r="3" spans="1:22" ht="49.5" customHeight="1">
      <c r="A3" s="439" t="s">
        <v>306</v>
      </c>
      <c r="B3" s="439"/>
      <c r="C3" s="439"/>
      <c r="D3" s="439"/>
      <c r="E3" s="439"/>
      <c r="F3" s="439"/>
      <c r="G3" s="439"/>
      <c r="H3" s="439"/>
      <c r="I3" s="439"/>
      <c r="J3" s="439"/>
      <c r="K3" s="439"/>
      <c r="L3" s="439"/>
      <c r="M3" s="439"/>
      <c r="N3" s="439"/>
    </row>
    <row r="4" spans="1:22" ht="15.75" thickBot="1"/>
    <row r="5" spans="1:22" s="188" customFormat="1" ht="47.25" customHeight="1">
      <c r="A5" s="440" t="s">
        <v>6</v>
      </c>
      <c r="B5" s="442" t="s">
        <v>87</v>
      </c>
      <c r="C5" s="444" t="s">
        <v>307</v>
      </c>
      <c r="D5" s="444"/>
      <c r="E5" s="444"/>
      <c r="F5" s="445" t="s">
        <v>308</v>
      </c>
      <c r="G5" s="445"/>
      <c r="H5" s="445"/>
      <c r="I5" s="446" t="s">
        <v>309</v>
      </c>
      <c r="J5" s="447"/>
      <c r="K5" s="442"/>
      <c r="L5" s="440" t="s">
        <v>310</v>
      </c>
      <c r="M5" s="447"/>
      <c r="N5" s="448"/>
    </row>
    <row r="6" spans="1:22" s="188" customFormat="1" ht="126.6" customHeight="1" thickBot="1">
      <c r="A6" s="441"/>
      <c r="B6" s="443"/>
      <c r="C6" s="189" t="s">
        <v>311</v>
      </c>
      <c r="D6" s="189" t="s">
        <v>245</v>
      </c>
      <c r="E6" s="189" t="s">
        <v>312</v>
      </c>
      <c r="F6" s="189" t="s">
        <v>311</v>
      </c>
      <c r="G6" s="189" t="s">
        <v>245</v>
      </c>
      <c r="H6" s="189" t="s">
        <v>313</v>
      </c>
      <c r="I6" s="190" t="s">
        <v>314</v>
      </c>
      <c r="J6" s="191" t="s">
        <v>245</v>
      </c>
      <c r="K6" s="192" t="s">
        <v>315</v>
      </c>
      <c r="L6" s="189" t="s">
        <v>316</v>
      </c>
      <c r="M6" s="189" t="s">
        <v>245</v>
      </c>
      <c r="N6" s="189" t="s">
        <v>315</v>
      </c>
      <c r="O6" s="213"/>
      <c r="P6" s="213"/>
      <c r="Q6" s="213"/>
      <c r="R6" s="213"/>
      <c r="S6" s="213"/>
      <c r="T6" s="213"/>
      <c r="U6" s="213"/>
      <c r="V6" s="213"/>
    </row>
    <row r="7" spans="1:22" s="188" customFormat="1" ht="19.5" thickBot="1">
      <c r="A7" s="193">
        <v>1</v>
      </c>
      <c r="B7" s="194">
        <v>2</v>
      </c>
      <c r="C7" s="195">
        <v>3</v>
      </c>
      <c r="D7" s="195">
        <v>4</v>
      </c>
      <c r="E7" s="195">
        <v>5</v>
      </c>
      <c r="F7" s="195"/>
      <c r="G7" s="195"/>
      <c r="H7" s="195"/>
      <c r="I7" s="196">
        <v>6</v>
      </c>
      <c r="J7" s="197">
        <v>7</v>
      </c>
      <c r="K7" s="194">
        <v>8</v>
      </c>
      <c r="L7" s="195">
        <v>9</v>
      </c>
      <c r="M7" s="195">
        <v>10</v>
      </c>
      <c r="N7" s="195">
        <v>11</v>
      </c>
      <c r="O7" s="213"/>
      <c r="P7" s="213"/>
      <c r="Q7" s="213"/>
      <c r="R7" s="213"/>
      <c r="S7" s="213"/>
      <c r="T7" s="213"/>
      <c r="U7" s="213"/>
      <c r="V7" s="213"/>
    </row>
    <row r="8" spans="1:22" s="188" customFormat="1" ht="93" customHeight="1">
      <c r="A8" s="198" t="s">
        <v>0</v>
      </c>
      <c r="B8" s="199" t="s">
        <v>317</v>
      </c>
      <c r="C8" s="200"/>
      <c r="D8" s="200"/>
      <c r="E8" s="206">
        <f>E9+E13+E18</f>
        <v>18062.600320000001</v>
      </c>
      <c r="F8" s="200"/>
      <c r="G8" s="200"/>
      <c r="H8" s="206">
        <f>H9+H13+H18</f>
        <v>4412.96911</v>
      </c>
      <c r="I8" s="201"/>
      <c r="J8" s="202"/>
      <c r="K8" s="245">
        <f>K9+K13+K18</f>
        <v>22939304.303929999</v>
      </c>
      <c r="L8" s="200"/>
      <c r="M8" s="200"/>
      <c r="N8" s="206">
        <f>N9+N13+N18</f>
        <v>22430011.511</v>
      </c>
      <c r="O8" s="213"/>
      <c r="P8" s="244"/>
      <c r="Q8" s="213"/>
      <c r="R8" s="213"/>
      <c r="S8" s="213"/>
      <c r="T8" s="213"/>
      <c r="U8" s="213"/>
      <c r="V8" s="213"/>
    </row>
    <row r="9" spans="1:22" s="188" customFormat="1" ht="25.5" customHeight="1">
      <c r="A9" s="203" t="s">
        <v>188</v>
      </c>
      <c r="B9" s="204" t="s">
        <v>80</v>
      </c>
      <c r="C9" s="205"/>
      <c r="D9" s="200"/>
      <c r="E9" s="206">
        <f>E10+E11</f>
        <v>12210.9256</v>
      </c>
      <c r="F9" s="205"/>
      <c r="G9" s="200"/>
      <c r="H9" s="206">
        <f>H10+H11</f>
        <v>3891.239</v>
      </c>
      <c r="I9" s="207"/>
      <c r="J9" s="205"/>
      <c r="K9" s="208">
        <f>K10+K11</f>
        <v>9184741.7970100008</v>
      </c>
      <c r="L9" s="200"/>
      <c r="M9" s="200"/>
      <c r="N9" s="206">
        <f>N10+N11+N12</f>
        <v>10379163.422999999</v>
      </c>
      <c r="O9" s="213"/>
      <c r="P9" s="213"/>
      <c r="Q9" s="213"/>
      <c r="R9" s="213"/>
      <c r="S9" s="213"/>
      <c r="T9" s="213"/>
      <c r="U9" s="213"/>
      <c r="V9" s="213"/>
    </row>
    <row r="10" spans="1:22" s="188" customFormat="1" ht="27" customHeight="1">
      <c r="A10" s="203" t="s">
        <v>318</v>
      </c>
      <c r="B10" s="209" t="s">
        <v>319</v>
      </c>
      <c r="C10" s="205">
        <f>E10/D10*1000</f>
        <v>776347.2710905351</v>
      </c>
      <c r="D10" s="224">
        <f>10.762+G10</f>
        <v>11.664</v>
      </c>
      <c r="E10" s="205">
        <f>7841.00457+H10</f>
        <v>9055.3145700000005</v>
      </c>
      <c r="F10" s="205">
        <f>H10/G10*1000</f>
        <v>1346241.6851441241</v>
      </c>
      <c r="G10" s="224">
        <v>0.90200000000000002</v>
      </c>
      <c r="H10" s="205">
        <v>1214.31</v>
      </c>
      <c r="I10" s="207">
        <f>K10/J10</f>
        <v>444548.25213751395</v>
      </c>
      <c r="J10" s="205">
        <f>P10+S10</f>
        <v>12.565999999999999</v>
      </c>
      <c r="K10" s="210">
        <f>Q10+T10</f>
        <v>5586193.3363600001</v>
      </c>
      <c r="L10" s="205">
        <v>1785382</v>
      </c>
      <c r="M10" s="224">
        <v>3.956</v>
      </c>
      <c r="N10" s="205">
        <f>L10*M10</f>
        <v>7062971.1919999998</v>
      </c>
      <c r="O10" s="242">
        <f>155638*C52</f>
        <v>829550.54</v>
      </c>
      <c r="P10" s="242">
        <f>D10</f>
        <v>11.664</v>
      </c>
      <c r="Q10" s="242">
        <f>O10*P10/2</f>
        <v>4837938.7492800001</v>
      </c>
      <c r="R10" s="242">
        <f>O10</f>
        <v>829550.54</v>
      </c>
      <c r="S10" s="242">
        <f>G10</f>
        <v>0.90200000000000002</v>
      </c>
      <c r="T10" s="242">
        <f>R10*S10</f>
        <v>748254.58708000008</v>
      </c>
      <c r="U10" s="213"/>
      <c r="V10" s="213"/>
    </row>
    <row r="11" spans="1:22" s="188" customFormat="1" ht="27" customHeight="1">
      <c r="A11" s="203" t="s">
        <v>320</v>
      </c>
      <c r="B11" s="209" t="s">
        <v>321</v>
      </c>
      <c r="C11" s="205">
        <f>E11/D11*1000</f>
        <v>1091906.9307958477</v>
      </c>
      <c r="D11" s="224">
        <f>0.6+G11</f>
        <v>2.89</v>
      </c>
      <c r="E11" s="205">
        <f>478.68203+H11</f>
        <v>3155.61103</v>
      </c>
      <c r="F11" s="205">
        <f>H11/G11*1000</f>
        <v>1168964.6288209609</v>
      </c>
      <c r="G11" s="224">
        <v>2.29</v>
      </c>
      <c r="H11" s="205">
        <v>2676.9290000000001</v>
      </c>
      <c r="I11" s="207">
        <f>K11/J11</f>
        <v>694700.47502895771</v>
      </c>
      <c r="J11" s="205">
        <f>P11+S11</f>
        <v>5.18</v>
      </c>
      <c r="K11" s="210">
        <f>Q11+T11</f>
        <v>3598548.4606500007</v>
      </c>
      <c r="L11" s="205">
        <v>1431905</v>
      </c>
      <c r="M11" s="224">
        <v>1.64</v>
      </c>
      <c r="N11" s="205">
        <f t="shared" ref="N11:N27" si="0">L11*M11</f>
        <v>2348324.1999999997</v>
      </c>
      <c r="O11" s="242">
        <f>180763*C52</f>
        <v>963466.79</v>
      </c>
      <c r="P11" s="242">
        <f>D11</f>
        <v>2.89</v>
      </c>
      <c r="Q11" s="242">
        <f>O11*P11/2</f>
        <v>1392209.5115500002</v>
      </c>
      <c r="R11" s="242">
        <f>O11</f>
        <v>963466.79</v>
      </c>
      <c r="S11" s="242">
        <f>G11</f>
        <v>2.29</v>
      </c>
      <c r="T11" s="242">
        <f>R11*S11</f>
        <v>2206338.9491000003</v>
      </c>
      <c r="U11" s="213"/>
      <c r="V11" s="213"/>
    </row>
    <row r="12" spans="1:22" s="188" customFormat="1" ht="27" customHeight="1">
      <c r="A12" s="203" t="s">
        <v>322</v>
      </c>
      <c r="B12" s="209" t="s">
        <v>323</v>
      </c>
      <c r="C12" s="205"/>
      <c r="D12" s="224"/>
      <c r="E12" s="205"/>
      <c r="F12" s="205"/>
      <c r="G12" s="224"/>
      <c r="H12" s="205"/>
      <c r="I12" s="207"/>
      <c r="J12" s="205"/>
      <c r="K12" s="210"/>
      <c r="L12" s="205">
        <v>3132259</v>
      </c>
      <c r="M12" s="224">
        <v>0.309</v>
      </c>
      <c r="N12" s="205">
        <f t="shared" si="0"/>
        <v>967868.03099999996</v>
      </c>
      <c r="O12" s="242"/>
      <c r="P12" s="242"/>
      <c r="Q12" s="242"/>
      <c r="R12" s="242"/>
      <c r="S12" s="242"/>
      <c r="T12" s="242"/>
      <c r="U12" s="213"/>
      <c r="V12" s="213"/>
    </row>
    <row r="13" spans="1:22" s="188" customFormat="1" ht="24.75" customHeight="1">
      <c r="A13" s="203" t="s">
        <v>190</v>
      </c>
      <c r="B13" s="204" t="s">
        <v>81</v>
      </c>
      <c r="C13" s="205"/>
      <c r="D13" s="200"/>
      <c r="E13" s="206">
        <f>E14+E15+E16+E17</f>
        <v>1162.6492000000001</v>
      </c>
      <c r="F13" s="205"/>
      <c r="G13" s="200"/>
      <c r="H13" s="206">
        <f>H14+H15+H16</f>
        <v>0</v>
      </c>
      <c r="I13" s="207"/>
      <c r="J13" s="205"/>
      <c r="K13" s="208">
        <f>K14+K15+K16+K17</f>
        <v>500319.10992000002</v>
      </c>
      <c r="L13" s="200"/>
      <c r="M13" s="200"/>
      <c r="N13" s="206">
        <f>N14+N15+N16+N17</f>
        <v>2959518.6880000001</v>
      </c>
      <c r="O13" s="242"/>
      <c r="P13" s="242"/>
      <c r="Q13" s="242"/>
      <c r="R13" s="242"/>
      <c r="S13" s="242"/>
      <c r="T13" s="242"/>
      <c r="U13" s="213"/>
      <c r="V13" s="213"/>
    </row>
    <row r="14" spans="1:22" s="188" customFormat="1" ht="27" customHeight="1">
      <c r="A14" s="203" t="s">
        <v>324</v>
      </c>
      <c r="B14" s="209" t="s">
        <v>325</v>
      </c>
      <c r="C14" s="205">
        <f>E14/D14*1000</f>
        <v>3756000.0000000005</v>
      </c>
      <c r="D14" s="200">
        <v>0.03</v>
      </c>
      <c r="E14" s="205">
        <v>112.68</v>
      </c>
      <c r="F14" s="205"/>
      <c r="G14" s="200"/>
      <c r="H14" s="205"/>
      <c r="I14" s="207">
        <f>K14/J14</f>
        <v>795669.84</v>
      </c>
      <c r="J14" s="205">
        <f>D14</f>
        <v>0.03</v>
      </c>
      <c r="K14" s="210">
        <f>Q14</f>
        <v>23870.0952</v>
      </c>
      <c r="L14" s="205">
        <v>2691679</v>
      </c>
      <c r="M14" s="224">
        <v>0.04</v>
      </c>
      <c r="N14" s="205">
        <f t="shared" si="0"/>
        <v>107667.16</v>
      </c>
      <c r="O14" s="242">
        <f>270636*C53</f>
        <v>1591339.68</v>
      </c>
      <c r="P14" s="242">
        <f>D14</f>
        <v>0.03</v>
      </c>
      <c r="Q14" s="242">
        <f>O14*P14/2</f>
        <v>23870.0952</v>
      </c>
      <c r="R14" s="242"/>
      <c r="S14" s="242"/>
      <c r="T14" s="242"/>
      <c r="U14" s="213"/>
      <c r="V14" s="213"/>
    </row>
    <row r="15" spans="1:22" s="188" customFormat="1" ht="27" customHeight="1">
      <c r="A15" s="203" t="s">
        <v>326</v>
      </c>
      <c r="B15" s="209" t="s">
        <v>327</v>
      </c>
      <c r="C15" s="205"/>
      <c r="D15" s="200"/>
      <c r="E15" s="205"/>
      <c r="F15" s="205"/>
      <c r="G15" s="200"/>
      <c r="H15" s="205"/>
      <c r="I15" s="207"/>
      <c r="J15" s="205"/>
      <c r="K15" s="210"/>
      <c r="L15" s="205">
        <v>1818843</v>
      </c>
      <c r="M15" s="224">
        <v>6.5000000000000002E-2</v>
      </c>
      <c r="N15" s="205">
        <f t="shared" si="0"/>
        <v>118224.795</v>
      </c>
      <c r="O15" s="242"/>
      <c r="P15" s="242"/>
      <c r="Q15" s="242"/>
      <c r="R15" s="242"/>
      <c r="S15" s="242"/>
      <c r="T15" s="242"/>
      <c r="U15" s="213"/>
      <c r="V15" s="213"/>
    </row>
    <row r="16" spans="1:22" s="188" customFormat="1" ht="27" customHeight="1">
      <c r="A16" s="211" t="s">
        <v>328</v>
      </c>
      <c r="B16" s="212" t="s">
        <v>329</v>
      </c>
      <c r="C16" s="205">
        <f>E16/D16*1000</f>
        <v>860301.87265917612</v>
      </c>
      <c r="D16" s="200">
        <v>0.53400000000000003</v>
      </c>
      <c r="E16" s="205">
        <v>459.40120000000002</v>
      </c>
      <c r="F16" s="205"/>
      <c r="G16" s="200"/>
      <c r="H16" s="205"/>
      <c r="I16" s="207">
        <f>K16/J16</f>
        <v>703565.52</v>
      </c>
      <c r="J16" s="205">
        <f>D16</f>
        <v>0.53400000000000003</v>
      </c>
      <c r="K16" s="210">
        <f>Q16</f>
        <v>375703.98768000002</v>
      </c>
      <c r="L16" s="205">
        <v>1847196</v>
      </c>
      <c r="M16" s="224">
        <v>0.70799999999999996</v>
      </c>
      <c r="N16" s="205">
        <f t="shared" si="0"/>
        <v>1307814.7679999999</v>
      </c>
      <c r="O16" s="242">
        <f>239308*C53</f>
        <v>1407131.04</v>
      </c>
      <c r="P16" s="242">
        <f>D16</f>
        <v>0.53400000000000003</v>
      </c>
      <c r="Q16" s="242">
        <f>O16*P16/2</f>
        <v>375703.98768000002</v>
      </c>
      <c r="R16" s="242"/>
      <c r="S16" s="242"/>
      <c r="T16" s="242"/>
      <c r="U16" s="213"/>
      <c r="V16" s="213"/>
    </row>
    <row r="17" spans="1:22" s="188" customFormat="1" ht="27" customHeight="1">
      <c r="A17" s="211"/>
      <c r="B17" s="212" t="s">
        <v>330</v>
      </c>
      <c r="C17" s="205">
        <f>E17/D17*1000</f>
        <v>2203611.9402985075</v>
      </c>
      <c r="D17" s="200">
        <v>0.26800000000000002</v>
      </c>
      <c r="E17" s="205">
        <v>590.56799999999998</v>
      </c>
      <c r="F17" s="205"/>
      <c r="G17" s="200"/>
      <c r="H17" s="205"/>
      <c r="I17" s="207">
        <f>K17/J17</f>
        <v>375914.27999999997</v>
      </c>
      <c r="J17" s="205">
        <f>D17</f>
        <v>0.26800000000000002</v>
      </c>
      <c r="K17" s="210">
        <f>Q17</f>
        <v>100745.02704</v>
      </c>
      <c r="L17" s="205">
        <v>4205935</v>
      </c>
      <c r="M17" s="224">
        <v>0.33900000000000002</v>
      </c>
      <c r="N17" s="205">
        <f t="shared" si="0"/>
        <v>1425811.9650000001</v>
      </c>
      <c r="O17" s="242">
        <f>127862*C53</f>
        <v>751828.55999999994</v>
      </c>
      <c r="P17" s="242">
        <f>D17</f>
        <v>0.26800000000000002</v>
      </c>
      <c r="Q17" s="242">
        <f>O17*P17/2</f>
        <v>100745.02704</v>
      </c>
      <c r="R17" s="242"/>
      <c r="S17" s="242"/>
      <c r="T17" s="242"/>
      <c r="U17" s="213"/>
      <c r="V17" s="213"/>
    </row>
    <row r="18" spans="1:22" s="188" customFormat="1" ht="37.5" customHeight="1">
      <c r="A18" s="203" t="s">
        <v>192</v>
      </c>
      <c r="B18" s="204" t="s">
        <v>331</v>
      </c>
      <c r="C18" s="205"/>
      <c r="D18" s="200"/>
      <c r="E18" s="206">
        <f>E22+E23+E25+E27</f>
        <v>4689.0255200000001</v>
      </c>
      <c r="F18" s="205"/>
      <c r="G18" s="200"/>
      <c r="H18" s="206">
        <f>H25</f>
        <v>521.73010999999997</v>
      </c>
      <c r="I18" s="207"/>
      <c r="J18" s="205"/>
      <c r="K18" s="208">
        <f>K22+K23+K25+K27</f>
        <v>13254243.397</v>
      </c>
      <c r="L18" s="200"/>
      <c r="M18" s="200"/>
      <c r="N18" s="206">
        <f>N20+N21+N22+N23+N24+N25+N26+N27</f>
        <v>9091329.4000000004</v>
      </c>
      <c r="O18" s="242"/>
      <c r="P18" s="242"/>
      <c r="Q18" s="242"/>
      <c r="R18" s="242"/>
      <c r="S18" s="242"/>
      <c r="T18" s="242"/>
      <c r="U18" s="213"/>
      <c r="V18" s="213"/>
    </row>
    <row r="19" spans="1:22" s="188" customFormat="1" ht="27" customHeight="1">
      <c r="A19" s="203" t="s">
        <v>332</v>
      </c>
      <c r="B19" s="214" t="s">
        <v>126</v>
      </c>
      <c r="C19" s="205"/>
      <c r="D19" s="200"/>
      <c r="E19" s="205"/>
      <c r="F19" s="205"/>
      <c r="G19" s="200"/>
      <c r="H19" s="205"/>
      <c r="I19" s="207"/>
      <c r="J19" s="215"/>
      <c r="K19" s="210"/>
      <c r="L19" s="205"/>
      <c r="M19" s="205"/>
      <c r="N19" s="205"/>
      <c r="O19" s="242"/>
      <c r="P19" s="242"/>
      <c r="Q19" s="242"/>
      <c r="R19" s="242"/>
      <c r="S19" s="242"/>
      <c r="T19" s="242"/>
      <c r="U19" s="213"/>
      <c r="V19" s="213"/>
    </row>
    <row r="20" spans="1:22" s="188" customFormat="1" ht="27" customHeight="1">
      <c r="A20" s="203" t="s">
        <v>333</v>
      </c>
      <c r="B20" s="214" t="s">
        <v>127</v>
      </c>
      <c r="C20" s="205"/>
      <c r="D20" s="200"/>
      <c r="E20" s="205"/>
      <c r="F20" s="205"/>
      <c r="G20" s="200"/>
      <c r="H20" s="205"/>
      <c r="I20" s="207"/>
      <c r="J20" s="215"/>
      <c r="K20" s="210"/>
      <c r="L20" s="205">
        <v>35075</v>
      </c>
      <c r="M20" s="205">
        <v>20</v>
      </c>
      <c r="N20" s="205">
        <f t="shared" si="0"/>
        <v>701500</v>
      </c>
      <c r="O20" s="242"/>
      <c r="P20" s="242"/>
      <c r="Q20" s="242"/>
      <c r="R20" s="242"/>
      <c r="S20" s="242"/>
      <c r="T20" s="242"/>
      <c r="U20" s="213"/>
      <c r="V20" s="213"/>
    </row>
    <row r="21" spans="1:22" s="188" customFormat="1" ht="27" customHeight="1">
      <c r="A21" s="203" t="s">
        <v>334</v>
      </c>
      <c r="B21" s="214" t="s">
        <v>128</v>
      </c>
      <c r="C21" s="205"/>
      <c r="D21" s="200"/>
      <c r="E21" s="205"/>
      <c r="F21" s="205"/>
      <c r="G21" s="200"/>
      <c r="H21" s="205"/>
      <c r="I21" s="207"/>
      <c r="J21" s="215"/>
      <c r="K21" s="210"/>
      <c r="L21" s="205">
        <v>27138</v>
      </c>
      <c r="M21" s="224">
        <v>25</v>
      </c>
      <c r="N21" s="205">
        <f t="shared" si="0"/>
        <v>678450</v>
      </c>
      <c r="O21" s="242"/>
      <c r="P21" s="242"/>
      <c r="Q21" s="242"/>
      <c r="R21" s="242"/>
      <c r="S21" s="242"/>
      <c r="T21" s="242"/>
      <c r="U21" s="213"/>
      <c r="V21" s="213"/>
    </row>
    <row r="22" spans="1:22" s="188" customFormat="1" ht="27" customHeight="1">
      <c r="A22" s="203" t="s">
        <v>335</v>
      </c>
      <c r="B22" s="214" t="s">
        <v>129</v>
      </c>
      <c r="C22" s="205">
        <f>E22/D22*1000</f>
        <v>13498.261882352941</v>
      </c>
      <c r="D22" s="200">
        <v>85</v>
      </c>
      <c r="E22" s="205">
        <v>1147.3522599999999</v>
      </c>
      <c r="F22" s="205"/>
      <c r="G22" s="200"/>
      <c r="H22" s="205"/>
      <c r="I22" s="207">
        <f>K22/J22</f>
        <v>26117.52</v>
      </c>
      <c r="J22" s="215">
        <f>D22</f>
        <v>85</v>
      </c>
      <c r="K22" s="210">
        <f>Q22</f>
        <v>2219989.2000000002</v>
      </c>
      <c r="L22" s="205">
        <v>41540</v>
      </c>
      <c r="M22" s="224">
        <v>20</v>
      </c>
      <c r="N22" s="205">
        <f t="shared" si="0"/>
        <v>830800</v>
      </c>
      <c r="O22" s="242">
        <f>6864*C54</f>
        <v>52235.040000000001</v>
      </c>
      <c r="P22" s="242">
        <f>D22</f>
        <v>85</v>
      </c>
      <c r="Q22" s="242">
        <f>O22*P22/2</f>
        <v>2219989.2000000002</v>
      </c>
      <c r="R22" s="242"/>
      <c r="S22" s="242"/>
      <c r="T22" s="242"/>
      <c r="U22" s="213"/>
      <c r="V22" s="213"/>
    </row>
    <row r="23" spans="1:22" s="188" customFormat="1" ht="27" customHeight="1">
      <c r="A23" s="203" t="s">
        <v>336</v>
      </c>
      <c r="B23" s="214" t="s">
        <v>130</v>
      </c>
      <c r="C23" s="205">
        <f>E23/D23*1000</f>
        <v>10854.342281879195</v>
      </c>
      <c r="D23" s="200">
        <v>149</v>
      </c>
      <c r="E23" s="205">
        <v>1617.297</v>
      </c>
      <c r="F23" s="205"/>
      <c r="G23" s="200"/>
      <c r="H23" s="205"/>
      <c r="I23" s="207">
        <f>K23/J23</f>
        <v>33198.625</v>
      </c>
      <c r="J23" s="246">
        <f>D23</f>
        <v>149</v>
      </c>
      <c r="K23" s="210">
        <f>Q23</f>
        <v>4946595.125</v>
      </c>
      <c r="L23" s="205">
        <v>66302</v>
      </c>
      <c r="M23" s="224">
        <v>50</v>
      </c>
      <c r="N23" s="205">
        <f t="shared" si="0"/>
        <v>3315100</v>
      </c>
      <c r="O23" s="242">
        <f>8725*C54</f>
        <v>66397.25</v>
      </c>
      <c r="P23" s="242">
        <f>D23</f>
        <v>149</v>
      </c>
      <c r="Q23" s="242">
        <f>O23*P23/2</f>
        <v>4946595.125</v>
      </c>
      <c r="R23" s="242"/>
      <c r="S23" s="242"/>
      <c r="T23" s="242"/>
      <c r="U23" s="213"/>
      <c r="V23" s="213"/>
    </row>
    <row r="24" spans="1:22" s="188" customFormat="1" ht="27" customHeight="1">
      <c r="A24" s="203" t="s">
        <v>337</v>
      </c>
      <c r="B24" s="214" t="s">
        <v>338</v>
      </c>
      <c r="C24" s="216" t="e">
        <f>E24/D24</f>
        <v>#DIV/0!</v>
      </c>
      <c r="D24" s="200"/>
      <c r="E24" s="205"/>
      <c r="F24" s="205"/>
      <c r="G24" s="200"/>
      <c r="H24" s="205"/>
      <c r="I24" s="207"/>
      <c r="J24" s="215"/>
      <c r="K24" s="210"/>
      <c r="L24" s="205">
        <v>41226</v>
      </c>
      <c r="M24" s="224">
        <v>50</v>
      </c>
      <c r="N24" s="205">
        <f t="shared" si="0"/>
        <v>2061300</v>
      </c>
      <c r="O24" s="242"/>
      <c r="P24" s="242"/>
      <c r="Q24" s="242"/>
      <c r="R24" s="242"/>
      <c r="S24" s="242"/>
      <c r="T24" s="242"/>
      <c r="U24" s="213"/>
      <c r="V24" s="213"/>
    </row>
    <row r="25" spans="1:22" s="188" customFormat="1" ht="27" customHeight="1">
      <c r="A25" s="203" t="s">
        <v>339</v>
      </c>
      <c r="B25" s="214" t="s">
        <v>340</v>
      </c>
      <c r="C25" s="205">
        <f>E25/D25*1000</f>
        <v>4184.1505620454045</v>
      </c>
      <c r="D25" s="200">
        <f>243.7+G25</f>
        <v>453.7</v>
      </c>
      <c r="E25" s="205">
        <f>1376.619+H25</f>
        <v>1898.3491099999999</v>
      </c>
      <c r="F25" s="205">
        <f>H25/G25*1000</f>
        <v>2484.4290952380952</v>
      </c>
      <c r="G25" s="200">
        <v>210</v>
      </c>
      <c r="H25" s="205">
        <v>521.73010999999997</v>
      </c>
      <c r="I25" s="207">
        <f>K25/J25</f>
        <v>8976.0070393249971</v>
      </c>
      <c r="J25" s="215">
        <f>P25+S25</f>
        <v>663.7</v>
      </c>
      <c r="K25" s="210">
        <f>Q25+T25</f>
        <v>5957375.8720000004</v>
      </c>
      <c r="L25" s="205">
        <v>4495</v>
      </c>
      <c r="M25" s="224">
        <v>40</v>
      </c>
      <c r="N25" s="205">
        <f t="shared" si="0"/>
        <v>179800</v>
      </c>
      <c r="O25" s="242">
        <f>1792*C54</f>
        <v>13637.12</v>
      </c>
      <c r="P25" s="242">
        <f>D25</f>
        <v>453.7</v>
      </c>
      <c r="Q25" s="242">
        <f>O25*P25/2</f>
        <v>3093580.6720000003</v>
      </c>
      <c r="R25" s="242">
        <f>O25</f>
        <v>13637.12</v>
      </c>
      <c r="S25" s="242">
        <f>G25</f>
        <v>210</v>
      </c>
      <c r="T25" s="242">
        <f>R25*S25</f>
        <v>2863795.2</v>
      </c>
      <c r="U25" s="213"/>
      <c r="V25" s="213"/>
    </row>
    <row r="26" spans="1:22" s="188" customFormat="1" ht="27" customHeight="1">
      <c r="A26" s="203" t="s">
        <v>341</v>
      </c>
      <c r="B26" s="214" t="s">
        <v>342</v>
      </c>
      <c r="C26" s="205"/>
      <c r="D26" s="200"/>
      <c r="E26" s="205"/>
      <c r="F26" s="205"/>
      <c r="G26" s="200"/>
      <c r="H26" s="205"/>
      <c r="I26" s="207"/>
      <c r="J26" s="215"/>
      <c r="K26" s="210"/>
      <c r="L26" s="205">
        <v>21762</v>
      </c>
      <c r="M26" s="200">
        <v>43.7</v>
      </c>
      <c r="N26" s="205">
        <f t="shared" si="0"/>
        <v>950999.4</v>
      </c>
      <c r="O26" s="242"/>
      <c r="P26" s="242"/>
      <c r="Q26" s="242"/>
      <c r="R26" s="242"/>
      <c r="S26" s="242"/>
      <c r="T26" s="242"/>
      <c r="U26" s="213"/>
      <c r="V26" s="213"/>
    </row>
    <row r="27" spans="1:22" s="188" customFormat="1" ht="27" customHeight="1">
      <c r="A27" s="203" t="s">
        <v>343</v>
      </c>
      <c r="B27" s="217" t="s">
        <v>344</v>
      </c>
      <c r="C27" s="205">
        <f>E27/D27*1000</f>
        <v>325.33937499999996</v>
      </c>
      <c r="D27" s="200">
        <v>80</v>
      </c>
      <c r="E27" s="205">
        <v>26.027149999999999</v>
      </c>
      <c r="F27" s="205"/>
      <c r="G27" s="200"/>
      <c r="H27" s="205"/>
      <c r="I27" s="207">
        <f>K27/J27</f>
        <v>1628.54</v>
      </c>
      <c r="J27" s="215">
        <f>D27</f>
        <v>80</v>
      </c>
      <c r="K27" s="210">
        <f>Q27</f>
        <v>130283.2</v>
      </c>
      <c r="L27" s="205">
        <v>18669</v>
      </c>
      <c r="M27" s="205">
        <v>20</v>
      </c>
      <c r="N27" s="205">
        <f t="shared" si="0"/>
        <v>373380</v>
      </c>
      <c r="O27" s="242">
        <f>214*C54</f>
        <v>1628.54</v>
      </c>
      <c r="P27" s="242">
        <f>D27</f>
        <v>80</v>
      </c>
      <c r="Q27" s="242">
        <f>O27*P27</f>
        <v>130283.2</v>
      </c>
      <c r="R27" s="242"/>
      <c r="S27" s="242"/>
      <c r="T27" s="242"/>
      <c r="U27" s="213"/>
      <c r="V27" s="213"/>
    </row>
    <row r="28" spans="1:22" s="188" customFormat="1" ht="72.75" customHeight="1">
      <c r="A28" s="218" t="s">
        <v>1</v>
      </c>
      <c r="B28" s="219" t="s">
        <v>345</v>
      </c>
      <c r="C28" s="205"/>
      <c r="D28" s="205"/>
      <c r="E28" s="220" t="s">
        <v>346</v>
      </c>
      <c r="F28" s="205"/>
      <c r="G28" s="205"/>
      <c r="H28" s="220" t="s">
        <v>346</v>
      </c>
      <c r="I28" s="207"/>
      <c r="J28" s="205"/>
      <c r="K28" s="221" t="s">
        <v>346</v>
      </c>
      <c r="L28" s="200"/>
      <c r="M28" s="200"/>
      <c r="N28" s="206">
        <f>N29+N32+N36</f>
        <v>0</v>
      </c>
      <c r="O28" s="213"/>
      <c r="P28" s="213"/>
      <c r="Q28" s="213"/>
      <c r="R28" s="213"/>
      <c r="S28" s="213"/>
      <c r="T28" s="213"/>
      <c r="U28" s="213"/>
      <c r="V28" s="213"/>
    </row>
    <row r="29" spans="1:22" s="188" customFormat="1" ht="27" customHeight="1">
      <c r="A29" s="203" t="s">
        <v>261</v>
      </c>
      <c r="B29" s="204" t="s">
        <v>80</v>
      </c>
      <c r="C29" s="222"/>
      <c r="D29" s="222"/>
      <c r="E29" s="220" t="s">
        <v>346</v>
      </c>
      <c r="F29" s="222"/>
      <c r="G29" s="222"/>
      <c r="H29" s="220" t="s">
        <v>346</v>
      </c>
      <c r="I29" s="223"/>
      <c r="J29" s="222"/>
      <c r="K29" s="221" t="s">
        <v>346</v>
      </c>
      <c r="L29" s="200"/>
      <c r="M29" s="200"/>
      <c r="N29" s="206"/>
      <c r="O29" s="213"/>
      <c r="P29" s="213"/>
      <c r="Q29" s="213"/>
      <c r="R29" s="213"/>
      <c r="S29" s="213"/>
      <c r="T29" s="213"/>
      <c r="U29" s="213"/>
      <c r="V29" s="213"/>
    </row>
    <row r="30" spans="1:22" s="188" customFormat="1" ht="27" customHeight="1">
      <c r="A30" s="203" t="s">
        <v>347</v>
      </c>
      <c r="B30" s="209" t="s">
        <v>319</v>
      </c>
      <c r="C30" s="222" t="s">
        <v>346</v>
      </c>
      <c r="D30" s="222" t="s">
        <v>346</v>
      </c>
      <c r="E30" s="220" t="s">
        <v>346</v>
      </c>
      <c r="F30" s="222" t="s">
        <v>346</v>
      </c>
      <c r="G30" s="222" t="s">
        <v>346</v>
      </c>
      <c r="H30" s="220" t="s">
        <v>346</v>
      </c>
      <c r="I30" s="223" t="s">
        <v>346</v>
      </c>
      <c r="J30" s="222" t="s">
        <v>346</v>
      </c>
      <c r="K30" s="221" t="s">
        <v>346</v>
      </c>
      <c r="L30" s="205"/>
      <c r="M30" s="224"/>
      <c r="N30" s="205"/>
      <c r="O30" s="213"/>
      <c r="P30" s="213"/>
      <c r="Q30" s="213"/>
      <c r="R30" s="213"/>
      <c r="S30" s="213"/>
      <c r="T30" s="213"/>
      <c r="U30" s="213"/>
      <c r="V30" s="213"/>
    </row>
    <row r="31" spans="1:22" s="188" customFormat="1" ht="27" customHeight="1">
      <c r="A31" s="203" t="s">
        <v>348</v>
      </c>
      <c r="B31" s="209" t="s">
        <v>321</v>
      </c>
      <c r="C31" s="222" t="s">
        <v>346</v>
      </c>
      <c r="D31" s="222" t="s">
        <v>346</v>
      </c>
      <c r="E31" s="220" t="s">
        <v>346</v>
      </c>
      <c r="F31" s="222" t="s">
        <v>346</v>
      </c>
      <c r="G31" s="222" t="s">
        <v>346</v>
      </c>
      <c r="H31" s="220" t="s">
        <v>346</v>
      </c>
      <c r="I31" s="223" t="s">
        <v>346</v>
      </c>
      <c r="J31" s="222" t="s">
        <v>346</v>
      </c>
      <c r="K31" s="221" t="s">
        <v>346</v>
      </c>
      <c r="L31" s="205"/>
      <c r="M31" s="224"/>
      <c r="N31" s="205"/>
      <c r="O31" s="213"/>
      <c r="P31" s="213"/>
      <c r="Q31" s="213"/>
      <c r="R31" s="213"/>
      <c r="S31" s="213"/>
      <c r="T31" s="213"/>
      <c r="U31" s="213"/>
      <c r="V31" s="213"/>
    </row>
    <row r="32" spans="1:22" s="188" customFormat="1" ht="29.25" customHeight="1">
      <c r="A32" s="203" t="s">
        <v>263</v>
      </c>
      <c r="B32" s="204" t="s">
        <v>81</v>
      </c>
      <c r="C32" s="222"/>
      <c r="D32" s="222"/>
      <c r="E32" s="220" t="s">
        <v>346</v>
      </c>
      <c r="F32" s="222"/>
      <c r="G32" s="222"/>
      <c r="H32" s="220" t="s">
        <v>346</v>
      </c>
      <c r="I32" s="223"/>
      <c r="J32" s="222"/>
      <c r="K32" s="221" t="s">
        <v>346</v>
      </c>
      <c r="L32" s="200"/>
      <c r="M32" s="200"/>
      <c r="N32" s="206"/>
      <c r="O32" s="213"/>
      <c r="P32" s="213"/>
      <c r="Q32" s="213"/>
      <c r="R32" s="213"/>
      <c r="S32" s="213"/>
      <c r="T32" s="213"/>
      <c r="U32" s="213"/>
      <c r="V32" s="213"/>
    </row>
    <row r="33" spans="1:22" s="188" customFormat="1" ht="27" customHeight="1">
      <c r="A33" s="203" t="s">
        <v>349</v>
      </c>
      <c r="B33" s="209" t="s">
        <v>325</v>
      </c>
      <c r="C33" s="222" t="s">
        <v>346</v>
      </c>
      <c r="D33" s="222" t="s">
        <v>346</v>
      </c>
      <c r="E33" s="220" t="s">
        <v>346</v>
      </c>
      <c r="F33" s="222" t="s">
        <v>346</v>
      </c>
      <c r="G33" s="222" t="s">
        <v>346</v>
      </c>
      <c r="H33" s="220" t="s">
        <v>346</v>
      </c>
      <c r="I33" s="223" t="s">
        <v>346</v>
      </c>
      <c r="J33" s="222" t="s">
        <v>346</v>
      </c>
      <c r="K33" s="221" t="s">
        <v>346</v>
      </c>
      <c r="L33" s="205"/>
      <c r="M33" s="225"/>
      <c r="N33" s="205"/>
      <c r="O33" s="213"/>
      <c r="P33" s="213"/>
      <c r="Q33" s="213"/>
      <c r="R33" s="213"/>
      <c r="S33" s="213"/>
      <c r="T33" s="213"/>
      <c r="U33" s="213"/>
      <c r="V33" s="213"/>
    </row>
    <row r="34" spans="1:22" s="188" customFormat="1" ht="27" customHeight="1">
      <c r="A34" s="203" t="s">
        <v>350</v>
      </c>
      <c r="B34" s="209" t="s">
        <v>327</v>
      </c>
      <c r="C34" s="222" t="s">
        <v>346</v>
      </c>
      <c r="D34" s="222" t="s">
        <v>346</v>
      </c>
      <c r="E34" s="220" t="s">
        <v>346</v>
      </c>
      <c r="F34" s="222" t="s">
        <v>346</v>
      </c>
      <c r="G34" s="222" t="s">
        <v>346</v>
      </c>
      <c r="H34" s="220" t="s">
        <v>346</v>
      </c>
      <c r="I34" s="223" t="s">
        <v>346</v>
      </c>
      <c r="J34" s="222" t="s">
        <v>346</v>
      </c>
      <c r="K34" s="221" t="s">
        <v>346</v>
      </c>
      <c r="L34" s="205"/>
      <c r="M34" s="224"/>
      <c r="N34" s="205"/>
      <c r="O34" s="213"/>
      <c r="P34" s="213"/>
      <c r="Q34" s="213"/>
      <c r="R34" s="213"/>
      <c r="S34" s="213"/>
      <c r="T34" s="213"/>
      <c r="U34" s="213"/>
      <c r="V34" s="213"/>
    </row>
    <row r="35" spans="1:22" s="188" customFormat="1" ht="27" customHeight="1">
      <c r="A35" s="203" t="s">
        <v>351</v>
      </c>
      <c r="B35" s="209" t="s">
        <v>352</v>
      </c>
      <c r="C35" s="222"/>
      <c r="D35" s="222"/>
      <c r="E35" s="220"/>
      <c r="F35" s="222"/>
      <c r="G35" s="222"/>
      <c r="H35" s="220"/>
      <c r="I35" s="223"/>
      <c r="J35" s="222"/>
      <c r="K35" s="221"/>
      <c r="L35" s="205"/>
      <c r="M35" s="224"/>
      <c r="N35" s="205"/>
      <c r="O35" s="213"/>
      <c r="P35" s="213"/>
      <c r="Q35" s="213"/>
      <c r="R35" s="213"/>
      <c r="S35" s="213"/>
      <c r="T35" s="213"/>
      <c r="U35" s="213"/>
      <c r="V35" s="213"/>
    </row>
    <row r="36" spans="1:22" s="188" customFormat="1" ht="40.5" customHeight="1">
      <c r="A36" s="203" t="s">
        <v>270</v>
      </c>
      <c r="B36" s="204" t="s">
        <v>331</v>
      </c>
      <c r="C36" s="222"/>
      <c r="D36" s="222"/>
      <c r="E36" s="220" t="s">
        <v>346</v>
      </c>
      <c r="F36" s="222"/>
      <c r="G36" s="222"/>
      <c r="H36" s="220" t="s">
        <v>346</v>
      </c>
      <c r="I36" s="223"/>
      <c r="J36" s="222"/>
      <c r="K36" s="221" t="s">
        <v>346</v>
      </c>
      <c r="L36" s="200"/>
      <c r="M36" s="200"/>
      <c r="N36" s="206"/>
      <c r="O36" s="213"/>
      <c r="P36" s="213"/>
      <c r="Q36" s="213"/>
      <c r="R36" s="213"/>
      <c r="S36" s="213"/>
      <c r="T36" s="213"/>
      <c r="U36" s="213"/>
      <c r="V36" s="213"/>
    </row>
    <row r="37" spans="1:22" s="188" customFormat="1" ht="27" customHeight="1">
      <c r="A37" s="203" t="s">
        <v>272</v>
      </c>
      <c r="B37" s="209" t="s">
        <v>126</v>
      </c>
      <c r="C37" s="222" t="s">
        <v>346</v>
      </c>
      <c r="D37" s="222" t="s">
        <v>346</v>
      </c>
      <c r="E37" s="220" t="s">
        <v>346</v>
      </c>
      <c r="F37" s="222" t="s">
        <v>346</v>
      </c>
      <c r="G37" s="222" t="s">
        <v>346</v>
      </c>
      <c r="H37" s="220" t="s">
        <v>346</v>
      </c>
      <c r="I37" s="223" t="s">
        <v>346</v>
      </c>
      <c r="J37" s="222" t="s">
        <v>346</v>
      </c>
      <c r="K37" s="221" t="s">
        <v>346</v>
      </c>
      <c r="L37" s="205"/>
      <c r="M37" s="205"/>
      <c r="N37" s="205"/>
      <c r="O37" s="213"/>
      <c r="P37" s="213"/>
      <c r="Q37" s="213"/>
      <c r="R37" s="213"/>
      <c r="S37" s="213"/>
      <c r="T37" s="213"/>
      <c r="U37" s="213"/>
      <c r="V37" s="213"/>
    </row>
    <row r="38" spans="1:22" s="188" customFormat="1" ht="27" customHeight="1">
      <c r="A38" s="203" t="s">
        <v>274</v>
      </c>
      <c r="B38" s="209" t="s">
        <v>127</v>
      </c>
      <c r="C38" s="222" t="s">
        <v>346</v>
      </c>
      <c r="D38" s="222" t="s">
        <v>346</v>
      </c>
      <c r="E38" s="220" t="s">
        <v>346</v>
      </c>
      <c r="F38" s="222" t="s">
        <v>346</v>
      </c>
      <c r="G38" s="222" t="s">
        <v>346</v>
      </c>
      <c r="H38" s="220" t="s">
        <v>346</v>
      </c>
      <c r="I38" s="223" t="s">
        <v>346</v>
      </c>
      <c r="J38" s="222" t="s">
        <v>346</v>
      </c>
      <c r="K38" s="221" t="s">
        <v>346</v>
      </c>
      <c r="L38" s="205"/>
      <c r="M38" s="205"/>
      <c r="N38" s="205"/>
      <c r="O38" s="213"/>
      <c r="P38" s="213"/>
      <c r="Q38" s="213"/>
      <c r="R38" s="213"/>
      <c r="S38" s="213"/>
      <c r="T38" s="213"/>
      <c r="U38" s="213"/>
      <c r="V38" s="213"/>
    </row>
    <row r="39" spans="1:22" s="188" customFormat="1" ht="27" customHeight="1">
      <c r="A39" s="203" t="s">
        <v>353</v>
      </c>
      <c r="B39" s="209" t="s">
        <v>128</v>
      </c>
      <c r="C39" s="222" t="s">
        <v>346</v>
      </c>
      <c r="D39" s="222" t="s">
        <v>346</v>
      </c>
      <c r="E39" s="220" t="s">
        <v>346</v>
      </c>
      <c r="F39" s="222" t="s">
        <v>346</v>
      </c>
      <c r="G39" s="222" t="s">
        <v>346</v>
      </c>
      <c r="H39" s="220" t="s">
        <v>346</v>
      </c>
      <c r="I39" s="223" t="s">
        <v>346</v>
      </c>
      <c r="J39" s="222" t="s">
        <v>346</v>
      </c>
      <c r="K39" s="221" t="s">
        <v>346</v>
      </c>
      <c r="L39" s="205"/>
      <c r="M39" s="224"/>
      <c r="N39" s="205"/>
      <c r="O39" s="213"/>
      <c r="P39" s="213"/>
      <c r="Q39" s="213"/>
      <c r="R39" s="213"/>
      <c r="S39" s="213"/>
      <c r="T39" s="213"/>
      <c r="U39" s="213"/>
      <c r="V39" s="213"/>
    </row>
    <row r="40" spans="1:22" s="188" customFormat="1" ht="27" customHeight="1">
      <c r="A40" s="203" t="s">
        <v>354</v>
      </c>
      <c r="B40" s="209" t="s">
        <v>129</v>
      </c>
      <c r="C40" s="222" t="s">
        <v>346</v>
      </c>
      <c r="D40" s="222" t="s">
        <v>346</v>
      </c>
      <c r="E40" s="220" t="s">
        <v>346</v>
      </c>
      <c r="F40" s="222" t="s">
        <v>346</v>
      </c>
      <c r="G40" s="222" t="s">
        <v>346</v>
      </c>
      <c r="H40" s="220" t="s">
        <v>346</v>
      </c>
      <c r="I40" s="223" t="s">
        <v>346</v>
      </c>
      <c r="J40" s="222" t="s">
        <v>346</v>
      </c>
      <c r="K40" s="221" t="s">
        <v>346</v>
      </c>
      <c r="L40" s="205"/>
      <c r="M40" s="224"/>
      <c r="N40" s="205"/>
      <c r="O40" s="213"/>
      <c r="P40" s="213"/>
      <c r="Q40" s="213"/>
      <c r="R40" s="213"/>
      <c r="S40" s="213"/>
      <c r="T40" s="213"/>
      <c r="U40" s="213"/>
      <c r="V40" s="213"/>
    </row>
    <row r="41" spans="1:22" s="188" customFormat="1" ht="27" customHeight="1">
      <c r="A41" s="203" t="s">
        <v>355</v>
      </c>
      <c r="B41" s="226" t="s">
        <v>130</v>
      </c>
      <c r="C41" s="223" t="s">
        <v>346</v>
      </c>
      <c r="D41" s="222" t="s">
        <v>346</v>
      </c>
      <c r="E41" s="220" t="s">
        <v>346</v>
      </c>
      <c r="F41" s="223" t="s">
        <v>346</v>
      </c>
      <c r="G41" s="222" t="s">
        <v>346</v>
      </c>
      <c r="H41" s="220" t="s">
        <v>346</v>
      </c>
      <c r="I41" s="223" t="s">
        <v>346</v>
      </c>
      <c r="J41" s="222" t="s">
        <v>346</v>
      </c>
      <c r="K41" s="221" t="s">
        <v>346</v>
      </c>
      <c r="L41" s="205"/>
      <c r="M41" s="224"/>
      <c r="N41" s="205"/>
      <c r="O41" s="213"/>
      <c r="P41" s="213"/>
      <c r="Q41" s="213"/>
      <c r="R41" s="213"/>
      <c r="S41" s="213"/>
      <c r="T41" s="213"/>
      <c r="U41" s="213"/>
      <c r="V41" s="213"/>
    </row>
    <row r="42" spans="1:22" s="188" customFormat="1" ht="27" customHeight="1">
      <c r="A42" s="203" t="s">
        <v>356</v>
      </c>
      <c r="B42" s="226" t="s">
        <v>338</v>
      </c>
      <c r="C42" s="223" t="s">
        <v>346</v>
      </c>
      <c r="D42" s="222" t="s">
        <v>346</v>
      </c>
      <c r="E42" s="220" t="s">
        <v>346</v>
      </c>
      <c r="F42" s="223" t="s">
        <v>346</v>
      </c>
      <c r="G42" s="222" t="s">
        <v>346</v>
      </c>
      <c r="H42" s="220" t="s">
        <v>346</v>
      </c>
      <c r="I42" s="222" t="s">
        <v>346</v>
      </c>
      <c r="J42" s="222" t="s">
        <v>346</v>
      </c>
      <c r="K42" s="221" t="s">
        <v>346</v>
      </c>
      <c r="L42" s="205"/>
      <c r="M42" s="224"/>
      <c r="N42" s="205"/>
      <c r="O42" s="213"/>
      <c r="P42" s="213"/>
      <c r="Q42" s="213"/>
      <c r="R42" s="213"/>
      <c r="S42" s="213"/>
      <c r="T42" s="213"/>
      <c r="U42" s="213"/>
      <c r="V42" s="213"/>
    </row>
    <row r="43" spans="1:22" s="188" customFormat="1" ht="27" customHeight="1">
      <c r="A43" s="203" t="s">
        <v>357</v>
      </c>
      <c r="B43" s="226" t="s">
        <v>340</v>
      </c>
      <c r="C43" s="223"/>
      <c r="D43" s="222"/>
      <c r="E43" s="220"/>
      <c r="F43" s="223"/>
      <c r="G43" s="222"/>
      <c r="H43" s="220"/>
      <c r="I43" s="222"/>
      <c r="J43" s="222"/>
      <c r="K43" s="221"/>
      <c r="L43" s="205"/>
      <c r="M43" s="224"/>
      <c r="N43" s="205"/>
      <c r="O43" s="213"/>
      <c r="P43" s="213"/>
      <c r="Q43" s="213"/>
      <c r="R43" s="213"/>
      <c r="S43" s="213"/>
      <c r="T43" s="213"/>
      <c r="U43" s="213"/>
      <c r="V43" s="213"/>
    </row>
    <row r="44" spans="1:22" s="188" customFormat="1" ht="27" customHeight="1">
      <c r="A44" s="203" t="s">
        <v>358</v>
      </c>
      <c r="B44" s="226" t="s">
        <v>131</v>
      </c>
      <c r="C44" s="223" t="s">
        <v>346</v>
      </c>
      <c r="D44" s="222" t="s">
        <v>346</v>
      </c>
      <c r="E44" s="220" t="s">
        <v>346</v>
      </c>
      <c r="F44" s="223" t="s">
        <v>346</v>
      </c>
      <c r="G44" s="222" t="s">
        <v>346</v>
      </c>
      <c r="H44" s="220" t="s">
        <v>346</v>
      </c>
      <c r="I44" s="222" t="s">
        <v>346</v>
      </c>
      <c r="J44" s="222" t="s">
        <v>346</v>
      </c>
      <c r="K44" s="221" t="s">
        <v>346</v>
      </c>
      <c r="L44" s="205"/>
      <c r="M44" s="200"/>
      <c r="N44" s="205"/>
      <c r="O44" s="213"/>
      <c r="P44" s="213"/>
      <c r="Q44" s="213"/>
      <c r="R44" s="213"/>
      <c r="S44" s="213"/>
      <c r="T44" s="213"/>
      <c r="U44" s="213"/>
      <c r="V44" s="213"/>
    </row>
    <row r="45" spans="1:22" s="188" customFormat="1" ht="27" customHeight="1">
      <c r="A45" s="203" t="s">
        <v>359</v>
      </c>
      <c r="B45" s="226" t="s">
        <v>360</v>
      </c>
      <c r="C45" s="223"/>
      <c r="D45" s="222"/>
      <c r="E45" s="221"/>
      <c r="F45" s="223"/>
      <c r="G45" s="222"/>
      <c r="H45" s="220"/>
      <c r="I45" s="222"/>
      <c r="J45" s="222"/>
      <c r="K45" s="221"/>
      <c r="L45" s="205"/>
      <c r="M45" s="205"/>
      <c r="N45" s="205"/>
      <c r="O45" s="213"/>
      <c r="P45" s="213"/>
      <c r="Q45" s="213"/>
      <c r="R45" s="213"/>
      <c r="S45" s="213"/>
      <c r="T45" s="213"/>
      <c r="U45" s="213"/>
      <c r="V45" s="213"/>
    </row>
    <row r="46" spans="1:22" s="188" customFormat="1" ht="132.75" customHeight="1">
      <c r="A46" s="218" t="s">
        <v>2</v>
      </c>
      <c r="B46" s="227" t="s">
        <v>361</v>
      </c>
      <c r="C46" s="207"/>
      <c r="D46" s="205"/>
      <c r="E46" s="220">
        <f>E8/2</f>
        <v>9031.3001600000007</v>
      </c>
      <c r="F46" s="205"/>
      <c r="G46" s="205"/>
      <c r="H46" s="220">
        <f>H8</f>
        <v>4412.96911</v>
      </c>
      <c r="I46" s="205"/>
      <c r="J46" s="205"/>
      <c r="K46" s="221">
        <f>K8/1000</f>
        <v>22939.304303929999</v>
      </c>
      <c r="L46" s="205"/>
      <c r="M46" s="205"/>
      <c r="N46" s="206">
        <f>(N8-N28)/1000</f>
        <v>22430.011511000001</v>
      </c>
      <c r="O46" s="213"/>
      <c r="P46" s="213"/>
      <c r="Q46" s="213"/>
      <c r="R46" s="213"/>
      <c r="S46" s="213"/>
      <c r="T46" s="213"/>
      <c r="U46" s="213"/>
      <c r="V46" s="213"/>
    </row>
    <row r="47" spans="1:22" ht="21.95" customHeight="1">
      <c r="A47" s="228"/>
      <c r="B47" s="229"/>
      <c r="C47" s="230"/>
      <c r="D47" s="230"/>
      <c r="E47" s="230"/>
      <c r="F47" s="230"/>
      <c r="G47" s="230"/>
      <c r="H47" s="230"/>
      <c r="I47" s="230"/>
      <c r="J47" s="231"/>
      <c r="K47" s="230"/>
      <c r="L47" s="230"/>
      <c r="M47" s="230"/>
      <c r="N47" s="230"/>
      <c r="O47" s="243"/>
      <c r="P47" s="243"/>
      <c r="Q47" s="243"/>
      <c r="R47" s="243"/>
      <c r="S47" s="243"/>
      <c r="T47" s="243"/>
      <c r="U47" s="243"/>
      <c r="V47" s="243"/>
    </row>
    <row r="48" spans="1:22" s="234" customFormat="1" ht="39" customHeight="1">
      <c r="A48" s="435" t="s">
        <v>362</v>
      </c>
      <c r="B48" s="435"/>
      <c r="C48" s="232"/>
      <c r="D48" s="233"/>
      <c r="E48" s="233"/>
      <c r="F48" s="233"/>
      <c r="G48" s="233"/>
      <c r="H48" s="233"/>
      <c r="I48" s="233"/>
      <c r="J48" s="233"/>
      <c r="K48" s="233"/>
      <c r="L48" s="233"/>
      <c r="M48" s="436" t="s">
        <v>363</v>
      </c>
      <c r="N48" s="436"/>
      <c r="O48" s="232"/>
    </row>
    <row r="49" spans="1:15" s="234" customFormat="1" ht="15" customHeight="1">
      <c r="A49" s="235"/>
      <c r="B49" s="232"/>
      <c r="C49" s="232"/>
      <c r="D49" s="233"/>
      <c r="E49" s="233"/>
      <c r="F49" s="233"/>
      <c r="G49" s="233"/>
      <c r="H49" s="233"/>
      <c r="I49" s="233"/>
      <c r="J49" s="233"/>
      <c r="K49" s="233"/>
      <c r="L49" s="233"/>
      <c r="M49" s="235"/>
      <c r="N49" s="235"/>
      <c r="O49" s="235"/>
    </row>
    <row r="50" spans="1:15" s="239" customFormat="1" ht="41.25" customHeight="1">
      <c r="A50" s="437"/>
      <c r="B50" s="437"/>
      <c r="C50" s="236"/>
      <c r="D50" s="236"/>
      <c r="E50" s="236"/>
      <c r="F50" s="236"/>
      <c r="G50" s="236"/>
      <c r="H50" s="236"/>
      <c r="I50" s="237"/>
      <c r="J50" s="237"/>
      <c r="K50" s="237"/>
      <c r="L50" s="237"/>
      <c r="M50" s="437"/>
      <c r="N50" s="437"/>
      <c r="O50" s="238"/>
    </row>
    <row r="52" spans="1:15">
      <c r="A52" s="240"/>
      <c r="B52" s="241" t="s">
        <v>364</v>
      </c>
      <c r="C52" s="241">
        <v>5.33</v>
      </c>
    </row>
    <row r="53" spans="1:15">
      <c r="A53" s="240"/>
      <c r="B53" s="241" t="s">
        <v>364</v>
      </c>
      <c r="C53" s="241">
        <v>5.88</v>
      </c>
    </row>
    <row r="54" spans="1:15">
      <c r="B54" s="241" t="s">
        <v>365</v>
      </c>
      <c r="C54" s="241">
        <v>7.61</v>
      </c>
    </row>
  </sheetData>
  <mergeCells count="12">
    <mergeCell ref="A48:B48"/>
    <mergeCell ref="M48:N48"/>
    <mergeCell ref="A50:B50"/>
    <mergeCell ref="M50:N50"/>
    <mergeCell ref="L1:N1"/>
    <mergeCell ref="A3:N3"/>
    <mergeCell ref="A5:A6"/>
    <mergeCell ref="B5:B6"/>
    <mergeCell ref="C5:E5"/>
    <mergeCell ref="F5:H5"/>
    <mergeCell ref="I5:K5"/>
    <mergeCell ref="L5:N5"/>
  </mergeCells>
  <pageMargins left="1.0236220472440944" right="0.23622047244094491" top="1.2598425196850394" bottom="0.74803149606299213" header="0.31496062992125984" footer="0.31496062992125984"/>
  <pageSetup paperSize="9" scale="38" fitToHeight="2" orientation="landscape" r:id="rId1"/>
  <rowBreaks count="1" manualBreakCount="1">
    <brk id="27" max="12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"/>
  <sheetViews>
    <sheetView workbookViewId="0">
      <selection activeCell="P7" sqref="P7"/>
    </sheetView>
  </sheetViews>
  <sheetFormatPr defaultColWidth="8.85546875" defaultRowHeight="15.75"/>
  <cols>
    <col min="1" max="12" width="9.140625" customWidth="1"/>
    <col min="13" max="16384" width="8.85546875" style="270"/>
  </cols>
  <sheetData>
    <row r="1" spans="1:12">
      <c r="A1" s="272"/>
      <c r="B1" s="272"/>
      <c r="C1" s="272"/>
      <c r="D1" s="272"/>
      <c r="E1" s="272"/>
      <c r="F1" s="272"/>
      <c r="G1" s="272"/>
      <c r="H1" s="272"/>
      <c r="I1" s="272"/>
      <c r="J1" s="272"/>
      <c r="K1" s="272"/>
      <c r="L1" s="272"/>
    </row>
    <row r="2" spans="1:12">
      <c r="A2" s="452" t="s">
        <v>366</v>
      </c>
      <c r="B2" s="452"/>
      <c r="C2" s="452"/>
      <c r="D2" s="452"/>
      <c r="E2" s="452"/>
      <c r="F2" s="452"/>
      <c r="G2" s="452"/>
      <c r="H2" s="452"/>
      <c r="I2" s="452"/>
      <c r="J2" s="452"/>
      <c r="K2" s="452"/>
      <c r="L2" s="452"/>
    </row>
    <row r="3" spans="1:12" ht="60" customHeight="1">
      <c r="A3" s="272"/>
      <c r="B3" s="449" t="s">
        <v>367</v>
      </c>
      <c r="C3" s="450"/>
      <c r="D3" s="450"/>
      <c r="E3" s="450"/>
      <c r="F3" s="450"/>
      <c r="G3" s="450"/>
      <c r="H3" s="450"/>
      <c r="I3" s="450"/>
      <c r="J3" s="450"/>
      <c r="K3" s="450"/>
      <c r="L3" s="450"/>
    </row>
    <row r="4" spans="1:12">
      <c r="A4" s="272"/>
      <c r="B4" s="450"/>
      <c r="C4" s="450"/>
      <c r="D4" s="450"/>
      <c r="E4" s="450"/>
      <c r="F4" s="450"/>
      <c r="G4" s="450"/>
      <c r="H4" s="450"/>
      <c r="I4" s="450"/>
      <c r="J4" s="450"/>
      <c r="K4" s="450"/>
      <c r="L4" s="450"/>
    </row>
    <row r="5" spans="1:12" ht="15" customHeight="1">
      <c r="A5" s="272"/>
      <c r="B5" s="451" t="s">
        <v>368</v>
      </c>
      <c r="C5" s="450"/>
      <c r="D5" s="450"/>
      <c r="E5" s="450"/>
      <c r="F5" s="450"/>
      <c r="G5" s="450"/>
      <c r="H5" s="450"/>
      <c r="I5" s="450"/>
      <c r="J5" s="450"/>
      <c r="K5" s="450"/>
      <c r="L5" s="450"/>
    </row>
    <row r="6" spans="1:12">
      <c r="A6" s="272"/>
      <c r="B6" s="451" t="s">
        <v>369</v>
      </c>
      <c r="C6" s="450"/>
      <c r="D6" s="450"/>
      <c r="E6" s="450"/>
      <c r="F6" s="450"/>
      <c r="G6" s="450"/>
      <c r="H6" s="450"/>
      <c r="I6" s="450"/>
      <c r="J6" s="450"/>
      <c r="K6" s="450"/>
      <c r="L6" s="450"/>
    </row>
    <row r="7" spans="1:12" ht="52.9" customHeight="1">
      <c r="A7" s="272"/>
      <c r="B7" s="449" t="s">
        <v>371</v>
      </c>
      <c r="C7" s="450"/>
      <c r="D7" s="450"/>
      <c r="E7" s="450"/>
      <c r="F7" s="450"/>
      <c r="G7" s="450"/>
      <c r="H7" s="450"/>
      <c r="I7" s="450"/>
      <c r="J7" s="450"/>
      <c r="K7" s="450"/>
      <c r="L7" s="450"/>
    </row>
    <row r="8" spans="1:12">
      <c r="A8" s="272"/>
      <c r="B8" s="271"/>
      <c r="C8" s="272"/>
      <c r="D8" s="272"/>
      <c r="E8" s="272"/>
      <c r="F8" s="272"/>
      <c r="G8" s="272"/>
      <c r="H8" s="272"/>
      <c r="I8" s="272"/>
      <c r="J8" s="272"/>
      <c r="K8" s="272"/>
      <c r="L8" s="272"/>
    </row>
    <row r="9" spans="1:12">
      <c r="A9" s="272"/>
      <c r="B9" s="272"/>
      <c r="C9" s="271" t="s">
        <v>370</v>
      </c>
      <c r="D9" s="272"/>
      <c r="E9" s="272"/>
      <c r="F9" s="272"/>
      <c r="G9" s="272"/>
      <c r="H9" s="272"/>
      <c r="I9" s="272"/>
      <c r="J9" s="272"/>
      <c r="K9" s="272"/>
      <c r="L9" s="272"/>
    </row>
    <row r="10" spans="1:12">
      <c r="A10" s="272"/>
      <c r="B10" s="272"/>
      <c r="C10" s="272"/>
      <c r="D10" s="272"/>
      <c r="E10" s="272"/>
      <c r="F10" s="272"/>
      <c r="G10" s="272"/>
      <c r="H10" s="272"/>
      <c r="I10" s="272"/>
      <c r="J10" s="272"/>
      <c r="K10" s="272"/>
      <c r="L10" s="272"/>
    </row>
  </sheetData>
  <mergeCells count="5">
    <mergeCell ref="B3:L4"/>
    <mergeCell ref="B5:L5"/>
    <mergeCell ref="B6:L6"/>
    <mergeCell ref="B7:L7"/>
    <mergeCell ref="A2:L2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M33"/>
  <sheetViews>
    <sheetView view="pageBreakPreview" zoomScale="70" zoomScaleNormal="70" zoomScaleSheetLayoutView="70" workbookViewId="0">
      <selection activeCell="B23" sqref="B23"/>
    </sheetView>
  </sheetViews>
  <sheetFormatPr defaultColWidth="9.140625" defaultRowHeight="15"/>
  <cols>
    <col min="1" max="1" width="10.7109375" style="337" customWidth="1"/>
    <col min="2" max="2" width="60.7109375" style="337" customWidth="1"/>
    <col min="3" max="4" width="20.7109375" style="298" customWidth="1"/>
    <col min="5" max="5" width="20.7109375" style="290" customWidth="1"/>
    <col min="6" max="6" width="20.7109375" style="291" customWidth="1"/>
    <col min="7" max="7" width="20.7109375" style="290" customWidth="1"/>
    <col min="8" max="8" width="20.7109375" style="292" customWidth="1"/>
    <col min="9" max="9" width="20.7109375" style="293" customWidth="1"/>
    <col min="10" max="11" width="20.7109375" style="292" customWidth="1"/>
    <col min="12" max="12" width="20.7109375" style="293" customWidth="1"/>
    <col min="13" max="13" width="20.7109375" style="292" customWidth="1"/>
    <col min="14" max="256" width="9.140625" style="337"/>
    <col min="257" max="257" width="10.7109375" style="337" customWidth="1"/>
    <col min="258" max="258" width="60.7109375" style="337" customWidth="1"/>
    <col min="259" max="269" width="20.7109375" style="337" customWidth="1"/>
    <col min="270" max="512" width="9.140625" style="337"/>
    <col min="513" max="513" width="10.7109375" style="337" customWidth="1"/>
    <col min="514" max="514" width="60.7109375" style="337" customWidth="1"/>
    <col min="515" max="525" width="20.7109375" style="337" customWidth="1"/>
    <col min="526" max="768" width="9.140625" style="337"/>
    <col min="769" max="769" width="10.7109375" style="337" customWidth="1"/>
    <col min="770" max="770" width="60.7109375" style="337" customWidth="1"/>
    <col min="771" max="781" width="20.7109375" style="337" customWidth="1"/>
    <col min="782" max="1024" width="9.140625" style="337"/>
    <col min="1025" max="1025" width="10.7109375" style="337" customWidth="1"/>
    <col min="1026" max="1026" width="60.7109375" style="337" customWidth="1"/>
    <col min="1027" max="1037" width="20.7109375" style="337" customWidth="1"/>
    <col min="1038" max="1280" width="9.140625" style="337"/>
    <col min="1281" max="1281" width="10.7109375" style="337" customWidth="1"/>
    <col min="1282" max="1282" width="60.7109375" style="337" customWidth="1"/>
    <col min="1283" max="1293" width="20.7109375" style="337" customWidth="1"/>
    <col min="1294" max="1536" width="9.140625" style="337"/>
    <col min="1537" max="1537" width="10.7109375" style="337" customWidth="1"/>
    <col min="1538" max="1538" width="60.7109375" style="337" customWidth="1"/>
    <col min="1539" max="1549" width="20.7109375" style="337" customWidth="1"/>
    <col min="1550" max="1792" width="9.140625" style="337"/>
    <col min="1793" max="1793" width="10.7109375" style="337" customWidth="1"/>
    <col min="1794" max="1794" width="60.7109375" style="337" customWidth="1"/>
    <col min="1795" max="1805" width="20.7109375" style="337" customWidth="1"/>
    <col min="1806" max="2048" width="9.140625" style="337"/>
    <col min="2049" max="2049" width="10.7109375" style="337" customWidth="1"/>
    <col min="2050" max="2050" width="60.7109375" style="337" customWidth="1"/>
    <col min="2051" max="2061" width="20.7109375" style="337" customWidth="1"/>
    <col min="2062" max="2304" width="9.140625" style="337"/>
    <col min="2305" max="2305" width="10.7109375" style="337" customWidth="1"/>
    <col min="2306" max="2306" width="60.7109375" style="337" customWidth="1"/>
    <col min="2307" max="2317" width="20.7109375" style="337" customWidth="1"/>
    <col min="2318" max="2560" width="9.140625" style="337"/>
    <col min="2561" max="2561" width="10.7109375" style="337" customWidth="1"/>
    <col min="2562" max="2562" width="60.7109375" style="337" customWidth="1"/>
    <col min="2563" max="2573" width="20.7109375" style="337" customWidth="1"/>
    <col min="2574" max="2816" width="9.140625" style="337"/>
    <col min="2817" max="2817" width="10.7109375" style="337" customWidth="1"/>
    <col min="2818" max="2818" width="60.7109375" style="337" customWidth="1"/>
    <col min="2819" max="2829" width="20.7109375" style="337" customWidth="1"/>
    <col min="2830" max="3072" width="9.140625" style="337"/>
    <col min="3073" max="3073" width="10.7109375" style="337" customWidth="1"/>
    <col min="3074" max="3074" width="60.7109375" style="337" customWidth="1"/>
    <col min="3075" max="3085" width="20.7109375" style="337" customWidth="1"/>
    <col min="3086" max="3328" width="9.140625" style="337"/>
    <col min="3329" max="3329" width="10.7109375" style="337" customWidth="1"/>
    <col min="3330" max="3330" width="60.7109375" style="337" customWidth="1"/>
    <col min="3331" max="3341" width="20.7109375" style="337" customWidth="1"/>
    <col min="3342" max="3584" width="9.140625" style="337"/>
    <col min="3585" max="3585" width="10.7109375" style="337" customWidth="1"/>
    <col min="3586" max="3586" width="60.7109375" style="337" customWidth="1"/>
    <col min="3587" max="3597" width="20.7109375" style="337" customWidth="1"/>
    <col min="3598" max="3840" width="9.140625" style="337"/>
    <col min="3841" max="3841" width="10.7109375" style="337" customWidth="1"/>
    <col min="3842" max="3842" width="60.7109375" style="337" customWidth="1"/>
    <col min="3843" max="3853" width="20.7109375" style="337" customWidth="1"/>
    <col min="3854" max="4096" width="9.140625" style="337"/>
    <col min="4097" max="4097" width="10.7109375" style="337" customWidth="1"/>
    <col min="4098" max="4098" width="60.7109375" style="337" customWidth="1"/>
    <col min="4099" max="4109" width="20.7109375" style="337" customWidth="1"/>
    <col min="4110" max="4352" width="9.140625" style="337"/>
    <col min="4353" max="4353" width="10.7109375" style="337" customWidth="1"/>
    <col min="4354" max="4354" width="60.7109375" style="337" customWidth="1"/>
    <col min="4355" max="4365" width="20.7109375" style="337" customWidth="1"/>
    <col min="4366" max="4608" width="9.140625" style="337"/>
    <col min="4609" max="4609" width="10.7109375" style="337" customWidth="1"/>
    <col min="4610" max="4610" width="60.7109375" style="337" customWidth="1"/>
    <col min="4611" max="4621" width="20.7109375" style="337" customWidth="1"/>
    <col min="4622" max="4864" width="9.140625" style="337"/>
    <col min="4865" max="4865" width="10.7109375" style="337" customWidth="1"/>
    <col min="4866" max="4866" width="60.7109375" style="337" customWidth="1"/>
    <col min="4867" max="4877" width="20.7109375" style="337" customWidth="1"/>
    <col min="4878" max="5120" width="9.140625" style="337"/>
    <col min="5121" max="5121" width="10.7109375" style="337" customWidth="1"/>
    <col min="5122" max="5122" width="60.7109375" style="337" customWidth="1"/>
    <col min="5123" max="5133" width="20.7109375" style="337" customWidth="1"/>
    <col min="5134" max="5376" width="9.140625" style="337"/>
    <col min="5377" max="5377" width="10.7109375" style="337" customWidth="1"/>
    <col min="5378" max="5378" width="60.7109375" style="337" customWidth="1"/>
    <col min="5379" max="5389" width="20.7109375" style="337" customWidth="1"/>
    <col min="5390" max="5632" width="9.140625" style="337"/>
    <col min="5633" max="5633" width="10.7109375" style="337" customWidth="1"/>
    <col min="5634" max="5634" width="60.7109375" style="337" customWidth="1"/>
    <col min="5635" max="5645" width="20.7109375" style="337" customWidth="1"/>
    <col min="5646" max="5888" width="9.140625" style="337"/>
    <col min="5889" max="5889" width="10.7109375" style="337" customWidth="1"/>
    <col min="5890" max="5890" width="60.7109375" style="337" customWidth="1"/>
    <col min="5891" max="5901" width="20.7109375" style="337" customWidth="1"/>
    <col min="5902" max="6144" width="9.140625" style="337"/>
    <col min="6145" max="6145" width="10.7109375" style="337" customWidth="1"/>
    <col min="6146" max="6146" width="60.7109375" style="337" customWidth="1"/>
    <col min="6147" max="6157" width="20.7109375" style="337" customWidth="1"/>
    <col min="6158" max="6400" width="9.140625" style="337"/>
    <col min="6401" max="6401" width="10.7109375" style="337" customWidth="1"/>
    <col min="6402" max="6402" width="60.7109375" style="337" customWidth="1"/>
    <col min="6403" max="6413" width="20.7109375" style="337" customWidth="1"/>
    <col min="6414" max="6656" width="9.140625" style="337"/>
    <col min="6657" max="6657" width="10.7109375" style="337" customWidth="1"/>
    <col min="6658" max="6658" width="60.7109375" style="337" customWidth="1"/>
    <col min="6659" max="6669" width="20.7109375" style="337" customWidth="1"/>
    <col min="6670" max="6912" width="9.140625" style="337"/>
    <col min="6913" max="6913" width="10.7109375" style="337" customWidth="1"/>
    <col min="6914" max="6914" width="60.7109375" style="337" customWidth="1"/>
    <col min="6915" max="6925" width="20.7109375" style="337" customWidth="1"/>
    <col min="6926" max="7168" width="9.140625" style="337"/>
    <col min="7169" max="7169" width="10.7109375" style="337" customWidth="1"/>
    <col min="7170" max="7170" width="60.7109375" style="337" customWidth="1"/>
    <col min="7171" max="7181" width="20.7109375" style="337" customWidth="1"/>
    <col min="7182" max="7424" width="9.140625" style="337"/>
    <col min="7425" max="7425" width="10.7109375" style="337" customWidth="1"/>
    <col min="7426" max="7426" width="60.7109375" style="337" customWidth="1"/>
    <col min="7427" max="7437" width="20.7109375" style="337" customWidth="1"/>
    <col min="7438" max="7680" width="9.140625" style="337"/>
    <col min="7681" max="7681" width="10.7109375" style="337" customWidth="1"/>
    <col min="7682" max="7682" width="60.7109375" style="337" customWidth="1"/>
    <col min="7683" max="7693" width="20.7109375" style="337" customWidth="1"/>
    <col min="7694" max="7936" width="9.140625" style="337"/>
    <col min="7937" max="7937" width="10.7109375" style="337" customWidth="1"/>
    <col min="7938" max="7938" width="60.7109375" style="337" customWidth="1"/>
    <col min="7939" max="7949" width="20.7109375" style="337" customWidth="1"/>
    <col min="7950" max="8192" width="9.140625" style="337"/>
    <col min="8193" max="8193" width="10.7109375" style="337" customWidth="1"/>
    <col min="8194" max="8194" width="60.7109375" style="337" customWidth="1"/>
    <col min="8195" max="8205" width="20.7109375" style="337" customWidth="1"/>
    <col min="8206" max="8448" width="9.140625" style="337"/>
    <col min="8449" max="8449" width="10.7109375" style="337" customWidth="1"/>
    <col min="8450" max="8450" width="60.7109375" style="337" customWidth="1"/>
    <col min="8451" max="8461" width="20.7109375" style="337" customWidth="1"/>
    <col min="8462" max="8704" width="9.140625" style="337"/>
    <col min="8705" max="8705" width="10.7109375" style="337" customWidth="1"/>
    <col min="8706" max="8706" width="60.7109375" style="337" customWidth="1"/>
    <col min="8707" max="8717" width="20.7109375" style="337" customWidth="1"/>
    <col min="8718" max="8960" width="9.140625" style="337"/>
    <col min="8961" max="8961" width="10.7109375" style="337" customWidth="1"/>
    <col min="8962" max="8962" width="60.7109375" style="337" customWidth="1"/>
    <col min="8963" max="8973" width="20.7109375" style="337" customWidth="1"/>
    <col min="8974" max="9216" width="9.140625" style="337"/>
    <col min="9217" max="9217" width="10.7109375" style="337" customWidth="1"/>
    <col min="9218" max="9218" width="60.7109375" style="337" customWidth="1"/>
    <col min="9219" max="9229" width="20.7109375" style="337" customWidth="1"/>
    <col min="9230" max="9472" width="9.140625" style="337"/>
    <col min="9473" max="9473" width="10.7109375" style="337" customWidth="1"/>
    <col min="9474" max="9474" width="60.7109375" style="337" customWidth="1"/>
    <col min="9475" max="9485" width="20.7109375" style="337" customWidth="1"/>
    <col min="9486" max="9728" width="9.140625" style="337"/>
    <col min="9729" max="9729" width="10.7109375" style="337" customWidth="1"/>
    <col min="9730" max="9730" width="60.7109375" style="337" customWidth="1"/>
    <col min="9731" max="9741" width="20.7109375" style="337" customWidth="1"/>
    <col min="9742" max="9984" width="9.140625" style="337"/>
    <col min="9985" max="9985" width="10.7109375" style="337" customWidth="1"/>
    <col min="9986" max="9986" width="60.7109375" style="337" customWidth="1"/>
    <col min="9987" max="9997" width="20.7109375" style="337" customWidth="1"/>
    <col min="9998" max="10240" width="9.140625" style="337"/>
    <col min="10241" max="10241" width="10.7109375" style="337" customWidth="1"/>
    <col min="10242" max="10242" width="60.7109375" style="337" customWidth="1"/>
    <col min="10243" max="10253" width="20.7109375" style="337" customWidth="1"/>
    <col min="10254" max="10496" width="9.140625" style="337"/>
    <col min="10497" max="10497" width="10.7109375" style="337" customWidth="1"/>
    <col min="10498" max="10498" width="60.7109375" style="337" customWidth="1"/>
    <col min="10499" max="10509" width="20.7109375" style="337" customWidth="1"/>
    <col min="10510" max="10752" width="9.140625" style="337"/>
    <col min="10753" max="10753" width="10.7109375" style="337" customWidth="1"/>
    <col min="10754" max="10754" width="60.7109375" style="337" customWidth="1"/>
    <col min="10755" max="10765" width="20.7109375" style="337" customWidth="1"/>
    <col min="10766" max="11008" width="9.140625" style="337"/>
    <col min="11009" max="11009" width="10.7109375" style="337" customWidth="1"/>
    <col min="11010" max="11010" width="60.7109375" style="337" customWidth="1"/>
    <col min="11011" max="11021" width="20.7109375" style="337" customWidth="1"/>
    <col min="11022" max="11264" width="9.140625" style="337"/>
    <col min="11265" max="11265" width="10.7109375" style="337" customWidth="1"/>
    <col min="11266" max="11266" width="60.7109375" style="337" customWidth="1"/>
    <col min="11267" max="11277" width="20.7109375" style="337" customWidth="1"/>
    <col min="11278" max="11520" width="9.140625" style="337"/>
    <col min="11521" max="11521" width="10.7109375" style="337" customWidth="1"/>
    <col min="11522" max="11522" width="60.7109375" style="337" customWidth="1"/>
    <col min="11523" max="11533" width="20.7109375" style="337" customWidth="1"/>
    <col min="11534" max="11776" width="9.140625" style="337"/>
    <col min="11777" max="11777" width="10.7109375" style="337" customWidth="1"/>
    <col min="11778" max="11778" width="60.7109375" style="337" customWidth="1"/>
    <col min="11779" max="11789" width="20.7109375" style="337" customWidth="1"/>
    <col min="11790" max="12032" width="9.140625" style="337"/>
    <col min="12033" max="12033" width="10.7109375" style="337" customWidth="1"/>
    <col min="12034" max="12034" width="60.7109375" style="337" customWidth="1"/>
    <col min="12035" max="12045" width="20.7109375" style="337" customWidth="1"/>
    <col min="12046" max="12288" width="9.140625" style="337"/>
    <col min="12289" max="12289" width="10.7109375" style="337" customWidth="1"/>
    <col min="12290" max="12290" width="60.7109375" style="337" customWidth="1"/>
    <col min="12291" max="12301" width="20.7109375" style="337" customWidth="1"/>
    <col min="12302" max="12544" width="9.140625" style="337"/>
    <col min="12545" max="12545" width="10.7109375" style="337" customWidth="1"/>
    <col min="12546" max="12546" width="60.7109375" style="337" customWidth="1"/>
    <col min="12547" max="12557" width="20.7109375" style="337" customWidth="1"/>
    <col min="12558" max="12800" width="9.140625" style="337"/>
    <col min="12801" max="12801" width="10.7109375" style="337" customWidth="1"/>
    <col min="12802" max="12802" width="60.7109375" style="337" customWidth="1"/>
    <col min="12803" max="12813" width="20.7109375" style="337" customWidth="1"/>
    <col min="12814" max="13056" width="9.140625" style="337"/>
    <col min="13057" max="13057" width="10.7109375" style="337" customWidth="1"/>
    <col min="13058" max="13058" width="60.7109375" style="337" customWidth="1"/>
    <col min="13059" max="13069" width="20.7109375" style="337" customWidth="1"/>
    <col min="13070" max="13312" width="9.140625" style="337"/>
    <col min="13313" max="13313" width="10.7109375" style="337" customWidth="1"/>
    <col min="13314" max="13314" width="60.7109375" style="337" customWidth="1"/>
    <col min="13315" max="13325" width="20.7109375" style="337" customWidth="1"/>
    <col min="13326" max="13568" width="9.140625" style="337"/>
    <col min="13569" max="13569" width="10.7109375" style="337" customWidth="1"/>
    <col min="13570" max="13570" width="60.7109375" style="337" customWidth="1"/>
    <col min="13571" max="13581" width="20.7109375" style="337" customWidth="1"/>
    <col min="13582" max="13824" width="9.140625" style="337"/>
    <col min="13825" max="13825" width="10.7109375" style="337" customWidth="1"/>
    <col min="13826" max="13826" width="60.7109375" style="337" customWidth="1"/>
    <col min="13827" max="13837" width="20.7109375" style="337" customWidth="1"/>
    <col min="13838" max="14080" width="9.140625" style="337"/>
    <col min="14081" max="14081" width="10.7109375" style="337" customWidth="1"/>
    <col min="14082" max="14082" width="60.7109375" style="337" customWidth="1"/>
    <col min="14083" max="14093" width="20.7109375" style="337" customWidth="1"/>
    <col min="14094" max="14336" width="9.140625" style="337"/>
    <col min="14337" max="14337" width="10.7109375" style="337" customWidth="1"/>
    <col min="14338" max="14338" width="60.7109375" style="337" customWidth="1"/>
    <col min="14339" max="14349" width="20.7109375" style="337" customWidth="1"/>
    <col min="14350" max="14592" width="9.140625" style="337"/>
    <col min="14593" max="14593" width="10.7109375" style="337" customWidth="1"/>
    <col min="14594" max="14594" width="60.7109375" style="337" customWidth="1"/>
    <col min="14595" max="14605" width="20.7109375" style="337" customWidth="1"/>
    <col min="14606" max="14848" width="9.140625" style="337"/>
    <col min="14849" max="14849" width="10.7109375" style="337" customWidth="1"/>
    <col min="14850" max="14850" width="60.7109375" style="337" customWidth="1"/>
    <col min="14851" max="14861" width="20.7109375" style="337" customWidth="1"/>
    <col min="14862" max="15104" width="9.140625" style="337"/>
    <col min="15105" max="15105" width="10.7109375" style="337" customWidth="1"/>
    <col min="15106" max="15106" width="60.7109375" style="337" customWidth="1"/>
    <col min="15107" max="15117" width="20.7109375" style="337" customWidth="1"/>
    <col min="15118" max="15360" width="9.140625" style="337"/>
    <col min="15361" max="15361" width="10.7109375" style="337" customWidth="1"/>
    <col min="15362" max="15362" width="60.7109375" style="337" customWidth="1"/>
    <col min="15363" max="15373" width="20.7109375" style="337" customWidth="1"/>
    <col min="15374" max="15616" width="9.140625" style="337"/>
    <col min="15617" max="15617" width="10.7109375" style="337" customWidth="1"/>
    <col min="15618" max="15618" width="60.7109375" style="337" customWidth="1"/>
    <col min="15619" max="15629" width="20.7109375" style="337" customWidth="1"/>
    <col min="15630" max="15872" width="9.140625" style="337"/>
    <col min="15873" max="15873" width="10.7109375" style="337" customWidth="1"/>
    <col min="15874" max="15874" width="60.7109375" style="337" customWidth="1"/>
    <col min="15875" max="15885" width="20.7109375" style="337" customWidth="1"/>
    <col min="15886" max="16128" width="9.140625" style="337"/>
    <col min="16129" max="16129" width="10.7109375" style="337" customWidth="1"/>
    <col min="16130" max="16130" width="60.7109375" style="337" customWidth="1"/>
    <col min="16131" max="16141" width="20.7109375" style="337" customWidth="1"/>
    <col min="16142" max="16384" width="9.140625" style="337"/>
  </cols>
  <sheetData>
    <row r="1" spans="1:13" s="288" customFormat="1">
      <c r="C1" s="289"/>
      <c r="D1" s="289"/>
      <c r="E1" s="290"/>
      <c r="F1" s="291"/>
      <c r="G1" s="292"/>
      <c r="H1" s="292"/>
      <c r="I1" s="293"/>
      <c r="J1" s="290"/>
      <c r="K1" s="292"/>
      <c r="L1" s="293"/>
      <c r="M1" s="294" t="s">
        <v>374</v>
      </c>
    </row>
    <row r="2" spans="1:13" s="288" customFormat="1">
      <c r="A2" s="295"/>
      <c r="C2" s="289"/>
      <c r="D2" s="289"/>
      <c r="E2" s="290"/>
      <c r="F2" s="291"/>
      <c r="G2" s="290"/>
      <c r="H2" s="292"/>
      <c r="I2" s="293"/>
      <c r="J2" s="292"/>
      <c r="K2" s="292"/>
      <c r="L2" s="293"/>
      <c r="M2" s="292"/>
    </row>
    <row r="3" spans="1:13" s="288" customFormat="1">
      <c r="A3" s="454" t="s">
        <v>375</v>
      </c>
      <c r="B3" s="454"/>
      <c r="C3" s="454"/>
      <c r="D3" s="454"/>
      <c r="E3" s="454"/>
      <c r="F3" s="454"/>
      <c r="G3" s="454"/>
      <c r="H3" s="454"/>
      <c r="I3" s="454"/>
      <c r="J3" s="454"/>
      <c r="K3" s="454"/>
      <c r="L3" s="454"/>
      <c r="M3" s="454"/>
    </row>
    <row r="4" spans="1:13" s="288" customFormat="1" ht="30" customHeight="1">
      <c r="A4" s="455" t="s">
        <v>376</v>
      </c>
      <c r="B4" s="455"/>
      <c r="C4" s="455"/>
      <c r="D4" s="455"/>
      <c r="E4" s="455"/>
      <c r="F4" s="455"/>
      <c r="G4" s="455"/>
      <c r="H4" s="455"/>
      <c r="I4" s="455"/>
      <c r="J4" s="455"/>
      <c r="K4" s="455"/>
      <c r="L4" s="455"/>
      <c r="M4" s="455"/>
    </row>
    <row r="5" spans="1:13" s="288" customFormat="1">
      <c r="A5" s="456"/>
      <c r="B5" s="456"/>
      <c r="C5" s="456"/>
      <c r="D5" s="456"/>
      <c r="E5" s="456"/>
      <c r="F5" s="456"/>
      <c r="G5" s="456"/>
      <c r="H5" s="292"/>
      <c r="I5" s="293"/>
      <c r="J5" s="292"/>
      <c r="K5" s="292"/>
      <c r="L5" s="293"/>
      <c r="M5" s="292"/>
    </row>
    <row r="6" spans="1:13" s="288" customFormat="1">
      <c r="A6" s="457" t="s">
        <v>377</v>
      </c>
      <c r="B6" s="457"/>
      <c r="C6" s="457"/>
      <c r="D6" s="457"/>
      <c r="E6" s="457"/>
      <c r="F6" s="457"/>
      <c r="G6" s="457"/>
      <c r="H6" s="457"/>
      <c r="I6" s="457"/>
      <c r="J6" s="457"/>
      <c r="K6" s="457"/>
      <c r="L6" s="457"/>
      <c r="M6" s="457"/>
    </row>
    <row r="7" spans="1:13" s="296" customFormat="1">
      <c r="E7" s="294"/>
      <c r="F7" s="297"/>
      <c r="G7" s="294"/>
      <c r="H7" s="294"/>
      <c r="I7" s="297"/>
      <c r="J7" s="294"/>
      <c r="K7" s="294"/>
      <c r="L7" s="297"/>
      <c r="M7" s="294"/>
    </row>
    <row r="8" spans="1:13" s="298" customFormat="1" ht="30" customHeight="1">
      <c r="A8" s="458" t="s">
        <v>239</v>
      </c>
      <c r="B8" s="458" t="s">
        <v>378</v>
      </c>
      <c r="C8" s="458" t="s">
        <v>379</v>
      </c>
      <c r="D8" s="458" t="s">
        <v>380</v>
      </c>
      <c r="E8" s="453" t="s">
        <v>381</v>
      </c>
      <c r="F8" s="453"/>
      <c r="G8" s="453"/>
      <c r="H8" s="453" t="s">
        <v>382</v>
      </c>
      <c r="I8" s="453"/>
      <c r="J8" s="453"/>
      <c r="K8" s="453" t="s">
        <v>383</v>
      </c>
      <c r="L8" s="453"/>
      <c r="M8" s="453"/>
    </row>
    <row r="9" spans="1:13" s="301" customFormat="1" ht="57">
      <c r="A9" s="459"/>
      <c r="B9" s="459"/>
      <c r="C9" s="459"/>
      <c r="D9" s="459"/>
      <c r="E9" s="299" t="s">
        <v>384</v>
      </c>
      <c r="F9" s="300" t="s">
        <v>385</v>
      </c>
      <c r="G9" s="299" t="s">
        <v>386</v>
      </c>
      <c r="H9" s="299" t="s">
        <v>384</v>
      </c>
      <c r="I9" s="300" t="s">
        <v>385</v>
      </c>
      <c r="J9" s="299" t="s">
        <v>386</v>
      </c>
      <c r="K9" s="299" t="s">
        <v>384</v>
      </c>
      <c r="L9" s="300" t="s">
        <v>385</v>
      </c>
      <c r="M9" s="299" t="s">
        <v>386</v>
      </c>
    </row>
    <row r="10" spans="1:13" s="304" customFormat="1">
      <c r="A10" s="302">
        <v>1</v>
      </c>
      <c r="B10" s="302">
        <v>2</v>
      </c>
      <c r="C10" s="302">
        <v>3</v>
      </c>
      <c r="D10" s="302">
        <v>4</v>
      </c>
      <c r="E10" s="302">
        <v>5</v>
      </c>
      <c r="F10" s="302">
        <v>6</v>
      </c>
      <c r="G10" s="302">
        <v>7</v>
      </c>
      <c r="H10" s="303">
        <v>8</v>
      </c>
      <c r="I10" s="303">
        <v>9</v>
      </c>
      <c r="J10" s="303">
        <v>10</v>
      </c>
      <c r="K10" s="303">
        <v>11</v>
      </c>
      <c r="L10" s="303">
        <v>12</v>
      </c>
      <c r="M10" s="303">
        <v>13</v>
      </c>
    </row>
    <row r="11" spans="1:13" s="310" customFormat="1" ht="42.75" customHeight="1">
      <c r="A11" s="305" t="s">
        <v>0</v>
      </c>
      <c r="B11" s="306" t="s">
        <v>387</v>
      </c>
      <c r="C11" s="305">
        <v>2015</v>
      </c>
      <c r="D11" s="305">
        <v>0.4</v>
      </c>
      <c r="E11" s="307">
        <f>19.378*1000</f>
        <v>19378</v>
      </c>
      <c r="F11" s="308">
        <f>MIN(0.4*112*SQRT(3)*0.94,0.06*0.4^2/((1.2+0.081*0.35)*E11)*10^6)</f>
        <v>0.40331107808189437</v>
      </c>
      <c r="G11" s="307">
        <f>29504571.9/1000</f>
        <v>29504.571899999999</v>
      </c>
      <c r="H11" s="309">
        <f>5.065*1000</f>
        <v>5065</v>
      </c>
      <c r="I11" s="308">
        <f>MIN(0.4*112*SQRT(3)*0.94,0.06*0.4^2/((1.2+0.081*0.35)*H11)*10^6)</f>
        <v>1.5430132420673146</v>
      </c>
      <c r="J11" s="309">
        <f>6789782.04/1000</f>
        <v>6789.7820400000001</v>
      </c>
      <c r="K11" s="307">
        <f t="shared" ref="K11:M26" si="0">E11+H11</f>
        <v>24443</v>
      </c>
      <c r="L11" s="308">
        <f t="shared" si="0"/>
        <v>1.9463243201492091</v>
      </c>
      <c r="M11" s="307">
        <f t="shared" si="0"/>
        <v>36294.353940000001</v>
      </c>
    </row>
    <row r="12" spans="1:13" s="310" customFormat="1" ht="42.75" customHeight="1">
      <c r="A12" s="305"/>
      <c r="B12" s="306" t="s">
        <v>387</v>
      </c>
      <c r="C12" s="305">
        <v>2015</v>
      </c>
      <c r="D12" s="305" t="s">
        <v>388</v>
      </c>
      <c r="E12" s="307">
        <f>3.72*1000</f>
        <v>3720</v>
      </c>
      <c r="F12" s="308">
        <f>MIN(10*130*SQRT(3)*0.93,0.06*10^2/((1.176+0.382*0.4)*E12)*10^6)</f>
        <v>1213.8043541589795</v>
      </c>
      <c r="G12" s="307">
        <f>5449089/1000</f>
        <v>5449.0889999999999</v>
      </c>
      <c r="H12" s="309">
        <f>0.661*1000</f>
        <v>661</v>
      </c>
      <c r="I12" s="308">
        <f>MIN(10*130*SQRT(3)*0.93,0.06*10^2/((1.176+0.382*0.4)*H12)*10^6)</f>
        <v>2094.0494263507726</v>
      </c>
      <c r="J12" s="309">
        <f>1021206.95/1000</f>
        <v>1021.20695</v>
      </c>
      <c r="K12" s="307">
        <f t="shared" si="0"/>
        <v>4381</v>
      </c>
      <c r="L12" s="308">
        <f t="shared" si="0"/>
        <v>3307.8537805097521</v>
      </c>
      <c r="M12" s="307">
        <f t="shared" si="0"/>
        <v>6470.2959499999997</v>
      </c>
    </row>
    <row r="13" spans="1:13" s="313" customFormat="1" ht="42.75" customHeight="1">
      <c r="A13" s="305" t="s">
        <v>1</v>
      </c>
      <c r="B13" s="311" t="s">
        <v>389</v>
      </c>
      <c r="C13" s="305">
        <v>2015</v>
      </c>
      <c r="D13" s="305">
        <v>0.4</v>
      </c>
      <c r="E13" s="307">
        <f>0.169*1000</f>
        <v>169</v>
      </c>
      <c r="F13" s="308">
        <f>MIN(0.4*112*SQRT(3)*0.94,0.06*0.4^2/((1.2+0.081*0.35)*E13)*10^6)</f>
        <v>46.244745982668334</v>
      </c>
      <c r="G13" s="307">
        <f>117026/1000</f>
        <v>117.026</v>
      </c>
      <c r="H13" s="309"/>
      <c r="I13" s="308"/>
      <c r="J13" s="309"/>
      <c r="K13" s="309">
        <f t="shared" si="0"/>
        <v>169</v>
      </c>
      <c r="L13" s="312">
        <f t="shared" si="0"/>
        <v>46.244745982668334</v>
      </c>
      <c r="M13" s="309">
        <f t="shared" si="0"/>
        <v>117.026</v>
      </c>
    </row>
    <row r="14" spans="1:13" s="310" customFormat="1" ht="42.75" customHeight="1">
      <c r="A14" s="305" t="s">
        <v>2</v>
      </c>
      <c r="B14" s="306" t="s">
        <v>390</v>
      </c>
      <c r="C14" s="305">
        <v>2015</v>
      </c>
      <c r="D14" s="305">
        <v>0.4</v>
      </c>
      <c r="E14" s="307"/>
      <c r="F14" s="308">
        <f>F15+F16</f>
        <v>5307</v>
      </c>
      <c r="G14" s="307">
        <f>G15+G16</f>
        <v>2855.1970500000002</v>
      </c>
      <c r="H14" s="307"/>
      <c r="I14" s="308">
        <f>I15+I16</f>
        <v>8</v>
      </c>
      <c r="J14" s="307">
        <f>J15+J16</f>
        <v>33.630000000000003</v>
      </c>
      <c r="K14" s="307"/>
      <c r="L14" s="308">
        <f t="shared" si="0"/>
        <v>5315</v>
      </c>
      <c r="M14" s="307">
        <f t="shared" si="0"/>
        <v>2888.8270500000003</v>
      </c>
    </row>
    <row r="15" spans="1:13" s="320" customFormat="1" ht="42.75" customHeight="1">
      <c r="A15" s="314" t="s">
        <v>391</v>
      </c>
      <c r="B15" s="315" t="s">
        <v>392</v>
      </c>
      <c r="C15" s="314">
        <v>2015</v>
      </c>
      <c r="D15" s="314">
        <v>0.4</v>
      </c>
      <c r="E15" s="316"/>
      <c r="F15" s="317">
        <v>1536</v>
      </c>
      <c r="G15" s="316">
        <f>2578117/1000</f>
        <v>2578.1170000000002</v>
      </c>
      <c r="H15" s="316"/>
      <c r="I15" s="317">
        <v>8</v>
      </c>
      <c r="J15" s="316">
        <f>33630/1000</f>
        <v>33.630000000000003</v>
      </c>
      <c r="K15" s="318"/>
      <c r="L15" s="319">
        <f t="shared" si="0"/>
        <v>1544</v>
      </c>
      <c r="M15" s="318">
        <f t="shared" si="0"/>
        <v>2611.7470000000003</v>
      </c>
    </row>
    <row r="16" spans="1:13" s="320" customFormat="1" ht="42.75" customHeight="1">
      <c r="A16" s="314" t="s">
        <v>393</v>
      </c>
      <c r="B16" s="315" t="s">
        <v>394</v>
      </c>
      <c r="C16" s="314">
        <v>2015</v>
      </c>
      <c r="D16" s="314">
        <v>0.4</v>
      </c>
      <c r="E16" s="316"/>
      <c r="F16" s="317">
        <v>3771</v>
      </c>
      <c r="G16" s="316">
        <f>277080.05/1000</f>
        <v>277.08004999999997</v>
      </c>
      <c r="H16" s="318"/>
      <c r="I16" s="319"/>
      <c r="J16" s="318"/>
      <c r="K16" s="318"/>
      <c r="L16" s="319">
        <f t="shared" si="0"/>
        <v>3771</v>
      </c>
      <c r="M16" s="318">
        <f t="shared" si="0"/>
        <v>277.08004999999997</v>
      </c>
    </row>
    <row r="17" spans="1:13" s="310" customFormat="1" ht="42.75" customHeight="1">
      <c r="A17" s="305" t="s">
        <v>3</v>
      </c>
      <c r="B17" s="306" t="s">
        <v>395</v>
      </c>
      <c r="C17" s="305">
        <v>2015</v>
      </c>
      <c r="D17" s="305" t="s">
        <v>388</v>
      </c>
      <c r="E17" s="307"/>
      <c r="F17" s="308">
        <f>F18+F23+F26</f>
        <v>582.95000000000005</v>
      </c>
      <c r="G17" s="307">
        <f>G18+G23+G26</f>
        <v>4090.7375899999997</v>
      </c>
      <c r="H17" s="307"/>
      <c r="I17" s="308">
        <f>I18+I23+I26</f>
        <v>22.25</v>
      </c>
      <c r="J17" s="307">
        <f>J18+J23+J26</f>
        <v>269.03260999999998</v>
      </c>
      <c r="K17" s="307"/>
      <c r="L17" s="308">
        <f t="shared" si="0"/>
        <v>605.20000000000005</v>
      </c>
      <c r="M17" s="307">
        <f t="shared" si="0"/>
        <v>4359.7701999999999</v>
      </c>
    </row>
    <row r="18" spans="1:13" s="320" customFormat="1" ht="42.75" customHeight="1">
      <c r="A18" s="321" t="s">
        <v>396</v>
      </c>
      <c r="B18" s="315" t="s">
        <v>397</v>
      </c>
      <c r="C18" s="314">
        <v>2015</v>
      </c>
      <c r="D18" s="314" t="s">
        <v>388</v>
      </c>
      <c r="E18" s="316"/>
      <c r="F18" s="317">
        <f>SUM(F19:F22)</f>
        <v>66.75</v>
      </c>
      <c r="G18" s="316">
        <f>SUM(G19:G22)</f>
        <v>913.48121999999989</v>
      </c>
      <c r="H18" s="318"/>
      <c r="I18" s="319">
        <f>SUM(I19:I22)</f>
        <v>22.25</v>
      </c>
      <c r="J18" s="318">
        <f>SUM(J19:J22)</f>
        <v>269.03260999999998</v>
      </c>
      <c r="K18" s="318"/>
      <c r="L18" s="319">
        <f t="shared" si="0"/>
        <v>89</v>
      </c>
      <c r="M18" s="318">
        <f t="shared" si="0"/>
        <v>1182.5138299999999</v>
      </c>
    </row>
    <row r="19" spans="1:13" s="328" customFormat="1" ht="42.75" customHeight="1">
      <c r="A19" s="322"/>
      <c r="B19" s="323" t="s">
        <v>398</v>
      </c>
      <c r="C19" s="322">
        <v>2015</v>
      </c>
      <c r="D19" s="322" t="s">
        <v>388</v>
      </c>
      <c r="E19" s="324"/>
      <c r="F19" s="325"/>
      <c r="G19" s="324"/>
      <c r="H19" s="326"/>
      <c r="I19" s="327">
        <f>25*0.89</f>
        <v>22.25</v>
      </c>
      <c r="J19" s="326">
        <f>269032.61/1000</f>
        <v>269.03260999999998</v>
      </c>
      <c r="K19" s="326"/>
      <c r="L19" s="327">
        <f>F19+I19</f>
        <v>22.25</v>
      </c>
      <c r="M19" s="326">
        <f>G19+J19</f>
        <v>269.03260999999998</v>
      </c>
    </row>
    <row r="20" spans="1:13" s="328" customFormat="1" ht="42.75" customHeight="1">
      <c r="A20" s="322"/>
      <c r="B20" s="323" t="s">
        <v>399</v>
      </c>
      <c r="C20" s="322">
        <v>2015</v>
      </c>
      <c r="D20" s="322" t="s">
        <v>388</v>
      </c>
      <c r="E20" s="324"/>
      <c r="F20" s="327">
        <f>25*0.89</f>
        <v>22.25</v>
      </c>
      <c r="G20" s="324">
        <f>226566.61/1000</f>
        <v>226.56661</v>
      </c>
      <c r="H20" s="326"/>
      <c r="I20" s="327"/>
      <c r="J20" s="326"/>
      <c r="K20" s="326"/>
      <c r="L20" s="327">
        <f t="shared" si="0"/>
        <v>22.25</v>
      </c>
      <c r="M20" s="326">
        <f t="shared" si="0"/>
        <v>226.56661</v>
      </c>
    </row>
    <row r="21" spans="1:13" s="328" customFormat="1" ht="42.75" customHeight="1">
      <c r="A21" s="322"/>
      <c r="B21" s="323" t="s">
        <v>400</v>
      </c>
      <c r="C21" s="322">
        <v>2015</v>
      </c>
      <c r="D21" s="322" t="s">
        <v>388</v>
      </c>
      <c r="E21" s="324"/>
      <c r="F21" s="327">
        <f>25*0.89</f>
        <v>22.25</v>
      </c>
      <c r="G21" s="324">
        <f>227211.61/1000</f>
        <v>227.21160999999998</v>
      </c>
      <c r="H21" s="326"/>
      <c r="I21" s="327"/>
      <c r="J21" s="326"/>
      <c r="K21" s="326"/>
      <c r="L21" s="327">
        <f t="shared" si="0"/>
        <v>22.25</v>
      </c>
      <c r="M21" s="326">
        <f t="shared" si="0"/>
        <v>227.21160999999998</v>
      </c>
    </row>
    <row r="22" spans="1:13" s="328" customFormat="1" ht="42.75" customHeight="1">
      <c r="A22" s="322"/>
      <c r="B22" s="323" t="s">
        <v>401</v>
      </c>
      <c r="C22" s="322">
        <v>2015</v>
      </c>
      <c r="D22" s="322" t="s">
        <v>388</v>
      </c>
      <c r="E22" s="324"/>
      <c r="F22" s="327">
        <f>25*0.89</f>
        <v>22.25</v>
      </c>
      <c r="G22" s="324">
        <f>459703/1000</f>
        <v>459.70299999999997</v>
      </c>
      <c r="H22" s="326"/>
      <c r="I22" s="327"/>
      <c r="J22" s="326"/>
      <c r="K22" s="326"/>
      <c r="L22" s="327">
        <f>F22+I22</f>
        <v>22.25</v>
      </c>
      <c r="M22" s="326">
        <f>G22+J22</f>
        <v>459.70299999999997</v>
      </c>
    </row>
    <row r="23" spans="1:13" s="320" customFormat="1" ht="42.75" customHeight="1">
      <c r="A23" s="321" t="s">
        <v>402</v>
      </c>
      <c r="B23" s="315" t="s">
        <v>403</v>
      </c>
      <c r="C23" s="314">
        <v>2015</v>
      </c>
      <c r="D23" s="314" t="s">
        <v>388</v>
      </c>
      <c r="E23" s="316"/>
      <c r="F23" s="317">
        <f>SUM(F24:F25)</f>
        <v>71.2</v>
      </c>
      <c r="G23" s="316">
        <f>SUM(G24:G25)</f>
        <v>1154.2150000000001</v>
      </c>
      <c r="H23" s="318"/>
      <c r="I23" s="319"/>
      <c r="J23" s="318"/>
      <c r="K23" s="318"/>
      <c r="L23" s="319">
        <f t="shared" si="0"/>
        <v>71.2</v>
      </c>
      <c r="M23" s="318">
        <f t="shared" si="0"/>
        <v>1154.2150000000001</v>
      </c>
    </row>
    <row r="24" spans="1:13" s="328" customFormat="1" ht="42.75" customHeight="1">
      <c r="A24" s="322"/>
      <c r="B24" s="323" t="s">
        <v>404</v>
      </c>
      <c r="C24" s="322">
        <v>2015</v>
      </c>
      <c r="D24" s="322" t="s">
        <v>388</v>
      </c>
      <c r="E24" s="324"/>
      <c r="F24" s="325">
        <f>40*0.89</f>
        <v>35.6</v>
      </c>
      <c r="G24" s="324">
        <f>695344/1000</f>
        <v>695.34400000000005</v>
      </c>
      <c r="H24" s="326"/>
      <c r="I24" s="327"/>
      <c r="J24" s="326"/>
      <c r="K24" s="326"/>
      <c r="L24" s="327">
        <f>F24+I24</f>
        <v>35.6</v>
      </c>
      <c r="M24" s="326">
        <f>G24+J24</f>
        <v>695.34400000000005</v>
      </c>
    </row>
    <row r="25" spans="1:13" s="328" customFormat="1" ht="42.75" customHeight="1">
      <c r="A25" s="322"/>
      <c r="B25" s="323" t="s">
        <v>405</v>
      </c>
      <c r="C25" s="322">
        <v>2015</v>
      </c>
      <c r="D25" s="322" t="s">
        <v>388</v>
      </c>
      <c r="E25" s="324"/>
      <c r="F25" s="325">
        <f>40*0.89</f>
        <v>35.6</v>
      </c>
      <c r="G25" s="324">
        <f>458871/1000</f>
        <v>458.87099999999998</v>
      </c>
      <c r="H25" s="326"/>
      <c r="I25" s="327"/>
      <c r="J25" s="326"/>
      <c r="K25" s="326"/>
      <c r="L25" s="327">
        <f t="shared" si="0"/>
        <v>35.6</v>
      </c>
      <c r="M25" s="326">
        <f t="shared" si="0"/>
        <v>458.87099999999998</v>
      </c>
    </row>
    <row r="26" spans="1:13" s="320" customFormat="1" ht="42.75" customHeight="1">
      <c r="A26" s="321" t="s">
        <v>406</v>
      </c>
      <c r="B26" s="315" t="s">
        <v>407</v>
      </c>
      <c r="C26" s="314">
        <v>2015</v>
      </c>
      <c r="D26" s="314" t="s">
        <v>388</v>
      </c>
      <c r="E26" s="316"/>
      <c r="F26" s="317">
        <f>SUM(F27:F28)</f>
        <v>445</v>
      </c>
      <c r="G26" s="316">
        <f>SUM(G27:G28)</f>
        <v>2023.0413699999999</v>
      </c>
      <c r="H26" s="318"/>
      <c r="I26" s="319"/>
      <c r="J26" s="318"/>
      <c r="K26" s="318"/>
      <c r="L26" s="319">
        <f t="shared" si="0"/>
        <v>445</v>
      </c>
      <c r="M26" s="318">
        <f t="shared" si="0"/>
        <v>2023.0413699999999</v>
      </c>
    </row>
    <row r="27" spans="1:13" s="328" customFormat="1" ht="42.75" customHeight="1">
      <c r="A27" s="322"/>
      <c r="B27" s="323" t="s">
        <v>408</v>
      </c>
      <c r="C27" s="322">
        <v>2015</v>
      </c>
      <c r="D27" s="322" t="s">
        <v>388</v>
      </c>
      <c r="E27" s="324"/>
      <c r="F27" s="325">
        <f>250*0.89</f>
        <v>222.5</v>
      </c>
      <c r="G27" s="324">
        <f>967433.51/1000</f>
        <v>967.43350999999996</v>
      </c>
      <c r="H27" s="326"/>
      <c r="I27" s="327"/>
      <c r="J27" s="326"/>
      <c r="K27" s="326"/>
      <c r="L27" s="327">
        <f t="shared" ref="L27:M28" si="1">F27+I27</f>
        <v>222.5</v>
      </c>
      <c r="M27" s="326">
        <f t="shared" si="1"/>
        <v>967.43350999999996</v>
      </c>
    </row>
    <row r="28" spans="1:13" s="328" customFormat="1" ht="42.75" customHeight="1">
      <c r="A28" s="322"/>
      <c r="B28" s="323" t="s">
        <v>409</v>
      </c>
      <c r="C28" s="322">
        <v>2015</v>
      </c>
      <c r="D28" s="322" t="s">
        <v>388</v>
      </c>
      <c r="E28" s="324"/>
      <c r="F28" s="325">
        <f>250*0.89</f>
        <v>222.5</v>
      </c>
      <c r="G28" s="324">
        <f>1055607.86/1000</f>
        <v>1055.6078600000001</v>
      </c>
      <c r="H28" s="326"/>
      <c r="I28" s="327"/>
      <c r="J28" s="326"/>
      <c r="K28" s="326"/>
      <c r="L28" s="327">
        <f t="shared" si="1"/>
        <v>222.5</v>
      </c>
      <c r="M28" s="326">
        <f t="shared" si="1"/>
        <v>1055.6078600000001</v>
      </c>
    </row>
    <row r="29" spans="1:13" s="336" customFormat="1">
      <c r="A29" s="329"/>
      <c r="B29" s="330" t="s">
        <v>410</v>
      </c>
      <c r="C29" s="331"/>
      <c r="D29" s="331"/>
      <c r="E29" s="332"/>
      <c r="F29" s="333"/>
      <c r="G29" s="332"/>
      <c r="H29" s="334"/>
      <c r="I29" s="335"/>
      <c r="J29" s="334"/>
      <c r="K29" s="334"/>
      <c r="L29" s="335"/>
      <c r="M29" s="334"/>
    </row>
    <row r="31" spans="1:13">
      <c r="B31" s="338" t="s">
        <v>411</v>
      </c>
      <c r="C31" s="339"/>
      <c r="D31" s="339" t="s">
        <v>412</v>
      </c>
    </row>
    <row r="32" spans="1:13" s="340" customFormat="1">
      <c r="B32" s="341">
        <v>43361</v>
      </c>
      <c r="C32" s="339"/>
      <c r="D32" s="339"/>
      <c r="E32" s="342"/>
      <c r="F32" s="343"/>
      <c r="G32" s="342"/>
      <c r="H32" s="342"/>
      <c r="I32" s="343"/>
      <c r="J32" s="342"/>
      <c r="K32" s="342"/>
      <c r="L32" s="343"/>
      <c r="M32" s="342"/>
    </row>
    <row r="33" spans="6:13">
      <c r="F33" s="344" t="s">
        <v>413</v>
      </c>
      <c r="G33" s="294">
        <f>G11+G12+G13+G14+G17</f>
        <v>42016.62154</v>
      </c>
      <c r="H33" s="294"/>
      <c r="I33" s="344" t="s">
        <v>413</v>
      </c>
      <c r="J33" s="294">
        <f>J11+J12+J13+J14+J17</f>
        <v>8113.6516000000001</v>
      </c>
      <c r="K33" s="294"/>
      <c r="L33" s="344" t="s">
        <v>413</v>
      </c>
      <c r="M33" s="294">
        <f>M11+M12+M13+M14+M17</f>
        <v>50130.273139999998</v>
      </c>
    </row>
  </sheetData>
  <autoFilter ref="A10:J29"/>
  <mergeCells count="11">
    <mergeCell ref="K8:M8"/>
    <mergeCell ref="A3:M3"/>
    <mergeCell ref="A4:M4"/>
    <mergeCell ref="A5:G5"/>
    <mergeCell ref="A6:M6"/>
    <mergeCell ref="A8:A9"/>
    <mergeCell ref="B8:B9"/>
    <mergeCell ref="C8:C9"/>
    <mergeCell ref="D8:D9"/>
    <mergeCell ref="E8:G8"/>
    <mergeCell ref="H8:J8"/>
  </mergeCells>
  <pageMargins left="0.70866141732283472" right="0.70866141732283472" top="0.74803149606299213" bottom="0.74803149606299213" header="0.31496062992125984" footer="0.31496062992125984"/>
  <pageSetup paperSize="8" scale="64" fitToHeight="1000" orientation="landscape" r:id="rId1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J27"/>
  <sheetViews>
    <sheetView view="pageBreakPreview" topLeftCell="A4" zoomScale="80" zoomScaleNormal="70" zoomScaleSheetLayoutView="80" workbookViewId="0">
      <selection activeCell="K14" sqref="K14"/>
    </sheetView>
  </sheetViews>
  <sheetFormatPr defaultColWidth="9.140625" defaultRowHeight="15"/>
  <cols>
    <col min="1" max="1" width="10.7109375" style="5" customWidth="1"/>
    <col min="2" max="2" width="60.7109375" style="5" customWidth="1"/>
    <col min="3" max="10" width="20.7109375" style="346" customWidth="1"/>
    <col min="11" max="11" width="9.140625" style="5"/>
    <col min="12" max="12" width="12.7109375" style="5" bestFit="1" customWidth="1"/>
    <col min="13" max="256" width="9.140625" style="5"/>
    <col min="257" max="257" width="10.7109375" style="5" customWidth="1"/>
    <col min="258" max="258" width="60.7109375" style="5" customWidth="1"/>
    <col min="259" max="266" width="20.7109375" style="5" customWidth="1"/>
    <col min="267" max="267" width="9.140625" style="5"/>
    <col min="268" max="268" width="12.7109375" style="5" bestFit="1" customWidth="1"/>
    <col min="269" max="512" width="9.140625" style="5"/>
    <col min="513" max="513" width="10.7109375" style="5" customWidth="1"/>
    <col min="514" max="514" width="60.7109375" style="5" customWidth="1"/>
    <col min="515" max="522" width="20.7109375" style="5" customWidth="1"/>
    <col min="523" max="523" width="9.140625" style="5"/>
    <col min="524" max="524" width="12.7109375" style="5" bestFit="1" customWidth="1"/>
    <col min="525" max="768" width="9.140625" style="5"/>
    <col min="769" max="769" width="10.7109375" style="5" customWidth="1"/>
    <col min="770" max="770" width="60.7109375" style="5" customWidth="1"/>
    <col min="771" max="778" width="20.7109375" style="5" customWidth="1"/>
    <col min="779" max="779" width="9.140625" style="5"/>
    <col min="780" max="780" width="12.7109375" style="5" bestFit="1" customWidth="1"/>
    <col min="781" max="1024" width="9.140625" style="5"/>
    <col min="1025" max="1025" width="10.7109375" style="5" customWidth="1"/>
    <col min="1026" max="1026" width="60.7109375" style="5" customWidth="1"/>
    <col min="1027" max="1034" width="20.7109375" style="5" customWidth="1"/>
    <col min="1035" max="1035" width="9.140625" style="5"/>
    <col min="1036" max="1036" width="12.7109375" style="5" bestFit="1" customWidth="1"/>
    <col min="1037" max="1280" width="9.140625" style="5"/>
    <col min="1281" max="1281" width="10.7109375" style="5" customWidth="1"/>
    <col min="1282" max="1282" width="60.7109375" style="5" customWidth="1"/>
    <col min="1283" max="1290" width="20.7109375" style="5" customWidth="1"/>
    <col min="1291" max="1291" width="9.140625" style="5"/>
    <col min="1292" max="1292" width="12.7109375" style="5" bestFit="1" customWidth="1"/>
    <col min="1293" max="1536" width="9.140625" style="5"/>
    <col min="1537" max="1537" width="10.7109375" style="5" customWidth="1"/>
    <col min="1538" max="1538" width="60.7109375" style="5" customWidth="1"/>
    <col min="1539" max="1546" width="20.7109375" style="5" customWidth="1"/>
    <col min="1547" max="1547" width="9.140625" style="5"/>
    <col min="1548" max="1548" width="12.7109375" style="5" bestFit="1" customWidth="1"/>
    <col min="1549" max="1792" width="9.140625" style="5"/>
    <col min="1793" max="1793" width="10.7109375" style="5" customWidth="1"/>
    <col min="1794" max="1794" width="60.7109375" style="5" customWidth="1"/>
    <col min="1795" max="1802" width="20.7109375" style="5" customWidth="1"/>
    <col min="1803" max="1803" width="9.140625" style="5"/>
    <col min="1804" max="1804" width="12.7109375" style="5" bestFit="1" customWidth="1"/>
    <col min="1805" max="2048" width="9.140625" style="5"/>
    <col min="2049" max="2049" width="10.7109375" style="5" customWidth="1"/>
    <col min="2050" max="2050" width="60.7109375" style="5" customWidth="1"/>
    <col min="2051" max="2058" width="20.7109375" style="5" customWidth="1"/>
    <col min="2059" max="2059" width="9.140625" style="5"/>
    <col min="2060" max="2060" width="12.7109375" style="5" bestFit="1" customWidth="1"/>
    <col min="2061" max="2304" width="9.140625" style="5"/>
    <col min="2305" max="2305" width="10.7109375" style="5" customWidth="1"/>
    <col min="2306" max="2306" width="60.7109375" style="5" customWidth="1"/>
    <col min="2307" max="2314" width="20.7109375" style="5" customWidth="1"/>
    <col min="2315" max="2315" width="9.140625" style="5"/>
    <col min="2316" max="2316" width="12.7109375" style="5" bestFit="1" customWidth="1"/>
    <col min="2317" max="2560" width="9.140625" style="5"/>
    <col min="2561" max="2561" width="10.7109375" style="5" customWidth="1"/>
    <col min="2562" max="2562" width="60.7109375" style="5" customWidth="1"/>
    <col min="2563" max="2570" width="20.7109375" style="5" customWidth="1"/>
    <col min="2571" max="2571" width="9.140625" style="5"/>
    <col min="2572" max="2572" width="12.7109375" style="5" bestFit="1" customWidth="1"/>
    <col min="2573" max="2816" width="9.140625" style="5"/>
    <col min="2817" max="2817" width="10.7109375" style="5" customWidth="1"/>
    <col min="2818" max="2818" width="60.7109375" style="5" customWidth="1"/>
    <col min="2819" max="2826" width="20.7109375" style="5" customWidth="1"/>
    <col min="2827" max="2827" width="9.140625" style="5"/>
    <col min="2828" max="2828" width="12.7109375" style="5" bestFit="1" customWidth="1"/>
    <col min="2829" max="3072" width="9.140625" style="5"/>
    <col min="3073" max="3073" width="10.7109375" style="5" customWidth="1"/>
    <col min="3074" max="3074" width="60.7109375" style="5" customWidth="1"/>
    <col min="3075" max="3082" width="20.7109375" style="5" customWidth="1"/>
    <col min="3083" max="3083" width="9.140625" style="5"/>
    <col min="3084" max="3084" width="12.7109375" style="5" bestFit="1" customWidth="1"/>
    <col min="3085" max="3328" width="9.140625" style="5"/>
    <col min="3329" max="3329" width="10.7109375" style="5" customWidth="1"/>
    <col min="3330" max="3330" width="60.7109375" style="5" customWidth="1"/>
    <col min="3331" max="3338" width="20.7109375" style="5" customWidth="1"/>
    <col min="3339" max="3339" width="9.140625" style="5"/>
    <col min="3340" max="3340" width="12.7109375" style="5" bestFit="1" customWidth="1"/>
    <col min="3341" max="3584" width="9.140625" style="5"/>
    <col min="3585" max="3585" width="10.7109375" style="5" customWidth="1"/>
    <col min="3586" max="3586" width="60.7109375" style="5" customWidth="1"/>
    <col min="3587" max="3594" width="20.7109375" style="5" customWidth="1"/>
    <col min="3595" max="3595" width="9.140625" style="5"/>
    <col min="3596" max="3596" width="12.7109375" style="5" bestFit="1" customWidth="1"/>
    <col min="3597" max="3840" width="9.140625" style="5"/>
    <col min="3841" max="3841" width="10.7109375" style="5" customWidth="1"/>
    <col min="3842" max="3842" width="60.7109375" style="5" customWidth="1"/>
    <col min="3843" max="3850" width="20.7109375" style="5" customWidth="1"/>
    <col min="3851" max="3851" width="9.140625" style="5"/>
    <col min="3852" max="3852" width="12.7109375" style="5" bestFit="1" customWidth="1"/>
    <col min="3853" max="4096" width="9.140625" style="5"/>
    <col min="4097" max="4097" width="10.7109375" style="5" customWidth="1"/>
    <col min="4098" max="4098" width="60.7109375" style="5" customWidth="1"/>
    <col min="4099" max="4106" width="20.7109375" style="5" customWidth="1"/>
    <col min="4107" max="4107" width="9.140625" style="5"/>
    <col min="4108" max="4108" width="12.7109375" style="5" bestFit="1" customWidth="1"/>
    <col min="4109" max="4352" width="9.140625" style="5"/>
    <col min="4353" max="4353" width="10.7109375" style="5" customWidth="1"/>
    <col min="4354" max="4354" width="60.7109375" style="5" customWidth="1"/>
    <col min="4355" max="4362" width="20.7109375" style="5" customWidth="1"/>
    <col min="4363" max="4363" width="9.140625" style="5"/>
    <col min="4364" max="4364" width="12.7109375" style="5" bestFit="1" customWidth="1"/>
    <col min="4365" max="4608" width="9.140625" style="5"/>
    <col min="4609" max="4609" width="10.7109375" style="5" customWidth="1"/>
    <col min="4610" max="4610" width="60.7109375" style="5" customWidth="1"/>
    <col min="4611" max="4618" width="20.7109375" style="5" customWidth="1"/>
    <col min="4619" max="4619" width="9.140625" style="5"/>
    <col min="4620" max="4620" width="12.7109375" style="5" bestFit="1" customWidth="1"/>
    <col min="4621" max="4864" width="9.140625" style="5"/>
    <col min="4865" max="4865" width="10.7109375" style="5" customWidth="1"/>
    <col min="4866" max="4866" width="60.7109375" style="5" customWidth="1"/>
    <col min="4867" max="4874" width="20.7109375" style="5" customWidth="1"/>
    <col min="4875" max="4875" width="9.140625" style="5"/>
    <col min="4876" max="4876" width="12.7109375" style="5" bestFit="1" customWidth="1"/>
    <col min="4877" max="5120" width="9.140625" style="5"/>
    <col min="5121" max="5121" width="10.7109375" style="5" customWidth="1"/>
    <col min="5122" max="5122" width="60.7109375" style="5" customWidth="1"/>
    <col min="5123" max="5130" width="20.7109375" style="5" customWidth="1"/>
    <col min="5131" max="5131" width="9.140625" style="5"/>
    <col min="5132" max="5132" width="12.7109375" style="5" bestFit="1" customWidth="1"/>
    <col min="5133" max="5376" width="9.140625" style="5"/>
    <col min="5377" max="5377" width="10.7109375" style="5" customWidth="1"/>
    <col min="5378" max="5378" width="60.7109375" style="5" customWidth="1"/>
    <col min="5379" max="5386" width="20.7109375" style="5" customWidth="1"/>
    <col min="5387" max="5387" width="9.140625" style="5"/>
    <col min="5388" max="5388" width="12.7109375" style="5" bestFit="1" customWidth="1"/>
    <col min="5389" max="5632" width="9.140625" style="5"/>
    <col min="5633" max="5633" width="10.7109375" style="5" customWidth="1"/>
    <col min="5634" max="5634" width="60.7109375" style="5" customWidth="1"/>
    <col min="5635" max="5642" width="20.7109375" style="5" customWidth="1"/>
    <col min="5643" max="5643" width="9.140625" style="5"/>
    <col min="5644" max="5644" width="12.7109375" style="5" bestFit="1" customWidth="1"/>
    <col min="5645" max="5888" width="9.140625" style="5"/>
    <col min="5889" max="5889" width="10.7109375" style="5" customWidth="1"/>
    <col min="5890" max="5890" width="60.7109375" style="5" customWidth="1"/>
    <col min="5891" max="5898" width="20.7109375" style="5" customWidth="1"/>
    <col min="5899" max="5899" width="9.140625" style="5"/>
    <col min="5900" max="5900" width="12.7109375" style="5" bestFit="1" customWidth="1"/>
    <col min="5901" max="6144" width="9.140625" style="5"/>
    <col min="6145" max="6145" width="10.7109375" style="5" customWidth="1"/>
    <col min="6146" max="6146" width="60.7109375" style="5" customWidth="1"/>
    <col min="6147" max="6154" width="20.7109375" style="5" customWidth="1"/>
    <col min="6155" max="6155" width="9.140625" style="5"/>
    <col min="6156" max="6156" width="12.7109375" style="5" bestFit="1" customWidth="1"/>
    <col min="6157" max="6400" width="9.140625" style="5"/>
    <col min="6401" max="6401" width="10.7109375" style="5" customWidth="1"/>
    <col min="6402" max="6402" width="60.7109375" style="5" customWidth="1"/>
    <col min="6403" max="6410" width="20.7109375" style="5" customWidth="1"/>
    <col min="6411" max="6411" width="9.140625" style="5"/>
    <col min="6412" max="6412" width="12.7109375" style="5" bestFit="1" customWidth="1"/>
    <col min="6413" max="6656" width="9.140625" style="5"/>
    <col min="6657" max="6657" width="10.7109375" style="5" customWidth="1"/>
    <col min="6658" max="6658" width="60.7109375" style="5" customWidth="1"/>
    <col min="6659" max="6666" width="20.7109375" style="5" customWidth="1"/>
    <col min="6667" max="6667" width="9.140625" style="5"/>
    <col min="6668" max="6668" width="12.7109375" style="5" bestFit="1" customWidth="1"/>
    <col min="6669" max="6912" width="9.140625" style="5"/>
    <col min="6913" max="6913" width="10.7109375" style="5" customWidth="1"/>
    <col min="6914" max="6914" width="60.7109375" style="5" customWidth="1"/>
    <col min="6915" max="6922" width="20.7109375" style="5" customWidth="1"/>
    <col min="6923" max="6923" width="9.140625" style="5"/>
    <col min="6924" max="6924" width="12.7109375" style="5" bestFit="1" customWidth="1"/>
    <col min="6925" max="7168" width="9.140625" style="5"/>
    <col min="7169" max="7169" width="10.7109375" style="5" customWidth="1"/>
    <col min="7170" max="7170" width="60.7109375" style="5" customWidth="1"/>
    <col min="7171" max="7178" width="20.7109375" style="5" customWidth="1"/>
    <col min="7179" max="7179" width="9.140625" style="5"/>
    <col min="7180" max="7180" width="12.7109375" style="5" bestFit="1" customWidth="1"/>
    <col min="7181" max="7424" width="9.140625" style="5"/>
    <col min="7425" max="7425" width="10.7109375" style="5" customWidth="1"/>
    <col min="7426" max="7426" width="60.7109375" style="5" customWidth="1"/>
    <col min="7427" max="7434" width="20.7109375" style="5" customWidth="1"/>
    <col min="7435" max="7435" width="9.140625" style="5"/>
    <col min="7436" max="7436" width="12.7109375" style="5" bestFit="1" customWidth="1"/>
    <col min="7437" max="7680" width="9.140625" style="5"/>
    <col min="7681" max="7681" width="10.7109375" style="5" customWidth="1"/>
    <col min="7682" max="7682" width="60.7109375" style="5" customWidth="1"/>
    <col min="7683" max="7690" width="20.7109375" style="5" customWidth="1"/>
    <col min="7691" max="7691" width="9.140625" style="5"/>
    <col min="7692" max="7692" width="12.7109375" style="5" bestFit="1" customWidth="1"/>
    <col min="7693" max="7936" width="9.140625" style="5"/>
    <col min="7937" max="7937" width="10.7109375" style="5" customWidth="1"/>
    <col min="7938" max="7938" width="60.7109375" style="5" customWidth="1"/>
    <col min="7939" max="7946" width="20.7109375" style="5" customWidth="1"/>
    <col min="7947" max="7947" width="9.140625" style="5"/>
    <col min="7948" max="7948" width="12.7109375" style="5" bestFit="1" customWidth="1"/>
    <col min="7949" max="8192" width="9.140625" style="5"/>
    <col min="8193" max="8193" width="10.7109375" style="5" customWidth="1"/>
    <col min="8194" max="8194" width="60.7109375" style="5" customWidth="1"/>
    <col min="8195" max="8202" width="20.7109375" style="5" customWidth="1"/>
    <col min="8203" max="8203" width="9.140625" style="5"/>
    <col min="8204" max="8204" width="12.7109375" style="5" bestFit="1" customWidth="1"/>
    <col min="8205" max="8448" width="9.140625" style="5"/>
    <col min="8449" max="8449" width="10.7109375" style="5" customWidth="1"/>
    <col min="8450" max="8450" width="60.7109375" style="5" customWidth="1"/>
    <col min="8451" max="8458" width="20.7109375" style="5" customWidth="1"/>
    <col min="8459" max="8459" width="9.140625" style="5"/>
    <col min="8460" max="8460" width="12.7109375" style="5" bestFit="1" customWidth="1"/>
    <col min="8461" max="8704" width="9.140625" style="5"/>
    <col min="8705" max="8705" width="10.7109375" style="5" customWidth="1"/>
    <col min="8706" max="8706" width="60.7109375" style="5" customWidth="1"/>
    <col min="8707" max="8714" width="20.7109375" style="5" customWidth="1"/>
    <col min="8715" max="8715" width="9.140625" style="5"/>
    <col min="8716" max="8716" width="12.7109375" style="5" bestFit="1" customWidth="1"/>
    <col min="8717" max="8960" width="9.140625" style="5"/>
    <col min="8961" max="8961" width="10.7109375" style="5" customWidth="1"/>
    <col min="8962" max="8962" width="60.7109375" style="5" customWidth="1"/>
    <col min="8963" max="8970" width="20.7109375" style="5" customWidth="1"/>
    <col min="8971" max="8971" width="9.140625" style="5"/>
    <col min="8972" max="8972" width="12.7109375" style="5" bestFit="1" customWidth="1"/>
    <col min="8973" max="9216" width="9.140625" style="5"/>
    <col min="9217" max="9217" width="10.7109375" style="5" customWidth="1"/>
    <col min="9218" max="9218" width="60.7109375" style="5" customWidth="1"/>
    <col min="9219" max="9226" width="20.7109375" style="5" customWidth="1"/>
    <col min="9227" max="9227" width="9.140625" style="5"/>
    <col min="9228" max="9228" width="12.7109375" style="5" bestFit="1" customWidth="1"/>
    <col min="9229" max="9472" width="9.140625" style="5"/>
    <col min="9473" max="9473" width="10.7109375" style="5" customWidth="1"/>
    <col min="9474" max="9474" width="60.7109375" style="5" customWidth="1"/>
    <col min="9475" max="9482" width="20.7109375" style="5" customWidth="1"/>
    <col min="9483" max="9483" width="9.140625" style="5"/>
    <col min="9484" max="9484" width="12.7109375" style="5" bestFit="1" customWidth="1"/>
    <col min="9485" max="9728" width="9.140625" style="5"/>
    <col min="9729" max="9729" width="10.7109375" style="5" customWidth="1"/>
    <col min="9730" max="9730" width="60.7109375" style="5" customWidth="1"/>
    <col min="9731" max="9738" width="20.7109375" style="5" customWidth="1"/>
    <col min="9739" max="9739" width="9.140625" style="5"/>
    <col min="9740" max="9740" width="12.7109375" style="5" bestFit="1" customWidth="1"/>
    <col min="9741" max="9984" width="9.140625" style="5"/>
    <col min="9985" max="9985" width="10.7109375" style="5" customWidth="1"/>
    <col min="9986" max="9986" width="60.7109375" style="5" customWidth="1"/>
    <col min="9987" max="9994" width="20.7109375" style="5" customWidth="1"/>
    <col min="9995" max="9995" width="9.140625" style="5"/>
    <col min="9996" max="9996" width="12.7109375" style="5" bestFit="1" customWidth="1"/>
    <col min="9997" max="10240" width="9.140625" style="5"/>
    <col min="10241" max="10241" width="10.7109375" style="5" customWidth="1"/>
    <col min="10242" max="10242" width="60.7109375" style="5" customWidth="1"/>
    <col min="10243" max="10250" width="20.7109375" style="5" customWidth="1"/>
    <col min="10251" max="10251" width="9.140625" style="5"/>
    <col min="10252" max="10252" width="12.7109375" style="5" bestFit="1" customWidth="1"/>
    <col min="10253" max="10496" width="9.140625" style="5"/>
    <col min="10497" max="10497" width="10.7109375" style="5" customWidth="1"/>
    <col min="10498" max="10498" width="60.7109375" style="5" customWidth="1"/>
    <col min="10499" max="10506" width="20.7109375" style="5" customWidth="1"/>
    <col min="10507" max="10507" width="9.140625" style="5"/>
    <col min="10508" max="10508" width="12.7109375" style="5" bestFit="1" customWidth="1"/>
    <col min="10509" max="10752" width="9.140625" style="5"/>
    <col min="10753" max="10753" width="10.7109375" style="5" customWidth="1"/>
    <col min="10754" max="10754" width="60.7109375" style="5" customWidth="1"/>
    <col min="10755" max="10762" width="20.7109375" style="5" customWidth="1"/>
    <col min="10763" max="10763" width="9.140625" style="5"/>
    <col min="10764" max="10764" width="12.7109375" style="5" bestFit="1" customWidth="1"/>
    <col min="10765" max="11008" width="9.140625" style="5"/>
    <col min="11009" max="11009" width="10.7109375" style="5" customWidth="1"/>
    <col min="11010" max="11010" width="60.7109375" style="5" customWidth="1"/>
    <col min="11011" max="11018" width="20.7109375" style="5" customWidth="1"/>
    <col min="11019" max="11019" width="9.140625" style="5"/>
    <col min="11020" max="11020" width="12.7109375" style="5" bestFit="1" customWidth="1"/>
    <col min="11021" max="11264" width="9.140625" style="5"/>
    <col min="11265" max="11265" width="10.7109375" style="5" customWidth="1"/>
    <col min="11266" max="11266" width="60.7109375" style="5" customWidth="1"/>
    <col min="11267" max="11274" width="20.7109375" style="5" customWidth="1"/>
    <col min="11275" max="11275" width="9.140625" style="5"/>
    <col min="11276" max="11276" width="12.7109375" style="5" bestFit="1" customWidth="1"/>
    <col min="11277" max="11520" width="9.140625" style="5"/>
    <col min="11521" max="11521" width="10.7109375" style="5" customWidth="1"/>
    <col min="11522" max="11522" width="60.7109375" style="5" customWidth="1"/>
    <col min="11523" max="11530" width="20.7109375" style="5" customWidth="1"/>
    <col min="11531" max="11531" width="9.140625" style="5"/>
    <col min="11532" max="11532" width="12.7109375" style="5" bestFit="1" customWidth="1"/>
    <col min="11533" max="11776" width="9.140625" style="5"/>
    <col min="11777" max="11777" width="10.7109375" style="5" customWidth="1"/>
    <col min="11778" max="11778" width="60.7109375" style="5" customWidth="1"/>
    <col min="11779" max="11786" width="20.7109375" style="5" customWidth="1"/>
    <col min="11787" max="11787" width="9.140625" style="5"/>
    <col min="11788" max="11788" width="12.7109375" style="5" bestFit="1" customWidth="1"/>
    <col min="11789" max="12032" width="9.140625" style="5"/>
    <col min="12033" max="12033" width="10.7109375" style="5" customWidth="1"/>
    <col min="12034" max="12034" width="60.7109375" style="5" customWidth="1"/>
    <col min="12035" max="12042" width="20.7109375" style="5" customWidth="1"/>
    <col min="12043" max="12043" width="9.140625" style="5"/>
    <col min="12044" max="12044" width="12.7109375" style="5" bestFit="1" customWidth="1"/>
    <col min="12045" max="12288" width="9.140625" style="5"/>
    <col min="12289" max="12289" width="10.7109375" style="5" customWidth="1"/>
    <col min="12290" max="12290" width="60.7109375" style="5" customWidth="1"/>
    <col min="12291" max="12298" width="20.7109375" style="5" customWidth="1"/>
    <col min="12299" max="12299" width="9.140625" style="5"/>
    <col min="12300" max="12300" width="12.7109375" style="5" bestFit="1" customWidth="1"/>
    <col min="12301" max="12544" width="9.140625" style="5"/>
    <col min="12545" max="12545" width="10.7109375" style="5" customWidth="1"/>
    <col min="12546" max="12546" width="60.7109375" style="5" customWidth="1"/>
    <col min="12547" max="12554" width="20.7109375" style="5" customWidth="1"/>
    <col min="12555" max="12555" width="9.140625" style="5"/>
    <col min="12556" max="12556" width="12.7109375" style="5" bestFit="1" customWidth="1"/>
    <col min="12557" max="12800" width="9.140625" style="5"/>
    <col min="12801" max="12801" width="10.7109375" style="5" customWidth="1"/>
    <col min="12802" max="12802" width="60.7109375" style="5" customWidth="1"/>
    <col min="12803" max="12810" width="20.7109375" style="5" customWidth="1"/>
    <col min="12811" max="12811" width="9.140625" style="5"/>
    <col min="12812" max="12812" width="12.7109375" style="5" bestFit="1" customWidth="1"/>
    <col min="12813" max="13056" width="9.140625" style="5"/>
    <col min="13057" max="13057" width="10.7109375" style="5" customWidth="1"/>
    <col min="13058" max="13058" width="60.7109375" style="5" customWidth="1"/>
    <col min="13059" max="13066" width="20.7109375" style="5" customWidth="1"/>
    <col min="13067" max="13067" width="9.140625" style="5"/>
    <col min="13068" max="13068" width="12.7109375" style="5" bestFit="1" customWidth="1"/>
    <col min="13069" max="13312" width="9.140625" style="5"/>
    <col min="13313" max="13313" width="10.7109375" style="5" customWidth="1"/>
    <col min="13314" max="13314" width="60.7109375" style="5" customWidth="1"/>
    <col min="13315" max="13322" width="20.7109375" style="5" customWidth="1"/>
    <col min="13323" max="13323" width="9.140625" style="5"/>
    <col min="13324" max="13324" width="12.7109375" style="5" bestFit="1" customWidth="1"/>
    <col min="13325" max="13568" width="9.140625" style="5"/>
    <col min="13569" max="13569" width="10.7109375" style="5" customWidth="1"/>
    <col min="13570" max="13570" width="60.7109375" style="5" customWidth="1"/>
    <col min="13571" max="13578" width="20.7109375" style="5" customWidth="1"/>
    <col min="13579" max="13579" width="9.140625" style="5"/>
    <col min="13580" max="13580" width="12.7109375" style="5" bestFit="1" customWidth="1"/>
    <col min="13581" max="13824" width="9.140625" style="5"/>
    <col min="13825" max="13825" width="10.7109375" style="5" customWidth="1"/>
    <col min="13826" max="13826" width="60.7109375" style="5" customWidth="1"/>
    <col min="13827" max="13834" width="20.7109375" style="5" customWidth="1"/>
    <col min="13835" max="13835" width="9.140625" style="5"/>
    <col min="13836" max="13836" width="12.7109375" style="5" bestFit="1" customWidth="1"/>
    <col min="13837" max="14080" width="9.140625" style="5"/>
    <col min="14081" max="14081" width="10.7109375" style="5" customWidth="1"/>
    <col min="14082" max="14082" width="60.7109375" style="5" customWidth="1"/>
    <col min="14083" max="14090" width="20.7109375" style="5" customWidth="1"/>
    <col min="14091" max="14091" width="9.140625" style="5"/>
    <col min="14092" max="14092" width="12.7109375" style="5" bestFit="1" customWidth="1"/>
    <col min="14093" max="14336" width="9.140625" style="5"/>
    <col min="14337" max="14337" width="10.7109375" style="5" customWidth="1"/>
    <col min="14338" max="14338" width="60.7109375" style="5" customWidth="1"/>
    <col min="14339" max="14346" width="20.7109375" style="5" customWidth="1"/>
    <col min="14347" max="14347" width="9.140625" style="5"/>
    <col min="14348" max="14348" width="12.7109375" style="5" bestFit="1" customWidth="1"/>
    <col min="14349" max="14592" width="9.140625" style="5"/>
    <col min="14593" max="14593" width="10.7109375" style="5" customWidth="1"/>
    <col min="14594" max="14594" width="60.7109375" style="5" customWidth="1"/>
    <col min="14595" max="14602" width="20.7109375" style="5" customWidth="1"/>
    <col min="14603" max="14603" width="9.140625" style="5"/>
    <col min="14604" max="14604" width="12.7109375" style="5" bestFit="1" customWidth="1"/>
    <col min="14605" max="14848" width="9.140625" style="5"/>
    <col min="14849" max="14849" width="10.7109375" style="5" customWidth="1"/>
    <col min="14850" max="14850" width="60.7109375" style="5" customWidth="1"/>
    <col min="14851" max="14858" width="20.7109375" style="5" customWidth="1"/>
    <col min="14859" max="14859" width="9.140625" style="5"/>
    <col min="14860" max="14860" width="12.7109375" style="5" bestFit="1" customWidth="1"/>
    <col min="14861" max="15104" width="9.140625" style="5"/>
    <col min="15105" max="15105" width="10.7109375" style="5" customWidth="1"/>
    <col min="15106" max="15106" width="60.7109375" style="5" customWidth="1"/>
    <col min="15107" max="15114" width="20.7109375" style="5" customWidth="1"/>
    <col min="15115" max="15115" width="9.140625" style="5"/>
    <col min="15116" max="15116" width="12.7109375" style="5" bestFit="1" customWidth="1"/>
    <col min="15117" max="15360" width="9.140625" style="5"/>
    <col min="15361" max="15361" width="10.7109375" style="5" customWidth="1"/>
    <col min="15362" max="15362" width="60.7109375" style="5" customWidth="1"/>
    <col min="15363" max="15370" width="20.7109375" style="5" customWidth="1"/>
    <col min="15371" max="15371" width="9.140625" style="5"/>
    <col min="15372" max="15372" width="12.7109375" style="5" bestFit="1" customWidth="1"/>
    <col min="15373" max="15616" width="9.140625" style="5"/>
    <col min="15617" max="15617" width="10.7109375" style="5" customWidth="1"/>
    <col min="15618" max="15618" width="60.7109375" style="5" customWidth="1"/>
    <col min="15619" max="15626" width="20.7109375" style="5" customWidth="1"/>
    <col min="15627" max="15627" width="9.140625" style="5"/>
    <col min="15628" max="15628" width="12.7109375" style="5" bestFit="1" customWidth="1"/>
    <col min="15629" max="15872" width="9.140625" style="5"/>
    <col min="15873" max="15873" width="10.7109375" style="5" customWidth="1"/>
    <col min="15874" max="15874" width="60.7109375" style="5" customWidth="1"/>
    <col min="15875" max="15882" width="20.7109375" style="5" customWidth="1"/>
    <col min="15883" max="15883" width="9.140625" style="5"/>
    <col min="15884" max="15884" width="12.7109375" style="5" bestFit="1" customWidth="1"/>
    <col min="15885" max="16128" width="9.140625" style="5"/>
    <col min="16129" max="16129" width="10.7109375" style="5" customWidth="1"/>
    <col min="16130" max="16130" width="60.7109375" style="5" customWidth="1"/>
    <col min="16131" max="16138" width="20.7109375" style="5" customWidth="1"/>
    <col min="16139" max="16139" width="9.140625" style="5"/>
    <col min="16140" max="16140" width="12.7109375" style="5" bestFit="1" customWidth="1"/>
    <col min="16141" max="16384" width="9.140625" style="5"/>
  </cols>
  <sheetData>
    <row r="1" spans="1:10" s="345" customFormat="1">
      <c r="C1" s="346"/>
      <c r="D1" s="346"/>
      <c r="E1" s="346"/>
      <c r="F1" s="346"/>
      <c r="G1" s="346"/>
      <c r="H1" s="346"/>
      <c r="I1" s="346"/>
      <c r="J1" s="347" t="s">
        <v>414</v>
      </c>
    </row>
    <row r="2" spans="1:10" s="345" customFormat="1">
      <c r="A2" s="348"/>
      <c r="C2" s="346"/>
      <c r="D2" s="346"/>
      <c r="E2" s="346"/>
      <c r="F2" s="346"/>
      <c r="G2" s="346"/>
      <c r="H2" s="346"/>
      <c r="I2" s="346"/>
      <c r="J2" s="346"/>
    </row>
    <row r="3" spans="1:10" s="345" customFormat="1">
      <c r="A3" s="460" t="s">
        <v>375</v>
      </c>
      <c r="B3" s="460"/>
      <c r="C3" s="460"/>
      <c r="D3" s="460"/>
      <c r="E3" s="460"/>
      <c r="F3" s="460"/>
      <c r="G3" s="460"/>
      <c r="H3" s="460"/>
      <c r="I3" s="460"/>
      <c r="J3" s="460"/>
    </row>
    <row r="4" spans="1:10" s="345" customFormat="1" ht="30" customHeight="1">
      <c r="A4" s="461" t="s">
        <v>376</v>
      </c>
      <c r="B4" s="461"/>
      <c r="C4" s="461"/>
      <c r="D4" s="461"/>
      <c r="E4" s="461"/>
      <c r="F4" s="461"/>
      <c r="G4" s="461"/>
      <c r="H4" s="461"/>
      <c r="I4" s="461"/>
      <c r="J4" s="461"/>
    </row>
    <row r="5" spans="1:10" s="345" customFormat="1">
      <c r="A5" s="462"/>
      <c r="B5" s="462"/>
      <c r="C5" s="462"/>
      <c r="D5" s="462"/>
      <c r="E5" s="462"/>
      <c r="F5" s="462"/>
      <c r="G5" s="346"/>
      <c r="H5" s="346"/>
      <c r="I5" s="346"/>
      <c r="J5" s="346"/>
    </row>
    <row r="6" spans="1:10" s="345" customFormat="1">
      <c r="A6" s="457" t="s">
        <v>415</v>
      </c>
      <c r="B6" s="457"/>
      <c r="C6" s="457"/>
      <c r="D6" s="457"/>
      <c r="E6" s="457"/>
      <c r="F6" s="457"/>
      <c r="G6" s="457"/>
      <c r="H6" s="457"/>
      <c r="I6" s="457"/>
      <c r="J6" s="457"/>
    </row>
    <row r="7" spans="1:10" s="349" customFormat="1">
      <c r="C7" s="346"/>
      <c r="D7" s="346"/>
      <c r="E7" s="346"/>
      <c r="F7" s="346"/>
      <c r="G7" s="346"/>
      <c r="H7" s="346"/>
      <c r="I7" s="346"/>
      <c r="J7" s="346"/>
    </row>
    <row r="8" spans="1:10" s="350" customFormat="1" ht="30" customHeight="1">
      <c r="A8" s="463" t="s">
        <v>239</v>
      </c>
      <c r="B8" s="463" t="s">
        <v>378</v>
      </c>
      <c r="C8" s="463" t="s">
        <v>379</v>
      </c>
      <c r="D8" s="463" t="s">
        <v>380</v>
      </c>
      <c r="E8" s="453" t="s">
        <v>381</v>
      </c>
      <c r="F8" s="453"/>
      <c r="G8" s="453" t="s">
        <v>382</v>
      </c>
      <c r="H8" s="453"/>
      <c r="I8" s="453" t="s">
        <v>383</v>
      </c>
      <c r="J8" s="453"/>
    </row>
    <row r="9" spans="1:10" s="346" customFormat="1" ht="57">
      <c r="A9" s="463"/>
      <c r="B9" s="463"/>
      <c r="C9" s="463"/>
      <c r="D9" s="463"/>
      <c r="E9" s="351" t="s">
        <v>384</v>
      </c>
      <c r="F9" s="351" t="s">
        <v>416</v>
      </c>
      <c r="G9" s="351" t="s">
        <v>384</v>
      </c>
      <c r="H9" s="351" t="s">
        <v>416</v>
      </c>
      <c r="I9" s="351" t="s">
        <v>384</v>
      </c>
      <c r="J9" s="351" t="s">
        <v>416</v>
      </c>
    </row>
    <row r="10" spans="1:10" s="346" customFormat="1">
      <c r="A10" s="352">
        <v>1</v>
      </c>
      <c r="B10" s="352">
        <v>2</v>
      </c>
      <c r="C10" s="352">
        <v>3</v>
      </c>
      <c r="D10" s="352">
        <v>4</v>
      </c>
      <c r="E10" s="352">
        <v>5</v>
      </c>
      <c r="F10" s="352">
        <v>6</v>
      </c>
      <c r="G10" s="353">
        <v>7</v>
      </c>
      <c r="H10" s="353">
        <v>8</v>
      </c>
      <c r="I10" s="353">
        <v>9</v>
      </c>
      <c r="J10" s="353">
        <v>10</v>
      </c>
    </row>
    <row r="11" spans="1:10" s="358" customFormat="1" ht="42.75" customHeight="1">
      <c r="A11" s="354" t="s">
        <v>0</v>
      </c>
      <c r="B11" s="355" t="s">
        <v>387</v>
      </c>
      <c r="C11" s="356">
        <v>2015</v>
      </c>
      <c r="D11" s="356">
        <v>0.4</v>
      </c>
      <c r="E11" s="357">
        <f>1.636*1000</f>
        <v>1636</v>
      </c>
      <c r="F11" s="307">
        <v>402</v>
      </c>
      <c r="G11" s="309">
        <f>0.07*1000</f>
        <v>70</v>
      </c>
      <c r="H11" s="307">
        <v>16</v>
      </c>
      <c r="I11" s="309">
        <f t="shared" ref="I11:J23" si="0">E11+G11</f>
        <v>1706</v>
      </c>
      <c r="J11" s="309">
        <f t="shared" si="0"/>
        <v>418</v>
      </c>
    </row>
    <row r="12" spans="1:10" s="358" customFormat="1" ht="42.75" customHeight="1">
      <c r="A12" s="354"/>
      <c r="B12" s="355" t="s">
        <v>387</v>
      </c>
      <c r="C12" s="356">
        <v>2015</v>
      </c>
      <c r="D12" s="356" t="s">
        <v>417</v>
      </c>
      <c r="E12" s="357">
        <f>3.302*1000</f>
        <v>3302</v>
      </c>
      <c r="F12" s="307">
        <v>460</v>
      </c>
      <c r="G12" s="309"/>
      <c r="H12" s="307"/>
      <c r="I12" s="309">
        <f t="shared" si="0"/>
        <v>3302</v>
      </c>
      <c r="J12" s="309">
        <f t="shared" si="0"/>
        <v>460</v>
      </c>
    </row>
    <row r="13" spans="1:10" s="358" customFormat="1" ht="42.75" customHeight="1">
      <c r="A13" s="354" t="s">
        <v>1</v>
      </c>
      <c r="B13" s="355" t="s">
        <v>389</v>
      </c>
      <c r="C13" s="356">
        <v>2015</v>
      </c>
      <c r="D13" s="356">
        <v>0.4</v>
      </c>
      <c r="E13" s="357">
        <f>0.565*1000</f>
        <v>565</v>
      </c>
      <c r="F13" s="307">
        <v>350</v>
      </c>
      <c r="G13" s="309"/>
      <c r="H13" s="307"/>
      <c r="I13" s="309">
        <f t="shared" si="0"/>
        <v>565</v>
      </c>
      <c r="J13" s="309">
        <f t="shared" si="0"/>
        <v>350</v>
      </c>
    </row>
    <row r="14" spans="1:10" s="358" customFormat="1" ht="42.75" customHeight="1">
      <c r="A14" s="354"/>
      <c r="B14" s="355" t="s">
        <v>389</v>
      </c>
      <c r="C14" s="356">
        <v>2015</v>
      </c>
      <c r="D14" s="356" t="s">
        <v>417</v>
      </c>
      <c r="E14" s="357">
        <f>3.042*1000</f>
        <v>3042</v>
      </c>
      <c r="F14" s="307">
        <v>2020.78</v>
      </c>
      <c r="G14" s="309"/>
      <c r="H14" s="307"/>
      <c r="I14" s="309">
        <f t="shared" si="0"/>
        <v>3042</v>
      </c>
      <c r="J14" s="309">
        <f t="shared" si="0"/>
        <v>2020.78</v>
      </c>
    </row>
    <row r="15" spans="1:10" s="359" customFormat="1" ht="42.75" customHeight="1">
      <c r="A15" s="305" t="s">
        <v>3</v>
      </c>
      <c r="B15" s="306" t="s">
        <v>395</v>
      </c>
      <c r="C15" s="309">
        <v>2015</v>
      </c>
      <c r="D15" s="309" t="s">
        <v>388</v>
      </c>
      <c r="E15" s="309"/>
      <c r="F15" s="309">
        <f>F16+F18+F20</f>
        <v>622</v>
      </c>
      <c r="G15" s="309"/>
      <c r="H15" s="309"/>
      <c r="I15" s="309"/>
      <c r="J15" s="309">
        <f t="shared" si="0"/>
        <v>622</v>
      </c>
    </row>
    <row r="16" spans="1:10" s="52" customFormat="1" ht="42.75" customHeight="1">
      <c r="A16" s="360" t="s">
        <v>406</v>
      </c>
      <c r="B16" s="361" t="s">
        <v>407</v>
      </c>
      <c r="C16" s="316">
        <v>2015</v>
      </c>
      <c r="D16" s="316" t="s">
        <v>388</v>
      </c>
      <c r="E16" s="316"/>
      <c r="F16" s="316">
        <f>F17</f>
        <v>92</v>
      </c>
      <c r="G16" s="318"/>
      <c r="H16" s="318"/>
      <c r="I16" s="316"/>
      <c r="J16" s="316">
        <f t="shared" si="0"/>
        <v>92</v>
      </c>
    </row>
    <row r="17" spans="1:10" s="328" customFormat="1" ht="42.75" customHeight="1">
      <c r="A17" s="322"/>
      <c r="B17" s="323" t="s">
        <v>418</v>
      </c>
      <c r="C17" s="324">
        <v>2015</v>
      </c>
      <c r="D17" s="324" t="s">
        <v>388</v>
      </c>
      <c r="E17" s="324"/>
      <c r="F17" s="324">
        <v>92</v>
      </c>
      <c r="G17" s="326"/>
      <c r="H17" s="326"/>
      <c r="I17" s="326"/>
      <c r="J17" s="326">
        <f>F17+H17</f>
        <v>92</v>
      </c>
    </row>
    <row r="18" spans="1:10" s="52" customFormat="1" ht="42.75" customHeight="1">
      <c r="A18" s="360" t="s">
        <v>419</v>
      </c>
      <c r="B18" s="361" t="s">
        <v>420</v>
      </c>
      <c r="C18" s="316">
        <v>2015</v>
      </c>
      <c r="D18" s="316" t="s">
        <v>388</v>
      </c>
      <c r="E18" s="316"/>
      <c r="F18" s="316">
        <f>F19</f>
        <v>270</v>
      </c>
      <c r="G18" s="318"/>
      <c r="H18" s="318"/>
      <c r="I18" s="316"/>
      <c r="J18" s="316">
        <f t="shared" si="0"/>
        <v>270</v>
      </c>
    </row>
    <row r="19" spans="1:10" s="328" customFormat="1" ht="42.75" customHeight="1">
      <c r="A19" s="322"/>
      <c r="B19" s="323" t="s">
        <v>421</v>
      </c>
      <c r="C19" s="324">
        <v>2015</v>
      </c>
      <c r="D19" s="324" t="s">
        <v>388</v>
      </c>
      <c r="E19" s="324"/>
      <c r="F19" s="324">
        <v>270</v>
      </c>
      <c r="G19" s="326"/>
      <c r="H19" s="326"/>
      <c r="I19" s="326"/>
      <c r="J19" s="326">
        <f>F19+H19</f>
        <v>270</v>
      </c>
    </row>
    <row r="20" spans="1:10" s="52" customFormat="1" ht="42.75" customHeight="1">
      <c r="A20" s="314" t="s">
        <v>422</v>
      </c>
      <c r="B20" s="315" t="s">
        <v>423</v>
      </c>
      <c r="C20" s="316">
        <v>2015</v>
      </c>
      <c r="D20" s="316" t="s">
        <v>388</v>
      </c>
      <c r="E20" s="316"/>
      <c r="F20" s="316">
        <f>F21</f>
        <v>260</v>
      </c>
      <c r="G20" s="318"/>
      <c r="H20" s="318"/>
      <c r="I20" s="316"/>
      <c r="J20" s="316">
        <f t="shared" si="0"/>
        <v>260</v>
      </c>
    </row>
    <row r="21" spans="1:10" s="328" customFormat="1" ht="42.75" customHeight="1">
      <c r="A21" s="322"/>
      <c r="B21" s="323" t="s">
        <v>424</v>
      </c>
      <c r="C21" s="324">
        <v>2015</v>
      </c>
      <c r="D21" s="324" t="s">
        <v>388</v>
      </c>
      <c r="E21" s="324"/>
      <c r="F21" s="324">
        <v>260</v>
      </c>
      <c r="G21" s="326"/>
      <c r="H21" s="326"/>
      <c r="I21" s="326"/>
      <c r="J21" s="326">
        <f>F21+H21</f>
        <v>260</v>
      </c>
    </row>
    <row r="22" spans="1:10" s="359" customFormat="1" ht="42.75" customHeight="1">
      <c r="A22" s="354" t="s">
        <v>425</v>
      </c>
      <c r="B22" s="362" t="s">
        <v>426</v>
      </c>
      <c r="C22" s="356">
        <v>2015</v>
      </c>
      <c r="D22" s="356">
        <v>0.4</v>
      </c>
      <c r="E22" s="356">
        <f>1.043*1000</f>
        <v>1043</v>
      </c>
      <c r="F22" s="307">
        <v>793.1</v>
      </c>
      <c r="G22" s="307"/>
      <c r="H22" s="307"/>
      <c r="I22" s="309">
        <f t="shared" si="0"/>
        <v>1043</v>
      </c>
      <c r="J22" s="309">
        <f t="shared" si="0"/>
        <v>793.1</v>
      </c>
    </row>
    <row r="23" spans="1:10" s="359" customFormat="1" ht="42.75" customHeight="1">
      <c r="A23" s="305"/>
      <c r="B23" s="306" t="s">
        <v>426</v>
      </c>
      <c r="C23" s="309">
        <v>2015</v>
      </c>
      <c r="D23" s="309" t="s">
        <v>388</v>
      </c>
      <c r="E23" s="309">
        <f>0.654*1000</f>
        <v>654</v>
      </c>
      <c r="F23" s="307">
        <v>610</v>
      </c>
      <c r="G23" s="307"/>
      <c r="H23" s="307"/>
      <c r="I23" s="309">
        <f t="shared" si="0"/>
        <v>654</v>
      </c>
      <c r="J23" s="309">
        <f t="shared" si="0"/>
        <v>610</v>
      </c>
    </row>
    <row r="24" spans="1:10" s="359" customFormat="1" ht="14.25">
      <c r="A24" s="363"/>
      <c r="B24" s="364"/>
      <c r="C24" s="365"/>
      <c r="D24" s="365"/>
      <c r="E24" s="365"/>
      <c r="F24" s="366"/>
      <c r="G24" s="366"/>
      <c r="H24" s="366"/>
      <c r="I24" s="365"/>
      <c r="J24" s="365"/>
    </row>
    <row r="26" spans="1:10">
      <c r="B26" s="338" t="s">
        <v>411</v>
      </c>
      <c r="C26" s="367"/>
      <c r="D26" s="367" t="s">
        <v>412</v>
      </c>
    </row>
    <row r="27" spans="1:10">
      <c r="B27" s="368">
        <v>43361</v>
      </c>
      <c r="F27" s="369"/>
      <c r="H27" s="369"/>
      <c r="J27" s="369"/>
    </row>
  </sheetData>
  <autoFilter ref="A10:F11"/>
  <mergeCells count="11">
    <mergeCell ref="I8:J8"/>
    <mergeCell ref="A3:J3"/>
    <mergeCell ref="A4:J4"/>
    <mergeCell ref="A5:F5"/>
    <mergeCell ref="A6:J6"/>
    <mergeCell ref="A8:A9"/>
    <mergeCell ref="B8:B9"/>
    <mergeCell ref="C8:C9"/>
    <mergeCell ref="D8:D9"/>
    <mergeCell ref="E8:F8"/>
    <mergeCell ref="G8:H8"/>
  </mergeCells>
  <pageMargins left="0.70866141732283472" right="0.70866141732283472" top="0.74803149606299213" bottom="0.74803149606299213" header="0.31496062992125984" footer="0.31496062992125984"/>
  <pageSetup paperSize="8" scale="81" fitToHeight="100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</sheetPr>
  <dimension ref="A1:S43"/>
  <sheetViews>
    <sheetView topLeftCell="A7" zoomScale="70" zoomScaleNormal="70" workbookViewId="0">
      <selection activeCell="I18" sqref="I18"/>
    </sheetView>
  </sheetViews>
  <sheetFormatPr defaultColWidth="9.140625" defaultRowHeight="15"/>
  <cols>
    <col min="1" max="1" width="6.28515625" style="5" customWidth="1"/>
    <col min="2" max="2" width="81.28515625" style="5" customWidth="1"/>
    <col min="3" max="3" width="18" style="5" customWidth="1"/>
    <col min="4" max="4" width="38.42578125" style="5" customWidth="1"/>
    <col min="5" max="5" width="35" style="5" customWidth="1"/>
    <col min="6" max="6" width="9.140625" style="5" customWidth="1"/>
    <col min="7" max="8" width="9.140625" style="5"/>
    <col min="9" max="10" width="15.7109375" style="5" customWidth="1"/>
    <col min="11" max="11" width="14.7109375" style="5" customWidth="1"/>
    <col min="12" max="12" width="13.28515625" style="5" customWidth="1"/>
    <col min="13" max="13" width="13.7109375" style="5" customWidth="1"/>
    <col min="14" max="14" width="8.7109375" style="5" customWidth="1"/>
    <col min="15" max="15" width="16.28515625" style="5" customWidth="1"/>
    <col min="16" max="17" width="13.5703125" style="5" customWidth="1"/>
    <col min="18" max="18" width="14.28515625" style="5" customWidth="1"/>
    <col min="19" max="19" width="13.7109375" style="5" customWidth="1"/>
    <col min="20" max="16384" width="9.140625" style="5"/>
  </cols>
  <sheetData>
    <row r="1" spans="1:6" ht="22.5" customHeight="1">
      <c r="D1" s="18"/>
      <c r="E1" s="18"/>
    </row>
    <row r="2" spans="1:6" ht="51.75" customHeight="1">
      <c r="D2" s="19"/>
      <c r="E2" s="19"/>
    </row>
    <row r="3" spans="1:6" ht="15" customHeight="1"/>
    <row r="4" spans="1:6">
      <c r="D4" s="18"/>
      <c r="E4" s="18"/>
    </row>
    <row r="5" spans="1:6">
      <c r="D5" s="18"/>
      <c r="E5" s="18"/>
    </row>
    <row r="7" spans="1:6" ht="20.25">
      <c r="A7" s="21"/>
      <c r="B7" s="21"/>
      <c r="C7" s="21"/>
      <c r="D7" s="21"/>
      <c r="E7" s="21"/>
    </row>
    <row r="8" spans="1:6" s="14" customFormat="1" ht="20.25">
      <c r="A8" s="396" t="s">
        <v>64</v>
      </c>
      <c r="B8" s="396"/>
      <c r="C8" s="396"/>
      <c r="D8" s="396"/>
      <c r="E8" s="396"/>
    </row>
    <row r="9" spans="1:6" s="14" customFormat="1" ht="20.25">
      <c r="A9" s="396" t="s">
        <v>65</v>
      </c>
      <c r="B9" s="396"/>
      <c r="C9" s="396"/>
      <c r="D9" s="396"/>
      <c r="E9" s="396"/>
    </row>
    <row r="10" spans="1:6" s="14" customFormat="1" ht="20.25">
      <c r="A10" s="395" t="s">
        <v>66</v>
      </c>
      <c r="B10" s="395"/>
      <c r="C10" s="395"/>
      <c r="D10" s="395"/>
      <c r="E10" s="395"/>
    </row>
    <row r="11" spans="1:6" s="12" customFormat="1" ht="20.25">
      <c r="A11" s="397" t="s">
        <v>138</v>
      </c>
      <c r="B11" s="397"/>
      <c r="C11" s="397"/>
      <c r="D11" s="397"/>
      <c r="E11" s="397"/>
    </row>
    <row r="12" spans="1:6" s="12" customFormat="1" ht="20.25">
      <c r="A12" s="398" t="s">
        <v>67</v>
      </c>
      <c r="B12" s="398"/>
      <c r="C12" s="398"/>
      <c r="D12" s="398"/>
      <c r="E12" s="398"/>
    </row>
    <row r="13" spans="1:6" s="12" customFormat="1" ht="20.25">
      <c r="A13" s="395" t="s">
        <v>153</v>
      </c>
      <c r="B13" s="395"/>
      <c r="C13" s="395"/>
      <c r="D13" s="395"/>
      <c r="E13" s="395"/>
    </row>
    <row r="14" spans="1:6" s="12" customFormat="1">
      <c r="A14" s="13"/>
      <c r="B14" s="13"/>
      <c r="C14" s="13"/>
      <c r="D14" s="13"/>
    </row>
    <row r="15" spans="1:6" s="7" customFormat="1" ht="18" customHeight="1">
      <c r="A15" s="392"/>
      <c r="B15" s="392"/>
      <c r="C15" s="392"/>
      <c r="D15" s="388" t="s">
        <v>45</v>
      </c>
      <c r="E15" s="389"/>
      <c r="F15" s="20"/>
    </row>
    <row r="16" spans="1:6" s="7" customFormat="1" ht="20.25" customHeight="1" thickBot="1">
      <c r="A16" s="392"/>
      <c r="B16" s="392"/>
      <c r="C16" s="392"/>
      <c r="D16" s="390" t="s">
        <v>121</v>
      </c>
      <c r="E16" s="391"/>
      <c r="F16" s="20"/>
    </row>
    <row r="17" spans="1:19" s="7" customFormat="1" ht="68.45" customHeight="1">
      <c r="A17" s="392"/>
      <c r="B17" s="392"/>
      <c r="C17" s="392"/>
      <c r="D17" s="75" t="s">
        <v>157</v>
      </c>
      <c r="E17" s="75" t="s">
        <v>158</v>
      </c>
      <c r="F17" s="20"/>
    </row>
    <row r="18" spans="1:19" s="8" customFormat="1" ht="136.5" customHeight="1">
      <c r="A18" s="10" t="s">
        <v>46</v>
      </c>
      <c r="B18" s="31" t="s">
        <v>47</v>
      </c>
      <c r="C18" s="96" t="s">
        <v>156</v>
      </c>
      <c r="D18" s="91">
        <f>D19+D20+D21+D22</f>
        <v>11145.23</v>
      </c>
      <c r="E18" s="91">
        <f>E19+E20</f>
        <v>11145.23</v>
      </c>
    </row>
    <row r="19" spans="1:19" s="8" customFormat="1" ht="52.5" customHeight="1">
      <c r="A19" s="10" t="s">
        <v>49</v>
      </c>
      <c r="B19" s="31" t="s">
        <v>50</v>
      </c>
      <c r="C19" s="96" t="s">
        <v>156</v>
      </c>
      <c r="D19" s="92">
        <v>6241.33</v>
      </c>
      <c r="E19" s="92">
        <v>6241.33</v>
      </c>
      <c r="I19" s="277"/>
      <c r="J19" s="277"/>
      <c r="K19" s="277"/>
      <c r="L19" s="277"/>
      <c r="O19" s="278"/>
      <c r="P19" s="277"/>
      <c r="Q19" s="277"/>
      <c r="R19" s="277"/>
    </row>
    <row r="20" spans="1:19" s="8" customFormat="1" ht="52.5" customHeight="1">
      <c r="A20" s="10" t="s">
        <v>51</v>
      </c>
      <c r="B20" s="31" t="s">
        <v>52</v>
      </c>
      <c r="C20" s="96" t="s">
        <v>156</v>
      </c>
      <c r="D20" s="92">
        <v>4903.8999999999996</v>
      </c>
      <c r="E20" s="92">
        <v>4903.8999999999996</v>
      </c>
      <c r="I20" s="279"/>
      <c r="J20" s="280"/>
      <c r="K20" s="279"/>
      <c r="L20" s="279"/>
      <c r="P20" s="94"/>
    </row>
    <row r="21" spans="1:19" s="8" customFormat="1" ht="78.75" customHeight="1">
      <c r="A21" s="10" t="s">
        <v>54</v>
      </c>
      <c r="B21" s="31" t="s">
        <v>55</v>
      </c>
      <c r="C21" s="24"/>
      <c r="D21" s="92">
        <v>0</v>
      </c>
      <c r="E21" s="92">
        <v>0</v>
      </c>
      <c r="G21" s="8" t="s">
        <v>146</v>
      </c>
      <c r="I21" s="279"/>
      <c r="J21" s="279"/>
      <c r="K21" s="279"/>
      <c r="L21" s="279"/>
      <c r="M21" s="95"/>
      <c r="S21" s="95"/>
    </row>
    <row r="22" spans="1:19" s="8" customFormat="1" ht="84.75" customHeight="1">
      <c r="A22" s="10" t="s">
        <v>56</v>
      </c>
      <c r="B22" s="31" t="s">
        <v>57</v>
      </c>
      <c r="C22" s="24"/>
      <c r="D22" s="92">
        <v>0</v>
      </c>
      <c r="E22" s="92">
        <v>0</v>
      </c>
    </row>
    <row r="23" spans="1:19" s="8" customFormat="1" ht="112.5" customHeight="1">
      <c r="A23" s="10" t="s">
        <v>58</v>
      </c>
      <c r="B23" s="31" t="s">
        <v>59</v>
      </c>
      <c r="C23" s="24"/>
      <c r="D23" s="393"/>
      <c r="E23" s="394"/>
    </row>
    <row r="24" spans="1:19" s="8" customFormat="1" ht="45.75" customHeight="1">
      <c r="A24" s="10"/>
      <c r="B24" s="31" t="s">
        <v>122</v>
      </c>
      <c r="C24" s="24" t="s">
        <v>53</v>
      </c>
      <c r="D24" s="385">
        <f>'[2]3'!$D$24:$E$24</f>
        <v>2819.1</v>
      </c>
      <c r="E24" s="386"/>
    </row>
    <row r="25" spans="1:19" s="8" customFormat="1" ht="45.75" customHeight="1">
      <c r="A25" s="10"/>
      <c r="B25" s="31" t="s">
        <v>123</v>
      </c>
      <c r="C25" s="24" t="s">
        <v>53</v>
      </c>
      <c r="D25" s="385">
        <f>'[2]3'!$D$25:$E$25</f>
        <v>1564.75</v>
      </c>
      <c r="E25" s="386"/>
    </row>
    <row r="26" spans="1:19" s="8" customFormat="1" ht="111.75" customHeight="1">
      <c r="A26" s="10" t="s">
        <v>60</v>
      </c>
      <c r="B26" s="31" t="s">
        <v>61</v>
      </c>
      <c r="C26" s="24"/>
      <c r="D26" s="385"/>
      <c r="E26" s="386"/>
    </row>
    <row r="27" spans="1:19" s="8" customFormat="1" ht="45.75" customHeight="1">
      <c r="A27" s="10"/>
      <c r="B27" s="31" t="s">
        <v>124</v>
      </c>
      <c r="C27" s="24" t="s">
        <v>53</v>
      </c>
      <c r="D27" s="385">
        <f>'[2]3'!$D$27:$E$27</f>
        <v>4478.6339889292558</v>
      </c>
      <c r="E27" s="386"/>
    </row>
    <row r="28" spans="1:19" s="8" customFormat="1" ht="45.75" customHeight="1">
      <c r="A28" s="10"/>
      <c r="B28" s="31" t="s">
        <v>125</v>
      </c>
      <c r="C28" s="24" t="s">
        <v>53</v>
      </c>
      <c r="D28" s="385">
        <f>'[2]3'!$D$28:$E$28</f>
        <v>1564.75</v>
      </c>
      <c r="E28" s="386"/>
    </row>
    <row r="29" spans="1:19" s="8" customFormat="1" ht="113.25" customHeight="1">
      <c r="A29" s="11" t="s">
        <v>62</v>
      </c>
      <c r="B29" s="31" t="s">
        <v>63</v>
      </c>
      <c r="C29" s="24"/>
      <c r="D29" s="385"/>
      <c r="E29" s="386"/>
    </row>
    <row r="30" spans="1:19" s="8" customFormat="1" ht="45.75" customHeight="1">
      <c r="A30" s="11"/>
      <c r="B30" s="30" t="s">
        <v>126</v>
      </c>
      <c r="C30" s="24" t="s">
        <v>48</v>
      </c>
      <c r="D30" s="385">
        <f>'[2]6'!$E$36*1000</f>
        <v>28176.277702702697</v>
      </c>
      <c r="E30" s="386"/>
    </row>
    <row r="31" spans="1:19" s="8" customFormat="1" ht="45.75" customHeight="1">
      <c r="A31" s="11"/>
      <c r="B31" s="30" t="s">
        <v>141</v>
      </c>
      <c r="C31" s="24" t="s">
        <v>48</v>
      </c>
      <c r="D31" s="385">
        <v>0</v>
      </c>
      <c r="E31" s="386"/>
    </row>
    <row r="32" spans="1:19" s="8" customFormat="1" ht="45.75" customHeight="1">
      <c r="A32" s="11"/>
      <c r="B32" s="30" t="s">
        <v>127</v>
      </c>
      <c r="C32" s="24" t="s">
        <v>48</v>
      </c>
      <c r="D32" s="385">
        <v>0</v>
      </c>
      <c r="E32" s="386"/>
    </row>
    <row r="33" spans="1:5" s="8" customFormat="1" ht="45.75" customHeight="1">
      <c r="A33" s="11"/>
      <c r="B33" s="30" t="s">
        <v>128</v>
      </c>
      <c r="C33" s="24" t="s">
        <v>48</v>
      </c>
      <c r="D33" s="385">
        <f>'[2]6'!$E$39*1000</f>
        <v>16850.676705882353</v>
      </c>
      <c r="E33" s="386"/>
    </row>
    <row r="34" spans="1:5" s="8" customFormat="1" ht="45.75" customHeight="1">
      <c r="A34" s="11"/>
      <c r="B34" s="30" t="s">
        <v>129</v>
      </c>
      <c r="C34" s="24" t="s">
        <v>48</v>
      </c>
      <c r="D34" s="385">
        <v>0</v>
      </c>
      <c r="E34" s="386"/>
    </row>
    <row r="35" spans="1:5" s="8" customFormat="1" ht="45.75" customHeight="1">
      <c r="A35" s="11"/>
      <c r="B35" s="30" t="s">
        <v>130</v>
      </c>
      <c r="C35" s="24" t="s">
        <v>48</v>
      </c>
      <c r="D35" s="385">
        <f>'[2]6'!$E$41*1000</f>
        <v>19359.153768115943</v>
      </c>
      <c r="E35" s="386"/>
    </row>
    <row r="36" spans="1:5" s="8" customFormat="1" ht="45.75" customHeight="1">
      <c r="A36" s="11"/>
      <c r="B36" s="30" t="s">
        <v>144</v>
      </c>
      <c r="C36" s="24" t="s">
        <v>48</v>
      </c>
      <c r="D36" s="385">
        <f>'[2]6'!$E$48*1000</f>
        <v>5648.8264259335247</v>
      </c>
      <c r="E36" s="386"/>
    </row>
    <row r="37" spans="1:5" s="8" customFormat="1" ht="45.75" customHeight="1">
      <c r="A37" s="11"/>
      <c r="B37" s="30" t="s">
        <v>148</v>
      </c>
      <c r="C37" s="24" t="s">
        <v>48</v>
      </c>
      <c r="D37" s="385">
        <f>'[2]6'!$E$44*1000</f>
        <v>4483.9047685683527</v>
      </c>
      <c r="E37" s="386"/>
    </row>
    <row r="38" spans="1:5" s="8" customFormat="1" ht="45.75" customHeight="1">
      <c r="A38" s="11"/>
      <c r="B38" s="30" t="s">
        <v>147</v>
      </c>
      <c r="C38" s="24" t="s">
        <v>48</v>
      </c>
      <c r="D38" s="385">
        <f>'[2]6'!$E$51*1000</f>
        <v>19685.007617647061</v>
      </c>
      <c r="E38" s="386"/>
    </row>
    <row r="39" spans="1:5" s="8" customFormat="1" ht="45.75" customHeight="1">
      <c r="A39" s="11"/>
      <c r="B39" s="30" t="s">
        <v>131</v>
      </c>
      <c r="C39" s="24" t="s">
        <v>48</v>
      </c>
      <c r="D39" s="385">
        <v>0</v>
      </c>
      <c r="E39" s="386"/>
    </row>
    <row r="40" spans="1:5" s="8" customFormat="1" ht="45.75" customHeight="1">
      <c r="A40" s="11"/>
      <c r="B40" s="30" t="s">
        <v>145</v>
      </c>
      <c r="C40" s="24" t="s">
        <v>48</v>
      </c>
      <c r="D40" s="385">
        <f>'[2]6'!$E$53*1000</f>
        <v>6653.7599999999993</v>
      </c>
      <c r="E40" s="386"/>
    </row>
    <row r="41" spans="1:5" s="8" customFormat="1" ht="45.75" customHeight="1">
      <c r="A41" s="11"/>
      <c r="B41" s="30" t="s">
        <v>143</v>
      </c>
      <c r="C41" s="24" t="s">
        <v>48</v>
      </c>
      <c r="D41" s="385">
        <v>1390.79</v>
      </c>
      <c r="E41" s="386"/>
    </row>
    <row r="42" spans="1:5" s="8" customFormat="1" ht="45.75" customHeight="1">
      <c r="A42" s="11"/>
      <c r="B42" s="30" t="s">
        <v>142</v>
      </c>
      <c r="C42" s="24" t="s">
        <v>48</v>
      </c>
      <c r="D42" s="385">
        <v>104</v>
      </c>
      <c r="E42" s="386"/>
    </row>
    <row r="43" spans="1:5" ht="45.75" customHeight="1">
      <c r="A43" s="23" t="s">
        <v>71</v>
      </c>
      <c r="B43" s="387"/>
      <c r="C43" s="387"/>
      <c r="D43" s="387"/>
      <c r="E43" s="387"/>
    </row>
  </sheetData>
  <mergeCells count="31">
    <mergeCell ref="A13:E13"/>
    <mergeCell ref="A8:E8"/>
    <mergeCell ref="A9:E9"/>
    <mergeCell ref="A10:E10"/>
    <mergeCell ref="A11:E11"/>
    <mergeCell ref="A12:E12"/>
    <mergeCell ref="B43:E43"/>
    <mergeCell ref="D15:E15"/>
    <mergeCell ref="D16:E16"/>
    <mergeCell ref="C15:C17"/>
    <mergeCell ref="A15:B17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9:E39"/>
    <mergeCell ref="D40:E40"/>
    <mergeCell ref="D41:E41"/>
    <mergeCell ref="D42:E42"/>
    <mergeCell ref="D34:E34"/>
    <mergeCell ref="D35:E35"/>
    <mergeCell ref="D36:E36"/>
    <mergeCell ref="D37:E37"/>
    <mergeCell ref="D38:E38"/>
  </mergeCells>
  <pageMargins left="0" right="0" top="0" bottom="0" header="0.31496062992125984" footer="0.31496062992125984"/>
  <pageSetup paperSize="9" scale="5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  <pageSetUpPr fitToPage="1"/>
  </sheetPr>
  <dimension ref="A1:J38"/>
  <sheetViews>
    <sheetView zoomScale="75" zoomScaleNormal="75" zoomScaleSheetLayoutView="89" workbookViewId="0">
      <selection activeCell="C12" sqref="C12"/>
    </sheetView>
  </sheetViews>
  <sheetFormatPr defaultColWidth="9.140625" defaultRowHeight="17.25"/>
  <cols>
    <col min="1" max="1" width="7.7109375" style="4" customWidth="1"/>
    <col min="2" max="2" width="103.28515625" style="3" customWidth="1"/>
    <col min="3" max="3" width="19.7109375" style="3" customWidth="1"/>
    <col min="4" max="4" width="18.42578125" style="3" customWidth="1"/>
    <col min="5" max="5" width="24.85546875" style="3" customWidth="1"/>
    <col min="6" max="6" width="16.42578125" style="3" customWidth="1"/>
    <col min="7" max="7" width="16.28515625" style="3" customWidth="1"/>
    <col min="8" max="8" width="18.85546875" style="3" customWidth="1"/>
    <col min="9" max="9" width="15.7109375" style="3" customWidth="1"/>
    <col min="10" max="16384" width="9.140625" style="3"/>
  </cols>
  <sheetData>
    <row r="1" spans="1:10">
      <c r="E1" s="40" t="s">
        <v>84</v>
      </c>
    </row>
    <row r="2" spans="1:10" ht="17.25" customHeight="1">
      <c r="E2" s="40" t="s">
        <v>68</v>
      </c>
    </row>
    <row r="3" spans="1:10">
      <c r="E3" s="39"/>
    </row>
    <row r="4" spans="1:10" ht="17.25" customHeight="1">
      <c r="E4" s="40" t="s">
        <v>69</v>
      </c>
    </row>
    <row r="5" spans="1:10" ht="17.25" customHeight="1">
      <c r="E5" s="40" t="s">
        <v>70</v>
      </c>
    </row>
    <row r="6" spans="1:10">
      <c r="D6" s="17"/>
      <c r="E6" s="17"/>
    </row>
    <row r="7" spans="1:10">
      <c r="D7" s="15"/>
      <c r="E7" s="15"/>
    </row>
    <row r="8" spans="1:10" ht="18.75">
      <c r="A8" s="400" t="s">
        <v>85</v>
      </c>
      <c r="B8" s="400"/>
      <c r="C8" s="400"/>
      <c r="D8" s="400"/>
      <c r="E8" s="400"/>
    </row>
    <row r="9" spans="1:10" ht="18.75">
      <c r="A9" s="400" t="s">
        <v>86</v>
      </c>
      <c r="B9" s="400"/>
      <c r="C9" s="400"/>
      <c r="D9" s="400"/>
      <c r="E9" s="400"/>
    </row>
    <row r="10" spans="1:10">
      <c r="G10" s="281"/>
      <c r="H10" s="281"/>
      <c r="I10" s="281"/>
      <c r="J10" s="281"/>
    </row>
    <row r="11" spans="1:10" s="1" customFormat="1" ht="82.5">
      <c r="A11" s="25" t="s">
        <v>6</v>
      </c>
      <c r="B11" s="25" t="s">
        <v>72</v>
      </c>
      <c r="C11" s="285" t="s">
        <v>73</v>
      </c>
      <c r="D11" s="285" t="s">
        <v>74</v>
      </c>
      <c r="E11" s="285" t="s">
        <v>75</v>
      </c>
      <c r="G11" s="282"/>
      <c r="H11" s="282"/>
      <c r="I11" s="282"/>
      <c r="J11" s="282"/>
    </row>
    <row r="12" spans="1:10" s="2" customFormat="1" ht="16.5">
      <c r="A12" s="399" t="s">
        <v>0</v>
      </c>
      <c r="B12" s="32" t="s">
        <v>76</v>
      </c>
      <c r="C12" s="286">
        <v>13165040</v>
      </c>
      <c r="D12" s="286">
        <v>27023.83</v>
      </c>
      <c r="E12" s="286">
        <f>C12/D12</f>
        <v>487.16410664217466</v>
      </c>
      <c r="F12" s="70"/>
      <c r="G12" s="283"/>
      <c r="H12" s="284"/>
      <c r="I12" s="284"/>
      <c r="J12" s="284"/>
    </row>
    <row r="13" spans="1:10" s="2" customFormat="1" ht="16.5">
      <c r="A13" s="399"/>
      <c r="B13" s="32" t="s">
        <v>45</v>
      </c>
      <c r="C13" s="286"/>
      <c r="D13" s="286"/>
      <c r="E13" s="286"/>
      <c r="G13" s="283"/>
      <c r="H13" s="283"/>
      <c r="I13" s="284"/>
      <c r="J13" s="284"/>
    </row>
    <row r="14" spans="1:10" s="2" customFormat="1" ht="16.5">
      <c r="A14" s="399"/>
      <c r="B14" s="32" t="s">
        <v>77</v>
      </c>
      <c r="C14" s="286"/>
      <c r="D14" s="286"/>
      <c r="E14" s="286"/>
      <c r="G14" s="284"/>
      <c r="H14" s="284"/>
      <c r="I14" s="284"/>
      <c r="J14" s="284"/>
    </row>
    <row r="15" spans="1:10" s="2" customFormat="1" ht="33">
      <c r="A15" s="6" t="s">
        <v>1</v>
      </c>
      <c r="B15" s="32" t="s">
        <v>78</v>
      </c>
      <c r="C15" s="286"/>
      <c r="D15" s="286"/>
      <c r="E15" s="286"/>
      <c r="G15" s="283"/>
      <c r="H15" s="284"/>
      <c r="I15" s="284"/>
      <c r="J15" s="284"/>
    </row>
    <row r="16" spans="1:10" s="2" customFormat="1" ht="16.5">
      <c r="A16" s="399" t="s">
        <v>2</v>
      </c>
      <c r="B16" s="32" t="s">
        <v>79</v>
      </c>
      <c r="C16" s="286">
        <f>C17+C18+C19+C20+C21</f>
        <v>48918918</v>
      </c>
      <c r="D16" s="286">
        <f>D17+D18+D19+D20+D21</f>
        <v>9642.7260000000006</v>
      </c>
      <c r="E16" s="286">
        <f>C16/D16</f>
        <v>5073.1419725086034</v>
      </c>
      <c r="F16" s="70"/>
      <c r="G16" s="283"/>
      <c r="H16" s="284"/>
      <c r="I16" s="284"/>
      <c r="J16" s="284"/>
    </row>
    <row r="17" spans="1:10" s="2" customFormat="1" ht="16.5">
      <c r="A17" s="399"/>
      <c r="B17" s="32" t="s">
        <v>80</v>
      </c>
      <c r="C17" s="286">
        <v>40667918</v>
      </c>
      <c r="D17" s="286">
        <v>4603.8</v>
      </c>
      <c r="E17" s="286">
        <f>C17/D17</f>
        <v>8833.5544550154209</v>
      </c>
      <c r="F17" s="70"/>
      <c r="G17" s="283"/>
      <c r="H17" s="284"/>
      <c r="I17" s="283"/>
      <c r="J17" s="284"/>
    </row>
    <row r="18" spans="1:10" s="2" customFormat="1" ht="16.5">
      <c r="A18" s="399"/>
      <c r="B18" s="32" t="s">
        <v>81</v>
      </c>
      <c r="C18" s="286">
        <v>4910160</v>
      </c>
      <c r="D18" s="286">
        <v>1261.076</v>
      </c>
      <c r="E18" s="286">
        <f t="shared" ref="E18:E21" si="0">C18/D18</f>
        <v>3893.6273468054264</v>
      </c>
      <c r="G18" s="284"/>
      <c r="H18" s="284"/>
      <c r="I18" s="284"/>
      <c r="J18" s="284"/>
    </row>
    <row r="19" spans="1:10" s="2" customFormat="1" ht="16.5">
      <c r="A19" s="399"/>
      <c r="B19" s="32" t="s">
        <v>152</v>
      </c>
      <c r="C19" s="286">
        <v>545080</v>
      </c>
      <c r="D19" s="286">
        <v>391.92</v>
      </c>
      <c r="E19" s="286">
        <f t="shared" si="0"/>
        <v>1390.7940395999183</v>
      </c>
      <c r="G19" s="284"/>
      <c r="H19" s="284"/>
      <c r="I19" s="284"/>
      <c r="J19" s="284"/>
    </row>
    <row r="20" spans="1:10" s="2" customFormat="1" ht="16.5">
      <c r="A20" s="399"/>
      <c r="B20" s="32" t="s">
        <v>151</v>
      </c>
      <c r="C20" s="286">
        <v>329740</v>
      </c>
      <c r="D20" s="286">
        <v>3170.67</v>
      </c>
      <c r="E20" s="286">
        <f t="shared" si="0"/>
        <v>103.99694701750734</v>
      </c>
      <c r="G20" s="284"/>
      <c r="H20" s="284"/>
      <c r="I20" s="284"/>
      <c r="J20" s="284"/>
    </row>
    <row r="21" spans="1:10" s="2" customFormat="1" ht="33">
      <c r="A21" s="399"/>
      <c r="B21" s="32" t="s">
        <v>82</v>
      </c>
      <c r="C21" s="286">
        <v>2466020</v>
      </c>
      <c r="D21" s="286">
        <v>215.26</v>
      </c>
      <c r="E21" s="286">
        <f t="shared" si="0"/>
        <v>11456.006689584689</v>
      </c>
      <c r="G21" s="284"/>
      <c r="H21" s="284"/>
      <c r="I21" s="284"/>
      <c r="J21" s="284"/>
    </row>
    <row r="22" spans="1:10" s="2" customFormat="1" ht="16.5">
      <c r="A22" s="399"/>
      <c r="B22" s="32" t="s">
        <v>134</v>
      </c>
      <c r="C22" s="286"/>
      <c r="D22" s="286"/>
      <c r="E22" s="286"/>
      <c r="G22" s="284"/>
      <c r="H22" s="284"/>
      <c r="I22" s="284"/>
      <c r="J22" s="284"/>
    </row>
    <row r="23" spans="1:10" s="2" customFormat="1" ht="33">
      <c r="A23" s="399" t="s">
        <v>3</v>
      </c>
      <c r="B23" s="32" t="s">
        <v>83</v>
      </c>
      <c r="C23" s="286">
        <v>10343960</v>
      </c>
      <c r="D23" s="286">
        <f>D12</f>
        <v>27023.83</v>
      </c>
      <c r="E23" s="286">
        <f>C23/D23</f>
        <v>382.77179807599441</v>
      </c>
      <c r="G23" s="283"/>
      <c r="H23" s="283"/>
      <c r="I23" s="284"/>
      <c r="J23" s="284"/>
    </row>
    <row r="24" spans="1:10" s="2" customFormat="1" ht="16.5">
      <c r="A24" s="399"/>
      <c r="B24" s="32" t="s">
        <v>45</v>
      </c>
      <c r="C24" s="286"/>
      <c r="D24" s="286"/>
      <c r="E24" s="286"/>
      <c r="G24" s="284"/>
      <c r="H24" s="284"/>
      <c r="I24" s="284"/>
      <c r="J24" s="284"/>
    </row>
    <row r="25" spans="1:10" s="2" customFormat="1" ht="16.5">
      <c r="A25" s="399"/>
      <c r="B25" s="32" t="s">
        <v>77</v>
      </c>
      <c r="C25" s="286"/>
      <c r="D25" s="286"/>
      <c r="E25" s="286"/>
      <c r="G25" s="284"/>
      <c r="H25" s="284"/>
      <c r="I25" s="284"/>
      <c r="J25" s="284"/>
    </row>
    <row r="26" spans="1:10" s="2" customFormat="1" ht="33">
      <c r="A26" s="399" t="s">
        <v>4</v>
      </c>
      <c r="B26" s="32" t="s">
        <v>135</v>
      </c>
      <c r="C26" s="286">
        <v>0</v>
      </c>
      <c r="D26" s="286">
        <v>0</v>
      </c>
      <c r="E26" s="286">
        <v>0</v>
      </c>
      <c r="G26" s="283"/>
      <c r="H26" s="284"/>
      <c r="I26" s="284"/>
      <c r="J26" s="284"/>
    </row>
    <row r="27" spans="1:10" s="2" customFormat="1" ht="16.5">
      <c r="A27" s="399"/>
      <c r="B27" s="32" t="s">
        <v>45</v>
      </c>
      <c r="C27" s="286"/>
      <c r="D27" s="286"/>
      <c r="E27" s="286"/>
      <c r="G27" s="283"/>
      <c r="H27" s="284"/>
      <c r="I27" s="284"/>
      <c r="J27" s="284"/>
    </row>
    <row r="28" spans="1:10" s="2" customFormat="1" ht="16.5">
      <c r="A28" s="399"/>
      <c r="B28" s="32" t="s">
        <v>77</v>
      </c>
      <c r="C28" s="286"/>
      <c r="D28" s="286"/>
      <c r="E28" s="286"/>
      <c r="G28" s="284"/>
      <c r="H28" s="284"/>
      <c r="I28" s="284"/>
      <c r="J28" s="284"/>
    </row>
    <row r="29" spans="1:10" s="2" customFormat="1" ht="66">
      <c r="A29" s="399" t="s">
        <v>5</v>
      </c>
      <c r="B29" s="32" t="s">
        <v>136</v>
      </c>
      <c r="C29" s="286">
        <v>0</v>
      </c>
      <c r="D29" s="286">
        <v>0</v>
      </c>
      <c r="E29" s="286">
        <v>0</v>
      </c>
      <c r="G29" s="283"/>
      <c r="H29" s="284"/>
      <c r="I29" s="284"/>
      <c r="J29" s="284"/>
    </row>
    <row r="30" spans="1:10" s="2" customFormat="1" ht="16.5">
      <c r="A30" s="399"/>
      <c r="B30" s="32" t="s">
        <v>45</v>
      </c>
      <c r="C30" s="287"/>
      <c r="D30" s="287"/>
      <c r="E30" s="287"/>
      <c r="G30" s="284"/>
      <c r="H30" s="284"/>
      <c r="I30" s="284"/>
      <c r="J30" s="284"/>
    </row>
    <row r="31" spans="1:10" s="2" customFormat="1" ht="16.5">
      <c r="A31" s="399"/>
      <c r="B31" s="32" t="s">
        <v>77</v>
      </c>
      <c r="C31" s="26"/>
      <c r="D31" s="26"/>
      <c r="E31" s="26"/>
      <c r="G31" s="284"/>
      <c r="H31" s="284"/>
      <c r="I31" s="284"/>
      <c r="J31" s="284"/>
    </row>
    <row r="32" spans="1:10">
      <c r="C32" s="27"/>
      <c r="G32" s="281"/>
      <c r="H32" s="281"/>
      <c r="I32" s="281"/>
      <c r="J32" s="281"/>
    </row>
    <row r="34" spans="3:3">
      <c r="C34" s="27"/>
    </row>
    <row r="38" spans="3:3">
      <c r="C38" s="27"/>
    </row>
  </sheetData>
  <mergeCells count="7">
    <mergeCell ref="A26:A28"/>
    <mergeCell ref="A29:A31"/>
    <mergeCell ref="A8:E8"/>
    <mergeCell ref="A9:E9"/>
    <mergeCell ref="A12:A14"/>
    <mergeCell ref="A16:A22"/>
    <mergeCell ref="A23:A25"/>
  </mergeCells>
  <pageMargins left="0.70866141732283472" right="0.70866141732283472" top="0.74803149606299213" bottom="0.74803149606299213" header="0.31496062992125984" footer="0.31496062992125984"/>
  <pageSetup paperSize="9" scale="6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F41"/>
  <sheetViews>
    <sheetView topLeftCell="A7" zoomScale="75" zoomScaleNormal="75" workbookViewId="0">
      <selection activeCell="M32" sqref="M32"/>
    </sheetView>
  </sheetViews>
  <sheetFormatPr defaultRowHeight="15"/>
  <cols>
    <col min="2" max="2" width="86.5703125" customWidth="1"/>
    <col min="3" max="3" width="20.42578125" customWidth="1"/>
    <col min="4" max="4" width="20.5703125" customWidth="1"/>
    <col min="6" max="6" width="19.5703125" customWidth="1"/>
  </cols>
  <sheetData>
    <row r="1" spans="1:6">
      <c r="D1" s="16" t="s">
        <v>115</v>
      </c>
    </row>
    <row r="2" spans="1:6">
      <c r="D2" s="16" t="s">
        <v>68</v>
      </c>
    </row>
    <row r="3" spans="1:6">
      <c r="D3" s="16"/>
    </row>
    <row r="4" spans="1:6">
      <c r="D4" s="16" t="s">
        <v>69</v>
      </c>
    </row>
    <row r="5" spans="1:6">
      <c r="D5" s="16" t="s">
        <v>70</v>
      </c>
    </row>
    <row r="6" spans="1:6">
      <c r="D6" s="41"/>
    </row>
    <row r="7" spans="1:6" ht="18.75">
      <c r="A7" s="400" t="s">
        <v>113</v>
      </c>
      <c r="B7" s="400"/>
      <c r="C7" s="400"/>
      <c r="D7" s="400"/>
    </row>
    <row r="8" spans="1:6" ht="18.75">
      <c r="A8" s="401" t="s">
        <v>114</v>
      </c>
      <c r="B8" s="400"/>
      <c r="C8" s="400"/>
      <c r="D8" s="400"/>
    </row>
    <row r="9" spans="1:6">
      <c r="A9" s="5"/>
      <c r="B9" s="5"/>
      <c r="C9" s="5"/>
      <c r="D9" s="16" t="s">
        <v>116</v>
      </c>
    </row>
    <row r="10" spans="1:6" s="7" customFormat="1" ht="63">
      <c r="A10" s="22" t="s">
        <v>6</v>
      </c>
      <c r="B10" s="22" t="s">
        <v>87</v>
      </c>
      <c r="C10" s="74" t="s">
        <v>88</v>
      </c>
      <c r="D10" s="22" t="s">
        <v>149</v>
      </c>
      <c r="F10" s="74"/>
    </row>
    <row r="11" spans="1:6" s="8" customFormat="1" ht="18.75">
      <c r="A11" s="402" t="s">
        <v>0</v>
      </c>
      <c r="B11" s="9" t="s">
        <v>89</v>
      </c>
      <c r="C11" s="71">
        <f>C15+C16+C17+C28+C13+C14</f>
        <v>25239.680000000004</v>
      </c>
      <c r="D11" s="71">
        <f>D13+D14+D15+D16+D17+D28</f>
        <v>24427.98</v>
      </c>
    </row>
    <row r="12" spans="1:6" s="8" customFormat="1" ht="18.75">
      <c r="A12" s="403"/>
      <c r="B12" s="9" t="s">
        <v>90</v>
      </c>
      <c r="C12" s="273"/>
      <c r="D12" s="274"/>
    </row>
    <row r="13" spans="1:6" s="8" customFormat="1" ht="18.75">
      <c r="A13" s="403"/>
      <c r="B13" s="9" t="s">
        <v>91</v>
      </c>
      <c r="C13" s="273">
        <v>206.08</v>
      </c>
      <c r="D13" s="274">
        <v>182.95</v>
      </c>
      <c r="F13" s="94"/>
    </row>
    <row r="14" spans="1:6" s="8" customFormat="1" ht="18.75">
      <c r="A14" s="403"/>
      <c r="B14" s="9" t="s">
        <v>92</v>
      </c>
      <c r="C14" s="273">
        <v>209</v>
      </c>
      <c r="D14" s="274">
        <v>217.02</v>
      </c>
    </row>
    <row r="15" spans="1:6" s="8" customFormat="1" ht="18.75">
      <c r="A15" s="403"/>
      <c r="B15" s="9" t="s">
        <v>93</v>
      </c>
      <c r="C15" s="273">
        <v>18157.150000000001</v>
      </c>
      <c r="D15" s="273">
        <v>17548.14</v>
      </c>
      <c r="F15" s="94"/>
    </row>
    <row r="16" spans="1:6" s="8" customFormat="1" ht="18.75">
      <c r="A16" s="403"/>
      <c r="B16" s="9" t="s">
        <v>94</v>
      </c>
      <c r="C16" s="273">
        <v>5325.56</v>
      </c>
      <c r="D16" s="273">
        <v>4523.3</v>
      </c>
    </row>
    <row r="17" spans="1:6" s="8" customFormat="1" ht="18.75">
      <c r="A17" s="403"/>
      <c r="B17" s="9" t="s">
        <v>95</v>
      </c>
      <c r="C17" s="274">
        <v>891.89</v>
      </c>
      <c r="D17" s="274">
        <v>1487.57</v>
      </c>
    </row>
    <row r="18" spans="1:6" s="8" customFormat="1" ht="18.75">
      <c r="A18" s="403"/>
      <c r="B18" s="9" t="s">
        <v>96</v>
      </c>
      <c r="C18" s="273"/>
      <c r="D18" s="274"/>
    </row>
    <row r="19" spans="1:6" s="8" customFormat="1" ht="31.5">
      <c r="A19" s="403"/>
      <c r="B19" s="9" t="s">
        <v>97</v>
      </c>
      <c r="C19" s="274">
        <v>10.119999999999999</v>
      </c>
      <c r="D19" s="274">
        <v>9.6300000000000008</v>
      </c>
    </row>
    <row r="20" spans="1:6" s="8" customFormat="1" ht="18.75">
      <c r="A20" s="403"/>
      <c r="B20" s="9" t="s">
        <v>98</v>
      </c>
      <c r="C20" s="273"/>
      <c r="D20" s="274"/>
    </row>
    <row r="21" spans="1:6" s="8" customFormat="1" ht="18.75">
      <c r="A21" s="403"/>
      <c r="B21" s="9" t="s">
        <v>99</v>
      </c>
      <c r="C21" s="274">
        <f>C27</f>
        <v>0</v>
      </c>
      <c r="D21" s="274">
        <f>D27</f>
        <v>0</v>
      </c>
    </row>
    <row r="22" spans="1:6" s="8" customFormat="1" ht="18.75">
      <c r="A22" s="403"/>
      <c r="B22" s="9" t="s">
        <v>90</v>
      </c>
      <c r="C22" s="273"/>
      <c r="D22" s="274"/>
    </row>
    <row r="23" spans="1:6" s="8" customFormat="1" ht="18.75">
      <c r="A23" s="403"/>
      <c r="B23" s="9" t="s">
        <v>100</v>
      </c>
      <c r="C23" s="273"/>
      <c r="D23" s="274"/>
    </row>
    <row r="24" spans="1:6" s="8" customFormat="1" ht="31.5">
      <c r="A24" s="403"/>
      <c r="B24" s="9" t="s">
        <v>101</v>
      </c>
      <c r="C24" s="273"/>
      <c r="D24" s="274"/>
    </row>
    <row r="25" spans="1:6" s="8" customFormat="1" ht="47.25">
      <c r="A25" s="403"/>
      <c r="B25" s="9" t="s">
        <v>102</v>
      </c>
      <c r="C25" s="273"/>
      <c r="D25" s="274"/>
    </row>
    <row r="26" spans="1:6" s="8" customFormat="1" ht="18.75">
      <c r="A26" s="403"/>
      <c r="B26" s="9" t="s">
        <v>103</v>
      </c>
      <c r="C26" s="273"/>
      <c r="D26" s="274"/>
    </row>
    <row r="27" spans="1:6" s="8" customFormat="1" ht="18.75">
      <c r="A27" s="403"/>
      <c r="B27" s="9" t="s">
        <v>104</v>
      </c>
      <c r="C27" s="274"/>
      <c r="D27" s="274"/>
    </row>
    <row r="28" spans="1:6" s="8" customFormat="1" ht="18.75">
      <c r="A28" s="403"/>
      <c r="B28" s="9" t="s">
        <v>105</v>
      </c>
      <c r="C28" s="273">
        <v>450</v>
      </c>
      <c r="D28" s="274">
        <v>469</v>
      </c>
    </row>
    <row r="29" spans="1:6" s="8" customFormat="1" ht="18.75">
      <c r="A29" s="403"/>
      <c r="B29" s="9" t="s">
        <v>90</v>
      </c>
      <c r="C29" s="273"/>
      <c r="D29" s="274"/>
    </row>
    <row r="30" spans="1:6" s="8" customFormat="1" ht="18.75">
      <c r="A30" s="403"/>
      <c r="B30" s="9" t="s">
        <v>106</v>
      </c>
      <c r="C30" s="273"/>
      <c r="D30" s="274"/>
    </row>
    <row r="31" spans="1:6" s="8" customFormat="1" ht="18.75">
      <c r="A31" s="403"/>
      <c r="B31" s="9" t="s">
        <v>107</v>
      </c>
      <c r="C31" s="273"/>
      <c r="D31" s="274"/>
    </row>
    <row r="32" spans="1:6" s="8" customFormat="1" ht="18.75">
      <c r="A32" s="403"/>
      <c r="B32" s="9" t="s">
        <v>108</v>
      </c>
      <c r="C32" s="273">
        <v>0</v>
      </c>
      <c r="D32" s="274">
        <v>0</v>
      </c>
      <c r="F32" s="8" t="s">
        <v>373</v>
      </c>
    </row>
    <row r="33" spans="1:6" s="8" customFormat="1" ht="18.75">
      <c r="A33" s="404"/>
      <c r="B33" s="9" t="s">
        <v>109</v>
      </c>
      <c r="C33" s="273"/>
      <c r="D33" s="274"/>
    </row>
    <row r="34" spans="1:6" s="8" customFormat="1" ht="63">
      <c r="A34" s="9" t="s">
        <v>1</v>
      </c>
      <c r="B34" s="9" t="s">
        <v>110</v>
      </c>
      <c r="C34" s="275">
        <v>102416</v>
      </c>
      <c r="D34" s="274">
        <v>67870</v>
      </c>
    </row>
    <row r="35" spans="1:6" s="8" customFormat="1" ht="18.75">
      <c r="A35" s="9" t="s">
        <v>2</v>
      </c>
      <c r="B35" s="9" t="s">
        <v>111</v>
      </c>
      <c r="C35" s="72">
        <v>94452</v>
      </c>
      <c r="D35" s="73">
        <v>82095</v>
      </c>
      <c r="F35" s="94"/>
    </row>
    <row r="36" spans="1:6" s="8" customFormat="1" ht="31.5">
      <c r="A36" s="9"/>
      <c r="B36" s="29" t="s">
        <v>112</v>
      </c>
      <c r="C36" s="76">
        <f>C11+C34+C35</f>
        <v>222107.68</v>
      </c>
      <c r="D36" s="93">
        <f>D11+D34+D35</f>
        <v>174392.97999999998</v>
      </c>
    </row>
    <row r="41" spans="1:6">
      <c r="C41" s="28"/>
    </row>
  </sheetData>
  <mergeCells count="3">
    <mergeCell ref="A7:D7"/>
    <mergeCell ref="A8:D8"/>
    <mergeCell ref="A11:A33"/>
  </mergeCells>
  <pageMargins left="0" right="0" top="0" bottom="0" header="0.31496062992125984" footer="0.31496062992125984"/>
  <pageSetup paperSize="9" scale="7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  <pageSetUpPr fitToPage="1"/>
  </sheetPr>
  <dimension ref="A1:G37"/>
  <sheetViews>
    <sheetView topLeftCell="A7" zoomScale="80" zoomScaleNormal="80" zoomScaleSheetLayoutView="100" workbookViewId="0">
      <selection activeCell="G19" sqref="G19"/>
    </sheetView>
  </sheetViews>
  <sheetFormatPr defaultColWidth="9.140625" defaultRowHeight="17.25"/>
  <cols>
    <col min="1" max="1" width="6" style="38" customWidth="1"/>
    <col min="2" max="2" width="85.42578125" style="38" customWidth="1"/>
    <col min="3" max="3" width="28.140625" style="38" customWidth="1"/>
    <col min="4" max="4" width="26.42578125" style="38" customWidth="1"/>
    <col min="5" max="5" width="9.140625" style="38"/>
    <col min="6" max="6" width="15.28515625" style="38" customWidth="1"/>
    <col min="7" max="7" width="11.42578125" style="38" bestFit="1" customWidth="1"/>
    <col min="8" max="16384" width="9.140625" style="38"/>
  </cols>
  <sheetData>
    <row r="1" spans="1:5">
      <c r="A1" s="59"/>
      <c r="B1" s="59"/>
      <c r="C1" s="59"/>
      <c r="D1" s="54" t="s">
        <v>117</v>
      </c>
      <c r="E1" s="59"/>
    </row>
    <row r="2" spans="1:5">
      <c r="A2" s="59"/>
      <c r="B2" s="59"/>
      <c r="C2" s="59"/>
      <c r="D2" s="63" t="s">
        <v>68</v>
      </c>
      <c r="E2" s="59"/>
    </row>
    <row r="3" spans="1:5">
      <c r="A3" s="59"/>
      <c r="B3" s="59"/>
      <c r="C3" s="59"/>
      <c r="D3" s="64"/>
      <c r="E3" s="59"/>
    </row>
    <row r="4" spans="1:5">
      <c r="A4" s="59"/>
      <c r="B4" s="59"/>
      <c r="C4" s="59"/>
      <c r="D4" s="54" t="s">
        <v>69</v>
      </c>
      <c r="E4" s="59"/>
    </row>
    <row r="5" spans="1:5">
      <c r="A5" s="59"/>
      <c r="B5" s="59"/>
      <c r="C5" s="59"/>
      <c r="D5" s="54" t="s">
        <v>70</v>
      </c>
      <c r="E5" s="59"/>
    </row>
    <row r="6" spans="1:5">
      <c r="A6" s="59"/>
      <c r="B6" s="59"/>
      <c r="C6" s="65"/>
      <c r="D6" s="66"/>
      <c r="E6" s="59"/>
    </row>
    <row r="7" spans="1:5">
      <c r="A7" s="59"/>
      <c r="B7" s="59"/>
      <c r="C7" s="59"/>
      <c r="D7" s="59"/>
      <c r="E7" s="59"/>
    </row>
    <row r="8" spans="1:5" ht="18.75">
      <c r="A8" s="405" t="s">
        <v>7</v>
      </c>
      <c r="B8" s="405"/>
      <c r="C8" s="405"/>
      <c r="D8" s="405"/>
      <c r="E8" s="59"/>
    </row>
    <row r="9" spans="1:5" ht="37.5" customHeight="1">
      <c r="A9" s="406" t="s">
        <v>8</v>
      </c>
      <c r="B9" s="406"/>
      <c r="C9" s="406"/>
      <c r="D9" s="406"/>
      <c r="E9" s="59"/>
    </row>
    <row r="10" spans="1:5">
      <c r="A10" s="67"/>
      <c r="B10" s="67"/>
      <c r="C10" s="67"/>
      <c r="D10" s="67"/>
      <c r="E10" s="59"/>
    </row>
    <row r="11" spans="1:5" s="34" customFormat="1" ht="82.5">
      <c r="A11" s="49" t="s">
        <v>6</v>
      </c>
      <c r="B11" s="49" t="s">
        <v>9</v>
      </c>
      <c r="C11" s="49" t="s">
        <v>10</v>
      </c>
      <c r="D11" s="49" t="s">
        <v>11</v>
      </c>
      <c r="E11" s="1"/>
    </row>
    <row r="12" spans="1:5" s="35" customFormat="1" ht="52.5" customHeight="1">
      <c r="A12" s="42" t="s">
        <v>0</v>
      </c>
      <c r="B12" s="50" t="s">
        <v>12</v>
      </c>
      <c r="C12" s="77">
        <v>545.08000000000004</v>
      </c>
      <c r="D12" s="78">
        <v>391.92</v>
      </c>
      <c r="E12" s="2"/>
    </row>
    <row r="13" spans="1:5" s="35" customFormat="1" ht="52.5" customHeight="1">
      <c r="A13" s="42" t="s">
        <v>1</v>
      </c>
      <c r="B13" s="50" t="s">
        <v>137</v>
      </c>
      <c r="C13" s="77">
        <v>329.74</v>
      </c>
      <c r="D13" s="78">
        <v>3170.67</v>
      </c>
      <c r="E13" s="2"/>
    </row>
    <row r="14" spans="1:5" s="35" customFormat="1" ht="52.5" customHeight="1">
      <c r="A14" s="42" t="s">
        <v>2</v>
      </c>
      <c r="B14" s="50" t="s">
        <v>13</v>
      </c>
      <c r="C14" s="77">
        <v>2466.02</v>
      </c>
      <c r="D14" s="78">
        <v>215.26</v>
      </c>
      <c r="E14" s="2"/>
    </row>
    <row r="15" spans="1:5" s="35" customFormat="1" ht="52.5" customHeight="1">
      <c r="A15" s="42" t="s">
        <v>3</v>
      </c>
      <c r="B15" s="50" t="s">
        <v>14</v>
      </c>
      <c r="C15" s="77">
        <v>0</v>
      </c>
      <c r="D15" s="78">
        <v>0</v>
      </c>
      <c r="E15" s="2"/>
    </row>
    <row r="16" spans="1:5">
      <c r="A16" s="59"/>
      <c r="B16" s="59"/>
      <c r="C16" s="68"/>
      <c r="D16" s="68"/>
      <c r="E16" s="59"/>
    </row>
    <row r="17" spans="1:7">
      <c r="A17" s="59"/>
      <c r="B17" s="59"/>
      <c r="C17" s="59"/>
      <c r="D17" s="59"/>
      <c r="E17" s="59"/>
    </row>
    <row r="18" spans="1:7">
      <c r="A18" s="59"/>
      <c r="B18" s="59"/>
      <c r="C18" s="59"/>
      <c r="D18" s="59"/>
      <c r="E18" s="59"/>
    </row>
    <row r="19" spans="1:7">
      <c r="A19" s="59"/>
      <c r="B19" s="59"/>
      <c r="C19" s="59"/>
      <c r="D19" s="59"/>
      <c r="E19" s="59"/>
    </row>
    <row r="20" spans="1:7">
      <c r="A20" s="59"/>
      <c r="B20" s="59"/>
      <c r="C20" s="59"/>
      <c r="D20" s="59"/>
      <c r="E20" s="59"/>
    </row>
    <row r="21" spans="1:7">
      <c r="A21" s="59"/>
      <c r="B21" s="59"/>
      <c r="C21" s="59"/>
      <c r="D21" s="59"/>
      <c r="E21" s="59"/>
    </row>
    <row r="22" spans="1:7">
      <c r="A22" s="59"/>
      <c r="B22" s="59"/>
      <c r="C22" s="68"/>
      <c r="D22" s="68"/>
      <c r="E22" s="59"/>
      <c r="F22" s="43"/>
      <c r="G22" s="43"/>
    </row>
    <row r="23" spans="1:7">
      <c r="A23" s="59"/>
      <c r="B23" s="59"/>
      <c r="C23" s="68"/>
      <c r="D23" s="68"/>
      <c r="E23" s="59"/>
    </row>
    <row r="24" spans="1:7">
      <c r="A24" s="59"/>
      <c r="B24" s="59"/>
      <c r="C24" s="68"/>
      <c r="D24" s="68"/>
      <c r="E24" s="59"/>
    </row>
    <row r="25" spans="1:7">
      <c r="A25" s="59"/>
      <c r="B25" s="69"/>
      <c r="C25" s="68"/>
      <c r="D25" s="68"/>
      <c r="E25" s="59"/>
      <c r="F25" s="43"/>
      <c r="G25" s="43"/>
    </row>
    <row r="26" spans="1:7">
      <c r="A26" s="59"/>
      <c r="B26" s="59"/>
      <c r="C26" s="68"/>
      <c r="D26" s="68"/>
      <c r="E26" s="59"/>
    </row>
    <row r="27" spans="1:7">
      <c r="A27" s="59"/>
      <c r="B27" s="59"/>
      <c r="C27" s="68"/>
      <c r="D27" s="68"/>
      <c r="E27" s="59"/>
    </row>
    <row r="28" spans="1:7">
      <c r="A28" s="59"/>
      <c r="B28" s="59"/>
      <c r="C28" s="407"/>
      <c r="D28" s="407"/>
      <c r="E28" s="59"/>
    </row>
    <row r="29" spans="1:7">
      <c r="A29" s="59"/>
      <c r="B29" s="59"/>
      <c r="C29" s="68"/>
      <c r="D29" s="68"/>
      <c r="E29" s="59"/>
    </row>
    <row r="30" spans="1:7">
      <c r="A30" s="59"/>
      <c r="B30" s="59"/>
      <c r="C30" s="68"/>
      <c r="D30" s="68"/>
      <c r="E30" s="59"/>
    </row>
    <row r="31" spans="1:7">
      <c r="A31" s="59"/>
      <c r="B31" s="59"/>
      <c r="C31" s="68"/>
      <c r="D31" s="68"/>
      <c r="E31" s="59"/>
    </row>
    <row r="32" spans="1:7">
      <c r="B32" s="44"/>
      <c r="C32" s="43"/>
      <c r="D32" s="43"/>
    </row>
    <row r="33" spans="3:4">
      <c r="C33" s="43"/>
      <c r="D33" s="43"/>
    </row>
    <row r="34" spans="3:4">
      <c r="C34" s="43"/>
      <c r="D34" s="43"/>
    </row>
    <row r="35" spans="3:4">
      <c r="C35" s="43"/>
      <c r="D35" s="43"/>
    </row>
    <row r="36" spans="3:4">
      <c r="C36" s="43"/>
      <c r="D36" s="43"/>
    </row>
    <row r="37" spans="3:4">
      <c r="C37" s="43"/>
      <c r="D37" s="43"/>
    </row>
  </sheetData>
  <mergeCells count="3">
    <mergeCell ref="A8:D8"/>
    <mergeCell ref="A9:D9"/>
    <mergeCell ref="C28:D28"/>
  </mergeCells>
  <pageMargins left="0.70866141732283472" right="0.70866141732283472" top="0.74803149606299213" bottom="0.74803149606299213" header="0.31496062992125984" footer="0.31496062992125984"/>
  <pageSetup paperSize="9" scale="8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  <pageSetUpPr fitToPage="1"/>
  </sheetPr>
  <dimension ref="A1:F23"/>
  <sheetViews>
    <sheetView zoomScale="70" zoomScaleNormal="70" zoomScaleSheetLayoutView="100" workbookViewId="0">
      <selection activeCell="C19" sqref="C19"/>
    </sheetView>
  </sheetViews>
  <sheetFormatPr defaultColWidth="9.140625" defaultRowHeight="16.5"/>
  <cols>
    <col min="1" max="1" width="9.140625" style="37"/>
    <col min="2" max="2" width="54.85546875" style="37" bestFit="1" customWidth="1"/>
    <col min="3" max="3" width="33.5703125" style="37" customWidth="1"/>
    <col min="4" max="4" width="30.7109375" style="37" customWidth="1"/>
    <col min="5" max="5" width="29.5703125" style="37" customWidth="1"/>
    <col min="6" max="6" width="12.85546875" style="37" customWidth="1"/>
    <col min="7" max="7" width="9.140625" style="37"/>
    <col min="8" max="8" width="17.140625" style="37" customWidth="1"/>
    <col min="9" max="16384" width="9.140625" style="37"/>
  </cols>
  <sheetData>
    <row r="1" spans="1:6">
      <c r="A1" s="53"/>
      <c r="B1" s="53"/>
      <c r="C1" s="53"/>
      <c r="D1" s="53"/>
      <c r="E1" s="54" t="s">
        <v>118</v>
      </c>
      <c r="F1" s="53"/>
    </row>
    <row r="2" spans="1:6">
      <c r="A2" s="53"/>
      <c r="B2" s="53"/>
      <c r="C2" s="53"/>
      <c r="D2" s="53"/>
      <c r="E2" s="55" t="s">
        <v>68</v>
      </c>
      <c r="F2" s="53"/>
    </row>
    <row r="3" spans="1:6">
      <c r="A3" s="53"/>
      <c r="B3" s="53"/>
      <c r="C3" s="53"/>
      <c r="D3" s="53"/>
      <c r="E3" s="54"/>
      <c r="F3" s="53"/>
    </row>
    <row r="4" spans="1:6">
      <c r="A4" s="53"/>
      <c r="B4" s="53"/>
      <c r="C4" s="53"/>
      <c r="D4" s="53"/>
      <c r="E4" s="54" t="s">
        <v>69</v>
      </c>
      <c r="F4" s="53"/>
    </row>
    <row r="5" spans="1:6">
      <c r="A5" s="53"/>
      <c r="B5" s="53"/>
      <c r="C5" s="53"/>
      <c r="D5" s="53"/>
      <c r="E5" s="54" t="s">
        <v>70</v>
      </c>
      <c r="F5" s="53"/>
    </row>
    <row r="6" spans="1:6">
      <c r="A6" s="53"/>
      <c r="B6" s="53"/>
      <c r="C6" s="53"/>
      <c r="D6" s="53"/>
      <c r="E6" s="53"/>
      <c r="F6" s="53"/>
    </row>
    <row r="7" spans="1:6">
      <c r="A7" s="53"/>
      <c r="B7" s="53"/>
      <c r="C7" s="53"/>
      <c r="D7" s="53"/>
      <c r="E7" s="53"/>
      <c r="F7" s="53"/>
    </row>
    <row r="8" spans="1:6" ht="18.75">
      <c r="A8" s="53"/>
      <c r="B8" s="405" t="s">
        <v>7</v>
      </c>
      <c r="C8" s="405"/>
      <c r="D8" s="405"/>
      <c r="E8" s="405"/>
      <c r="F8" s="53"/>
    </row>
    <row r="9" spans="1:6" ht="18.75">
      <c r="A9" s="53"/>
      <c r="B9" s="405" t="s">
        <v>39</v>
      </c>
      <c r="C9" s="405"/>
      <c r="D9" s="405"/>
      <c r="E9" s="405"/>
      <c r="F9" s="53"/>
    </row>
    <row r="10" spans="1:6" ht="18.75">
      <c r="A10" s="53"/>
      <c r="B10" s="405" t="s">
        <v>41</v>
      </c>
      <c r="C10" s="405"/>
      <c r="D10" s="405"/>
      <c r="E10" s="405"/>
      <c r="F10" s="53"/>
    </row>
    <row r="11" spans="1:6">
      <c r="A11" s="53"/>
      <c r="B11" s="53"/>
      <c r="C11" s="53"/>
      <c r="D11" s="53"/>
      <c r="E11" s="53"/>
      <c r="F11" s="53"/>
    </row>
    <row r="12" spans="1:6" s="34" customFormat="1" ht="115.5">
      <c r="A12" s="56" t="s">
        <v>6</v>
      </c>
      <c r="B12" s="49" t="s">
        <v>40</v>
      </c>
      <c r="C12" s="49" t="s">
        <v>15</v>
      </c>
      <c r="D12" s="49" t="s">
        <v>16</v>
      </c>
      <c r="E12" s="49" t="s">
        <v>17</v>
      </c>
      <c r="F12" s="1"/>
    </row>
    <row r="13" spans="1:6" s="35" customFormat="1" ht="26.25" customHeight="1">
      <c r="A13" s="408" t="s">
        <v>0</v>
      </c>
      <c r="B13" s="50" t="s">
        <v>18</v>
      </c>
      <c r="C13" s="276">
        <f>C14+C15+C16</f>
        <v>4910.16</v>
      </c>
      <c r="D13" s="276">
        <f>D14+D15</f>
        <v>2027.4</v>
      </c>
      <c r="E13" s="276">
        <f>E14+E15</f>
        <v>1261.076</v>
      </c>
      <c r="F13" s="2"/>
    </row>
    <row r="14" spans="1:6" s="35" customFormat="1" ht="26.25" customHeight="1">
      <c r="A14" s="409"/>
      <c r="B14" s="57" t="s">
        <v>19</v>
      </c>
      <c r="C14" s="78">
        <v>1004.57</v>
      </c>
      <c r="D14" s="78">
        <v>642</v>
      </c>
      <c r="E14" s="78">
        <v>406.38</v>
      </c>
      <c r="F14" s="2"/>
    </row>
    <row r="15" spans="1:6" s="35" customFormat="1" ht="26.25" customHeight="1">
      <c r="A15" s="409"/>
      <c r="B15" s="57" t="s">
        <v>20</v>
      </c>
      <c r="C15" s="78">
        <v>3905.59</v>
      </c>
      <c r="D15" s="78">
        <v>1385.4</v>
      </c>
      <c r="E15" s="78">
        <v>854.69600000000003</v>
      </c>
      <c r="F15" s="2"/>
    </row>
    <row r="16" spans="1:6" s="35" customFormat="1" ht="26.25" customHeight="1">
      <c r="A16" s="410"/>
      <c r="B16" s="57" t="s">
        <v>21</v>
      </c>
      <c r="C16" s="78">
        <v>0</v>
      </c>
      <c r="D16" s="78">
        <v>0</v>
      </c>
      <c r="E16" s="78">
        <v>0</v>
      </c>
      <c r="F16" s="2"/>
    </row>
    <row r="17" spans="1:6" s="35" customFormat="1" ht="26.25" customHeight="1">
      <c r="A17" s="408" t="s">
        <v>1</v>
      </c>
      <c r="B17" s="50" t="s">
        <v>22</v>
      </c>
      <c r="C17" s="78"/>
      <c r="D17" s="78"/>
      <c r="E17" s="78"/>
      <c r="F17" s="2"/>
    </row>
    <row r="18" spans="1:6" s="35" customFormat="1" ht="26.25" customHeight="1">
      <c r="A18" s="409"/>
      <c r="B18" s="57" t="s">
        <v>19</v>
      </c>
      <c r="C18" s="78">
        <v>32184.597000000002</v>
      </c>
      <c r="D18" s="78">
        <v>25881.332999999999</v>
      </c>
      <c r="E18" s="78">
        <v>3999</v>
      </c>
      <c r="F18" s="2"/>
    </row>
    <row r="19" spans="1:6" s="35" customFormat="1" ht="26.25" customHeight="1">
      <c r="A19" s="409"/>
      <c r="B19" s="57" t="s">
        <v>20</v>
      </c>
      <c r="C19" s="78">
        <v>8483.3209999999999</v>
      </c>
      <c r="D19" s="78">
        <v>5856.4</v>
      </c>
      <c r="E19" s="78">
        <v>604.79999999999995</v>
      </c>
      <c r="F19" s="2"/>
    </row>
    <row r="20" spans="1:6" s="35" customFormat="1" ht="26.25" customHeight="1">
      <c r="A20" s="410"/>
      <c r="B20" s="57" t="s">
        <v>21</v>
      </c>
      <c r="C20" s="78">
        <v>0</v>
      </c>
      <c r="D20" s="78">
        <v>0</v>
      </c>
      <c r="E20" s="78">
        <v>0</v>
      </c>
      <c r="F20" s="2"/>
    </row>
    <row r="21" spans="1:6">
      <c r="A21" s="53"/>
      <c r="B21" s="53"/>
      <c r="C21" s="53"/>
      <c r="D21" s="58"/>
      <c r="E21" s="58"/>
      <c r="F21" s="58"/>
    </row>
    <row r="22" spans="1:6">
      <c r="A22" s="53"/>
      <c r="B22" s="53"/>
      <c r="C22" s="53"/>
      <c r="D22" s="53"/>
      <c r="E22" s="53"/>
      <c r="F22" s="53"/>
    </row>
    <row r="23" spans="1:6">
      <c r="A23" s="53"/>
      <c r="B23" s="53"/>
      <c r="C23" s="53"/>
      <c r="D23" s="53"/>
      <c r="E23" s="53"/>
      <c r="F23" s="53"/>
    </row>
  </sheetData>
  <mergeCells count="5">
    <mergeCell ref="A17:A20"/>
    <mergeCell ref="B8:E8"/>
    <mergeCell ref="B9:E9"/>
    <mergeCell ref="B10:E10"/>
    <mergeCell ref="A13:A16"/>
  </mergeCells>
  <pageMargins left="0.70866141732283472" right="0.70866141732283472" top="0.74803149606299213" bottom="0.74803149606299213" header="0.31496062992125984" footer="0.31496062992125984"/>
  <pageSetup paperSize="9" scale="8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  <pageSetUpPr fitToPage="1"/>
  </sheetPr>
  <dimension ref="A1:K47"/>
  <sheetViews>
    <sheetView topLeftCell="B4" zoomScaleNormal="100" zoomScaleSheetLayoutView="100" workbookViewId="0">
      <selection activeCell="J20" sqref="J20"/>
    </sheetView>
  </sheetViews>
  <sheetFormatPr defaultColWidth="9.140625" defaultRowHeight="17.25"/>
  <cols>
    <col min="1" max="1" width="7.42578125" style="38" customWidth="1"/>
    <col min="2" max="2" width="48" style="38" bestFit="1" customWidth="1"/>
    <col min="3" max="11" width="15.5703125" style="38" customWidth="1"/>
    <col min="12" max="16384" width="9.140625" style="38"/>
  </cols>
  <sheetData>
    <row r="1" spans="1:11">
      <c r="A1" s="59"/>
      <c r="B1" s="59"/>
      <c r="C1" s="59"/>
      <c r="D1" s="59"/>
      <c r="E1" s="59"/>
      <c r="F1" s="59"/>
      <c r="G1" s="59"/>
      <c r="H1" s="59"/>
      <c r="I1" s="54"/>
      <c r="J1" s="54"/>
      <c r="K1" s="54" t="s">
        <v>119</v>
      </c>
    </row>
    <row r="2" spans="1:11" ht="17.25" customHeight="1">
      <c r="A2" s="59"/>
      <c r="B2" s="59"/>
      <c r="C2" s="59"/>
      <c r="D2" s="59"/>
      <c r="E2" s="59"/>
      <c r="F2" s="59"/>
      <c r="G2" s="59"/>
      <c r="H2" s="59"/>
      <c r="I2" s="60"/>
      <c r="J2" s="60"/>
      <c r="K2" s="54" t="s">
        <v>68</v>
      </c>
    </row>
    <row r="3" spans="1:11">
      <c r="A3" s="59"/>
      <c r="B3" s="59"/>
      <c r="C3" s="59"/>
      <c r="D3" s="59"/>
      <c r="E3" s="59"/>
      <c r="F3" s="59"/>
      <c r="G3" s="59"/>
      <c r="H3" s="59"/>
      <c r="I3" s="54"/>
      <c r="J3" s="54"/>
      <c r="K3" s="54"/>
    </row>
    <row r="4" spans="1:11">
      <c r="A4" s="59"/>
      <c r="B4" s="59"/>
      <c r="C4" s="59"/>
      <c r="D4" s="59"/>
      <c r="E4" s="59"/>
      <c r="F4" s="59"/>
      <c r="G4" s="59"/>
      <c r="H4" s="59"/>
      <c r="I4" s="54"/>
      <c r="J4" s="54"/>
      <c r="K4" s="54" t="s">
        <v>69</v>
      </c>
    </row>
    <row r="5" spans="1:11">
      <c r="A5" s="59"/>
      <c r="B5" s="59"/>
      <c r="C5" s="59"/>
      <c r="D5" s="59"/>
      <c r="E5" s="59"/>
      <c r="F5" s="59"/>
      <c r="G5" s="59"/>
      <c r="H5" s="59"/>
      <c r="I5" s="54"/>
      <c r="J5" s="54"/>
      <c r="K5" s="54" t="s">
        <v>70</v>
      </c>
    </row>
    <row r="6" spans="1:11">
      <c r="A6" s="59"/>
      <c r="B6" s="59"/>
      <c r="C6" s="59"/>
      <c r="D6" s="59"/>
      <c r="E6" s="59"/>
      <c r="F6" s="59"/>
      <c r="G6" s="59"/>
      <c r="H6" s="61"/>
      <c r="I6" s="61"/>
      <c r="J6" s="61"/>
      <c r="K6" s="61"/>
    </row>
    <row r="7" spans="1:11">
      <c r="A7" s="59"/>
      <c r="B7" s="59"/>
      <c r="C7" s="59"/>
      <c r="D7" s="59"/>
      <c r="E7" s="59"/>
      <c r="F7" s="59"/>
      <c r="G7" s="59"/>
      <c r="H7" s="61"/>
      <c r="I7" s="61"/>
      <c r="J7" s="61"/>
      <c r="K7" s="61"/>
    </row>
    <row r="8" spans="1:11" ht="18.75">
      <c r="A8" s="405" t="s">
        <v>23</v>
      </c>
      <c r="B8" s="405"/>
      <c r="C8" s="405"/>
      <c r="D8" s="405"/>
      <c r="E8" s="405"/>
      <c r="F8" s="405"/>
      <c r="G8" s="405"/>
      <c r="H8" s="405"/>
      <c r="I8" s="405"/>
      <c r="J8" s="405"/>
      <c r="K8" s="405"/>
    </row>
    <row r="9" spans="1:11" ht="18.75">
      <c r="A9" s="405" t="s">
        <v>24</v>
      </c>
      <c r="B9" s="405"/>
      <c r="C9" s="405"/>
      <c r="D9" s="405"/>
      <c r="E9" s="405"/>
      <c r="F9" s="405"/>
      <c r="G9" s="405"/>
      <c r="H9" s="405"/>
      <c r="I9" s="405"/>
      <c r="J9" s="405"/>
      <c r="K9" s="405"/>
    </row>
    <row r="10" spans="1:11">
      <c r="A10" s="59"/>
      <c r="B10" s="59"/>
      <c r="C10" s="59"/>
      <c r="D10" s="59"/>
      <c r="E10" s="59"/>
      <c r="F10" s="59"/>
      <c r="G10" s="59"/>
      <c r="H10" s="59"/>
      <c r="I10" s="59"/>
      <c r="J10" s="59"/>
      <c r="K10" s="59"/>
    </row>
    <row r="11" spans="1:11" s="34" customFormat="1" ht="32.25" customHeight="1">
      <c r="A11" s="412" t="s">
        <v>6</v>
      </c>
      <c r="B11" s="412" t="s">
        <v>25</v>
      </c>
      <c r="C11" s="412" t="s">
        <v>26</v>
      </c>
      <c r="D11" s="412"/>
      <c r="E11" s="412"/>
      <c r="F11" s="412" t="s">
        <v>27</v>
      </c>
      <c r="G11" s="412"/>
      <c r="H11" s="412"/>
      <c r="I11" s="412" t="s">
        <v>28</v>
      </c>
      <c r="J11" s="412"/>
      <c r="K11" s="412"/>
    </row>
    <row r="12" spans="1:11" s="34" customFormat="1" ht="16.5">
      <c r="A12" s="412"/>
      <c r="B12" s="412"/>
      <c r="C12" s="49" t="s">
        <v>19</v>
      </c>
      <c r="D12" s="49" t="s">
        <v>20</v>
      </c>
      <c r="E12" s="49" t="s">
        <v>132</v>
      </c>
      <c r="F12" s="49" t="s">
        <v>19</v>
      </c>
      <c r="G12" s="49" t="s">
        <v>20</v>
      </c>
      <c r="H12" s="49" t="s">
        <v>132</v>
      </c>
      <c r="I12" s="49" t="s">
        <v>19</v>
      </c>
      <c r="J12" s="49" t="s">
        <v>20</v>
      </c>
      <c r="K12" s="49" t="s">
        <v>132</v>
      </c>
    </row>
    <row r="13" spans="1:11" s="35" customFormat="1" ht="16.5">
      <c r="A13" s="399" t="s">
        <v>0</v>
      </c>
      <c r="B13" s="50" t="s">
        <v>32</v>
      </c>
      <c r="C13" s="79">
        <v>1147</v>
      </c>
      <c r="D13" s="79">
        <v>2</v>
      </c>
      <c r="E13" s="79" t="s">
        <v>150</v>
      </c>
      <c r="F13" s="80">
        <v>11186</v>
      </c>
      <c r="G13" s="80">
        <v>30</v>
      </c>
      <c r="H13" s="79" t="s">
        <v>150</v>
      </c>
      <c r="I13" s="81">
        <v>1257</v>
      </c>
      <c r="J13" s="81">
        <v>218</v>
      </c>
      <c r="K13" s="79" t="s">
        <v>150</v>
      </c>
    </row>
    <row r="14" spans="1:11" s="35" customFormat="1" ht="16.5">
      <c r="A14" s="399"/>
      <c r="B14" s="50" t="s">
        <v>29</v>
      </c>
      <c r="C14" s="79">
        <v>1086</v>
      </c>
      <c r="D14" s="79">
        <v>1</v>
      </c>
      <c r="E14" s="79" t="s">
        <v>150</v>
      </c>
      <c r="F14" s="80">
        <v>10915</v>
      </c>
      <c r="G14" s="80">
        <v>15</v>
      </c>
      <c r="H14" s="79" t="s">
        <v>150</v>
      </c>
      <c r="I14" s="81">
        <v>597</v>
      </c>
      <c r="J14" s="81">
        <v>1</v>
      </c>
      <c r="K14" s="79" t="s">
        <v>150</v>
      </c>
    </row>
    <row r="15" spans="1:11" s="35" customFormat="1" ht="16.5">
      <c r="A15" s="399" t="s">
        <v>1</v>
      </c>
      <c r="B15" s="50" t="s">
        <v>33</v>
      </c>
      <c r="C15" s="79">
        <v>33</v>
      </c>
      <c r="D15" s="79">
        <v>2</v>
      </c>
      <c r="E15" s="79" t="s">
        <v>150</v>
      </c>
      <c r="F15" s="80">
        <v>1051</v>
      </c>
      <c r="G15" s="80">
        <v>113</v>
      </c>
      <c r="H15" s="79" t="s">
        <v>150</v>
      </c>
      <c r="I15" s="81">
        <v>2261</v>
      </c>
      <c r="J15" s="81">
        <v>151</v>
      </c>
      <c r="K15" s="79" t="s">
        <v>150</v>
      </c>
    </row>
    <row r="16" spans="1:11" s="35" customFormat="1" ht="16.5">
      <c r="A16" s="399"/>
      <c r="B16" s="50" t="s">
        <v>30</v>
      </c>
      <c r="C16" s="82">
        <v>0</v>
      </c>
      <c r="D16" s="82">
        <v>0</v>
      </c>
      <c r="E16" s="79" t="s">
        <v>150</v>
      </c>
      <c r="F16" s="83"/>
      <c r="G16" s="83">
        <v>0</v>
      </c>
      <c r="H16" s="79" t="s">
        <v>150</v>
      </c>
      <c r="I16" s="84"/>
      <c r="J16" s="84">
        <v>0</v>
      </c>
      <c r="K16" s="79" t="s">
        <v>150</v>
      </c>
    </row>
    <row r="17" spans="1:11" s="35" customFormat="1" ht="16.5">
      <c r="A17" s="399" t="s">
        <v>2</v>
      </c>
      <c r="B17" s="50" t="s">
        <v>34</v>
      </c>
      <c r="C17" s="79">
        <v>1</v>
      </c>
      <c r="D17" s="79">
        <v>3</v>
      </c>
      <c r="E17" s="79" t="s">
        <v>150</v>
      </c>
      <c r="F17" s="80">
        <v>198</v>
      </c>
      <c r="G17" s="80">
        <v>1250</v>
      </c>
      <c r="H17" s="79" t="s">
        <v>150</v>
      </c>
      <c r="I17" s="81">
        <v>39</v>
      </c>
      <c r="J17" s="81">
        <v>1127</v>
      </c>
      <c r="K17" s="79" t="s">
        <v>150</v>
      </c>
    </row>
    <row r="18" spans="1:11" s="35" customFormat="1" ht="16.5">
      <c r="A18" s="399"/>
      <c r="B18" s="50" t="s">
        <v>35</v>
      </c>
      <c r="C18" s="82">
        <v>0</v>
      </c>
      <c r="D18" s="82">
        <v>0</v>
      </c>
      <c r="E18" s="79" t="s">
        <v>150</v>
      </c>
      <c r="F18" s="83">
        <v>0</v>
      </c>
      <c r="G18" s="83">
        <v>0</v>
      </c>
      <c r="H18" s="79" t="s">
        <v>150</v>
      </c>
      <c r="I18" s="84">
        <v>0</v>
      </c>
      <c r="J18" s="84">
        <v>0</v>
      </c>
      <c r="K18" s="79" t="s">
        <v>150</v>
      </c>
    </row>
    <row r="19" spans="1:11" s="35" customFormat="1" ht="16.5">
      <c r="A19" s="399" t="s">
        <v>3</v>
      </c>
      <c r="B19" s="50" t="s">
        <v>36</v>
      </c>
      <c r="C19" s="79">
        <v>0</v>
      </c>
      <c r="D19" s="79">
        <v>2</v>
      </c>
      <c r="E19" s="79" t="s">
        <v>150</v>
      </c>
      <c r="F19" s="80">
        <v>0</v>
      </c>
      <c r="G19" s="80">
        <v>1950</v>
      </c>
      <c r="H19" s="79" t="s">
        <v>150</v>
      </c>
      <c r="I19" s="81">
        <v>0</v>
      </c>
      <c r="J19" s="81">
        <v>2653</v>
      </c>
      <c r="K19" s="79" t="s">
        <v>150</v>
      </c>
    </row>
    <row r="20" spans="1:11" s="35" customFormat="1" ht="16.5">
      <c r="A20" s="399"/>
      <c r="B20" s="50" t="s">
        <v>35</v>
      </c>
      <c r="C20" s="82">
        <v>0</v>
      </c>
      <c r="D20" s="82">
        <v>0</v>
      </c>
      <c r="E20" s="79" t="s">
        <v>150</v>
      </c>
      <c r="F20" s="83">
        <v>0</v>
      </c>
      <c r="G20" s="83">
        <v>0</v>
      </c>
      <c r="H20" s="79" t="s">
        <v>150</v>
      </c>
      <c r="I20" s="84">
        <v>0</v>
      </c>
      <c r="J20" s="84">
        <v>0</v>
      </c>
      <c r="K20" s="79" t="s">
        <v>150</v>
      </c>
    </row>
    <row r="21" spans="1:11" s="35" customFormat="1" ht="16.5">
      <c r="A21" s="399" t="s">
        <v>4</v>
      </c>
      <c r="B21" s="50" t="s">
        <v>37</v>
      </c>
      <c r="C21" s="79" t="s">
        <v>150</v>
      </c>
      <c r="D21" s="79" t="s">
        <v>150</v>
      </c>
      <c r="E21" s="79" t="s">
        <v>150</v>
      </c>
      <c r="F21" s="79" t="s">
        <v>150</v>
      </c>
      <c r="G21" s="79" t="s">
        <v>150</v>
      </c>
      <c r="H21" s="79" t="s">
        <v>150</v>
      </c>
      <c r="I21" s="79" t="s">
        <v>150</v>
      </c>
      <c r="J21" s="79" t="s">
        <v>150</v>
      </c>
      <c r="K21" s="79" t="s">
        <v>150</v>
      </c>
    </row>
    <row r="22" spans="1:11" s="35" customFormat="1" ht="16.5">
      <c r="A22" s="399"/>
      <c r="B22" s="50" t="s">
        <v>35</v>
      </c>
      <c r="C22" s="79" t="s">
        <v>150</v>
      </c>
      <c r="D22" s="79" t="s">
        <v>150</v>
      </c>
      <c r="E22" s="79" t="s">
        <v>150</v>
      </c>
      <c r="F22" s="79" t="s">
        <v>150</v>
      </c>
      <c r="G22" s="79" t="s">
        <v>150</v>
      </c>
      <c r="H22" s="79" t="s">
        <v>150</v>
      </c>
      <c r="I22" s="79" t="s">
        <v>150</v>
      </c>
      <c r="J22" s="79" t="s">
        <v>150</v>
      </c>
      <c r="K22" s="79" t="s">
        <v>150</v>
      </c>
    </row>
    <row r="23" spans="1:11" s="35" customFormat="1" ht="33">
      <c r="A23" s="42" t="s">
        <v>5</v>
      </c>
      <c r="B23" s="50" t="s">
        <v>31</v>
      </c>
      <c r="C23" s="79" t="s">
        <v>150</v>
      </c>
      <c r="D23" s="79" t="s">
        <v>150</v>
      </c>
      <c r="E23" s="79" t="s">
        <v>150</v>
      </c>
      <c r="F23" s="79" t="s">
        <v>150</v>
      </c>
      <c r="G23" s="79" t="s">
        <v>150</v>
      </c>
      <c r="H23" s="79" t="s">
        <v>150</v>
      </c>
      <c r="I23" s="79" t="s">
        <v>150</v>
      </c>
      <c r="J23" s="79" t="s">
        <v>150</v>
      </c>
      <c r="K23" s="79" t="s">
        <v>150</v>
      </c>
    </row>
    <row r="24" spans="1:11">
      <c r="A24" s="59"/>
      <c r="B24" s="59"/>
      <c r="C24" s="59"/>
      <c r="D24" s="59"/>
      <c r="E24" s="59"/>
      <c r="F24" s="59"/>
      <c r="G24" s="59"/>
      <c r="H24" s="59"/>
      <c r="I24" s="59"/>
      <c r="J24" s="59"/>
      <c r="K24" s="59"/>
    </row>
    <row r="25" spans="1:11" s="37" customFormat="1">
      <c r="A25" s="62" t="s">
        <v>43</v>
      </c>
      <c r="B25" s="411" t="s">
        <v>42</v>
      </c>
      <c r="C25" s="411"/>
      <c r="D25" s="411"/>
      <c r="E25" s="411"/>
      <c r="F25" s="411"/>
      <c r="G25" s="411"/>
      <c r="H25" s="411"/>
      <c r="I25" s="411"/>
      <c r="J25" s="411"/>
      <c r="K25" s="411"/>
    </row>
    <row r="26" spans="1:11" s="37" customFormat="1" ht="16.5">
      <c r="A26" s="53"/>
      <c r="B26" s="53"/>
      <c r="C26" s="53"/>
      <c r="D26" s="53"/>
      <c r="E26" s="53"/>
      <c r="F26" s="53"/>
      <c r="G26" s="53"/>
      <c r="H26" s="53"/>
      <c r="I26" s="53"/>
      <c r="J26" s="53"/>
      <c r="K26" s="53"/>
    </row>
    <row r="27" spans="1:11" s="37" customFormat="1" ht="89.25" customHeight="1">
      <c r="A27" s="62" t="s">
        <v>140</v>
      </c>
      <c r="B27" s="411" t="s">
        <v>44</v>
      </c>
      <c r="C27" s="411"/>
      <c r="D27" s="411"/>
      <c r="E27" s="411"/>
      <c r="F27" s="411"/>
      <c r="G27" s="411"/>
      <c r="H27" s="411"/>
      <c r="I27" s="411"/>
      <c r="J27" s="411"/>
      <c r="K27" s="411"/>
    </row>
    <row r="28" spans="1:11" s="37" customFormat="1" ht="16.5">
      <c r="A28" s="53"/>
      <c r="B28" s="53"/>
      <c r="C28" s="53"/>
      <c r="D28" s="53"/>
      <c r="E28" s="53"/>
      <c r="F28" s="53"/>
      <c r="G28" s="53"/>
      <c r="H28" s="53"/>
      <c r="I28" s="53"/>
      <c r="J28" s="53"/>
      <c r="K28" s="53"/>
    </row>
    <row r="29" spans="1:11" s="37" customFormat="1" ht="16.5">
      <c r="A29" s="53"/>
      <c r="B29" s="53"/>
      <c r="C29" s="53"/>
      <c r="D29" s="53"/>
      <c r="E29" s="53"/>
      <c r="F29" s="53"/>
      <c r="G29" s="53"/>
      <c r="H29" s="53"/>
      <c r="I29" s="53"/>
      <c r="J29" s="53"/>
      <c r="K29" s="53"/>
    </row>
    <row r="30" spans="1:11" s="37" customFormat="1" ht="16.5"/>
    <row r="31" spans="1:11" s="37" customFormat="1" ht="16.5"/>
    <row r="32" spans="1:11" s="37" customFormat="1" ht="16.5"/>
    <row r="33" s="37" customFormat="1" ht="16.5"/>
    <row r="34" s="37" customFormat="1" ht="16.5"/>
    <row r="35" s="37" customFormat="1" ht="16.5"/>
    <row r="36" s="37" customFormat="1" ht="16.5"/>
    <row r="37" s="37" customFormat="1" ht="16.5"/>
    <row r="38" s="37" customFormat="1" ht="16.5"/>
    <row r="39" s="37" customFormat="1" ht="16.5"/>
    <row r="40" s="37" customFormat="1" ht="16.5"/>
    <row r="41" s="37" customFormat="1" ht="16.5"/>
    <row r="42" s="37" customFormat="1" ht="16.5"/>
    <row r="43" s="37" customFormat="1" ht="16.5"/>
    <row r="44" s="37" customFormat="1" ht="16.5"/>
    <row r="45" s="37" customFormat="1" ht="16.5"/>
    <row r="46" s="37" customFormat="1" ht="16.5"/>
    <row r="47" s="37" customFormat="1" ht="16.5"/>
  </sheetData>
  <mergeCells count="14">
    <mergeCell ref="A9:K9"/>
    <mergeCell ref="A8:K8"/>
    <mergeCell ref="B27:K27"/>
    <mergeCell ref="A11:A12"/>
    <mergeCell ref="B11:B12"/>
    <mergeCell ref="C11:E11"/>
    <mergeCell ref="F11:H11"/>
    <mergeCell ref="I11:K11"/>
    <mergeCell ref="A13:A14"/>
    <mergeCell ref="A15:A16"/>
    <mergeCell ref="A17:A18"/>
    <mergeCell ref="A19:A20"/>
    <mergeCell ref="A21:A22"/>
    <mergeCell ref="B25:K25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  <pageSetUpPr fitToPage="1"/>
  </sheetPr>
  <dimension ref="A1:H47"/>
  <sheetViews>
    <sheetView zoomScaleNormal="100" zoomScaleSheetLayoutView="100" workbookViewId="0">
      <selection activeCell="F14" sqref="F14"/>
    </sheetView>
  </sheetViews>
  <sheetFormatPr defaultColWidth="9.140625" defaultRowHeight="15"/>
  <cols>
    <col min="1" max="1" width="7.140625" style="33" bestFit="1" customWidth="1"/>
    <col min="2" max="2" width="48" style="33" bestFit="1" customWidth="1"/>
    <col min="3" max="8" width="17.7109375" style="33" customWidth="1"/>
    <col min="9" max="16384" width="9.140625" style="33"/>
  </cols>
  <sheetData>
    <row r="1" spans="1:8">
      <c r="A1" s="45"/>
      <c r="B1" s="45"/>
      <c r="C1" s="45"/>
      <c r="D1" s="45"/>
      <c r="E1" s="45"/>
      <c r="F1" s="45"/>
      <c r="G1" s="46"/>
      <c r="H1" s="46" t="s">
        <v>120</v>
      </c>
    </row>
    <row r="2" spans="1:8">
      <c r="A2" s="45"/>
      <c r="B2" s="45"/>
      <c r="C2" s="45"/>
      <c r="D2" s="45"/>
      <c r="E2" s="45"/>
      <c r="F2" s="45"/>
      <c r="G2" s="46"/>
      <c r="H2" s="46" t="s">
        <v>68</v>
      </c>
    </row>
    <row r="3" spans="1:8">
      <c r="A3" s="45"/>
      <c r="B3" s="45"/>
      <c r="C3" s="45"/>
      <c r="D3" s="45"/>
      <c r="E3" s="45"/>
      <c r="F3" s="45"/>
      <c r="G3" s="46"/>
      <c r="H3" s="46"/>
    </row>
    <row r="4" spans="1:8">
      <c r="A4" s="45"/>
      <c r="B4" s="45"/>
      <c r="C4" s="45"/>
      <c r="D4" s="45"/>
      <c r="E4" s="45"/>
      <c r="F4" s="45"/>
      <c r="G4" s="46"/>
      <c r="H4" s="46" t="s">
        <v>69</v>
      </c>
    </row>
    <row r="5" spans="1:8">
      <c r="A5" s="45"/>
      <c r="B5" s="45"/>
      <c r="C5" s="45"/>
      <c r="D5" s="45"/>
      <c r="E5" s="45"/>
      <c r="F5" s="45"/>
      <c r="G5" s="46"/>
      <c r="H5" s="46" t="s">
        <v>70</v>
      </c>
    </row>
    <row r="6" spans="1:8">
      <c r="A6" s="45"/>
      <c r="B6" s="45"/>
      <c r="C6" s="45"/>
      <c r="D6" s="45"/>
      <c r="E6" s="45"/>
      <c r="F6" s="47"/>
      <c r="G6" s="47"/>
      <c r="H6" s="47"/>
    </row>
    <row r="7" spans="1:8">
      <c r="A7" s="45"/>
      <c r="B7" s="45"/>
      <c r="C7" s="45"/>
      <c r="D7" s="45"/>
      <c r="E7" s="45"/>
      <c r="F7" s="48"/>
      <c r="G7" s="48"/>
      <c r="H7" s="48"/>
    </row>
    <row r="8" spans="1:8" ht="18.75">
      <c r="A8" s="405" t="s">
        <v>23</v>
      </c>
      <c r="B8" s="405"/>
      <c r="C8" s="405"/>
      <c r="D8" s="405"/>
      <c r="E8" s="405"/>
      <c r="F8" s="405"/>
      <c r="G8" s="405"/>
      <c r="H8" s="405"/>
    </row>
    <row r="9" spans="1:8" ht="18.75">
      <c r="A9" s="406" t="s">
        <v>38</v>
      </c>
      <c r="B9" s="405"/>
      <c r="C9" s="405"/>
      <c r="D9" s="405"/>
      <c r="E9" s="405"/>
      <c r="F9" s="405"/>
      <c r="G9" s="405"/>
      <c r="H9" s="405"/>
    </row>
    <row r="10" spans="1:8">
      <c r="A10" s="45"/>
      <c r="B10" s="45"/>
      <c r="C10" s="45"/>
      <c r="D10" s="45"/>
      <c r="E10" s="45"/>
      <c r="F10" s="45"/>
      <c r="G10" s="45"/>
      <c r="H10" s="45"/>
    </row>
    <row r="11" spans="1:8" s="34" customFormat="1" ht="16.5">
      <c r="A11" s="412" t="s">
        <v>6</v>
      </c>
      <c r="B11" s="412" t="s">
        <v>25</v>
      </c>
      <c r="C11" s="412" t="s">
        <v>26</v>
      </c>
      <c r="D11" s="412"/>
      <c r="E11" s="412"/>
      <c r="F11" s="412" t="s">
        <v>27</v>
      </c>
      <c r="G11" s="412"/>
      <c r="H11" s="412"/>
    </row>
    <row r="12" spans="1:8" s="34" customFormat="1" ht="16.5">
      <c r="A12" s="412"/>
      <c r="B12" s="412"/>
      <c r="C12" s="49" t="s">
        <v>19</v>
      </c>
      <c r="D12" s="49" t="s">
        <v>20</v>
      </c>
      <c r="E12" s="49" t="s">
        <v>132</v>
      </c>
      <c r="F12" s="49" t="s">
        <v>19</v>
      </c>
      <c r="G12" s="49" t="s">
        <v>20</v>
      </c>
      <c r="H12" s="49" t="s">
        <v>132</v>
      </c>
    </row>
    <row r="13" spans="1:8" s="35" customFormat="1" ht="16.5">
      <c r="A13" s="399" t="s">
        <v>0</v>
      </c>
      <c r="B13" s="50" t="s">
        <v>32</v>
      </c>
      <c r="C13" s="85">
        <v>1381</v>
      </c>
      <c r="D13" s="85">
        <v>2</v>
      </c>
      <c r="E13" s="85"/>
      <c r="F13" s="86">
        <v>14428</v>
      </c>
      <c r="G13" s="86">
        <v>16</v>
      </c>
      <c r="H13" s="86"/>
    </row>
    <row r="14" spans="1:8" s="35" customFormat="1" ht="16.5">
      <c r="A14" s="399"/>
      <c r="B14" s="50" t="s">
        <v>29</v>
      </c>
      <c r="C14" s="85">
        <v>1302</v>
      </c>
      <c r="D14" s="85">
        <v>1</v>
      </c>
      <c r="E14" s="85"/>
      <c r="F14" s="86">
        <v>14032</v>
      </c>
      <c r="G14" s="86">
        <v>15</v>
      </c>
      <c r="H14" s="86"/>
    </row>
    <row r="15" spans="1:8" s="35" customFormat="1" ht="16.5">
      <c r="A15" s="399" t="s">
        <v>1</v>
      </c>
      <c r="B15" s="50" t="s">
        <v>33</v>
      </c>
      <c r="C15" s="85">
        <v>61</v>
      </c>
      <c r="D15" s="85">
        <v>4</v>
      </c>
      <c r="E15" s="85"/>
      <c r="F15" s="86">
        <v>2317</v>
      </c>
      <c r="G15" s="86">
        <v>318</v>
      </c>
      <c r="H15" s="86"/>
    </row>
    <row r="16" spans="1:8" s="35" customFormat="1" ht="16.5">
      <c r="A16" s="399"/>
      <c r="B16" s="50" t="s">
        <v>30</v>
      </c>
      <c r="C16" s="87"/>
      <c r="D16" s="87">
        <v>0</v>
      </c>
      <c r="E16" s="87"/>
      <c r="F16" s="88"/>
      <c r="G16" s="88"/>
      <c r="H16" s="88"/>
    </row>
    <row r="17" spans="1:8" s="35" customFormat="1" ht="16.5">
      <c r="A17" s="399" t="s">
        <v>2</v>
      </c>
      <c r="B17" s="50" t="s">
        <v>34</v>
      </c>
      <c r="C17" s="85">
        <v>4</v>
      </c>
      <c r="D17" s="85">
        <v>2</v>
      </c>
      <c r="E17" s="85"/>
      <c r="F17" s="86">
        <v>1093</v>
      </c>
      <c r="G17" s="86">
        <v>540</v>
      </c>
      <c r="H17" s="86"/>
    </row>
    <row r="18" spans="1:8" s="35" customFormat="1" ht="16.5">
      <c r="A18" s="399"/>
      <c r="B18" s="50" t="s">
        <v>35</v>
      </c>
      <c r="C18" s="87"/>
      <c r="D18" s="87">
        <v>0</v>
      </c>
      <c r="E18" s="87"/>
      <c r="F18" s="88">
        <v>0</v>
      </c>
      <c r="G18" s="88">
        <v>0</v>
      </c>
      <c r="H18" s="88"/>
    </row>
    <row r="19" spans="1:8" s="35" customFormat="1" ht="16.5">
      <c r="A19" s="399" t="s">
        <v>3</v>
      </c>
      <c r="B19" s="50" t="s">
        <v>36</v>
      </c>
      <c r="C19" s="85"/>
      <c r="D19" s="85"/>
      <c r="E19" s="85"/>
      <c r="F19" s="86"/>
      <c r="G19" s="86">
        <v>0</v>
      </c>
      <c r="H19" s="86"/>
    </row>
    <row r="20" spans="1:8" s="35" customFormat="1" ht="16.5">
      <c r="A20" s="399"/>
      <c r="B20" s="50" t="s">
        <v>35</v>
      </c>
      <c r="C20" s="87">
        <v>0</v>
      </c>
      <c r="D20" s="87">
        <v>0</v>
      </c>
      <c r="E20" s="89"/>
      <c r="F20" s="89">
        <v>0</v>
      </c>
      <c r="G20" s="89">
        <v>0</v>
      </c>
      <c r="H20" s="89">
        <v>0</v>
      </c>
    </row>
    <row r="21" spans="1:8" s="35" customFormat="1" ht="16.5">
      <c r="A21" s="399" t="s">
        <v>4</v>
      </c>
      <c r="B21" s="50" t="s">
        <v>37</v>
      </c>
      <c r="C21" s="85"/>
      <c r="D21" s="85"/>
      <c r="E21" s="90"/>
      <c r="F21" s="90"/>
      <c r="G21" s="90"/>
      <c r="H21" s="90"/>
    </row>
    <row r="22" spans="1:8" s="35" customFormat="1" ht="16.5">
      <c r="A22" s="399"/>
      <c r="B22" s="50" t="s">
        <v>35</v>
      </c>
      <c r="C22" s="85"/>
      <c r="D22" s="85"/>
      <c r="E22" s="90"/>
      <c r="F22" s="90"/>
      <c r="G22" s="90"/>
      <c r="H22" s="90"/>
    </row>
    <row r="23" spans="1:8" s="35" customFormat="1" ht="16.5">
      <c r="A23" s="42" t="s">
        <v>5</v>
      </c>
      <c r="B23" s="50" t="s">
        <v>133</v>
      </c>
      <c r="C23" s="85"/>
      <c r="D23" s="85"/>
      <c r="E23" s="85"/>
      <c r="F23" s="85"/>
      <c r="G23" s="85"/>
      <c r="H23" s="85"/>
    </row>
    <row r="24" spans="1:8">
      <c r="A24" s="45"/>
      <c r="B24" s="45"/>
      <c r="C24" s="45"/>
      <c r="D24" s="45"/>
      <c r="E24" s="45"/>
      <c r="F24" s="45"/>
      <c r="G24" s="45"/>
      <c r="H24" s="45"/>
    </row>
    <row r="25" spans="1:8" s="36" customFormat="1" ht="16.5">
      <c r="A25" s="51" t="s">
        <v>43</v>
      </c>
      <c r="B25" s="411" t="s">
        <v>42</v>
      </c>
      <c r="C25" s="411"/>
      <c r="D25" s="411"/>
      <c r="E25" s="411"/>
      <c r="F25" s="411"/>
      <c r="G25" s="411"/>
      <c r="H25" s="411"/>
    </row>
    <row r="26" spans="1:8" s="36" customFormat="1" ht="16.5">
      <c r="A26" s="52"/>
      <c r="B26" s="53"/>
      <c r="C26" s="53"/>
      <c r="D26" s="53"/>
      <c r="E26" s="53"/>
      <c r="F26" s="53"/>
      <c r="G26" s="53"/>
      <c r="H26" s="53"/>
    </row>
    <row r="27" spans="1:8" s="36" customFormat="1" ht="97.9" customHeight="1">
      <c r="A27" s="51" t="s">
        <v>139</v>
      </c>
      <c r="B27" s="411" t="s">
        <v>44</v>
      </c>
      <c r="C27" s="411"/>
      <c r="D27" s="411"/>
      <c r="E27" s="411"/>
      <c r="F27" s="411"/>
      <c r="G27" s="411"/>
      <c r="H27" s="411"/>
    </row>
    <row r="28" spans="1:8" s="36" customFormat="1">
      <c r="A28" s="52"/>
      <c r="B28" s="52"/>
      <c r="C28" s="52"/>
      <c r="D28" s="52"/>
      <c r="E28" s="52"/>
      <c r="F28" s="52"/>
      <c r="G28" s="52"/>
      <c r="H28" s="52"/>
    </row>
    <row r="29" spans="1:8" s="36" customFormat="1">
      <c r="A29" s="52"/>
      <c r="B29" s="52"/>
      <c r="C29" s="52"/>
      <c r="D29" s="52"/>
      <c r="E29" s="52"/>
      <c r="F29" s="52"/>
      <c r="G29" s="52"/>
      <c r="H29" s="52"/>
    </row>
    <row r="30" spans="1:8" s="36" customFormat="1"/>
    <row r="31" spans="1:8" s="36" customFormat="1"/>
    <row r="32" spans="1:8" s="36" customFormat="1"/>
    <row r="33" s="36" customFormat="1"/>
    <row r="34" s="36" customFormat="1"/>
    <row r="35" s="36" customFormat="1"/>
    <row r="36" s="36" customFormat="1"/>
    <row r="37" s="36" customFormat="1"/>
    <row r="38" s="36" customFormat="1"/>
    <row r="39" s="36" customFormat="1"/>
    <row r="40" s="36" customFormat="1"/>
    <row r="41" s="36" customFormat="1"/>
    <row r="42" s="36" customFormat="1"/>
    <row r="43" s="36" customFormat="1"/>
    <row r="44" s="36" customFormat="1"/>
    <row r="45" s="36" customFormat="1"/>
    <row r="46" s="36" customFormat="1"/>
    <row r="47" s="36" customFormat="1"/>
  </sheetData>
  <mergeCells count="13">
    <mergeCell ref="A15:A16"/>
    <mergeCell ref="A8:H8"/>
    <mergeCell ref="A9:H9"/>
    <mergeCell ref="A11:A12"/>
    <mergeCell ref="B11:B12"/>
    <mergeCell ref="C11:E11"/>
    <mergeCell ref="F11:H11"/>
    <mergeCell ref="A13:A14"/>
    <mergeCell ref="A17:A18"/>
    <mergeCell ref="A19:A20"/>
    <mergeCell ref="A21:A22"/>
    <mergeCell ref="B25:H25"/>
    <mergeCell ref="B27:H27"/>
  </mergeCells>
  <pageMargins left="0.70866141732283472" right="0.70866141732283472" top="0.74803149606299213" bottom="0.74803149606299213" header="0.31496062992125984" footer="0.31496062992125984"/>
  <pageSetup paperSize="9" scale="81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topLeftCell="A16" zoomScale="70" zoomScaleNormal="70" workbookViewId="0">
      <selection activeCell="N25" sqref="N25"/>
    </sheetView>
  </sheetViews>
  <sheetFormatPr defaultRowHeight="12.75"/>
  <cols>
    <col min="1" max="1" width="10" style="110" customWidth="1"/>
    <col min="2" max="2" width="49.140625" style="112" customWidth="1"/>
    <col min="3" max="3" width="19.28515625" style="110" customWidth="1"/>
    <col min="4" max="4" width="20.5703125" style="110" customWidth="1"/>
    <col min="5" max="5" width="19.7109375" style="110" customWidth="1"/>
    <col min="6" max="6" width="25" style="112" hidden="1" customWidth="1"/>
    <col min="7" max="11" width="0" style="112" hidden="1" customWidth="1"/>
    <col min="12" max="256" width="8.85546875" style="112"/>
    <col min="257" max="257" width="10" style="112" customWidth="1"/>
    <col min="258" max="258" width="49.140625" style="112" customWidth="1"/>
    <col min="259" max="259" width="19.28515625" style="112" customWidth="1"/>
    <col min="260" max="260" width="20.5703125" style="112" customWidth="1"/>
    <col min="261" max="261" width="19.7109375" style="112" customWidth="1"/>
    <col min="262" max="267" width="0" style="112" hidden="1" customWidth="1"/>
    <col min="268" max="512" width="8.85546875" style="112"/>
    <col min="513" max="513" width="10" style="112" customWidth="1"/>
    <col min="514" max="514" width="49.140625" style="112" customWidth="1"/>
    <col min="515" max="515" width="19.28515625" style="112" customWidth="1"/>
    <col min="516" max="516" width="20.5703125" style="112" customWidth="1"/>
    <col min="517" max="517" width="19.7109375" style="112" customWidth="1"/>
    <col min="518" max="523" width="0" style="112" hidden="1" customWidth="1"/>
    <col min="524" max="768" width="8.85546875" style="112"/>
    <col min="769" max="769" width="10" style="112" customWidth="1"/>
    <col min="770" max="770" width="49.140625" style="112" customWidth="1"/>
    <col min="771" max="771" width="19.28515625" style="112" customWidth="1"/>
    <col min="772" max="772" width="20.5703125" style="112" customWidth="1"/>
    <col min="773" max="773" width="19.7109375" style="112" customWidth="1"/>
    <col min="774" max="779" width="0" style="112" hidden="1" customWidth="1"/>
    <col min="780" max="1024" width="8.85546875" style="112"/>
    <col min="1025" max="1025" width="10" style="112" customWidth="1"/>
    <col min="1026" max="1026" width="49.140625" style="112" customWidth="1"/>
    <col min="1027" max="1027" width="19.28515625" style="112" customWidth="1"/>
    <col min="1028" max="1028" width="20.5703125" style="112" customWidth="1"/>
    <col min="1029" max="1029" width="19.7109375" style="112" customWidth="1"/>
    <col min="1030" max="1035" width="0" style="112" hidden="1" customWidth="1"/>
    <col min="1036" max="1280" width="8.85546875" style="112"/>
    <col min="1281" max="1281" width="10" style="112" customWidth="1"/>
    <col min="1282" max="1282" width="49.140625" style="112" customWidth="1"/>
    <col min="1283" max="1283" width="19.28515625" style="112" customWidth="1"/>
    <col min="1284" max="1284" width="20.5703125" style="112" customWidth="1"/>
    <col min="1285" max="1285" width="19.7109375" style="112" customWidth="1"/>
    <col min="1286" max="1291" width="0" style="112" hidden="1" customWidth="1"/>
    <col min="1292" max="1536" width="8.85546875" style="112"/>
    <col min="1537" max="1537" width="10" style="112" customWidth="1"/>
    <col min="1538" max="1538" width="49.140625" style="112" customWidth="1"/>
    <col min="1539" max="1539" width="19.28515625" style="112" customWidth="1"/>
    <col min="1540" max="1540" width="20.5703125" style="112" customWidth="1"/>
    <col min="1541" max="1541" width="19.7109375" style="112" customWidth="1"/>
    <col min="1542" max="1547" width="0" style="112" hidden="1" customWidth="1"/>
    <col min="1548" max="1792" width="8.85546875" style="112"/>
    <col min="1793" max="1793" width="10" style="112" customWidth="1"/>
    <col min="1794" max="1794" width="49.140625" style="112" customWidth="1"/>
    <col min="1795" max="1795" width="19.28515625" style="112" customWidth="1"/>
    <col min="1796" max="1796" width="20.5703125" style="112" customWidth="1"/>
    <col min="1797" max="1797" width="19.7109375" style="112" customWidth="1"/>
    <col min="1798" max="1803" width="0" style="112" hidden="1" customWidth="1"/>
    <col min="1804" max="2048" width="8.85546875" style="112"/>
    <col min="2049" max="2049" width="10" style="112" customWidth="1"/>
    <col min="2050" max="2050" width="49.140625" style="112" customWidth="1"/>
    <col min="2051" max="2051" width="19.28515625" style="112" customWidth="1"/>
    <col min="2052" max="2052" width="20.5703125" style="112" customWidth="1"/>
    <col min="2053" max="2053" width="19.7109375" style="112" customWidth="1"/>
    <col min="2054" max="2059" width="0" style="112" hidden="1" customWidth="1"/>
    <col min="2060" max="2304" width="8.85546875" style="112"/>
    <col min="2305" max="2305" width="10" style="112" customWidth="1"/>
    <col min="2306" max="2306" width="49.140625" style="112" customWidth="1"/>
    <col min="2307" max="2307" width="19.28515625" style="112" customWidth="1"/>
    <col min="2308" max="2308" width="20.5703125" style="112" customWidth="1"/>
    <col min="2309" max="2309" width="19.7109375" style="112" customWidth="1"/>
    <col min="2310" max="2315" width="0" style="112" hidden="1" customWidth="1"/>
    <col min="2316" max="2560" width="8.85546875" style="112"/>
    <col min="2561" max="2561" width="10" style="112" customWidth="1"/>
    <col min="2562" max="2562" width="49.140625" style="112" customWidth="1"/>
    <col min="2563" max="2563" width="19.28515625" style="112" customWidth="1"/>
    <col min="2564" max="2564" width="20.5703125" style="112" customWidth="1"/>
    <col min="2565" max="2565" width="19.7109375" style="112" customWidth="1"/>
    <col min="2566" max="2571" width="0" style="112" hidden="1" customWidth="1"/>
    <col min="2572" max="2816" width="8.85546875" style="112"/>
    <col min="2817" max="2817" width="10" style="112" customWidth="1"/>
    <col min="2818" max="2818" width="49.140625" style="112" customWidth="1"/>
    <col min="2819" max="2819" width="19.28515625" style="112" customWidth="1"/>
    <col min="2820" max="2820" width="20.5703125" style="112" customWidth="1"/>
    <col min="2821" max="2821" width="19.7109375" style="112" customWidth="1"/>
    <col min="2822" max="2827" width="0" style="112" hidden="1" customWidth="1"/>
    <col min="2828" max="3072" width="8.85546875" style="112"/>
    <col min="3073" max="3073" width="10" style="112" customWidth="1"/>
    <col min="3074" max="3074" width="49.140625" style="112" customWidth="1"/>
    <col min="3075" max="3075" width="19.28515625" style="112" customWidth="1"/>
    <col min="3076" max="3076" width="20.5703125" style="112" customWidth="1"/>
    <col min="3077" max="3077" width="19.7109375" style="112" customWidth="1"/>
    <col min="3078" max="3083" width="0" style="112" hidden="1" customWidth="1"/>
    <col min="3084" max="3328" width="8.85546875" style="112"/>
    <col min="3329" max="3329" width="10" style="112" customWidth="1"/>
    <col min="3330" max="3330" width="49.140625" style="112" customWidth="1"/>
    <col min="3331" max="3331" width="19.28515625" style="112" customWidth="1"/>
    <col min="3332" max="3332" width="20.5703125" style="112" customWidth="1"/>
    <col min="3333" max="3333" width="19.7109375" style="112" customWidth="1"/>
    <col min="3334" max="3339" width="0" style="112" hidden="1" customWidth="1"/>
    <col min="3340" max="3584" width="8.85546875" style="112"/>
    <col min="3585" max="3585" width="10" style="112" customWidth="1"/>
    <col min="3586" max="3586" width="49.140625" style="112" customWidth="1"/>
    <col min="3587" max="3587" width="19.28515625" style="112" customWidth="1"/>
    <col min="3588" max="3588" width="20.5703125" style="112" customWidth="1"/>
    <col min="3589" max="3589" width="19.7109375" style="112" customWidth="1"/>
    <col min="3590" max="3595" width="0" style="112" hidden="1" customWidth="1"/>
    <col min="3596" max="3840" width="8.85546875" style="112"/>
    <col min="3841" max="3841" width="10" style="112" customWidth="1"/>
    <col min="3842" max="3842" width="49.140625" style="112" customWidth="1"/>
    <col min="3843" max="3843" width="19.28515625" style="112" customWidth="1"/>
    <col min="3844" max="3844" width="20.5703125" style="112" customWidth="1"/>
    <col min="3845" max="3845" width="19.7109375" style="112" customWidth="1"/>
    <col min="3846" max="3851" width="0" style="112" hidden="1" customWidth="1"/>
    <col min="3852" max="4096" width="8.85546875" style="112"/>
    <col min="4097" max="4097" width="10" style="112" customWidth="1"/>
    <col min="4098" max="4098" width="49.140625" style="112" customWidth="1"/>
    <col min="4099" max="4099" width="19.28515625" style="112" customWidth="1"/>
    <col min="4100" max="4100" width="20.5703125" style="112" customWidth="1"/>
    <col min="4101" max="4101" width="19.7109375" style="112" customWidth="1"/>
    <col min="4102" max="4107" width="0" style="112" hidden="1" customWidth="1"/>
    <col min="4108" max="4352" width="8.85546875" style="112"/>
    <col min="4353" max="4353" width="10" style="112" customWidth="1"/>
    <col min="4354" max="4354" width="49.140625" style="112" customWidth="1"/>
    <col min="4355" max="4355" width="19.28515625" style="112" customWidth="1"/>
    <col min="4356" max="4356" width="20.5703125" style="112" customWidth="1"/>
    <col min="4357" max="4357" width="19.7109375" style="112" customWidth="1"/>
    <col min="4358" max="4363" width="0" style="112" hidden="1" customWidth="1"/>
    <col min="4364" max="4608" width="8.85546875" style="112"/>
    <col min="4609" max="4609" width="10" style="112" customWidth="1"/>
    <col min="4610" max="4610" width="49.140625" style="112" customWidth="1"/>
    <col min="4611" max="4611" width="19.28515625" style="112" customWidth="1"/>
    <col min="4612" max="4612" width="20.5703125" style="112" customWidth="1"/>
    <col min="4613" max="4613" width="19.7109375" style="112" customWidth="1"/>
    <col min="4614" max="4619" width="0" style="112" hidden="1" customWidth="1"/>
    <col min="4620" max="4864" width="8.85546875" style="112"/>
    <col min="4865" max="4865" width="10" style="112" customWidth="1"/>
    <col min="4866" max="4866" width="49.140625" style="112" customWidth="1"/>
    <col min="4867" max="4867" width="19.28515625" style="112" customWidth="1"/>
    <col min="4868" max="4868" width="20.5703125" style="112" customWidth="1"/>
    <col min="4869" max="4869" width="19.7109375" style="112" customWidth="1"/>
    <col min="4870" max="4875" width="0" style="112" hidden="1" customWidth="1"/>
    <col min="4876" max="5120" width="8.85546875" style="112"/>
    <col min="5121" max="5121" width="10" style="112" customWidth="1"/>
    <col min="5122" max="5122" width="49.140625" style="112" customWidth="1"/>
    <col min="5123" max="5123" width="19.28515625" style="112" customWidth="1"/>
    <col min="5124" max="5124" width="20.5703125" style="112" customWidth="1"/>
    <col min="5125" max="5125" width="19.7109375" style="112" customWidth="1"/>
    <col min="5126" max="5131" width="0" style="112" hidden="1" customWidth="1"/>
    <col min="5132" max="5376" width="8.85546875" style="112"/>
    <col min="5377" max="5377" width="10" style="112" customWidth="1"/>
    <col min="5378" max="5378" width="49.140625" style="112" customWidth="1"/>
    <col min="5379" max="5379" width="19.28515625" style="112" customWidth="1"/>
    <col min="5380" max="5380" width="20.5703125" style="112" customWidth="1"/>
    <col min="5381" max="5381" width="19.7109375" style="112" customWidth="1"/>
    <col min="5382" max="5387" width="0" style="112" hidden="1" customWidth="1"/>
    <col min="5388" max="5632" width="8.85546875" style="112"/>
    <col min="5633" max="5633" width="10" style="112" customWidth="1"/>
    <col min="5634" max="5634" width="49.140625" style="112" customWidth="1"/>
    <col min="5635" max="5635" width="19.28515625" style="112" customWidth="1"/>
    <col min="5636" max="5636" width="20.5703125" style="112" customWidth="1"/>
    <col min="5637" max="5637" width="19.7109375" style="112" customWidth="1"/>
    <col min="5638" max="5643" width="0" style="112" hidden="1" customWidth="1"/>
    <col min="5644" max="5888" width="8.85546875" style="112"/>
    <col min="5889" max="5889" width="10" style="112" customWidth="1"/>
    <col min="5890" max="5890" width="49.140625" style="112" customWidth="1"/>
    <col min="5891" max="5891" width="19.28515625" style="112" customWidth="1"/>
    <col min="5892" max="5892" width="20.5703125" style="112" customWidth="1"/>
    <col min="5893" max="5893" width="19.7109375" style="112" customWidth="1"/>
    <col min="5894" max="5899" width="0" style="112" hidden="1" customWidth="1"/>
    <col min="5900" max="6144" width="8.85546875" style="112"/>
    <col min="6145" max="6145" width="10" style="112" customWidth="1"/>
    <col min="6146" max="6146" width="49.140625" style="112" customWidth="1"/>
    <col min="6147" max="6147" width="19.28515625" style="112" customWidth="1"/>
    <col min="6148" max="6148" width="20.5703125" style="112" customWidth="1"/>
    <col min="6149" max="6149" width="19.7109375" style="112" customWidth="1"/>
    <col min="6150" max="6155" width="0" style="112" hidden="1" customWidth="1"/>
    <col min="6156" max="6400" width="8.85546875" style="112"/>
    <col min="6401" max="6401" width="10" style="112" customWidth="1"/>
    <col min="6402" max="6402" width="49.140625" style="112" customWidth="1"/>
    <col min="6403" max="6403" width="19.28515625" style="112" customWidth="1"/>
    <col min="6404" max="6404" width="20.5703125" style="112" customWidth="1"/>
    <col min="6405" max="6405" width="19.7109375" style="112" customWidth="1"/>
    <col min="6406" max="6411" width="0" style="112" hidden="1" customWidth="1"/>
    <col min="6412" max="6656" width="8.85546875" style="112"/>
    <col min="6657" max="6657" width="10" style="112" customWidth="1"/>
    <col min="6658" max="6658" width="49.140625" style="112" customWidth="1"/>
    <col min="6659" max="6659" width="19.28515625" style="112" customWidth="1"/>
    <col min="6660" max="6660" width="20.5703125" style="112" customWidth="1"/>
    <col min="6661" max="6661" width="19.7109375" style="112" customWidth="1"/>
    <col min="6662" max="6667" width="0" style="112" hidden="1" customWidth="1"/>
    <col min="6668" max="6912" width="8.85546875" style="112"/>
    <col min="6913" max="6913" width="10" style="112" customWidth="1"/>
    <col min="6914" max="6914" width="49.140625" style="112" customWidth="1"/>
    <col min="6915" max="6915" width="19.28515625" style="112" customWidth="1"/>
    <col min="6916" max="6916" width="20.5703125" style="112" customWidth="1"/>
    <col min="6917" max="6917" width="19.7109375" style="112" customWidth="1"/>
    <col min="6918" max="6923" width="0" style="112" hidden="1" customWidth="1"/>
    <col min="6924" max="7168" width="8.85546875" style="112"/>
    <col min="7169" max="7169" width="10" style="112" customWidth="1"/>
    <col min="7170" max="7170" width="49.140625" style="112" customWidth="1"/>
    <col min="7171" max="7171" width="19.28515625" style="112" customWidth="1"/>
    <col min="7172" max="7172" width="20.5703125" style="112" customWidth="1"/>
    <col min="7173" max="7173" width="19.7109375" style="112" customWidth="1"/>
    <col min="7174" max="7179" width="0" style="112" hidden="1" customWidth="1"/>
    <col min="7180" max="7424" width="8.85546875" style="112"/>
    <col min="7425" max="7425" width="10" style="112" customWidth="1"/>
    <col min="7426" max="7426" width="49.140625" style="112" customWidth="1"/>
    <col min="7427" max="7427" width="19.28515625" style="112" customWidth="1"/>
    <col min="7428" max="7428" width="20.5703125" style="112" customWidth="1"/>
    <col min="7429" max="7429" width="19.7109375" style="112" customWidth="1"/>
    <col min="7430" max="7435" width="0" style="112" hidden="1" customWidth="1"/>
    <col min="7436" max="7680" width="8.85546875" style="112"/>
    <col min="7681" max="7681" width="10" style="112" customWidth="1"/>
    <col min="7682" max="7682" width="49.140625" style="112" customWidth="1"/>
    <col min="7683" max="7683" width="19.28515625" style="112" customWidth="1"/>
    <col min="7684" max="7684" width="20.5703125" style="112" customWidth="1"/>
    <col min="7685" max="7685" width="19.7109375" style="112" customWidth="1"/>
    <col min="7686" max="7691" width="0" style="112" hidden="1" customWidth="1"/>
    <col min="7692" max="7936" width="8.85546875" style="112"/>
    <col min="7937" max="7937" width="10" style="112" customWidth="1"/>
    <col min="7938" max="7938" width="49.140625" style="112" customWidth="1"/>
    <col min="7939" max="7939" width="19.28515625" style="112" customWidth="1"/>
    <col min="7940" max="7940" width="20.5703125" style="112" customWidth="1"/>
    <col min="7941" max="7941" width="19.7109375" style="112" customWidth="1"/>
    <col min="7942" max="7947" width="0" style="112" hidden="1" customWidth="1"/>
    <col min="7948" max="8192" width="8.85546875" style="112"/>
    <col min="8193" max="8193" width="10" style="112" customWidth="1"/>
    <col min="8194" max="8194" width="49.140625" style="112" customWidth="1"/>
    <col min="8195" max="8195" width="19.28515625" style="112" customWidth="1"/>
    <col min="8196" max="8196" width="20.5703125" style="112" customWidth="1"/>
    <col min="8197" max="8197" width="19.7109375" style="112" customWidth="1"/>
    <col min="8198" max="8203" width="0" style="112" hidden="1" customWidth="1"/>
    <col min="8204" max="8448" width="8.85546875" style="112"/>
    <col min="8449" max="8449" width="10" style="112" customWidth="1"/>
    <col min="8450" max="8450" width="49.140625" style="112" customWidth="1"/>
    <col min="8451" max="8451" width="19.28515625" style="112" customWidth="1"/>
    <col min="8452" max="8452" width="20.5703125" style="112" customWidth="1"/>
    <col min="8453" max="8453" width="19.7109375" style="112" customWidth="1"/>
    <col min="8454" max="8459" width="0" style="112" hidden="1" customWidth="1"/>
    <col min="8460" max="8704" width="8.85546875" style="112"/>
    <col min="8705" max="8705" width="10" style="112" customWidth="1"/>
    <col min="8706" max="8706" width="49.140625" style="112" customWidth="1"/>
    <col min="8707" max="8707" width="19.28515625" style="112" customWidth="1"/>
    <col min="8708" max="8708" width="20.5703125" style="112" customWidth="1"/>
    <col min="8709" max="8709" width="19.7109375" style="112" customWidth="1"/>
    <col min="8710" max="8715" width="0" style="112" hidden="1" customWidth="1"/>
    <col min="8716" max="8960" width="8.85546875" style="112"/>
    <col min="8961" max="8961" width="10" style="112" customWidth="1"/>
    <col min="8962" max="8962" width="49.140625" style="112" customWidth="1"/>
    <col min="8963" max="8963" width="19.28515625" style="112" customWidth="1"/>
    <col min="8964" max="8964" width="20.5703125" style="112" customWidth="1"/>
    <col min="8965" max="8965" width="19.7109375" style="112" customWidth="1"/>
    <col min="8966" max="8971" width="0" style="112" hidden="1" customWidth="1"/>
    <col min="8972" max="9216" width="8.85546875" style="112"/>
    <col min="9217" max="9217" width="10" style="112" customWidth="1"/>
    <col min="9218" max="9218" width="49.140625" style="112" customWidth="1"/>
    <col min="9219" max="9219" width="19.28515625" style="112" customWidth="1"/>
    <col min="9220" max="9220" width="20.5703125" style="112" customWidth="1"/>
    <col min="9221" max="9221" width="19.7109375" style="112" customWidth="1"/>
    <col min="9222" max="9227" width="0" style="112" hidden="1" customWidth="1"/>
    <col min="9228" max="9472" width="8.85546875" style="112"/>
    <col min="9473" max="9473" width="10" style="112" customWidth="1"/>
    <col min="9474" max="9474" width="49.140625" style="112" customWidth="1"/>
    <col min="9475" max="9475" width="19.28515625" style="112" customWidth="1"/>
    <col min="9476" max="9476" width="20.5703125" style="112" customWidth="1"/>
    <col min="9477" max="9477" width="19.7109375" style="112" customWidth="1"/>
    <col min="9478" max="9483" width="0" style="112" hidden="1" customWidth="1"/>
    <col min="9484" max="9728" width="8.85546875" style="112"/>
    <col min="9729" max="9729" width="10" style="112" customWidth="1"/>
    <col min="9730" max="9730" width="49.140625" style="112" customWidth="1"/>
    <col min="9731" max="9731" width="19.28515625" style="112" customWidth="1"/>
    <col min="9732" max="9732" width="20.5703125" style="112" customWidth="1"/>
    <col min="9733" max="9733" width="19.7109375" style="112" customWidth="1"/>
    <col min="9734" max="9739" width="0" style="112" hidden="1" customWidth="1"/>
    <col min="9740" max="9984" width="8.85546875" style="112"/>
    <col min="9985" max="9985" width="10" style="112" customWidth="1"/>
    <col min="9986" max="9986" width="49.140625" style="112" customWidth="1"/>
    <col min="9987" max="9987" width="19.28515625" style="112" customWidth="1"/>
    <col min="9988" max="9988" width="20.5703125" style="112" customWidth="1"/>
    <col min="9989" max="9989" width="19.7109375" style="112" customWidth="1"/>
    <col min="9990" max="9995" width="0" style="112" hidden="1" customWidth="1"/>
    <col min="9996" max="10240" width="8.85546875" style="112"/>
    <col min="10241" max="10241" width="10" style="112" customWidth="1"/>
    <col min="10242" max="10242" width="49.140625" style="112" customWidth="1"/>
    <col min="10243" max="10243" width="19.28515625" style="112" customWidth="1"/>
    <col min="10244" max="10244" width="20.5703125" style="112" customWidth="1"/>
    <col min="10245" max="10245" width="19.7109375" style="112" customWidth="1"/>
    <col min="10246" max="10251" width="0" style="112" hidden="1" customWidth="1"/>
    <col min="10252" max="10496" width="8.85546875" style="112"/>
    <col min="10497" max="10497" width="10" style="112" customWidth="1"/>
    <col min="10498" max="10498" width="49.140625" style="112" customWidth="1"/>
    <col min="10499" max="10499" width="19.28515625" style="112" customWidth="1"/>
    <col min="10500" max="10500" width="20.5703125" style="112" customWidth="1"/>
    <col min="10501" max="10501" width="19.7109375" style="112" customWidth="1"/>
    <col min="10502" max="10507" width="0" style="112" hidden="1" customWidth="1"/>
    <col min="10508" max="10752" width="8.85546875" style="112"/>
    <col min="10753" max="10753" width="10" style="112" customWidth="1"/>
    <col min="10754" max="10754" width="49.140625" style="112" customWidth="1"/>
    <col min="10755" max="10755" width="19.28515625" style="112" customWidth="1"/>
    <col min="10756" max="10756" width="20.5703125" style="112" customWidth="1"/>
    <col min="10757" max="10757" width="19.7109375" style="112" customWidth="1"/>
    <col min="10758" max="10763" width="0" style="112" hidden="1" customWidth="1"/>
    <col min="10764" max="11008" width="8.85546875" style="112"/>
    <col min="11009" max="11009" width="10" style="112" customWidth="1"/>
    <col min="11010" max="11010" width="49.140625" style="112" customWidth="1"/>
    <col min="11011" max="11011" width="19.28515625" style="112" customWidth="1"/>
    <col min="11012" max="11012" width="20.5703125" style="112" customWidth="1"/>
    <col min="11013" max="11013" width="19.7109375" style="112" customWidth="1"/>
    <col min="11014" max="11019" width="0" style="112" hidden="1" customWidth="1"/>
    <col min="11020" max="11264" width="8.85546875" style="112"/>
    <col min="11265" max="11265" width="10" style="112" customWidth="1"/>
    <col min="11266" max="11266" width="49.140625" style="112" customWidth="1"/>
    <col min="11267" max="11267" width="19.28515625" style="112" customWidth="1"/>
    <col min="11268" max="11268" width="20.5703125" style="112" customWidth="1"/>
    <col min="11269" max="11269" width="19.7109375" style="112" customWidth="1"/>
    <col min="11270" max="11275" width="0" style="112" hidden="1" customWidth="1"/>
    <col min="11276" max="11520" width="8.85546875" style="112"/>
    <col min="11521" max="11521" width="10" style="112" customWidth="1"/>
    <col min="11522" max="11522" width="49.140625" style="112" customWidth="1"/>
    <col min="11523" max="11523" width="19.28515625" style="112" customWidth="1"/>
    <col min="11524" max="11524" width="20.5703125" style="112" customWidth="1"/>
    <col min="11525" max="11525" width="19.7109375" style="112" customWidth="1"/>
    <col min="11526" max="11531" width="0" style="112" hidden="1" customWidth="1"/>
    <col min="11532" max="11776" width="8.85546875" style="112"/>
    <col min="11777" max="11777" width="10" style="112" customWidth="1"/>
    <col min="11778" max="11778" width="49.140625" style="112" customWidth="1"/>
    <col min="11779" max="11779" width="19.28515625" style="112" customWidth="1"/>
    <col min="11780" max="11780" width="20.5703125" style="112" customWidth="1"/>
    <col min="11781" max="11781" width="19.7109375" style="112" customWidth="1"/>
    <col min="11782" max="11787" width="0" style="112" hidden="1" customWidth="1"/>
    <col min="11788" max="12032" width="8.85546875" style="112"/>
    <col min="12033" max="12033" width="10" style="112" customWidth="1"/>
    <col min="12034" max="12034" width="49.140625" style="112" customWidth="1"/>
    <col min="12035" max="12035" width="19.28515625" style="112" customWidth="1"/>
    <col min="12036" max="12036" width="20.5703125" style="112" customWidth="1"/>
    <col min="12037" max="12037" width="19.7109375" style="112" customWidth="1"/>
    <col min="12038" max="12043" width="0" style="112" hidden="1" customWidth="1"/>
    <col min="12044" max="12288" width="8.85546875" style="112"/>
    <col min="12289" max="12289" width="10" style="112" customWidth="1"/>
    <col min="12290" max="12290" width="49.140625" style="112" customWidth="1"/>
    <col min="12291" max="12291" width="19.28515625" style="112" customWidth="1"/>
    <col min="12292" max="12292" width="20.5703125" style="112" customWidth="1"/>
    <col min="12293" max="12293" width="19.7109375" style="112" customWidth="1"/>
    <col min="12294" max="12299" width="0" style="112" hidden="1" customWidth="1"/>
    <col min="12300" max="12544" width="8.85546875" style="112"/>
    <col min="12545" max="12545" width="10" style="112" customWidth="1"/>
    <col min="12546" max="12546" width="49.140625" style="112" customWidth="1"/>
    <col min="12547" max="12547" width="19.28515625" style="112" customWidth="1"/>
    <col min="12548" max="12548" width="20.5703125" style="112" customWidth="1"/>
    <col min="12549" max="12549" width="19.7109375" style="112" customWidth="1"/>
    <col min="12550" max="12555" width="0" style="112" hidden="1" customWidth="1"/>
    <col min="12556" max="12800" width="8.85546875" style="112"/>
    <col min="12801" max="12801" width="10" style="112" customWidth="1"/>
    <col min="12802" max="12802" width="49.140625" style="112" customWidth="1"/>
    <col min="12803" max="12803" width="19.28515625" style="112" customWidth="1"/>
    <col min="12804" max="12804" width="20.5703125" style="112" customWidth="1"/>
    <col min="12805" max="12805" width="19.7109375" style="112" customWidth="1"/>
    <col min="12806" max="12811" width="0" style="112" hidden="1" customWidth="1"/>
    <col min="12812" max="13056" width="8.85546875" style="112"/>
    <col min="13057" max="13057" width="10" style="112" customWidth="1"/>
    <col min="13058" max="13058" width="49.140625" style="112" customWidth="1"/>
    <col min="13059" max="13059" width="19.28515625" style="112" customWidth="1"/>
    <col min="13060" max="13060" width="20.5703125" style="112" customWidth="1"/>
    <col min="13061" max="13061" width="19.7109375" style="112" customWidth="1"/>
    <col min="13062" max="13067" width="0" style="112" hidden="1" customWidth="1"/>
    <col min="13068" max="13312" width="8.85546875" style="112"/>
    <col min="13313" max="13313" width="10" style="112" customWidth="1"/>
    <col min="13314" max="13314" width="49.140625" style="112" customWidth="1"/>
    <col min="13315" max="13315" width="19.28515625" style="112" customWidth="1"/>
    <col min="13316" max="13316" width="20.5703125" style="112" customWidth="1"/>
    <col min="13317" max="13317" width="19.7109375" style="112" customWidth="1"/>
    <col min="13318" max="13323" width="0" style="112" hidden="1" customWidth="1"/>
    <col min="13324" max="13568" width="8.85546875" style="112"/>
    <col min="13569" max="13569" width="10" style="112" customWidth="1"/>
    <col min="13570" max="13570" width="49.140625" style="112" customWidth="1"/>
    <col min="13571" max="13571" width="19.28515625" style="112" customWidth="1"/>
    <col min="13572" max="13572" width="20.5703125" style="112" customWidth="1"/>
    <col min="13573" max="13573" width="19.7109375" style="112" customWidth="1"/>
    <col min="13574" max="13579" width="0" style="112" hidden="1" customWidth="1"/>
    <col min="13580" max="13824" width="8.85546875" style="112"/>
    <col min="13825" max="13825" width="10" style="112" customWidth="1"/>
    <col min="13826" max="13826" width="49.140625" style="112" customWidth="1"/>
    <col min="13827" max="13827" width="19.28515625" style="112" customWidth="1"/>
    <col min="13828" max="13828" width="20.5703125" style="112" customWidth="1"/>
    <col min="13829" max="13829" width="19.7109375" style="112" customWidth="1"/>
    <col min="13830" max="13835" width="0" style="112" hidden="1" customWidth="1"/>
    <col min="13836" max="14080" width="8.85546875" style="112"/>
    <col min="14081" max="14081" width="10" style="112" customWidth="1"/>
    <col min="14082" max="14082" width="49.140625" style="112" customWidth="1"/>
    <col min="14083" max="14083" width="19.28515625" style="112" customWidth="1"/>
    <col min="14084" max="14084" width="20.5703125" style="112" customWidth="1"/>
    <col min="14085" max="14085" width="19.7109375" style="112" customWidth="1"/>
    <col min="14086" max="14091" width="0" style="112" hidden="1" customWidth="1"/>
    <col min="14092" max="14336" width="8.85546875" style="112"/>
    <col min="14337" max="14337" width="10" style="112" customWidth="1"/>
    <col min="14338" max="14338" width="49.140625" style="112" customWidth="1"/>
    <col min="14339" max="14339" width="19.28515625" style="112" customWidth="1"/>
    <col min="14340" max="14340" width="20.5703125" style="112" customWidth="1"/>
    <col min="14341" max="14341" width="19.7109375" style="112" customWidth="1"/>
    <col min="14342" max="14347" width="0" style="112" hidden="1" customWidth="1"/>
    <col min="14348" max="14592" width="8.85546875" style="112"/>
    <col min="14593" max="14593" width="10" style="112" customWidth="1"/>
    <col min="14594" max="14594" width="49.140625" style="112" customWidth="1"/>
    <col min="14595" max="14595" width="19.28515625" style="112" customWidth="1"/>
    <col min="14596" max="14596" width="20.5703125" style="112" customWidth="1"/>
    <col min="14597" max="14597" width="19.7109375" style="112" customWidth="1"/>
    <col min="14598" max="14603" width="0" style="112" hidden="1" customWidth="1"/>
    <col min="14604" max="14848" width="8.85546875" style="112"/>
    <col min="14849" max="14849" width="10" style="112" customWidth="1"/>
    <col min="14850" max="14850" width="49.140625" style="112" customWidth="1"/>
    <col min="14851" max="14851" width="19.28515625" style="112" customWidth="1"/>
    <col min="14852" max="14852" width="20.5703125" style="112" customWidth="1"/>
    <col min="14853" max="14853" width="19.7109375" style="112" customWidth="1"/>
    <col min="14854" max="14859" width="0" style="112" hidden="1" customWidth="1"/>
    <col min="14860" max="15104" width="8.85546875" style="112"/>
    <col min="15105" max="15105" width="10" style="112" customWidth="1"/>
    <col min="15106" max="15106" width="49.140625" style="112" customWidth="1"/>
    <col min="15107" max="15107" width="19.28515625" style="112" customWidth="1"/>
    <col min="15108" max="15108" width="20.5703125" style="112" customWidth="1"/>
    <col min="15109" max="15109" width="19.7109375" style="112" customWidth="1"/>
    <col min="15110" max="15115" width="0" style="112" hidden="1" customWidth="1"/>
    <col min="15116" max="15360" width="8.85546875" style="112"/>
    <col min="15361" max="15361" width="10" style="112" customWidth="1"/>
    <col min="15362" max="15362" width="49.140625" style="112" customWidth="1"/>
    <col min="15363" max="15363" width="19.28515625" style="112" customWidth="1"/>
    <col min="15364" max="15364" width="20.5703125" style="112" customWidth="1"/>
    <col min="15365" max="15365" width="19.7109375" style="112" customWidth="1"/>
    <col min="15366" max="15371" width="0" style="112" hidden="1" customWidth="1"/>
    <col min="15372" max="15616" width="8.85546875" style="112"/>
    <col min="15617" max="15617" width="10" style="112" customWidth="1"/>
    <col min="15618" max="15618" width="49.140625" style="112" customWidth="1"/>
    <col min="15619" max="15619" width="19.28515625" style="112" customWidth="1"/>
    <col min="15620" max="15620" width="20.5703125" style="112" customWidth="1"/>
    <col min="15621" max="15621" width="19.7109375" style="112" customWidth="1"/>
    <col min="15622" max="15627" width="0" style="112" hidden="1" customWidth="1"/>
    <col min="15628" max="15872" width="8.85546875" style="112"/>
    <col min="15873" max="15873" width="10" style="112" customWidth="1"/>
    <col min="15874" max="15874" width="49.140625" style="112" customWidth="1"/>
    <col min="15875" max="15875" width="19.28515625" style="112" customWidth="1"/>
    <col min="15876" max="15876" width="20.5703125" style="112" customWidth="1"/>
    <col min="15877" max="15877" width="19.7109375" style="112" customWidth="1"/>
    <col min="15878" max="15883" width="0" style="112" hidden="1" customWidth="1"/>
    <col min="15884" max="16128" width="8.85546875" style="112"/>
    <col min="16129" max="16129" width="10" style="112" customWidth="1"/>
    <col min="16130" max="16130" width="49.140625" style="112" customWidth="1"/>
    <col min="16131" max="16131" width="19.28515625" style="112" customWidth="1"/>
    <col min="16132" max="16132" width="20.5703125" style="112" customWidth="1"/>
    <col min="16133" max="16133" width="19.7109375" style="112" customWidth="1"/>
    <col min="16134" max="16139" width="0" style="112" hidden="1" customWidth="1"/>
    <col min="16140" max="16384" width="8.85546875" style="112"/>
  </cols>
  <sheetData>
    <row r="1" spans="1:6" ht="20.25">
      <c r="B1" s="111"/>
      <c r="C1" s="413"/>
      <c r="D1" s="413"/>
      <c r="E1" s="413"/>
    </row>
    <row r="2" spans="1:6" ht="76.5" customHeight="1">
      <c r="A2" s="414" t="s">
        <v>182</v>
      </c>
      <c r="B2" s="414"/>
      <c r="C2" s="414"/>
      <c r="D2" s="414"/>
      <c r="E2" s="414"/>
    </row>
    <row r="3" spans="1:6" ht="19.5" customHeight="1" thickBot="1">
      <c r="A3" s="113"/>
      <c r="B3" s="113"/>
      <c r="C3" s="113"/>
      <c r="D3" s="114"/>
      <c r="E3" s="114" t="s">
        <v>183</v>
      </c>
    </row>
    <row r="4" spans="1:6" ht="52.5" customHeight="1" thickBot="1">
      <c r="A4" s="115" t="s">
        <v>6</v>
      </c>
      <c r="B4" s="116" t="s">
        <v>87</v>
      </c>
      <c r="C4" s="117" t="s">
        <v>184</v>
      </c>
      <c r="D4" s="116" t="s">
        <v>185</v>
      </c>
      <c r="E4" s="118" t="s">
        <v>186</v>
      </c>
    </row>
    <row r="5" spans="1:6" ht="19.5" thickBot="1">
      <c r="A5" s="115">
        <v>1</v>
      </c>
      <c r="B5" s="116">
        <v>2</v>
      </c>
      <c r="C5" s="119">
        <v>3</v>
      </c>
      <c r="D5" s="120">
        <v>4</v>
      </c>
      <c r="E5" s="121">
        <v>5</v>
      </c>
    </row>
    <row r="6" spans="1:6" ht="57" customHeight="1">
      <c r="A6" s="122" t="s">
        <v>0</v>
      </c>
      <c r="B6" s="123" t="s">
        <v>187</v>
      </c>
      <c r="C6" s="124">
        <f>C7+C8+C9+C10+C11+C12+C13+C22</f>
        <v>26540.7</v>
      </c>
      <c r="D6" s="124">
        <f>D7+D8+D9+D10+D11+D12+D13+D22</f>
        <v>18778</v>
      </c>
      <c r="E6" s="124">
        <f>E7+E8+E9+E10+E11+E12+E13+E22</f>
        <v>25248.3</v>
      </c>
      <c r="F6" s="125">
        <f>(C6*$C$31*$C$32+D6*$C$32+E6)/3*$C$33*$C$34</f>
        <v>0</v>
      </c>
    </row>
    <row r="7" spans="1:6" ht="24.75" customHeight="1">
      <c r="A7" s="126" t="s">
        <v>188</v>
      </c>
      <c r="B7" s="127" t="s">
        <v>189</v>
      </c>
      <c r="C7" s="128">
        <v>140</v>
      </c>
      <c r="D7" s="129">
        <v>98</v>
      </c>
      <c r="E7" s="130">
        <v>103.72</v>
      </c>
      <c r="F7" s="125">
        <f>(C7*$C$31*$C$32+D7*$C$32+E7)/3*$C$33*$C$34</f>
        <v>0</v>
      </c>
    </row>
    <row r="8" spans="1:6" ht="24.75" customHeight="1">
      <c r="A8" s="126" t="s">
        <v>190</v>
      </c>
      <c r="B8" s="127" t="s">
        <v>191</v>
      </c>
      <c r="C8" s="128">
        <v>107</v>
      </c>
      <c r="D8" s="129">
        <v>122</v>
      </c>
      <c r="E8" s="130">
        <v>199.41</v>
      </c>
      <c r="F8" s="125"/>
    </row>
    <row r="9" spans="1:6" ht="25.5" customHeight="1">
      <c r="A9" s="126" t="s">
        <v>192</v>
      </c>
      <c r="B9" s="127" t="s">
        <v>193</v>
      </c>
      <c r="C9" s="128">
        <v>168</v>
      </c>
      <c r="D9" s="129">
        <v>211</v>
      </c>
      <c r="E9" s="130">
        <v>252.39</v>
      </c>
      <c r="F9" s="125">
        <f t="shared" ref="F9:F26" si="0">(C9*$C$31*$C$32+D9*$C$32+E9)/3*$C$33*$C$34</f>
        <v>0</v>
      </c>
    </row>
    <row r="10" spans="1:6" ht="27" customHeight="1">
      <c r="A10" s="126" t="s">
        <v>194</v>
      </c>
      <c r="B10" s="127" t="s">
        <v>195</v>
      </c>
      <c r="C10" s="128">
        <v>17751.400000000001</v>
      </c>
      <c r="D10" s="129">
        <v>12089</v>
      </c>
      <c r="E10" s="130">
        <v>17333</v>
      </c>
      <c r="F10" s="125">
        <f t="shared" si="0"/>
        <v>0</v>
      </c>
    </row>
    <row r="11" spans="1:6" ht="25.5" customHeight="1">
      <c r="A11" s="126" t="s">
        <v>196</v>
      </c>
      <c r="B11" s="127" t="s">
        <v>197</v>
      </c>
      <c r="C11" s="128">
        <v>4966</v>
      </c>
      <c r="D11" s="129">
        <v>3668</v>
      </c>
      <c r="E11" s="130">
        <v>5137</v>
      </c>
      <c r="F11" s="125">
        <f t="shared" si="0"/>
        <v>0</v>
      </c>
    </row>
    <row r="12" spans="1:6" ht="25.5" customHeight="1">
      <c r="A12" s="126" t="s">
        <v>198</v>
      </c>
      <c r="B12" s="127" t="s">
        <v>199</v>
      </c>
      <c r="C12" s="128">
        <v>49</v>
      </c>
      <c r="D12" s="129">
        <v>60</v>
      </c>
      <c r="E12" s="130">
        <v>77</v>
      </c>
      <c r="F12" s="125"/>
    </row>
    <row r="13" spans="1:6" ht="53.25" customHeight="1">
      <c r="A13" s="126" t="s">
        <v>200</v>
      </c>
      <c r="B13" s="131" t="s">
        <v>201</v>
      </c>
      <c r="C13" s="124">
        <f>C14+C15+C16</f>
        <v>1519.3</v>
      </c>
      <c r="D13" s="124">
        <f>D14+D15+D16</f>
        <v>2067</v>
      </c>
      <c r="E13" s="124">
        <f>E14+E15+E16</f>
        <v>1711.7800000000002</v>
      </c>
      <c r="F13" s="125">
        <f t="shared" si="0"/>
        <v>0</v>
      </c>
    </row>
    <row r="14" spans="1:6" ht="45.75" customHeight="1">
      <c r="A14" s="126" t="s">
        <v>202</v>
      </c>
      <c r="B14" s="127" t="s">
        <v>203</v>
      </c>
      <c r="C14" s="128">
        <v>629.29999999999995</v>
      </c>
      <c r="D14" s="129">
        <v>585</v>
      </c>
      <c r="E14" s="130">
        <v>357.36</v>
      </c>
      <c r="F14" s="125">
        <f t="shared" si="0"/>
        <v>0</v>
      </c>
    </row>
    <row r="15" spans="1:6" ht="61.5" customHeight="1">
      <c r="A15" s="126" t="s">
        <v>204</v>
      </c>
      <c r="B15" s="127" t="s">
        <v>205</v>
      </c>
      <c r="C15" s="128">
        <v>0</v>
      </c>
      <c r="D15" s="129">
        <v>0</v>
      </c>
      <c r="E15" s="130">
        <v>0</v>
      </c>
      <c r="F15" s="125">
        <f t="shared" si="0"/>
        <v>0</v>
      </c>
    </row>
    <row r="16" spans="1:6" ht="66.599999999999994" customHeight="1">
      <c r="A16" s="126" t="s">
        <v>206</v>
      </c>
      <c r="B16" s="127" t="s">
        <v>207</v>
      </c>
      <c r="C16" s="128">
        <v>890</v>
      </c>
      <c r="D16" s="129">
        <v>1482</v>
      </c>
      <c r="E16" s="130">
        <v>1354.42</v>
      </c>
      <c r="F16" s="125">
        <f t="shared" si="0"/>
        <v>0</v>
      </c>
    </row>
    <row r="17" spans="1:6" ht="43.9" customHeight="1">
      <c r="A17" s="126" t="s">
        <v>208</v>
      </c>
      <c r="B17" s="127" t="s">
        <v>100</v>
      </c>
      <c r="C17" s="128"/>
      <c r="D17" s="129"/>
      <c r="E17" s="130"/>
      <c r="F17" s="125">
        <f t="shared" si="0"/>
        <v>0</v>
      </c>
    </row>
    <row r="18" spans="1:6" ht="47.25" customHeight="1">
      <c r="A18" s="126" t="s">
        <v>209</v>
      </c>
      <c r="B18" s="127" t="s">
        <v>210</v>
      </c>
      <c r="C18" s="128"/>
      <c r="D18" s="129"/>
      <c r="E18" s="130"/>
      <c r="F18" s="125">
        <f t="shared" si="0"/>
        <v>0</v>
      </c>
    </row>
    <row r="19" spans="1:6" ht="90" customHeight="1">
      <c r="A19" s="126" t="s">
        <v>211</v>
      </c>
      <c r="B19" s="127" t="s">
        <v>212</v>
      </c>
      <c r="C19" s="128"/>
      <c r="D19" s="129"/>
      <c r="E19" s="130"/>
      <c r="F19" s="125">
        <f t="shared" si="0"/>
        <v>0</v>
      </c>
    </row>
    <row r="20" spans="1:6" ht="37.15" customHeight="1">
      <c r="A20" s="126" t="s">
        <v>213</v>
      </c>
      <c r="B20" s="127" t="s">
        <v>103</v>
      </c>
      <c r="C20" s="128">
        <v>39</v>
      </c>
      <c r="D20" s="129">
        <v>39</v>
      </c>
      <c r="E20" s="130">
        <v>39</v>
      </c>
      <c r="F20" s="125">
        <f t="shared" si="0"/>
        <v>0</v>
      </c>
    </row>
    <row r="21" spans="1:6" ht="47.25" customHeight="1">
      <c r="A21" s="132" t="s">
        <v>214</v>
      </c>
      <c r="B21" s="133" t="s">
        <v>104</v>
      </c>
      <c r="C21" s="134">
        <v>0</v>
      </c>
      <c r="D21" s="135">
        <v>0</v>
      </c>
      <c r="E21" s="136">
        <v>0</v>
      </c>
      <c r="F21" s="125">
        <f t="shared" si="0"/>
        <v>0</v>
      </c>
    </row>
    <row r="22" spans="1:6" ht="35.1" customHeight="1">
      <c r="A22" s="126" t="s">
        <v>215</v>
      </c>
      <c r="B22" s="131" t="s">
        <v>216</v>
      </c>
      <c r="C22" s="124">
        <f>C24+C25+C26</f>
        <v>1840</v>
      </c>
      <c r="D22" s="124">
        <f>D24+D25+D26</f>
        <v>463</v>
      </c>
      <c r="E22" s="124">
        <f>E24+E25+E26</f>
        <v>434</v>
      </c>
      <c r="F22" s="125">
        <f t="shared" si="0"/>
        <v>0</v>
      </c>
    </row>
    <row r="23" spans="1:6" ht="33" customHeight="1">
      <c r="A23" s="126" t="s">
        <v>217</v>
      </c>
      <c r="B23" s="127" t="s">
        <v>218</v>
      </c>
      <c r="C23" s="128"/>
      <c r="D23" s="129"/>
      <c r="E23" s="130"/>
      <c r="F23" s="125">
        <f t="shared" si="0"/>
        <v>0</v>
      </c>
    </row>
    <row r="24" spans="1:6" ht="32.25" customHeight="1">
      <c r="A24" s="126" t="s">
        <v>219</v>
      </c>
      <c r="B24" s="127" t="s">
        <v>220</v>
      </c>
      <c r="C24" s="128">
        <v>495</v>
      </c>
      <c r="D24" s="129"/>
      <c r="E24" s="130"/>
      <c r="F24" s="125">
        <f>(C24*$C$31*$C$32+D24*$C$32+E24)/3*$C$33*$C$34</f>
        <v>0</v>
      </c>
    </row>
    <row r="25" spans="1:6" ht="34.5" customHeight="1">
      <c r="A25" s="126" t="s">
        <v>221</v>
      </c>
      <c r="B25" s="127" t="s">
        <v>222</v>
      </c>
      <c r="C25" s="128">
        <v>69</v>
      </c>
      <c r="D25" s="129">
        <v>29</v>
      </c>
      <c r="E25" s="130">
        <v>20</v>
      </c>
      <c r="F25" s="125">
        <f>(C25*$C$31*$C$32+D25*$C$32+E25)/3*$C$33*$C$34</f>
        <v>0</v>
      </c>
    </row>
    <row r="26" spans="1:6" ht="59.25" customHeight="1" thickBot="1">
      <c r="A26" s="137" t="s">
        <v>223</v>
      </c>
      <c r="B26" s="138" t="s">
        <v>224</v>
      </c>
      <c r="C26" s="139">
        <v>1276</v>
      </c>
      <c r="D26" s="140">
        <v>434</v>
      </c>
      <c r="E26" s="141">
        <v>414</v>
      </c>
      <c r="F26" s="125">
        <f t="shared" si="0"/>
        <v>0</v>
      </c>
    </row>
    <row r="31" spans="1:6" ht="18">
      <c r="C31" s="142"/>
    </row>
  </sheetData>
  <mergeCells count="2">
    <mergeCell ref="C1:E1"/>
    <mergeCell ref="A2:E2"/>
  </mergeCells>
  <pageMargins left="0.70866141732283472" right="0.27559055118110237" top="0.74803149606299213" bottom="0.35433070866141736" header="0.31496062992125984" footer="0.31496062992125984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15</vt:i4>
      </vt:variant>
      <vt:variant>
        <vt:lpstr>Именованные диапазоны</vt:lpstr>
      </vt:variant>
      <vt:variant>
        <vt:i4>10</vt:i4>
      </vt:variant>
    </vt:vector>
  </HeadingPairs>
  <TitlesOfParts>
    <vt:vector size="25" baseType="lpstr">
      <vt:lpstr>приложение 2</vt:lpstr>
      <vt:lpstr>3</vt:lpstr>
      <vt:lpstr>4</vt:lpstr>
      <vt:lpstr>5</vt:lpstr>
      <vt:lpstr>6</vt:lpstr>
      <vt:lpstr>7</vt:lpstr>
      <vt:lpstr>8</vt:lpstr>
      <vt:lpstr>9</vt:lpstr>
      <vt:lpstr>приложение 3 к МУ</vt:lpstr>
      <vt:lpstr>приложение 2 к МУ</vt:lpstr>
      <vt:lpstr>до 15 кВт факт. выпад2017</vt:lpstr>
      <vt:lpstr>окончат вд до 150</vt:lpstr>
      <vt:lpstr>пояснит</vt:lpstr>
      <vt:lpstr>1. 2015, до 15кВт</vt:lpstr>
      <vt:lpstr>2. 2015, свыше 15кВт</vt:lpstr>
      <vt:lpstr>'1. 2015, до 15кВт'!Область_печати</vt:lpstr>
      <vt:lpstr>'2. 2015, свыше 15кВт'!Область_печати</vt:lpstr>
      <vt:lpstr>'3'!Область_печати</vt:lpstr>
      <vt:lpstr>'4'!Область_печати</vt:lpstr>
      <vt:lpstr>'5'!Область_печати</vt:lpstr>
      <vt:lpstr>'6'!Область_печати</vt:lpstr>
      <vt:lpstr>'до 15 кВт факт. выпад2017'!Область_печати</vt:lpstr>
      <vt:lpstr>'окончат вд до 150'!Область_печати</vt:lpstr>
      <vt:lpstr>'приложение 2 к МУ'!Область_печати</vt:lpstr>
      <vt:lpstr>'приложение 3 к МУ'!Область_печати</vt:lpstr>
    </vt:vector>
  </TitlesOfParts>
  <Company>drsk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Сарапулова Людмила Владимировна</dc:creator>
  <cp:lastModifiedBy>Баурина Наталья Витальевна</cp:lastModifiedBy>
  <cp:lastPrinted>2018-09-27T02:45:52Z</cp:lastPrinted>
  <dcterms:created xsi:type="dcterms:W3CDTF">2015-09-27T23:10:48Z</dcterms:created>
  <dcterms:modified xsi:type="dcterms:W3CDTF">2018-10-02T05:13:19Z</dcterms:modified>
</cp:coreProperties>
</file>