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 Закупки 2016-2017-2018\.2021 год\87303 А ЭФ (ПЭС) стр, рек\Приложение №1 к ДоЗ Технические требования\"/>
    </mc:Choice>
  </mc:AlternateContent>
  <bookViews>
    <workbookView xWindow="0" yWindow="0" windowWidth="28800" windowHeight="12300"/>
  </bookViews>
  <sheets>
    <sheet name="Т" sheetId="1" r:id="rId1"/>
    <sheet name="МРСК" sheetId="2" r:id="rId2"/>
    <sheet name="1К" sheetId="8" r:id="rId3"/>
    <sheet name="2М" sheetId="9" r:id="rId4"/>
    <sheet name="3Т" sheetId="10" r:id="rId5"/>
  </sheets>
  <externalReferences>
    <externalReference r:id="rId6"/>
    <externalReference r:id="rId7"/>
  </externalReferences>
  <definedNames>
    <definedName name="GS" localSheetId="4">#REF!</definedName>
    <definedName name="GS">#REF!</definedName>
    <definedName name="Language">[1]Финплан!$J$1</definedName>
    <definedName name="_xlnm.Print_Titles" localSheetId="3">'2М'!$15:$15</definedName>
    <definedName name="_xlnm.Print_Titles" localSheetId="0">Т!$12:$12</definedName>
    <definedName name="ИТ" localSheetId="4">[2]мсн!#REF!</definedName>
    <definedName name="ИТ">[2]мсн!#REF!</definedName>
    <definedName name="ллл" localSheetId="4">[2]мсн!#REF!</definedName>
    <definedName name="ллл">[2]мсн!#REF!</definedName>
    <definedName name="_xlnm.Print_Area" localSheetId="3">'2М'!$A$1:$M$98</definedName>
    <definedName name="_xlnm.Print_Area" localSheetId="4">'3Т'!$A$1:$F$53</definedName>
    <definedName name="_xlnm.Print_Area" localSheetId="1">МРСК!$A$1:$N$45</definedName>
    <definedName name="_xlnm.Print_Area" localSheetId="0">Т!$A$1:$H$44</definedName>
    <definedName name="прар" localSheetId="4">[2]мсн!#REF!</definedName>
    <definedName name="прар">[2]мсн!#REF!</definedName>
    <definedName name="упр" localSheetId="4">[2]мсн!#REF!</definedName>
    <definedName name="упр">[2]мсн!#REF!</definedName>
    <definedName name="финансирование" localSheetId="4">#REF!</definedName>
    <definedName name="финансирование">#REF!</definedName>
    <definedName name="юж" localSheetId="4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11" i="2" l="1"/>
  <c r="F12" i="2" l="1"/>
  <c r="C11" i="10"/>
  <c r="E29" i="1" l="1"/>
  <c r="F29" i="1"/>
  <c r="F30" i="1" s="1"/>
  <c r="F37" i="1" s="1"/>
  <c r="F39" i="1" s="1"/>
  <c r="F41" i="1" s="1"/>
  <c r="F42" i="1" s="1"/>
  <c r="F43" i="1" s="1"/>
  <c r="C19" i="10" l="1"/>
  <c r="E22" i="10" s="1"/>
  <c r="C22" i="10" s="1"/>
  <c r="C29" i="10"/>
  <c r="E32" i="10" s="1"/>
  <c r="F49" i="10"/>
  <c r="C42" i="10"/>
  <c r="A38" i="10"/>
  <c r="C34" i="10"/>
  <c r="E23" i="10"/>
  <c r="C23" i="10" s="1"/>
  <c r="K14" i="10"/>
  <c r="J13" i="10"/>
  <c r="C13" i="10"/>
  <c r="C12" i="10"/>
  <c r="F27" i="10" l="1"/>
  <c r="F28" i="10" s="1"/>
  <c r="A28" i="10"/>
  <c r="C38" i="10"/>
  <c r="E41" i="10" s="1"/>
  <c r="C41" i="10" s="1"/>
  <c r="A46" i="10" s="1"/>
  <c r="E14" i="10"/>
  <c r="C14" i="10" s="1"/>
  <c r="E33" i="10"/>
  <c r="C33" i="10" s="1"/>
  <c r="C32" i="10"/>
  <c r="A37" i="10" s="1"/>
  <c r="F45" i="10" l="1"/>
  <c r="F46" i="10" s="1"/>
  <c r="F17" i="10"/>
  <c r="F18" i="10" s="1"/>
  <c r="A18" i="10"/>
  <c r="F36" i="10"/>
  <c r="F37" i="10" s="1"/>
  <c r="F47" i="10" l="1"/>
  <c r="F48" i="10" s="1"/>
  <c r="F50" i="10" s="1"/>
  <c r="D28" i="1" s="1"/>
  <c r="H28" i="1" s="1"/>
  <c r="A47" i="10"/>
  <c r="C69" i="9"/>
  <c r="C74" i="9" s="1"/>
  <c r="L72" i="9" s="1"/>
  <c r="I30" i="8"/>
  <c r="K30" i="8" s="1"/>
  <c r="C19" i="9"/>
  <c r="C24" i="9" s="1"/>
  <c r="L22" i="9" s="1"/>
  <c r="C8" i="8"/>
  <c r="J23" i="8" s="1"/>
  <c r="C7" i="8"/>
  <c r="E21" i="8" s="1"/>
  <c r="L88" i="9"/>
  <c r="L90" i="9" s="1"/>
  <c r="L92" i="9" s="1"/>
  <c r="C76" i="9"/>
  <c r="C75" i="9"/>
  <c r="C61" i="9"/>
  <c r="C60" i="9"/>
  <c r="C59" i="9"/>
  <c r="C58" i="9"/>
  <c r="C57" i="9"/>
  <c r="C55" i="9"/>
  <c r="C40" i="9"/>
  <c r="C39" i="9"/>
  <c r="C38" i="9"/>
  <c r="J17" i="8"/>
  <c r="J27" i="8"/>
  <c r="J25" i="8"/>
  <c r="J22" i="8"/>
  <c r="J19" i="8"/>
  <c r="C25" i="9" l="1"/>
  <c r="L23" i="9" s="1"/>
  <c r="L26" i="9" s="1"/>
  <c r="L28" i="9" s="1"/>
  <c r="L73" i="9"/>
  <c r="L78" i="9" s="1"/>
  <c r="L80" i="9" s="1"/>
  <c r="L83" i="9" s="1"/>
  <c r="C32" i="9"/>
  <c r="E16" i="8"/>
  <c r="J16" i="8" s="1"/>
  <c r="K16" i="8" s="1"/>
  <c r="J21" i="8"/>
  <c r="K21" i="8" s="1"/>
  <c r="C50" i="9" l="1"/>
  <c r="C56" i="9" s="1"/>
  <c r="L53" i="9" s="1"/>
  <c r="C37" i="9"/>
  <c r="L35" i="9"/>
  <c r="L36" i="9"/>
  <c r="L54" i="9"/>
  <c r="K20" i="8"/>
  <c r="K28" i="8" s="1"/>
  <c r="K29" i="8" s="1"/>
  <c r="K31" i="8" s="1"/>
  <c r="D26" i="1" s="1"/>
  <c r="L63" i="9" l="1"/>
  <c r="L65" i="9" s="1"/>
  <c r="L41" i="9"/>
  <c r="L43" i="9" l="1"/>
  <c r="L46" i="9" s="1"/>
  <c r="L93" i="9" s="1"/>
  <c r="H26" i="1"/>
  <c r="L94" i="9" l="1"/>
  <c r="L97" i="9" s="1"/>
  <c r="D27" i="1" s="1"/>
  <c r="H27" i="1" l="1"/>
  <c r="D29" i="1"/>
  <c r="D30" i="1" s="1"/>
  <c r="F15" i="2"/>
  <c r="E12" i="2" l="1"/>
  <c r="E11" i="2"/>
  <c r="G12" i="2" l="1"/>
  <c r="H12" i="2" l="1"/>
  <c r="I12" i="2"/>
  <c r="J12" i="2"/>
  <c r="K12" i="2"/>
  <c r="L12" i="2" l="1"/>
  <c r="M12" i="2" s="1"/>
  <c r="N12" i="2" l="1"/>
  <c r="G15" i="2"/>
  <c r="B6" i="2"/>
  <c r="H15" i="2" l="1"/>
  <c r="K15" i="2"/>
  <c r="K16" i="2" s="1"/>
  <c r="J15" i="2"/>
  <c r="J16" i="2"/>
  <c r="I15" i="2"/>
  <c r="I16" i="2" s="1"/>
  <c r="H16" i="2"/>
  <c r="E15" i="1" s="1"/>
  <c r="L15" i="2" l="1"/>
  <c r="M15" i="2" l="1"/>
  <c r="L16" i="2"/>
  <c r="M16" i="2"/>
  <c r="N15" i="2"/>
  <c r="N16" i="2" s="1"/>
  <c r="G11" i="2" l="1"/>
  <c r="H11" i="2" s="1"/>
  <c r="J11" i="2" l="1"/>
  <c r="J13" i="2" s="1"/>
  <c r="J17" i="2" s="1"/>
  <c r="G25" i="1" s="1"/>
  <c r="I11" i="2"/>
  <c r="I13" i="2" s="1"/>
  <c r="I17" i="2" s="1"/>
  <c r="H13" i="2"/>
  <c r="K11" i="2"/>
  <c r="K13" i="2" l="1"/>
  <c r="K17" i="2" s="1"/>
  <c r="H17" i="2"/>
  <c r="L13" i="2"/>
  <c r="E14" i="1"/>
  <c r="E16" i="1" s="1"/>
  <c r="L11" i="2"/>
  <c r="N11" i="2" s="1"/>
  <c r="N13" i="2" s="1"/>
  <c r="N17" i="2" s="1"/>
  <c r="L17" i="2" l="1"/>
  <c r="M11" i="2"/>
  <c r="M13" i="2" s="1"/>
  <c r="M17" i="2" s="1"/>
  <c r="D35" i="1" l="1"/>
  <c r="G24" i="1"/>
  <c r="H15" i="1"/>
  <c r="H24" i="1" l="1"/>
  <c r="G29" i="1"/>
  <c r="G30" i="1" s="1"/>
  <c r="G37" i="1" s="1"/>
  <c r="G39" i="1" s="1"/>
  <c r="G41" i="1" s="1"/>
  <c r="G42" i="1" s="1"/>
  <c r="G43" i="1" s="1"/>
  <c r="H18" i="1"/>
  <c r="H25" i="1" l="1"/>
  <c r="H14" i="1" l="1"/>
  <c r="E20" i="1" l="1"/>
  <c r="E22" i="1" s="1"/>
  <c r="E30" i="1" s="1"/>
  <c r="E37" i="1" s="1"/>
  <c r="H16" i="1"/>
  <c r="E39" i="1" l="1"/>
  <c r="E41" i="1" s="1"/>
  <c r="E42" i="1" s="1"/>
  <c r="E43" i="1" s="1"/>
  <c r="H32" i="1"/>
  <c r="H35" i="1"/>
  <c r="D36" i="1"/>
  <c r="D37" i="1" s="1"/>
  <c r="H20" i="1"/>
  <c r="D39" i="1" l="1"/>
  <c r="H29" i="1"/>
  <c r="H36" i="1"/>
  <c r="H22" i="1"/>
  <c r="D41" i="1" l="1"/>
  <c r="H39" i="1"/>
  <c r="H30" i="1"/>
  <c r="D42" i="1" l="1"/>
  <c r="D43" i="1" s="1"/>
  <c r="H41" i="1"/>
  <c r="H37" i="1"/>
  <c r="H42" i="1" l="1"/>
  <c r="H43" i="1"/>
  <c r="J39" i="1" l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<sst xmlns="http://schemas.openxmlformats.org/spreadsheetml/2006/main" count="400" uniqueCount="273">
  <si>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</si>
  <si>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</si>
  <si>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</si>
  <si>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</si>
  <si>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</si>
  <si>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</si>
  <si>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</si>
  <si>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</si>
  <si>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</si>
  <si>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Прочие работы и затраты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</si>
  <si>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</si>
  <si>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</si>
  <si>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</si>
  <si>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</si>
  <si>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</si>
  <si>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</si>
  <si>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</si>
  <si>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</si>
  <si>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</si>
  <si>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</si>
  <si>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</si>
  <si>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</si>
  <si>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</si>
  <si>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</si>
  <si>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ПИР</t>
  </si>
  <si>
    <t>СМР</t>
  </si>
  <si>
    <t xml:space="preserve">ПИР </t>
  </si>
  <si>
    <t>3% - непредвиденные затраты (при согласовании с заказчиком до 10%)</t>
  </si>
  <si>
    <t>-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</si>
  <si>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</si>
  <si>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</si>
  <si>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1,5% - благоустройство;</t>
  </si>
  <si>
    <t>1.1.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</si>
  <si>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</si>
  <si>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</si>
  <si>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</si>
  <si>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</si>
  <si>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</si>
  <si>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</si>
  <si>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</si>
  <si>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</si>
  <si>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</si>
  <si>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</si>
  <si>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СМР,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</si>
  <si>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</si>
  <si>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</si>
  <si>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</si>
  <si>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</si>
  <si>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</si>
  <si>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</si>
  <si>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</si>
  <si>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</si>
  <si>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</si>
  <si>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</si>
  <si>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</si>
  <si>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 xml:space="preserve">Итого по разделу 1  </t>
  </si>
  <si>
    <t>Коэффициента учитывающего общий объем финансовых потребностей по сборнику УНЦ</t>
  </si>
  <si>
    <t>табл. 9</t>
  </si>
  <si>
    <t>1,5-3,9% - временные здания и сооружения (при реконструкции и расширении применяется коэффициент 0,8);</t>
  </si>
  <si>
    <t>3,0-8,0% - прочие работы и затраты;</t>
  </si>
  <si>
    <t xml:space="preserve">        Раздел 1.  Cтроительство ЛЭП 6 кВ</t>
  </si>
  <si>
    <t>Итого по разделу 2</t>
  </si>
  <si>
    <t>табл. 18</t>
  </si>
  <si>
    <t>Для КЛ:</t>
  </si>
  <si>
    <t>по п.3.3:</t>
  </si>
  <si>
    <t>Расчет МРСК</t>
  </si>
  <si>
    <t xml:space="preserve">Расчет МРСК </t>
  </si>
  <si>
    <t xml:space="preserve">        Раздел 2.  Строительство РП 6 кВ</t>
  </si>
  <si>
    <t xml:space="preserve">2. </t>
  </si>
  <si>
    <t>Для ПС:</t>
  </si>
  <si>
    <t>2.1.</t>
  </si>
  <si>
    <t>по п.4.7.</t>
  </si>
  <si>
    <t>1 - 5 % - подготовительные работы;</t>
  </si>
  <si>
    <t>1 - 4% - благоустройство;</t>
  </si>
  <si>
    <t>3,9% - временные здания и сооружения (при реконструкции и расширении применяется коэффициент 0,8);</t>
  </si>
  <si>
    <t>7,5-8,5% - проектно-изыскательские работы и авторский надзор;</t>
  </si>
  <si>
    <t>7,0-8,5% - прочие работы и затраты;</t>
  </si>
  <si>
    <t>Строительство ЛЭП 6 кВ 2 цепи - 1,6 км</t>
  </si>
  <si>
    <t>табл. 12</t>
  </si>
  <si>
    <t>Восстановление дорожного покрытия, 100м2</t>
  </si>
  <si>
    <t>Строительство КЛ, 2 цепи 2*ААБ2л 3*240 км</t>
  </si>
  <si>
    <t>Строительство двух ЛЭП 6 кВ от линейных ячеек № 6 и № 18 ПС Садовая. Строительство РП на границе ЗУ заявителя ССК Звезда ООО.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</si>
  <si>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</si>
  <si>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</si>
  <si>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Налоги и обязательные платежи</t>
  </si>
  <si>
    <t>№ 303-ФЗ 3 августа 2018 г.</t>
  </si>
  <si>
    <t>НДС - 20%</t>
  </si>
  <si>
    <t>Итого "Налоги и обязательные платежи"</t>
  </si>
  <si>
    <t>Всего по сводному расчету</t>
  </si>
  <si>
    <t>Сстоимость объекта в прогнозных ценах без НДС</t>
  </si>
  <si>
    <t>Сметная стоимость, руб.</t>
  </si>
  <si>
    <t>Общая сметная стоимость, руб.</t>
  </si>
  <si>
    <t>Составлена в ценах по состоянию на 4 кв. 2020 год и прогнозном уровне цен 2021 год</t>
  </si>
  <si>
    <t>Пуско-наладочные работы</t>
  </si>
  <si>
    <t>Строительство РП 6 кВ</t>
  </si>
  <si>
    <t>КРУЭ 6 кВ, шт.</t>
  </si>
  <si>
    <t>2200</t>
  </si>
  <si>
    <t>Запрос сведений ГКН:  КВЗУ - 2 шт.</t>
  </si>
  <si>
    <t>С=(а*x1+в*х2)*Кпр.эк.*Кврг=</t>
  </si>
  <si>
    <t>П.14</t>
  </si>
  <si>
    <t>Кприр.экон.</t>
  </si>
  <si>
    <t xml:space="preserve">Кприродно-экономич.    </t>
  </si>
  <si>
    <t>Прим.6</t>
  </si>
  <si>
    <t>К"а"</t>
  </si>
  <si>
    <t>К"а"=1.0+0,10*(n-1) кол-во участков</t>
  </si>
  <si>
    <t>Прим.2</t>
  </si>
  <si>
    <t>К"а"=1.0-0.90*(1-n) пл-дь &lt; 1 тыс. га</t>
  </si>
  <si>
    <t>1 тыс. га общей площади</t>
  </si>
  <si>
    <t>"в"</t>
  </si>
  <si>
    <t>объект</t>
  </si>
  <si>
    <t>"а"</t>
  </si>
  <si>
    <t>табл. 73</t>
  </si>
  <si>
    <t>Прим.4</t>
  </si>
  <si>
    <t>К"а"=1.0+0,20*(n-1) кол. участков</t>
  </si>
  <si>
    <t>Прим.3</t>
  </si>
  <si>
    <t>К"в"</t>
  </si>
  <si>
    <t>К"в"=1.0-0.7*(1-n) пл-дь&lt;1тыс.га</t>
  </si>
  <si>
    <t>К"а"=1.0-0.9*(1-n) пл-дь&lt;1тыс.га</t>
  </si>
  <si>
    <t>1 тыс.га общей площади</t>
  </si>
  <si>
    <t>землепользование</t>
  </si>
  <si>
    <t>n</t>
  </si>
  <si>
    <t>табл. 35</t>
  </si>
  <si>
    <t xml:space="preserve">3. Вычисление общей площади землепользования </t>
  </si>
  <si>
    <t>Кприродно-экономич.     2,22</t>
  </si>
  <si>
    <t>Прим.7</t>
  </si>
  <si>
    <r>
      <t xml:space="preserve">1,5; </t>
    </r>
    <r>
      <rPr>
        <sz val="10"/>
        <rFont val="Times New Roman"/>
        <family val="1"/>
        <charset val="204"/>
      </rPr>
      <t xml:space="preserve"> Сличение координат</t>
    </r>
  </si>
  <si>
    <t>К"в"=1,0+0,05(n-1) кол. меж. зн.</t>
  </si>
  <si>
    <t>К"а"=1.0-0.02*(40-n) дл. &lt; 40 км</t>
  </si>
  <si>
    <t>1 км границы</t>
  </si>
  <si>
    <t>табл. 77</t>
  </si>
  <si>
    <t>2. Описание и согласование границ землепользования</t>
  </si>
  <si>
    <t>К"в"=1,0-0,40(2-n)площадь &lt; 2 га</t>
  </si>
  <si>
    <t>табл. 74</t>
  </si>
  <si>
    <t>1. Подготовительные работы</t>
  </si>
  <si>
    <t>Составлен(а) в текущих (прогнозных) ценах по состоянию на 4 кв. 2020 год</t>
  </si>
  <si>
    <r>
      <t>Смета составлена по ОНТЗ Роскомзема 1996 г</t>
    </r>
    <r>
      <rPr>
        <sz val="11"/>
        <rFont val="Times New Roman"/>
        <family val="1"/>
        <charset val="204"/>
      </rPr>
      <t>.</t>
    </r>
  </si>
  <si>
    <t xml:space="preserve">                                                                         Изготовление технического плана </t>
  </si>
  <si>
    <r>
      <rPr>
        <b/>
        <sz val="10"/>
        <rFont val="Times New Roman"/>
        <family val="1"/>
        <charset val="204"/>
      </rPr>
      <t>ИТОГО в ценах 2020 г.</t>
    </r>
    <r>
      <rPr>
        <sz val="10"/>
        <rFont val="Times New Roman"/>
        <family val="1"/>
        <charset val="204"/>
      </rPr>
      <t xml:space="preserve">
(с учетом письма Росземкадастра от 10.01.2003 г. №НК/25, письма Минфина от 27 ноября 2009 г. N 03-11-11/216 216 и приказа Минэкономразвития от 21.10.2019 №684)</t>
    </r>
  </si>
  <si>
    <t>Тр</t>
  </si>
  <si>
    <t>С=(а*x1+в*х2)*Кпр.эк.*Кврг*Тр=</t>
  </si>
  <si>
    <t>П.7</t>
  </si>
  <si>
    <t>Смета рассчитана на  земельный участок  под КЛ 6 кВ</t>
  </si>
  <si>
    <t>Расчет произведен согласно сборника цен и ОНЗТ на изготовление проектной и изыскательской продукции землеустройства, земельного кадастра и мониторинга земель</t>
  </si>
  <si>
    <t>Наименование объекта:</t>
  </si>
  <si>
    <t>Протяженность, км:</t>
  </si>
  <si>
    <t>Площадь, га:</t>
  </si>
  <si>
    <t>Количество точек с геоданными на 1 км:</t>
  </si>
  <si>
    <t>Количество сторонних землепользователей:</t>
  </si>
  <si>
    <t xml:space="preserve">Количество  видов территорий с особым режимом: </t>
  </si>
  <si>
    <t>Количество схем на объект</t>
  </si>
  <si>
    <t>Количество запросов</t>
  </si>
  <si>
    <t>№ п/п</t>
  </si>
  <si>
    <t>Наименование работ</t>
  </si>
  <si>
    <t>Ед.изм.</t>
  </si>
  <si>
    <t xml:space="preserve">Кол-во </t>
  </si>
  <si>
    <t>Показатели стоимости, руб.</t>
  </si>
  <si>
    <t>Коэффициенты к показателям</t>
  </si>
  <si>
    <t>Стоимость, руб.</t>
  </si>
  <si>
    <t>А</t>
  </si>
  <si>
    <t>В</t>
  </si>
  <si>
    <t>п.14 ОУ</t>
  </si>
  <si>
    <t>К=</t>
  </si>
  <si>
    <t>Подготовительные работы для выдачи свидетельств на право пользования</t>
  </si>
  <si>
    <t>табл.74</t>
  </si>
  <si>
    <t>тыс.га</t>
  </si>
  <si>
    <t>прим.2 к табл 74</t>
  </si>
  <si>
    <t>Ка=</t>
  </si>
  <si>
    <t>прим.4 к табл 74</t>
  </si>
  <si>
    <t>Кол-во схем</t>
  </si>
  <si>
    <t xml:space="preserve">Переезд к месту и обратно </t>
  </si>
  <si>
    <t>п.7 ОУ</t>
  </si>
  <si>
    <t>%</t>
  </si>
  <si>
    <t>Составление и вычерчивание плана границ землепользования, М1:500 (2 схемы)</t>
  </si>
  <si>
    <t>табл.75</t>
  </si>
  <si>
    <t>прим.2 к табл 75</t>
  </si>
  <si>
    <t>прим.4 к табл 75</t>
  </si>
  <si>
    <t>прим.3 к табл 75</t>
  </si>
  <si>
    <t>Кв=</t>
  </si>
  <si>
    <t>прим.6 к табл 75</t>
  </si>
  <si>
    <t>прим.5 к табл 75</t>
  </si>
  <si>
    <t xml:space="preserve">Запрос сведений Государственного кадастра недвижимости: КПТ </t>
  </si>
  <si>
    <t>Кол-во=</t>
  </si>
  <si>
    <t>Строительство двух ЛЭП 6 кВ от линейных ячеек № 6 и № 18 ПС Садовая</t>
  </si>
  <si>
    <t>ИТОГО в ценах 2020 г.
(с учетом письма Росземкадастра от 10.01.2003 г. №НК/25, письма Минфина от 27 ноября 2009 г. N 03-11-11/216 216 и приказа Минэкономразвития от 21.10.2019 №684)</t>
  </si>
  <si>
    <t>Смета рассчитана на отдельные земельные участки:</t>
  </si>
  <si>
    <t>Ограничения и обременения на данном участке отсутствуют</t>
  </si>
  <si>
    <t>Характеристика сооружения или выды работ</t>
  </si>
  <si>
    <t>№№ частей, глав, таблиц пар-ов и пунктов указаний к разделу или главе сборников</t>
  </si>
  <si>
    <t>Расчет стоимости</t>
  </si>
  <si>
    <t>Стоимость, руб</t>
  </si>
  <si>
    <t>Вычисление общей площади землепользований</t>
  </si>
  <si>
    <t>Сборник цен и общественно необходимых затрат труда (ОНЗТ), изд. 1996 г.                                        Таб 35</t>
  </si>
  <si>
    <t>Объем:</t>
  </si>
  <si>
    <t>1 тыс.га огран-ий и обрем-ий</t>
  </si>
  <si>
    <t>1 тыс.га наложений 3-их лиц</t>
  </si>
  <si>
    <t>а</t>
  </si>
  <si>
    <t>руб.</t>
  </si>
  <si>
    <t>56хK2aхK4a=</t>
  </si>
  <si>
    <t>в</t>
  </si>
  <si>
    <t>34хSхK3в=</t>
  </si>
  <si>
    <t>К2а</t>
  </si>
  <si>
    <t>К=1,0-0,9х(1-n)</t>
  </si>
  <si>
    <t>К4а</t>
  </si>
  <si>
    <t>К3в</t>
  </si>
  <si>
    <t>К=1,0-0,7х(1-n)</t>
  </si>
  <si>
    <t>Коэффициент к ценам с учетом природно-экономических особенностей территории</t>
  </si>
  <si>
    <t>ОНЗТ,  прил. 1</t>
  </si>
  <si>
    <t>Всего:</t>
  </si>
  <si>
    <t>Подготовка Межевого плана по отводу земель</t>
  </si>
  <si>
    <t>Сборник цен и общественно необходимых затрат труда (ОНЗТ), изд. 1996 г.                                        Таб 73</t>
  </si>
  <si>
    <t>1363хК2ахК6ахК8ах1=</t>
  </si>
  <si>
    <t>3431хК4вхS=</t>
  </si>
  <si>
    <t>К=1,0-0,9х(1,0-n)</t>
  </si>
  <si>
    <t>К6а</t>
  </si>
  <si>
    <t>К=1,0+0,1х(1-n)</t>
  </si>
  <si>
    <t>К8а</t>
  </si>
  <si>
    <t>К=1,0+0,1х(3-n)</t>
  </si>
  <si>
    <t>К4в</t>
  </si>
  <si>
    <t>К=1,0+0,01х(5-n)</t>
  </si>
  <si>
    <t>Проезд до объекта и обратно (до 25% от стоиомсти работ) п.7 ОУ</t>
  </si>
  <si>
    <t>Составление и вычерчивание чертежа земельных участков</t>
  </si>
  <si>
    <t>Сборник цен и общественно необходимых затрат труда (ОНЗТ), изд. 1996 г.                                        Таб 75</t>
  </si>
  <si>
    <t>355хK1aхК2ахК4ахК5ахК8ах1=</t>
  </si>
  <si>
    <t>22х1хК5вхК6вхS=</t>
  </si>
  <si>
    <t>К1а</t>
  </si>
  <si>
    <t>К=1,0+0,15х(1-n)</t>
  </si>
  <si>
    <t>К=1,0-0,45х(2-n)</t>
  </si>
  <si>
    <t>К=1,0+0,05*n</t>
  </si>
  <si>
    <t>К5а</t>
  </si>
  <si>
    <t>К=1,0+0,1хn</t>
  </si>
  <si>
    <t>К=1,0+0,1х(5-n)</t>
  </si>
  <si>
    <t>К5в</t>
  </si>
  <si>
    <t>К6в</t>
  </si>
  <si>
    <t>К=1,6</t>
  </si>
  <si>
    <t>Описание и согласование границ землепользований</t>
  </si>
  <si>
    <t>Сборник цен и общественно необходимых затрат труда (ОНЗТ), изд. 1996 г.                                        Таб 77</t>
  </si>
  <si>
    <t>1 км. границы</t>
  </si>
  <si>
    <t>1 км. границы огр-ий и обр-ий</t>
  </si>
  <si>
    <t>1 км. границы налож-ий 3-их лиц</t>
  </si>
  <si>
    <t>882хК2ах1=</t>
  </si>
  <si>
    <t>11хК4вхК5вхК7вхS=</t>
  </si>
  <si>
    <t xml:space="preserve">К=1-0,02х(40-n) </t>
  </si>
  <si>
    <t>К=1,0+0,05х(5-n)</t>
  </si>
  <si>
    <t>К=1+0,1х(3-n)</t>
  </si>
  <si>
    <t>К7в</t>
  </si>
  <si>
    <t>К=1,5</t>
  </si>
  <si>
    <t>Изготовление "Межевого плана", согласно приказа  №412 от 24.11.2008 года</t>
  </si>
  <si>
    <t>Сборник цен и общественно необходимых затрат труда (ОНЗТ), изд. 1996 г.                                        Прил. 12</t>
  </si>
  <si>
    <t>чел. дней</t>
  </si>
  <si>
    <t>200х1=</t>
  </si>
  <si>
    <t>Итого за землеустроительные работы:</t>
  </si>
  <si>
    <t>Итого:</t>
  </si>
  <si>
    <t>на выполнение кадастровых работ по изготовлению межевых планов частей земельных участков по объекту: Строительство двух ЛЭП 6 кВ от линейных ячеек № 6 и № 18 ПС Садовая</t>
  </si>
  <si>
    <t>Площадью 1600*4/10000 кв.м = 0,64 га</t>
  </si>
  <si>
    <t xml:space="preserve">по объекту: "Строительство двух ЛЭП 6 кВ от линейных ячеек № 6 и № 18 ПС Садовая"                                                     </t>
  </si>
  <si>
    <t>2. Протяженность участка отведенного под строительство  КЛ 1,6 км</t>
  </si>
  <si>
    <t>Проезд до объекта и обратно</t>
  </si>
  <si>
    <t>Изготовление схемы на КПТ</t>
  </si>
  <si>
    <t>Изготовление технического плана</t>
  </si>
  <si>
    <t>Изготовление межевого плана</t>
  </si>
  <si>
    <t>С М Е Т А №2М</t>
  </si>
  <si>
    <t>Смета № 3Т</t>
  </si>
  <si>
    <t>Расчет стоимости №1
изготовления схемы расположения земельного участка на кадастровом плане территории</t>
  </si>
  <si>
    <t>смета 1К</t>
  </si>
  <si>
    <t>смета 2М</t>
  </si>
  <si>
    <t>смета 3Т</t>
  </si>
  <si>
    <t>СВОДКА ЗАТРАТ</t>
  </si>
  <si>
    <t>1.Площадью 6400,00 кв.м=(1600)*4= 0,64 га</t>
  </si>
  <si>
    <t>1.2.</t>
  </si>
  <si>
    <t>по п. 3.7:</t>
  </si>
  <si>
    <t>1,022 - в условиях городской и промышленной застройки</t>
  </si>
  <si>
    <t>К=1,202=((1,5+1,5+7,5+2,6+3+1,5)/100+1)*1,022</t>
  </si>
  <si>
    <t>К=1,245=((1+1+3,9+7,5+2,6+7+1,5)/100+1)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</si>
</sst>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0.0"/>
    <numFmt numFmtId="179" formatCode="#,##0.00000"/>
    <numFmt numFmtId="180" formatCode="#,##0.00&quot;р.&quot;"/>
    <numFmt numFmtId="181" formatCode="0.000000"/>
    <numFmt numFmtId="182" formatCode="0.00000"/>
    <numFmt numFmtId="183" formatCode="0.00;[Red]0.00"/>
    <numFmt numFmtId="184" formatCode="0.0000000"/>
    <numFmt numFmtId="185" formatCode="0.0%"/>
    <numFmt numFmtId="186" formatCode=";;;"/>
  </numFmts>
  <fonts count="85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i/>
      <sz val="12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74">
    <xf numFmtId="0" fontId="0" fillId="0" borderId="0"/>
    <xf numFmtId="0" fontId="5" fillId="0" borderId="0"/>
    <xf numFmtId="0" fontId="12" fillId="0" borderId="0"/>
    <xf numFmtId="0" fontId="7" fillId="0" borderId="0"/>
    <xf numFmtId="0" fontId="11" fillId="0" borderId="0"/>
    <xf numFmtId="0" fontId="13" fillId="0" borderId="0"/>
    <xf numFmtId="38" fontId="14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5" fillId="0" borderId="0"/>
    <xf numFmtId="0" fontId="16" fillId="0" borderId="0">
      <alignment horizontal="left" vertical="top"/>
    </xf>
    <xf numFmtId="166" fontId="5" fillId="0" borderId="0" applyFont="0" applyFill="0" applyBorder="0" applyAlignment="0" applyProtection="0"/>
    <xf numFmtId="0" fontId="8" fillId="0" borderId="0">
      <alignment horizontal="right" vertical="top" wrapText="1"/>
    </xf>
    <xf numFmtId="0" fontId="8" fillId="0" borderId="2">
      <alignment horizontal="center" wrapText="1"/>
    </xf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2" applyBorder="0" applyAlignment="0">
      <alignment horizontal="center" wrapText="1"/>
    </xf>
    <xf numFmtId="9" fontId="5" fillId="0" borderId="0" applyFont="0" applyFill="0" applyBorder="0" applyAlignment="0" applyProtection="0"/>
    <xf numFmtId="0" fontId="17" fillId="0" borderId="0"/>
    <xf numFmtId="0" fontId="8" fillId="0" borderId="0">
      <alignment horizontal="center"/>
    </xf>
    <xf numFmtId="165" fontId="5" fillId="0" borderId="0" applyFont="0" applyFill="0" applyBorder="0" applyAlignment="0" applyProtection="0"/>
    <xf numFmtId="40" fontId="1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8" fillId="0" borderId="0">
      <alignment horizontal="left" vertical="top"/>
    </xf>
    <xf numFmtId="0" fontId="4" fillId="0" borderId="0"/>
    <xf numFmtId="0" fontId="29" fillId="0" borderId="0"/>
    <xf numFmtId="0" fontId="6" fillId="0" borderId="0"/>
    <xf numFmtId="0" fontId="6" fillId="0" borderId="0"/>
    <xf numFmtId="0" fontId="7" fillId="0" borderId="0"/>
    <xf numFmtId="0" fontId="12" fillId="0" borderId="0"/>
    <xf numFmtId="173" fontId="6" fillId="0" borderId="0" applyFont="0" applyFill="0" applyBorder="0" applyAlignment="0" applyProtection="0"/>
    <xf numFmtId="0" fontId="30" fillId="0" borderId="0"/>
    <xf numFmtId="0" fontId="30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174" fontId="32" fillId="0" borderId="0">
      <alignment vertical="top"/>
    </xf>
    <xf numFmtId="0" fontId="31" fillId="0" borderId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7" borderId="0" applyNumberFormat="0" applyBorder="0" applyAlignment="0" applyProtection="0"/>
    <xf numFmtId="0" fontId="33" fillId="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2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174" fontId="35" fillId="22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3" borderId="0">
      <alignment horizontal="right" vertical="top"/>
    </xf>
    <xf numFmtId="0" fontId="6" fillId="0" borderId="0"/>
    <xf numFmtId="0" fontId="6" fillId="0" borderId="0"/>
    <xf numFmtId="0" fontId="41" fillId="24" borderId="0"/>
    <xf numFmtId="176" fontId="36" fillId="0" borderId="0">
      <alignment vertical="top"/>
    </xf>
    <xf numFmtId="0" fontId="8" fillId="0" borderId="2">
      <alignment horizontal="center"/>
    </xf>
    <xf numFmtId="0" fontId="5" fillId="0" borderId="0">
      <alignment vertical="top"/>
    </xf>
    <xf numFmtId="0" fontId="34" fillId="25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0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42" fillId="7" borderId="9" applyNumberFormat="0" applyAlignment="0" applyProtection="0"/>
    <xf numFmtId="0" fontId="8" fillId="0" borderId="2">
      <alignment horizontal="center"/>
    </xf>
    <xf numFmtId="0" fontId="8" fillId="0" borderId="0">
      <alignment vertical="top"/>
    </xf>
    <xf numFmtId="0" fontId="43" fillId="13" borderId="10" applyNumberFormat="0" applyAlignment="0" applyProtection="0"/>
    <xf numFmtId="0" fontId="43" fillId="5" borderId="10" applyNumberFormat="0" applyAlignment="0" applyProtection="0"/>
    <xf numFmtId="0" fontId="43" fillId="5" borderId="10" applyNumberFormat="0" applyAlignment="0" applyProtection="0"/>
    <xf numFmtId="0" fontId="43" fillId="5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3" fillId="13" borderId="10" applyNumberFormat="0" applyAlignment="0" applyProtection="0"/>
    <xf numFmtId="0" fontId="44" fillId="13" borderId="9" applyNumberFormat="0" applyAlignment="0" applyProtection="0"/>
    <xf numFmtId="0" fontId="44" fillId="5" borderId="9" applyNumberFormat="0" applyAlignment="0" applyProtection="0"/>
    <xf numFmtId="0" fontId="44" fillId="5" borderId="9" applyNumberFormat="0" applyAlignment="0" applyProtection="0"/>
    <xf numFmtId="0" fontId="44" fillId="5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4" fillId="13" borderId="9" applyNumberFormat="0" applyAlignment="0" applyProtection="0"/>
    <xf numFmtId="0" fontId="45" fillId="0" borderId="0" applyBorder="0">
      <alignment horizontal="center" vertical="center" wrapText="1"/>
    </xf>
    <xf numFmtId="0" fontId="46" fillId="0" borderId="11" applyNumberFormat="0" applyFill="0" applyAlignment="0" applyProtection="0"/>
    <xf numFmtId="0" fontId="47" fillId="0" borderId="12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8" fillId="0" borderId="13" applyNumberFormat="0" applyFill="0" applyAlignment="0" applyProtection="0"/>
    <xf numFmtId="0" fontId="49" fillId="0" borderId="13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6" applyBorder="0">
      <alignment horizontal="center" vertical="center" wrapText="1"/>
    </xf>
    <xf numFmtId="4" fontId="53" fillId="30" borderId="2" applyBorder="0">
      <alignment horizontal="right"/>
    </xf>
    <xf numFmtId="4" fontId="53" fillId="30" borderId="2" applyBorder="0">
      <alignment horizontal="right"/>
    </xf>
    <xf numFmtId="4" fontId="53" fillId="30" borderId="2" applyBorder="0">
      <alignment horizontal="right"/>
    </xf>
    <xf numFmtId="4" fontId="53" fillId="30" borderId="2" applyBorder="0">
      <alignment horizontal="right"/>
    </xf>
    <xf numFmtId="0" fontId="5" fillId="0" borderId="0"/>
    <xf numFmtId="0" fontId="54" fillId="0" borderId="17" applyNumberFormat="0" applyFill="0" applyAlignment="0" applyProtection="0"/>
    <xf numFmtId="0" fontId="54" fillId="0" borderId="18" applyNumberFormat="0" applyFill="0" applyAlignment="0" applyProtection="0"/>
    <xf numFmtId="0" fontId="54" fillId="0" borderId="18" applyNumberFormat="0" applyFill="0" applyAlignment="0" applyProtection="0"/>
    <xf numFmtId="0" fontId="54" fillId="0" borderId="18" applyNumberFormat="0" applyFill="0" applyAlignment="0" applyProtection="0"/>
    <xf numFmtId="0" fontId="54" fillId="0" borderId="1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5" fillId="31" borderId="19" applyNumberFormat="0" applyAlignment="0" applyProtection="0"/>
    <xf numFmtId="0" fontId="55" fillId="31" borderId="19" applyNumberFormat="0" applyAlignment="0" applyProtection="0"/>
    <xf numFmtId="0" fontId="55" fillId="31" borderId="19" applyNumberFormat="0" applyAlignment="0" applyProtection="0"/>
    <xf numFmtId="0" fontId="55" fillId="31" borderId="19" applyNumberFormat="0" applyAlignment="0" applyProtection="0"/>
    <xf numFmtId="0" fontId="55" fillId="31" borderId="19" applyNumberFormat="0" applyAlignment="0" applyProtection="0"/>
    <xf numFmtId="0" fontId="5" fillId="0" borderId="0">
      <alignment vertical="top"/>
    </xf>
    <xf numFmtId="0" fontId="5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60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6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2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30" fillId="0" borderId="0"/>
    <xf numFmtId="0" fontId="5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63" fillId="0" borderId="0"/>
    <xf numFmtId="0" fontId="59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33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3" fillId="0" borderId="0"/>
    <xf numFmtId="0" fontId="33" fillId="0" borderId="0"/>
    <xf numFmtId="0" fontId="6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2">
      <alignment horizontal="center" wrapText="1"/>
    </xf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9" borderId="20" applyNumberFormat="0" applyFont="0" applyAlignment="0" applyProtection="0"/>
    <xf numFmtId="0" fontId="33" fillId="9" borderId="20" applyNumberFormat="0" applyFont="0" applyAlignment="0" applyProtection="0"/>
    <xf numFmtId="0" fontId="30" fillId="9" borderId="20" applyNumberFormat="0" applyFont="0" applyAlignment="0" applyProtection="0"/>
    <xf numFmtId="0" fontId="30" fillId="9" borderId="20" applyNumberFormat="0" applyFont="0" applyAlignment="0" applyProtection="0"/>
    <xf numFmtId="0" fontId="33" fillId="9" borderId="20" applyNumberFormat="0" applyFont="0" applyAlignment="0" applyProtection="0"/>
    <xf numFmtId="0" fontId="33" fillId="9" borderId="20" applyNumberFormat="0" applyFont="0" applyAlignment="0" applyProtection="0"/>
    <xf numFmtId="0" fontId="5" fillId="9" borderId="20" applyNumberFormat="0" applyFont="0" applyAlignment="0" applyProtection="0"/>
    <xf numFmtId="0" fontId="5" fillId="9" borderId="20" applyNumberFormat="0" applyFont="0" applyAlignment="0" applyProtection="0"/>
    <xf numFmtId="0" fontId="5" fillId="9" borderId="20" applyNumberFormat="0" applyFont="0" applyAlignment="0" applyProtection="0"/>
    <xf numFmtId="0" fontId="33" fillId="9" borderId="20" applyNumberFormat="0" applyFont="0" applyAlignment="0" applyProtection="0"/>
    <xf numFmtId="0" fontId="33" fillId="9" borderId="20" applyNumberFormat="0" applyFont="0" applyAlignment="0" applyProtection="0"/>
    <xf numFmtId="0" fontId="33" fillId="9" borderId="20" applyNumberFormat="0" applyFont="0" applyAlignment="0" applyProtection="0"/>
    <xf numFmtId="0" fontId="33" fillId="9" borderId="20" applyNumberFormat="0" applyFont="0" applyAlignment="0" applyProtection="0"/>
    <xf numFmtId="0" fontId="33" fillId="9" borderId="20" applyNumberFormat="0" applyFont="0" applyAlignment="0" applyProtection="0"/>
    <xf numFmtId="0" fontId="66" fillId="9" borderId="20" applyNumberFormat="0" applyFont="0" applyAlignment="0" applyProtection="0"/>
    <xf numFmtId="0" fontId="33" fillId="9" borderId="20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2">
      <alignment horizontal="center"/>
    </xf>
    <xf numFmtId="0" fontId="5" fillId="0" borderId="0"/>
    <xf numFmtId="0" fontId="8" fillId="0" borderId="2">
      <alignment horizontal="center" wrapText="1"/>
    </xf>
    <xf numFmtId="0" fontId="5" fillId="0" borderId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0" fontId="68" fillId="0" borderId="21" applyNumberFormat="0" applyFill="0" applyAlignment="0" applyProtection="0"/>
    <xf numFmtId="174" fontId="32" fillId="0" borderId="0">
      <alignment vertical="top"/>
    </xf>
    <xf numFmtId="0" fontId="13" fillId="0" borderId="0"/>
    <xf numFmtId="0" fontId="13" fillId="0" borderId="0"/>
    <xf numFmtId="0" fontId="31" fillId="0" borderId="0"/>
    <xf numFmtId="0" fontId="31" fillId="0" borderId="0"/>
    <xf numFmtId="0" fontId="13" fillId="0" borderId="0"/>
    <xf numFmtId="0" fontId="13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2" borderId="0" applyBorder="0">
      <alignment horizontal="right"/>
    </xf>
    <xf numFmtId="0" fontId="70" fillId="8" borderId="0" applyNumberFormat="0" applyBorder="0" applyAlignment="0" applyProtection="0"/>
    <xf numFmtId="0" fontId="70" fillId="8" borderId="0" applyNumberFormat="0" applyBorder="0" applyAlignment="0" applyProtection="0"/>
    <xf numFmtId="0" fontId="70" fillId="8" borderId="0" applyNumberFormat="0" applyBorder="0" applyAlignment="0" applyProtection="0"/>
    <xf numFmtId="0" fontId="70" fillId="8" borderId="0" applyNumberFormat="0" applyBorder="0" applyAlignment="0" applyProtection="0"/>
    <xf numFmtId="0" fontId="70" fillId="8" borderId="0" applyNumberFormat="0" applyBorder="0" applyAlignment="0" applyProtection="0"/>
    <xf numFmtId="0" fontId="5" fillId="0" borderId="0"/>
    <xf numFmtId="0" fontId="8" fillId="0" borderId="0"/>
    <xf numFmtId="167" fontId="7" fillId="0" borderId="0" applyFont="0" applyFill="0" applyBorder="0" applyAlignment="0" applyProtection="0"/>
    <xf numFmtId="0" fontId="7" fillId="0" borderId="0"/>
    <xf numFmtId="0" fontId="29" fillId="0" borderId="0"/>
    <xf numFmtId="0" fontId="3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1" fillId="0" borderId="0"/>
  </cellStyleXfs>
  <cellXfs count="455">
    <xf numFmtId="0" fontId="0" fillId="0" borderId="0" xfId="0"/>
    <xf numFmtId="0" fontId="8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0" fontId="9" fillId="0" borderId="2" xfId="1" applyFont="1" applyBorder="1" applyAlignment="1">
      <alignment wrapText="1"/>
    </xf>
    <xf numFmtId="0" fontId="18" fillId="0" borderId="0" xfId="33" applyFont="1"/>
    <xf numFmtId="0" fontId="19" fillId="0" borderId="0" xfId="33" applyFont="1"/>
    <xf numFmtId="0" fontId="19" fillId="0" borderId="0" xfId="33" applyFont="1" applyAlignment="1">
      <alignment horizontal="right"/>
    </xf>
    <xf numFmtId="0" fontId="20" fillId="0" borderId="0" xfId="33" applyFont="1"/>
    <xf numFmtId="49" fontId="20" fillId="0" borderId="0" xfId="33" applyNumberFormat="1" applyFont="1" applyAlignment="1">
      <alignment horizontal="right" vertical="center"/>
    </xf>
    <xf numFmtId="0" fontId="20" fillId="0" borderId="0" xfId="33" applyFont="1" applyAlignment="1">
      <alignment horizontal="right"/>
    </xf>
    <xf numFmtId="0" fontId="21" fillId="0" borderId="0" xfId="33" applyFont="1"/>
    <xf numFmtId="0" fontId="21" fillId="0" borderId="0" xfId="33" applyFont="1" applyAlignment="1">
      <alignment horizontal="right"/>
    </xf>
    <xf numFmtId="4" fontId="23" fillId="0" borderId="0" xfId="33" applyNumberFormat="1" applyFont="1" applyBorder="1" applyAlignment="1">
      <alignment horizontal="center" vertical="center"/>
    </xf>
    <xf numFmtId="0" fontId="23" fillId="0" borderId="0" xfId="33" applyFont="1" applyBorder="1" applyAlignment="1">
      <alignment horizontal="left" vertical="center" wrapText="1"/>
    </xf>
    <xf numFmtId="4" fontId="23" fillId="0" borderId="2" xfId="33" applyNumberFormat="1" applyFont="1" applyBorder="1" applyAlignment="1">
      <alignment horizontal="center" vertical="center"/>
    </xf>
    <xf numFmtId="4" fontId="18" fillId="0" borderId="2" xfId="33" applyNumberFormat="1" applyFont="1" applyBorder="1" applyAlignment="1">
      <alignment horizontal="center" vertical="top"/>
    </xf>
    <xf numFmtId="172" fontId="18" fillId="0" borderId="2" xfId="33" applyNumberFormat="1" applyFont="1" applyBorder="1" applyAlignment="1">
      <alignment horizontal="center" vertical="top"/>
    </xf>
    <xf numFmtId="0" fontId="18" fillId="0" borderId="2" xfId="33" applyFont="1" applyBorder="1" applyAlignment="1">
      <alignment horizontal="center" vertical="top" wrapText="1"/>
    </xf>
    <xf numFmtId="0" fontId="18" fillId="0" borderId="2" xfId="33" applyFont="1" applyBorder="1" applyAlignment="1">
      <alignment wrapText="1"/>
    </xf>
    <xf numFmtId="0" fontId="18" fillId="0" borderId="2" xfId="33" applyFont="1" applyBorder="1" applyAlignment="1">
      <alignment horizontal="center" vertical="center"/>
    </xf>
    <xf numFmtId="0" fontId="18" fillId="0" borderId="2" xfId="33" applyFont="1" applyBorder="1" applyAlignment="1">
      <alignment horizontal="center" vertical="center" wrapText="1"/>
    </xf>
    <xf numFmtId="0" fontId="18" fillId="2" borderId="0" xfId="33" applyFont="1" applyFill="1"/>
    <xf numFmtId="0" fontId="18" fillId="3" borderId="0" xfId="33" applyFont="1" applyFill="1"/>
    <xf numFmtId="0" fontId="26" fillId="3" borderId="0" xfId="33" applyFont="1" applyFill="1"/>
    <xf numFmtId="0" fontId="26" fillId="2" borderId="0" xfId="33" applyFont="1" applyFill="1" applyAlignment="1">
      <alignment horizontal="right"/>
    </xf>
    <xf numFmtId="0" fontId="18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168" fontId="8" fillId="0" borderId="0" xfId="0" applyNumberFormat="1" applyFont="1"/>
    <xf numFmtId="0" fontId="22" fillId="0" borderId="0" xfId="33" applyFont="1" applyAlignment="1">
      <alignment vertical="top" wrapText="1"/>
    </xf>
    <xf numFmtId="0" fontId="18" fillId="0" borderId="2" xfId="33" applyFont="1" applyBorder="1" applyAlignment="1">
      <alignment horizontal="center"/>
    </xf>
    <xf numFmtId="168" fontId="18" fillId="0" borderId="2" xfId="33" applyNumberFormat="1" applyFont="1" applyBorder="1" applyAlignment="1">
      <alignment horizontal="center" vertical="top"/>
    </xf>
    <xf numFmtId="4" fontId="5" fillId="0" borderId="0" xfId="1" applyNumberFormat="1" applyFont="1"/>
    <xf numFmtId="0" fontId="5" fillId="0" borderId="0" xfId="1" applyFont="1"/>
    <xf numFmtId="49" fontId="18" fillId="2" borderId="0" xfId="33" applyNumberFormat="1" applyFont="1" applyFill="1"/>
    <xf numFmtId="49" fontId="0" fillId="0" borderId="0" xfId="1" applyNumberFormat="1" applyFont="1"/>
    <xf numFmtId="172" fontId="18" fillId="2" borderId="0" xfId="33" applyNumberFormat="1" applyFont="1" applyFill="1"/>
    <xf numFmtId="168" fontId="23" fillId="0" borderId="0" xfId="971" applyNumberFormat="1" applyFont="1" applyBorder="1" applyAlignment="1">
      <alignment horizontal="right" vertical="center"/>
    </xf>
    <xf numFmtId="4" fontId="23" fillId="0" borderId="0" xfId="971" applyNumberFormat="1" applyFont="1" applyBorder="1" applyAlignment="1">
      <alignment horizontal="right" vertical="center"/>
    </xf>
    <xf numFmtId="4" fontId="23" fillId="0" borderId="0" xfId="971" applyNumberFormat="1" applyFont="1" applyBorder="1" applyAlignment="1">
      <alignment horizontal="right"/>
    </xf>
    <xf numFmtId="0" fontId="18" fillId="0" borderId="0" xfId="971" applyFont="1" applyAlignment="1"/>
    <xf numFmtId="40" fontId="71" fillId="0" borderId="0" xfId="1" applyNumberFormat="1" applyFont="1" applyFill="1" applyBorder="1" applyAlignment="1">
      <alignment horizontal="center" vertical="top" wrapText="1"/>
    </xf>
    <xf numFmtId="179" fontId="23" fillId="0" borderId="0" xfId="33" applyNumberFormat="1" applyFont="1" applyBorder="1" applyAlignment="1">
      <alignment horizontal="center" vertical="center"/>
    </xf>
    <xf numFmtId="0" fontId="18" fillId="0" borderId="2" xfId="33" applyFont="1" applyBorder="1" applyAlignment="1">
      <alignment horizontal="center"/>
    </xf>
    <xf numFmtId="172" fontId="8" fillId="0" borderId="2" xfId="373" applyNumberFormat="1" applyFont="1" applyFill="1" applyBorder="1" applyAlignment="1">
      <alignment horizontal="left" vertical="top"/>
    </xf>
    <xf numFmtId="0" fontId="72" fillId="0" borderId="0" xfId="0" applyFont="1" applyAlignment="1">
      <alignment horizontal="center" vertical="center"/>
    </xf>
    <xf numFmtId="168" fontId="8" fillId="0" borderId="2" xfId="1" applyNumberFormat="1" applyFont="1" applyFill="1" applyBorder="1" applyAlignment="1">
      <alignment horizontal="right" vertical="top"/>
    </xf>
    <xf numFmtId="168" fontId="8" fillId="2" borderId="2" xfId="1" applyNumberFormat="1" applyFont="1" applyFill="1" applyBorder="1" applyAlignment="1">
      <alignment horizontal="right" vertical="top" wrapText="1"/>
    </xf>
    <xf numFmtId="0" fontId="18" fillId="0" borderId="2" xfId="33" applyFont="1" applyBorder="1" applyAlignment="1">
      <alignment horizontal="center"/>
    </xf>
    <xf numFmtId="0" fontId="74" fillId="0" borderId="0" xfId="972" applyFont="1" applyAlignment="1">
      <alignment horizontal="left"/>
    </xf>
    <xf numFmtId="0" fontId="74" fillId="0" borderId="0" xfId="972" applyFont="1"/>
    <xf numFmtId="0" fontId="8" fillId="0" borderId="0" xfId="1" applyFont="1"/>
    <xf numFmtId="0" fontId="8" fillId="0" borderId="2" xfId="1" applyFont="1" applyBorder="1" applyAlignment="1">
      <alignment horizontal="center" vertical="top" wrapText="1"/>
    </xf>
    <xf numFmtId="49" fontId="8" fillId="0" borderId="2" xfId="1" applyNumberFormat="1" applyFont="1" applyBorder="1" applyAlignment="1">
      <alignment horizontal="left" vertical="top" wrapText="1"/>
    </xf>
    <xf numFmtId="4" fontId="8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horizontal="right" vertical="top" wrapText="1"/>
    </xf>
    <xf numFmtId="0" fontId="9" fillId="0" borderId="0" xfId="1" applyFont="1"/>
    <xf numFmtId="0" fontId="8" fillId="0" borderId="2" xfId="1" applyFont="1" applyBorder="1" applyAlignment="1">
      <alignment horizontal="center" wrapText="1"/>
    </xf>
    <xf numFmtId="0" fontId="8" fillId="0" borderId="2" xfId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/>
    </xf>
    <xf numFmtId="168" fontId="5" fillId="0" borderId="0" xfId="1" applyNumberFormat="1" applyFont="1"/>
    <xf numFmtId="0" fontId="18" fillId="0" borderId="0" xfId="970" applyFont="1"/>
    <xf numFmtId="180" fontId="75" fillId="2" borderId="0" xfId="1" applyNumberFormat="1" applyFont="1" applyFill="1" applyBorder="1"/>
    <xf numFmtId="0" fontId="76" fillId="2" borderId="0" xfId="1" applyFont="1" applyFill="1" applyBorder="1"/>
    <xf numFmtId="0" fontId="75" fillId="2" borderId="0" xfId="1" applyFont="1" applyFill="1" applyBorder="1" applyAlignment="1">
      <alignment horizontal="right"/>
    </xf>
    <xf numFmtId="180" fontId="75" fillId="33" borderId="22" xfId="1" applyNumberFormat="1" applyFont="1" applyFill="1" applyBorder="1" applyAlignment="1">
      <alignment vertical="center"/>
    </xf>
    <xf numFmtId="0" fontId="76" fillId="0" borderId="4" xfId="1" applyFont="1" applyBorder="1" applyAlignment="1">
      <alignment horizontal="left" vertical="center" wrapText="1"/>
    </xf>
    <xf numFmtId="0" fontId="77" fillId="0" borderId="23" xfId="1" applyFont="1" applyBorder="1" applyAlignment="1">
      <alignment horizontal="left" vertical="center" wrapText="1"/>
    </xf>
    <xf numFmtId="180" fontId="75" fillId="33" borderId="22" xfId="1" applyNumberFormat="1" applyFont="1" applyFill="1" applyBorder="1" applyAlignment="1">
      <alignment horizontal="right" vertical="center"/>
    </xf>
    <xf numFmtId="49" fontId="29" fillId="34" borderId="2" xfId="1" applyNumberFormat="1" applyFont="1" applyFill="1" applyBorder="1" applyAlignment="1">
      <alignment horizontal="center" vertical="center" wrapText="1"/>
    </xf>
    <xf numFmtId="166" fontId="75" fillId="33" borderId="24" xfId="1" applyNumberFormat="1" applyFont="1" applyFill="1" applyBorder="1"/>
    <xf numFmtId="0" fontId="8" fillId="0" borderId="5" xfId="1" applyFont="1" applyBorder="1" applyAlignment="1"/>
    <xf numFmtId="0" fontId="8" fillId="0" borderId="4" xfId="1" applyFont="1" applyBorder="1" applyAlignment="1"/>
    <xf numFmtId="0" fontId="8" fillId="0" borderId="25" xfId="1" applyFont="1" applyBorder="1" applyAlignment="1"/>
    <xf numFmtId="0" fontId="8" fillId="0" borderId="26" xfId="1" applyFont="1" applyBorder="1"/>
    <xf numFmtId="0" fontId="76" fillId="0" borderId="27" xfId="1" applyFont="1" applyBorder="1"/>
    <xf numFmtId="0" fontId="29" fillId="0" borderId="0" xfId="1" applyFont="1"/>
    <xf numFmtId="0" fontId="29" fillId="0" borderId="28" xfId="1" applyFont="1" applyBorder="1" applyAlignment="1"/>
    <xf numFmtId="0" fontId="8" fillId="0" borderId="2" xfId="1" applyFont="1" applyBorder="1" applyAlignment="1"/>
    <xf numFmtId="0" fontId="8" fillId="0" borderId="23" xfId="1" applyFont="1" applyBorder="1" applyAlignment="1"/>
    <xf numFmtId="0" fontId="29" fillId="0" borderId="28" xfId="1" applyFont="1" applyBorder="1"/>
    <xf numFmtId="1" fontId="8" fillId="34" borderId="2" xfId="1" applyNumberFormat="1" applyFont="1" applyFill="1" applyBorder="1" applyAlignment="1"/>
    <xf numFmtId="0" fontId="8" fillId="0" borderId="29" xfId="1" applyFont="1" applyBorder="1"/>
    <xf numFmtId="2" fontId="8" fillId="35" borderId="2" xfId="1" applyNumberFormat="1" applyFont="1" applyFill="1" applyBorder="1" applyAlignment="1">
      <alignment horizontal="right" vertical="center"/>
    </xf>
    <xf numFmtId="0" fontId="8" fillId="0" borderId="27" xfId="1" applyFont="1" applyBorder="1"/>
    <xf numFmtId="0" fontId="29" fillId="0" borderId="22" xfId="1" applyFont="1" applyBorder="1"/>
    <xf numFmtId="172" fontId="8" fillId="34" borderId="2" xfId="1" applyNumberFormat="1" applyFont="1" applyFill="1" applyBorder="1"/>
    <xf numFmtId="0" fontId="8" fillId="0" borderId="2" xfId="1" applyFont="1" applyBorder="1"/>
    <xf numFmtId="2" fontId="8" fillId="0" borderId="2" xfId="1" applyNumberFormat="1" applyFont="1" applyBorder="1"/>
    <xf numFmtId="0" fontId="8" fillId="0" borderId="30" xfId="1" applyFont="1" applyBorder="1"/>
    <xf numFmtId="0" fontId="8" fillId="0" borderId="30" xfId="1" applyFont="1" applyFill="1" applyBorder="1"/>
    <xf numFmtId="0" fontId="29" fillId="0" borderId="31" xfId="1" applyFont="1" applyBorder="1"/>
    <xf numFmtId="0" fontId="29" fillId="0" borderId="8" xfId="1" applyFont="1" applyBorder="1" applyAlignment="1"/>
    <xf numFmtId="0" fontId="8" fillId="0" borderId="1" xfId="1" applyFont="1" applyBorder="1" applyAlignment="1"/>
    <xf numFmtId="0" fontId="8" fillId="0" borderId="8" xfId="1" applyFont="1" applyBorder="1"/>
    <xf numFmtId="0" fontId="9" fillId="32" borderId="27" xfId="1" applyFont="1" applyFill="1" applyBorder="1" applyAlignment="1">
      <alignment horizontal="center"/>
    </xf>
    <xf numFmtId="0" fontId="29" fillId="0" borderId="32" xfId="1" applyFont="1" applyBorder="1"/>
    <xf numFmtId="0" fontId="29" fillId="0" borderId="33" xfId="1" applyFont="1" applyFill="1" applyBorder="1" applyAlignment="1">
      <alignment horizontal="center" vertical="center"/>
    </xf>
    <xf numFmtId="0" fontId="78" fillId="0" borderId="34" xfId="1" applyFont="1" applyBorder="1" applyAlignment="1">
      <alignment horizontal="center" vertical="center" wrapText="1"/>
    </xf>
    <xf numFmtId="181" fontId="8" fillId="32" borderId="34" xfId="1" applyNumberFormat="1" applyFont="1" applyFill="1" applyBorder="1" applyAlignment="1">
      <alignment horizontal="center" vertical="center"/>
    </xf>
    <xf numFmtId="0" fontId="8" fillId="0" borderId="36" xfId="1" applyFont="1" applyBorder="1"/>
    <xf numFmtId="0" fontId="78" fillId="0" borderId="37" xfId="1" applyFont="1" applyBorder="1"/>
    <xf numFmtId="0" fontId="8" fillId="0" borderId="24" xfId="1" applyFont="1" applyBorder="1" applyAlignment="1">
      <alignment vertical="center"/>
    </xf>
    <xf numFmtId="0" fontId="29" fillId="0" borderId="29" xfId="1" applyFont="1" applyBorder="1"/>
    <xf numFmtId="0" fontId="29" fillId="0" borderId="38" xfId="1" applyFont="1" applyBorder="1"/>
    <xf numFmtId="0" fontId="8" fillId="0" borderId="1" xfId="1" applyFont="1" applyBorder="1"/>
    <xf numFmtId="0" fontId="8" fillId="0" borderId="39" xfId="1" applyFont="1" applyBorder="1"/>
    <xf numFmtId="1" fontId="8" fillId="36" borderId="29" xfId="1" applyNumberFormat="1" applyFont="1" applyFill="1" applyBorder="1"/>
    <xf numFmtId="181" fontId="8" fillId="36" borderId="29" xfId="1" applyNumberFormat="1" applyFont="1" applyFill="1" applyBorder="1"/>
    <xf numFmtId="49" fontId="8" fillId="0" borderId="29" xfId="1" applyNumberFormat="1" applyFont="1" applyBorder="1"/>
    <xf numFmtId="0" fontId="8" fillId="0" borderId="0" xfId="1" applyFont="1" applyAlignment="1">
      <alignment vertical="center"/>
    </xf>
    <xf numFmtId="0" fontId="8" fillId="35" borderId="2" xfId="1" applyFont="1" applyFill="1" applyBorder="1" applyAlignment="1">
      <alignment horizontal="right" vertical="center"/>
    </xf>
    <xf numFmtId="0" fontId="9" fillId="0" borderId="39" xfId="1" applyFont="1" applyFill="1" applyBorder="1" applyAlignment="1">
      <alignment horizontal="left" vertical="center"/>
    </xf>
    <xf numFmtId="0" fontId="9" fillId="0" borderId="27" xfId="1" applyFont="1" applyFill="1" applyBorder="1" applyAlignment="1">
      <alignment horizontal="center"/>
    </xf>
    <xf numFmtId="0" fontId="29" fillId="0" borderId="40" xfId="1" applyFont="1" applyBorder="1" applyAlignment="1">
      <alignment vertical="center"/>
    </xf>
    <xf numFmtId="0" fontId="29" fillId="34" borderId="33" xfId="1" applyFont="1" applyFill="1" applyBorder="1" applyAlignment="1">
      <alignment horizontal="center" vertical="center"/>
    </xf>
    <xf numFmtId="0" fontId="75" fillId="0" borderId="41" xfId="1" applyFont="1" applyBorder="1" applyAlignment="1">
      <alignment horizontal="centerContinuous" vertical="center" wrapText="1"/>
    </xf>
    <xf numFmtId="0" fontId="75" fillId="0" borderId="35" xfId="1" applyFont="1" applyFill="1" applyBorder="1" applyAlignment="1">
      <alignment horizontal="centerContinuous" vertical="center" wrapText="1"/>
    </xf>
    <xf numFmtId="166" fontId="75" fillId="33" borderId="42" xfId="1" applyNumberFormat="1" applyFont="1" applyFill="1" applyBorder="1"/>
    <xf numFmtId="0" fontId="8" fillId="0" borderId="43" xfId="1" applyFont="1" applyBorder="1" applyAlignment="1"/>
    <xf numFmtId="0" fontId="8" fillId="0" borderId="44" xfId="1" applyFont="1" applyBorder="1" applyAlignment="1"/>
    <xf numFmtId="0" fontId="78" fillId="0" borderId="45" xfId="1" applyFont="1" applyBorder="1" applyAlignment="1"/>
    <xf numFmtId="0" fontId="29" fillId="0" borderId="2" xfId="1" applyFont="1" applyBorder="1"/>
    <xf numFmtId="1" fontId="8" fillId="0" borderId="2" xfId="1" applyNumberFormat="1" applyFont="1" applyFill="1" applyBorder="1" applyAlignment="1"/>
    <xf numFmtId="178" fontId="8" fillId="0" borderId="29" xfId="1" applyNumberFormat="1" applyFont="1" applyBorder="1"/>
    <xf numFmtId="0" fontId="9" fillId="0" borderId="30" xfId="1" applyFont="1" applyBorder="1"/>
    <xf numFmtId="2" fontId="8" fillId="0" borderId="29" xfId="1" applyNumberFormat="1" applyFont="1" applyBorder="1"/>
    <xf numFmtId="182" fontId="8" fillId="34" borderId="2" xfId="1" applyNumberFormat="1" applyFont="1" applyFill="1" applyBorder="1"/>
    <xf numFmtId="183" fontId="8" fillId="0" borderId="2" xfId="1" applyNumberFormat="1" applyFont="1" applyBorder="1"/>
    <xf numFmtId="0" fontId="8" fillId="0" borderId="30" xfId="1" applyFont="1" applyFill="1" applyBorder="1" applyAlignment="1">
      <alignment horizontal="center"/>
    </xf>
    <xf numFmtId="0" fontId="29" fillId="0" borderId="8" xfId="1" applyFont="1" applyBorder="1"/>
    <xf numFmtId="0" fontId="8" fillId="0" borderId="27" xfId="1" applyFont="1" applyFill="1" applyBorder="1" applyAlignment="1">
      <alignment horizontal="center"/>
    </xf>
    <xf numFmtId="0" fontId="29" fillId="0" borderId="32" xfId="1" applyFont="1" applyBorder="1" applyAlignment="1">
      <alignment vertical="center"/>
    </xf>
    <xf numFmtId="172" fontId="8" fillId="32" borderId="34" xfId="1" applyNumberFormat="1" applyFont="1" applyFill="1" applyBorder="1" applyAlignment="1">
      <alignment horizontal="center" vertical="center"/>
    </xf>
    <xf numFmtId="49" fontId="75" fillId="0" borderId="33" xfId="1" applyNumberFormat="1" applyFont="1" applyBorder="1" applyAlignment="1">
      <alignment horizontal="centerContinuous" vertical="center" wrapText="1"/>
    </xf>
    <xf numFmtId="0" fontId="29" fillId="0" borderId="2" xfId="1" applyFont="1" applyBorder="1" applyAlignment="1">
      <alignment vertical="center"/>
    </xf>
    <xf numFmtId="0" fontId="78" fillId="0" borderId="2" xfId="1" applyFont="1" applyBorder="1" applyAlignment="1">
      <alignment vertical="center"/>
    </xf>
    <xf numFmtId="172" fontId="8" fillId="35" borderId="2" xfId="1" applyNumberFormat="1" applyFont="1" applyFill="1" applyBorder="1" applyAlignment="1">
      <alignment horizontal="right" vertical="center"/>
    </xf>
    <xf numFmtId="184" fontId="8" fillId="34" borderId="2" xfId="1" applyNumberFormat="1" applyFont="1" applyFill="1" applyBorder="1" applyAlignment="1"/>
    <xf numFmtId="2" fontId="8" fillId="0" borderId="2" xfId="1" applyNumberFormat="1" applyFont="1" applyBorder="1" applyAlignment="1"/>
    <xf numFmtId="0" fontId="8" fillId="0" borderId="2" xfId="1" applyFont="1" applyFill="1" applyBorder="1" applyAlignment="1">
      <alignment horizontal="right" vertical="center"/>
    </xf>
    <xf numFmtId="0" fontId="8" fillId="0" borderId="46" xfId="1" applyFont="1" applyBorder="1"/>
    <xf numFmtId="0" fontId="29" fillId="0" borderId="38" xfId="1" applyFont="1" applyBorder="1" applyAlignment="1"/>
    <xf numFmtId="0" fontId="8" fillId="0" borderId="8" xfId="1" applyFont="1" applyFill="1" applyBorder="1" applyAlignment="1">
      <alignment horizontal="right" vertical="center"/>
    </xf>
    <xf numFmtId="0" fontId="8" fillId="0" borderId="8" xfId="1" applyFont="1" applyBorder="1" applyAlignment="1"/>
    <xf numFmtId="0" fontId="75" fillId="0" borderId="27" xfId="1" applyFont="1" applyBorder="1" applyAlignment="1"/>
    <xf numFmtId="0" fontId="29" fillId="0" borderId="40" xfId="1" applyFont="1" applyFill="1" applyBorder="1" applyAlignment="1"/>
    <xf numFmtId="0" fontId="29" fillId="34" borderId="34" xfId="1" applyFont="1" applyFill="1" applyBorder="1" applyAlignment="1">
      <alignment horizontal="center" vertical="center"/>
    </xf>
    <xf numFmtId="0" fontId="78" fillId="0" borderId="41" xfId="1" applyFont="1" applyBorder="1" applyAlignment="1">
      <alignment horizontal="center" vertical="center"/>
    </xf>
    <xf numFmtId="181" fontId="77" fillId="0" borderId="34" xfId="1" applyNumberFormat="1" applyFont="1" applyBorder="1" applyAlignment="1">
      <alignment horizontal="center" vertical="center" wrapText="1"/>
    </xf>
    <xf numFmtId="0" fontId="18" fillId="2" borderId="0" xfId="970" applyFont="1" applyFill="1"/>
    <xf numFmtId="0" fontId="8" fillId="2" borderId="0" xfId="1" applyFont="1" applyFill="1" applyAlignment="1">
      <alignment vertical="center"/>
    </xf>
    <xf numFmtId="0" fontId="8" fillId="0" borderId="0" xfId="1" applyFont="1" applyAlignment="1"/>
    <xf numFmtId="0" fontId="1" fillId="0" borderId="0" xfId="970" applyFill="1"/>
    <xf numFmtId="0" fontId="79" fillId="0" borderId="47" xfId="1" applyFont="1" applyFill="1" applyBorder="1" applyAlignment="1"/>
    <xf numFmtId="0" fontId="80" fillId="0" borderId="47" xfId="1" applyFont="1" applyFill="1" applyBorder="1" applyAlignment="1"/>
    <xf numFmtId="0" fontId="5" fillId="0" borderId="47" xfId="1" applyFill="1" applyBorder="1"/>
    <xf numFmtId="0" fontId="18" fillId="0" borderId="0" xfId="970" applyFont="1" applyFill="1"/>
    <xf numFmtId="0" fontId="8" fillId="0" borderId="0" xfId="1" applyFont="1" applyFill="1" applyAlignment="1">
      <alignment vertical="center"/>
    </xf>
    <xf numFmtId="0" fontId="75" fillId="2" borderId="0" xfId="1" applyFont="1" applyFill="1" applyBorder="1" applyAlignment="1">
      <alignment vertical="center" wrapText="1"/>
    </xf>
    <xf numFmtId="0" fontId="26" fillId="0" borderId="0" xfId="970" applyFont="1"/>
    <xf numFmtId="0" fontId="29" fillId="2" borderId="0" xfId="1" applyFont="1" applyFill="1"/>
    <xf numFmtId="0" fontId="29" fillId="2" borderId="0" xfId="1" applyFont="1" applyFill="1" applyBorder="1" applyAlignment="1">
      <alignment vertical="top" wrapText="1"/>
    </xf>
    <xf numFmtId="0" fontId="75" fillId="2" borderId="0" xfId="1" applyFont="1" applyFill="1" applyBorder="1" applyAlignment="1"/>
    <xf numFmtId="0" fontId="26" fillId="0" borderId="0" xfId="970" applyFont="1" applyAlignment="1"/>
    <xf numFmtId="0" fontId="82" fillId="0" borderId="0" xfId="970" applyFont="1" applyAlignment="1"/>
    <xf numFmtId="0" fontId="26" fillId="37" borderId="2" xfId="970" applyFont="1" applyFill="1" applyBorder="1" applyAlignment="1">
      <alignment horizontal="center" vertical="center"/>
    </xf>
    <xf numFmtId="0" fontId="26" fillId="38" borderId="2" xfId="970" applyFont="1" applyFill="1" applyBorder="1" applyAlignment="1">
      <alignment horizontal="center" vertical="center"/>
    </xf>
    <xf numFmtId="0" fontId="26" fillId="39" borderId="2" xfId="970" applyFont="1" applyFill="1" applyBorder="1" applyAlignment="1">
      <alignment horizontal="center" vertical="center"/>
    </xf>
    <xf numFmtId="0" fontId="26" fillId="40" borderId="2" xfId="970" applyFont="1" applyFill="1" applyBorder="1" applyAlignment="1">
      <alignment horizontal="center" vertical="center"/>
    </xf>
    <xf numFmtId="0" fontId="26" fillId="0" borderId="0" xfId="970" applyFont="1" applyAlignment="1">
      <alignment horizontal="left"/>
    </xf>
    <xf numFmtId="0" fontId="26" fillId="41" borderId="2" xfId="970" applyFont="1" applyFill="1" applyBorder="1" applyAlignment="1">
      <alignment horizontal="center" vertical="center"/>
    </xf>
    <xf numFmtId="0" fontId="26" fillId="42" borderId="2" xfId="970" applyFont="1" applyFill="1" applyBorder="1" applyAlignment="1">
      <alignment horizontal="center" vertical="center"/>
    </xf>
    <xf numFmtId="0" fontId="26" fillId="0" borderId="0" xfId="970" applyFont="1" applyBorder="1" applyAlignment="1"/>
    <xf numFmtId="0" fontId="26" fillId="0" borderId="0" xfId="970" applyFont="1" applyBorder="1" applyAlignment="1">
      <alignment vertical="center"/>
    </xf>
    <xf numFmtId="0" fontId="26" fillId="0" borderId="2" xfId="970" applyFont="1" applyBorder="1" applyAlignment="1">
      <alignment horizontal="center" vertical="center"/>
    </xf>
    <xf numFmtId="0" fontId="26" fillId="0" borderId="2" xfId="970" applyFont="1" applyBorder="1" applyAlignment="1"/>
    <xf numFmtId="0" fontId="26" fillId="0" borderId="2" xfId="970" applyFont="1" applyBorder="1" applyAlignment="1">
      <alignment horizontal="left"/>
    </xf>
    <xf numFmtId="0" fontId="26" fillId="0" borderId="2" xfId="970" applyFont="1" applyBorder="1" applyAlignment="1">
      <alignment vertical="top"/>
    </xf>
    <xf numFmtId="0" fontId="26" fillId="0" borderId="2" xfId="970" applyFont="1" applyBorder="1" applyAlignment="1">
      <alignment horizontal="left" vertical="top"/>
    </xf>
    <xf numFmtId="0" fontId="26" fillId="0" borderId="8" xfId="970" applyFont="1" applyBorder="1" applyAlignment="1">
      <alignment horizontal="center" vertical="top"/>
    </xf>
    <xf numFmtId="0" fontId="26" fillId="0" borderId="8" xfId="970" applyFont="1" applyBorder="1" applyAlignment="1">
      <alignment horizontal="left" vertical="top" wrapText="1"/>
    </xf>
    <xf numFmtId="0" fontId="26" fillId="0" borderId="5" xfId="970" applyFont="1" applyBorder="1" applyAlignment="1">
      <alignment vertical="top"/>
    </xf>
    <xf numFmtId="0" fontId="26" fillId="0" borderId="5" xfId="970" applyFont="1" applyBorder="1" applyAlignment="1"/>
    <xf numFmtId="0" fontId="26" fillId="0" borderId="2" xfId="970" applyFont="1" applyBorder="1" applyAlignment="1">
      <alignment horizontal="center" vertical="top"/>
    </xf>
    <xf numFmtId="0" fontId="26" fillId="0" borderId="2" xfId="970" applyFont="1" applyBorder="1" applyAlignment="1">
      <alignment horizontal="center" wrapText="1"/>
    </xf>
    <xf numFmtId="0" fontId="26" fillId="0" borderId="4" xfId="970" applyFont="1" applyBorder="1" applyAlignment="1">
      <alignment horizontal="right" wrapText="1"/>
    </xf>
    <xf numFmtId="0" fontId="26" fillId="0" borderId="0" xfId="970" applyFont="1" applyAlignment="1">
      <alignment wrapText="1"/>
    </xf>
    <xf numFmtId="0" fontId="26" fillId="0" borderId="4" xfId="970" applyFont="1" applyBorder="1" applyAlignment="1">
      <alignment horizontal="right"/>
    </xf>
    <xf numFmtId="4" fontId="26" fillId="0" borderId="2" xfId="970" applyNumberFormat="1" applyFont="1" applyBorder="1" applyAlignment="1">
      <alignment horizontal="center" vertical="top"/>
    </xf>
    <xf numFmtId="0" fontId="26" fillId="0" borderId="2" xfId="970" applyFont="1" applyBorder="1" applyAlignment="1">
      <alignment horizontal="center"/>
    </xf>
    <xf numFmtId="4" fontId="83" fillId="0" borderId="2" xfId="970" applyNumberFormat="1" applyFont="1" applyBorder="1" applyAlignment="1">
      <alignment horizontal="center" vertical="top"/>
    </xf>
    <xf numFmtId="4" fontId="26" fillId="0" borderId="2" xfId="970" applyNumberFormat="1" applyFont="1" applyBorder="1" applyAlignment="1">
      <alignment horizontal="center" wrapText="1"/>
    </xf>
    <xf numFmtId="0" fontId="29" fillId="0" borderId="0" xfId="0" applyFont="1"/>
    <xf numFmtId="0" fontId="0" fillId="0" borderId="0" xfId="0" applyAlignment="1">
      <alignment wrapText="1"/>
    </xf>
    <xf numFmtId="0" fontId="80" fillId="0" borderId="0" xfId="0" applyFont="1" applyBorder="1" applyAlignment="1"/>
    <xf numFmtId="0" fontId="79" fillId="0" borderId="0" xfId="0" applyFont="1" applyBorder="1" applyAlignment="1"/>
    <xf numFmtId="0" fontId="80" fillId="0" borderId="0" xfId="0" applyFont="1" applyBorder="1" applyAlignment="1">
      <alignment horizontal="left"/>
    </xf>
    <xf numFmtId="0" fontId="0" fillId="0" borderId="0" xfId="0" applyBorder="1"/>
    <xf numFmtId="0" fontId="29" fillId="0" borderId="1" xfId="0" applyFont="1" applyBorder="1"/>
    <xf numFmtId="0" fontId="0" fillId="0" borderId="50" xfId="0" applyBorder="1"/>
    <xf numFmtId="0" fontId="29" fillId="0" borderId="2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/>
    <xf numFmtId="0" fontId="29" fillId="0" borderId="36" xfId="0" applyFont="1" applyBorder="1"/>
    <xf numFmtId="4" fontId="29" fillId="0" borderId="0" xfId="0" applyNumberFormat="1" applyFont="1"/>
    <xf numFmtId="4" fontId="29" fillId="0" borderId="36" xfId="0" applyNumberFormat="1" applyFont="1" applyBorder="1"/>
    <xf numFmtId="0" fontId="29" fillId="0" borderId="2" xfId="0" applyFont="1" applyBorder="1"/>
    <xf numFmtId="181" fontId="29" fillId="0" borderId="2" xfId="0" applyNumberFormat="1" applyFont="1" applyBorder="1"/>
    <xf numFmtId="0" fontId="29" fillId="0" borderId="8" xfId="0" applyFont="1" applyBorder="1"/>
    <xf numFmtId="0" fontId="29" fillId="0" borderId="51" xfId="0" applyFont="1" applyBorder="1"/>
    <xf numFmtId="0" fontId="29" fillId="0" borderId="29" xfId="0" applyFont="1" applyBorder="1"/>
    <xf numFmtId="4" fontId="29" fillId="0" borderId="1" xfId="0" applyNumberFormat="1" applyFont="1" applyBorder="1"/>
    <xf numFmtId="4" fontId="29" fillId="0" borderId="29" xfId="0" applyNumberFormat="1" applyFont="1" applyBorder="1"/>
    <xf numFmtId="0" fontId="29" fillId="0" borderId="0" xfId="0" applyFont="1" applyBorder="1"/>
    <xf numFmtId="0" fontId="29" fillId="0" borderId="4" xfId="0" applyFont="1" applyBorder="1"/>
    <xf numFmtId="0" fontId="29" fillId="0" borderId="5" xfId="0" applyFont="1" applyBorder="1"/>
    <xf numFmtId="4" fontId="29" fillId="0" borderId="0" xfId="0" applyNumberFormat="1" applyFont="1" applyBorder="1" applyAlignment="1">
      <alignment horizontal="center" vertical="center" wrapText="1"/>
    </xf>
    <xf numFmtId="4" fontId="29" fillId="0" borderId="36" xfId="0" applyNumberFormat="1" applyFont="1" applyBorder="1" applyAlignment="1">
      <alignment horizontal="center" vertical="center" wrapText="1"/>
    </xf>
    <xf numFmtId="0" fontId="29" fillId="0" borderId="48" xfId="0" applyFont="1" applyBorder="1"/>
    <xf numFmtId="4" fontId="29" fillId="0" borderId="1" xfId="0" applyNumberFormat="1" applyFont="1" applyBorder="1" applyAlignment="1">
      <alignment horizontal="center" vertical="center" wrapText="1"/>
    </xf>
    <xf numFmtId="4" fontId="29" fillId="0" borderId="29" xfId="0" applyNumberFormat="1" applyFont="1" applyBorder="1" applyAlignment="1">
      <alignment horizontal="center" vertical="center" wrapText="1"/>
    </xf>
    <xf numFmtId="0" fontId="29" fillId="0" borderId="37" xfId="0" applyFont="1" applyBorder="1"/>
    <xf numFmtId="0" fontId="29" fillId="0" borderId="7" xfId="0" applyFont="1" applyBorder="1"/>
    <xf numFmtId="0" fontId="29" fillId="0" borderId="50" xfId="0" applyFont="1" applyBorder="1"/>
    <xf numFmtId="4" fontId="29" fillId="0" borderId="50" xfId="0" applyNumberFormat="1" applyFont="1" applyBorder="1" applyAlignment="1">
      <alignment horizontal="center" vertical="center" wrapText="1"/>
    </xf>
    <xf numFmtId="0" fontId="0" fillId="0" borderId="36" xfId="0" applyBorder="1"/>
    <xf numFmtId="4" fontId="0" fillId="0" borderId="0" xfId="0" applyNumberFormat="1"/>
    <xf numFmtId="4" fontId="0" fillId="0" borderId="36" xfId="0" applyNumberFormat="1" applyBorder="1"/>
    <xf numFmtId="0" fontId="0" fillId="0" borderId="51" xfId="0" applyBorder="1"/>
    <xf numFmtId="0" fontId="0" fillId="0" borderId="1" xfId="0" applyBorder="1"/>
    <xf numFmtId="0" fontId="0" fillId="0" borderId="29" xfId="0" applyBorder="1"/>
    <xf numFmtId="4" fontId="0" fillId="0" borderId="29" xfId="0" applyNumberFormat="1" applyBorder="1"/>
    <xf numFmtId="0" fontId="29" fillId="0" borderId="0" xfId="0" applyFont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3" fillId="0" borderId="0" xfId="33" applyFont="1"/>
    <xf numFmtId="186" fontId="23" fillId="0" borderId="0" xfId="97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49" fontId="9" fillId="0" borderId="2" xfId="1" applyNumberFormat="1" applyFont="1" applyBorder="1" applyAlignment="1">
      <alignment horizontal="right" vertical="top" wrapText="1"/>
    </xf>
    <xf numFmtId="0" fontId="9" fillId="0" borderId="2" xfId="1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left" wrapText="1"/>
    </xf>
    <xf numFmtId="0" fontId="9" fillId="0" borderId="4" xfId="1" applyFont="1" applyBorder="1" applyAlignment="1">
      <alignment horizontal="left" wrapText="1"/>
    </xf>
    <xf numFmtId="0" fontId="9" fillId="0" borderId="5" xfId="1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right" vertical="top" wrapText="1"/>
    </xf>
    <xf numFmtId="0" fontId="8" fillId="0" borderId="2" xfId="0" applyFont="1" applyBorder="1" applyAlignment="1">
      <alignment vertical="top" wrapText="1"/>
    </xf>
    <xf numFmtId="0" fontId="22" fillId="0" borderId="0" xfId="33" applyFont="1" applyAlignment="1">
      <alignment vertical="top" wrapText="1"/>
    </xf>
    <xf numFmtId="0" fontId="18" fillId="0" borderId="2" xfId="33" applyFont="1" applyBorder="1" applyAlignment="1">
      <alignment horizontal="center"/>
    </xf>
    <xf numFmtId="0" fontId="23" fillId="0" borderId="3" xfId="33" applyFont="1" applyBorder="1" applyAlignment="1">
      <alignment horizontal="left" vertical="center" wrapText="1"/>
    </xf>
    <xf numFmtId="0" fontId="23" fillId="0" borderId="4" xfId="33" applyFont="1" applyBorder="1" applyAlignment="1">
      <alignment horizontal="left" vertical="center" wrapText="1"/>
    </xf>
    <xf numFmtId="0" fontId="23" fillId="0" borderId="5" xfId="33" applyFont="1" applyBorder="1" applyAlignment="1">
      <alignment horizontal="left" vertical="center" wrapText="1"/>
    </xf>
    <xf numFmtId="0" fontId="18" fillId="0" borderId="2" xfId="33" applyFont="1" applyBorder="1" applyAlignment="1">
      <alignment horizontal="center" vertical="center" wrapText="1"/>
    </xf>
    <xf numFmtId="0" fontId="4" fillId="0" borderId="2" xfId="33" applyBorder="1" applyAlignment="1">
      <alignment horizontal="center" vertical="center" wrapText="1"/>
    </xf>
    <xf numFmtId="0" fontId="20" fillId="0" borderId="2" xfId="33" applyFont="1" applyFill="1" applyBorder="1" applyAlignment="1">
      <alignment horizontal="center" vertical="center" wrapText="1"/>
    </xf>
    <xf numFmtId="0" fontId="24" fillId="0" borderId="2" xfId="33" applyFont="1" applyBorder="1" applyAlignment="1">
      <alignment horizontal="left" vertical="center" wrapText="1"/>
    </xf>
    <xf numFmtId="0" fontId="25" fillId="0" borderId="2" xfId="33" applyFont="1" applyBorder="1" applyAlignment="1">
      <alignment horizontal="left"/>
    </xf>
    <xf numFmtId="0" fontId="23" fillId="0" borderId="0" xfId="971" applyFont="1" applyBorder="1" applyAlignment="1">
      <alignment horizontal="right" wrapText="1"/>
    </xf>
    <xf numFmtId="0" fontId="28" fillId="0" borderId="0" xfId="33" applyFont="1" applyAlignment="1">
      <alignment horizontal="center" wrapText="1"/>
    </xf>
    <xf numFmtId="0" fontId="18" fillId="0" borderId="6" xfId="33" applyFont="1" applyBorder="1" applyAlignment="1">
      <alignment horizontal="center" vertical="center"/>
    </xf>
    <xf numFmtId="0" fontId="18" fillId="0" borderId="8" xfId="33" applyFont="1" applyBorder="1" applyAlignment="1">
      <alignment horizontal="center" vertical="center"/>
    </xf>
    <xf numFmtId="0" fontId="27" fillId="0" borderId="0" xfId="33" applyFont="1" applyAlignment="1">
      <alignment horizontal="left" wrapText="1"/>
    </xf>
    <xf numFmtId="0" fontId="73" fillId="0" borderId="0" xfId="972" applyFont="1" applyAlignment="1">
      <alignment horizontal="left"/>
    </xf>
    <xf numFmtId="0" fontId="83" fillId="0" borderId="3" xfId="970" applyFont="1" applyBorder="1" applyAlignment="1">
      <alignment horizontal="left"/>
    </xf>
    <xf numFmtId="0" fontId="83" fillId="0" borderId="4" xfId="970" applyFont="1" applyBorder="1" applyAlignment="1">
      <alignment horizontal="left"/>
    </xf>
    <xf numFmtId="0" fontId="83" fillId="0" borderId="5" xfId="970" applyFont="1" applyBorder="1" applyAlignment="1">
      <alignment horizontal="left"/>
    </xf>
    <xf numFmtId="0" fontId="26" fillId="0" borderId="48" xfId="970" applyFont="1" applyBorder="1" applyAlignment="1">
      <alignment horizontal="center" vertical="top"/>
    </xf>
    <xf numFmtId="0" fontId="26" fillId="0" borderId="7" xfId="970" applyFont="1" applyBorder="1" applyAlignment="1">
      <alignment horizontal="center" vertical="top"/>
    </xf>
    <xf numFmtId="0" fontId="26" fillId="0" borderId="8" xfId="970" applyFont="1" applyBorder="1" applyAlignment="1">
      <alignment horizontal="center" vertical="top"/>
    </xf>
    <xf numFmtId="0" fontId="26" fillId="0" borderId="49" xfId="970" applyFont="1" applyBorder="1" applyAlignment="1">
      <alignment horizontal="left" vertical="top" wrapText="1"/>
    </xf>
    <xf numFmtId="0" fontId="26" fillId="0" borderId="50" xfId="970" applyFont="1" applyBorder="1" applyAlignment="1">
      <alignment horizontal="left" vertical="top" wrapText="1"/>
    </xf>
    <xf numFmtId="0" fontId="26" fillId="0" borderId="51" xfId="970" applyFont="1" applyBorder="1" applyAlignment="1">
      <alignment horizontal="left" vertical="top" wrapText="1"/>
    </xf>
    <xf numFmtId="0" fontId="26" fillId="0" borderId="2" xfId="970" applyFont="1" applyBorder="1" applyAlignment="1">
      <alignment horizontal="center" vertical="top"/>
    </xf>
    <xf numFmtId="0" fontId="26" fillId="0" borderId="3" xfId="970" applyFont="1" applyBorder="1" applyAlignment="1">
      <alignment horizontal="left" vertical="top" wrapText="1"/>
    </xf>
    <xf numFmtId="0" fontId="26" fillId="0" borderId="4" xfId="970" applyFont="1" applyBorder="1" applyAlignment="1">
      <alignment horizontal="left" vertical="top" wrapText="1"/>
    </xf>
    <xf numFmtId="0" fontId="26" fillId="0" borderId="5" xfId="970" applyFont="1" applyBorder="1" applyAlignment="1">
      <alignment horizontal="left" vertical="top" wrapText="1"/>
    </xf>
    <xf numFmtId="0" fontId="26" fillId="0" borderId="3" xfId="970" applyFont="1" applyFill="1" applyBorder="1" applyAlignment="1">
      <alignment horizontal="left" wrapText="1"/>
    </xf>
    <xf numFmtId="0" fontId="26" fillId="0" borderId="4" xfId="970" applyFont="1" applyFill="1" applyBorder="1" applyAlignment="1">
      <alignment horizontal="left" wrapText="1"/>
    </xf>
    <xf numFmtId="0" fontId="26" fillId="0" borderId="4" xfId="970" applyFont="1" applyBorder="1" applyAlignment="1">
      <alignment horizontal="left" wrapText="1"/>
    </xf>
    <xf numFmtId="0" fontId="26" fillId="0" borderId="5" xfId="970" applyFont="1" applyBorder="1" applyAlignment="1">
      <alignment horizontal="left" wrapText="1"/>
    </xf>
    <xf numFmtId="0" fontId="26" fillId="0" borderId="3" xfId="970" applyFont="1" applyBorder="1" applyAlignment="1">
      <alignment horizontal="left"/>
    </xf>
    <xf numFmtId="0" fontId="26" fillId="0" borderId="4" xfId="970" applyFont="1" applyBorder="1" applyAlignment="1">
      <alignment horizontal="left"/>
    </xf>
    <xf numFmtId="0" fontId="26" fillId="0" borderId="5" xfId="970" applyFont="1" applyBorder="1" applyAlignment="1">
      <alignment horizontal="left"/>
    </xf>
    <xf numFmtId="0" fontId="26" fillId="0" borderId="2" xfId="970" applyFont="1" applyBorder="1" applyAlignment="1">
      <alignment horizontal="center" vertical="center"/>
    </xf>
    <xf numFmtId="0" fontId="26" fillId="0" borderId="48" xfId="970" applyFont="1" applyBorder="1" applyAlignment="1">
      <alignment horizontal="left" vertical="top" wrapText="1"/>
    </xf>
    <xf numFmtId="0" fontId="26" fillId="0" borderId="7" xfId="970" applyFont="1" applyBorder="1" applyAlignment="1">
      <alignment horizontal="left" vertical="top" wrapText="1"/>
    </xf>
    <xf numFmtId="0" fontId="26" fillId="0" borderId="8" xfId="970" applyFont="1" applyBorder="1" applyAlignment="1">
      <alignment horizontal="left" vertical="top" wrapText="1"/>
    </xf>
    <xf numFmtId="0" fontId="26" fillId="0" borderId="48" xfId="970" applyFont="1" applyBorder="1" applyAlignment="1">
      <alignment horizontal="center" vertical="center" wrapText="1"/>
    </xf>
    <xf numFmtId="0" fontId="26" fillId="0" borderId="8" xfId="970" applyFont="1" applyBorder="1" applyAlignment="1">
      <alignment horizontal="center" vertical="center" wrapText="1"/>
    </xf>
    <xf numFmtId="0" fontId="26" fillId="0" borderId="0" xfId="970" applyFont="1" applyAlignment="1">
      <alignment horizontal="center" wrapText="1"/>
    </xf>
    <xf numFmtId="0" fontId="26" fillId="0" borderId="0" xfId="970" applyFont="1" applyAlignment="1">
      <alignment horizontal="center"/>
    </xf>
    <xf numFmtId="0" fontId="26" fillId="0" borderId="0" xfId="970" applyFont="1" applyAlignment="1">
      <alignment horizontal="left"/>
    </xf>
    <xf numFmtId="0" fontId="76" fillId="0" borderId="49" xfId="0" applyFont="1" applyBorder="1" applyAlignment="1">
      <alignment horizontal="left" vertical="center" wrapText="1"/>
    </xf>
    <xf numFmtId="0" fontId="76" fillId="0" borderId="37" xfId="0" applyFont="1" applyBorder="1" applyAlignment="1">
      <alignment horizontal="left" vertical="center" wrapText="1"/>
    </xf>
    <xf numFmtId="0" fontId="76" fillId="0" borderId="52" xfId="0" applyFont="1" applyBorder="1" applyAlignment="1">
      <alignment horizontal="left" vertical="center" wrapText="1"/>
    </xf>
    <xf numFmtId="0" fontId="76" fillId="0" borderId="5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36" xfId="0" applyFont="1" applyBorder="1" applyAlignment="1">
      <alignment horizontal="left" vertical="center" wrapText="1"/>
    </xf>
    <xf numFmtId="0" fontId="76" fillId="0" borderId="51" xfId="0" applyFont="1" applyBorder="1" applyAlignment="1">
      <alignment horizontal="left" vertical="center" wrapText="1"/>
    </xf>
    <xf numFmtId="0" fontId="76" fillId="0" borderId="1" xfId="0" applyFont="1" applyBorder="1" applyAlignment="1">
      <alignment horizontal="left" vertical="center" wrapText="1"/>
    </xf>
    <xf numFmtId="0" fontId="76" fillId="0" borderId="29" xfId="0" applyFont="1" applyBorder="1" applyAlignment="1">
      <alignment horizontal="left" vertical="center" wrapText="1"/>
    </xf>
    <xf numFmtId="0" fontId="72" fillId="0" borderId="3" xfId="0" applyFont="1" applyBorder="1" applyAlignment="1">
      <alignment horizontal="left"/>
    </xf>
    <xf numFmtId="0" fontId="72" fillId="0" borderId="4" xfId="0" applyFont="1" applyBorder="1" applyAlignment="1">
      <alignment horizontal="left"/>
    </xf>
    <xf numFmtId="0" fontId="72" fillId="0" borderId="5" xfId="0" applyFont="1" applyBorder="1" applyAlignment="1">
      <alignment horizontal="left"/>
    </xf>
    <xf numFmtId="4" fontId="72" fillId="0" borderId="3" xfId="0" applyNumberFormat="1" applyFont="1" applyBorder="1" applyAlignment="1">
      <alignment horizontal="center"/>
    </xf>
    <xf numFmtId="4" fontId="72" fillId="0" borderId="5" xfId="0" applyNumberFormat="1" applyFont="1" applyBorder="1" applyAlignment="1">
      <alignment horizontal="center"/>
    </xf>
    <xf numFmtId="4" fontId="84" fillId="0" borderId="3" xfId="0" applyNumberFormat="1" applyFont="1" applyBorder="1" applyAlignment="1">
      <alignment horizontal="center"/>
    </xf>
    <xf numFmtId="4" fontId="84" fillId="0" borderId="5" xfId="0" applyNumberFormat="1" applyFont="1" applyBorder="1" applyAlignment="1">
      <alignment horizontal="center"/>
    </xf>
    <xf numFmtId="0" fontId="84" fillId="0" borderId="3" xfId="0" applyFont="1" applyBorder="1" applyAlignment="1">
      <alignment horizontal="left"/>
    </xf>
    <xf numFmtId="0" fontId="84" fillId="0" borderId="4" xfId="0" applyFont="1" applyBorder="1" applyAlignment="1">
      <alignment horizontal="left"/>
    </xf>
    <xf numFmtId="0" fontId="84" fillId="0" borderId="5" xfId="0" applyFont="1" applyBorder="1" applyAlignment="1">
      <alignment horizontal="left"/>
    </xf>
    <xf numFmtId="0" fontId="29" fillId="0" borderId="48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4" fontId="29" fillId="0" borderId="49" xfId="0" applyNumberFormat="1" applyFont="1" applyBorder="1" applyAlignment="1">
      <alignment horizontal="center" vertical="center" wrapText="1"/>
    </xf>
    <xf numFmtId="4" fontId="29" fillId="0" borderId="52" xfId="0" applyNumberFormat="1" applyFont="1" applyBorder="1" applyAlignment="1">
      <alignment horizontal="center" vertical="center" wrapText="1"/>
    </xf>
    <xf numFmtId="4" fontId="29" fillId="0" borderId="50" xfId="0" applyNumberFormat="1" applyFont="1" applyBorder="1" applyAlignment="1">
      <alignment horizontal="center" vertical="center" wrapText="1"/>
    </xf>
    <xf numFmtId="4" fontId="29" fillId="0" borderId="36" xfId="0" applyNumberFormat="1" applyFont="1" applyBorder="1" applyAlignment="1">
      <alignment horizontal="center" vertical="center" wrapText="1"/>
    </xf>
    <xf numFmtId="4" fontId="29" fillId="0" borderId="51" xfId="0" applyNumberFormat="1" applyFont="1" applyBorder="1" applyAlignment="1">
      <alignment horizontal="center" vertical="center" wrapText="1"/>
    </xf>
    <xf numFmtId="4" fontId="29" fillId="0" borderId="29" xfId="0" applyNumberFormat="1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4" fontId="29" fillId="0" borderId="50" xfId="0" applyNumberFormat="1" applyFont="1" applyBorder="1" applyAlignment="1">
      <alignment horizontal="center"/>
    </xf>
    <xf numFmtId="4" fontId="29" fillId="0" borderId="36" xfId="0" applyNumberFormat="1" applyFont="1" applyBorder="1" applyAlignment="1">
      <alignment horizontal="center"/>
    </xf>
    <xf numFmtId="0" fontId="29" fillId="0" borderId="48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4" fontId="29" fillId="0" borderId="49" xfId="0" applyNumberFormat="1" applyFont="1" applyBorder="1" applyAlignment="1">
      <alignment horizontal="center" vertical="center"/>
    </xf>
    <xf numFmtId="4" fontId="29" fillId="0" borderId="52" xfId="0" applyNumberFormat="1" applyFont="1" applyBorder="1" applyAlignment="1">
      <alignment horizontal="center" vertical="center"/>
    </xf>
    <xf numFmtId="4" fontId="29" fillId="0" borderId="51" xfId="0" applyNumberFormat="1" applyFont="1" applyBorder="1" applyAlignment="1">
      <alignment horizontal="center" vertical="center"/>
    </xf>
    <xf numFmtId="4" fontId="29" fillId="0" borderId="29" xfId="0" applyNumberFormat="1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left"/>
    </xf>
    <xf numFmtId="0" fontId="29" fillId="0" borderId="52" xfId="0" applyFont="1" applyBorder="1" applyAlignment="1">
      <alignment horizontal="left"/>
    </xf>
    <xf numFmtId="0" fontId="29" fillId="0" borderId="50" xfId="0" applyFont="1" applyBorder="1" applyAlignment="1">
      <alignment horizontal="left"/>
    </xf>
    <xf numFmtId="0" fontId="29" fillId="0" borderId="36" xfId="0" applyFont="1" applyBorder="1" applyAlignment="1">
      <alignment horizontal="left"/>
    </xf>
    <xf numFmtId="0" fontId="29" fillId="0" borderId="50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36" xfId="0" applyFont="1" applyBorder="1" applyAlignment="1">
      <alignment horizontal="center"/>
    </xf>
    <xf numFmtId="0" fontId="84" fillId="0" borderId="49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3" xfId="0" applyFont="1" applyBorder="1" applyAlignment="1">
      <alignment horizontal="left"/>
    </xf>
    <xf numFmtId="0" fontId="29" fillId="0" borderId="5" xfId="0" applyFont="1" applyBorder="1" applyAlignment="1">
      <alignment horizontal="left"/>
    </xf>
    <xf numFmtId="0" fontId="29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185" fontId="29" fillId="0" borderId="49" xfId="0" applyNumberFormat="1" applyFont="1" applyBorder="1" applyAlignment="1">
      <alignment horizontal="center" vertical="center"/>
    </xf>
    <xf numFmtId="185" fontId="29" fillId="0" borderId="37" xfId="0" applyNumberFormat="1" applyFont="1" applyBorder="1" applyAlignment="1">
      <alignment horizontal="center" vertical="center"/>
    </xf>
    <xf numFmtId="185" fontId="29" fillId="0" borderId="52" xfId="0" applyNumberFormat="1" applyFont="1" applyBorder="1" applyAlignment="1">
      <alignment horizontal="center" vertical="center"/>
    </xf>
    <xf numFmtId="185" fontId="29" fillId="0" borderId="50" xfId="0" applyNumberFormat="1" applyFont="1" applyBorder="1" applyAlignment="1">
      <alignment horizontal="center" vertical="center"/>
    </xf>
    <xf numFmtId="185" fontId="29" fillId="0" borderId="0" xfId="0" applyNumberFormat="1" applyFont="1" applyBorder="1" applyAlignment="1">
      <alignment horizontal="center" vertical="center"/>
    </xf>
    <xf numFmtId="185" fontId="29" fillId="0" borderId="36" xfId="0" applyNumberFormat="1" applyFont="1" applyBorder="1" applyAlignment="1">
      <alignment horizontal="center" vertical="center"/>
    </xf>
    <xf numFmtId="185" fontId="29" fillId="0" borderId="51" xfId="0" applyNumberFormat="1" applyFont="1" applyBorder="1" applyAlignment="1">
      <alignment horizontal="center" vertical="center"/>
    </xf>
    <xf numFmtId="185" fontId="29" fillId="0" borderId="1" xfId="0" applyNumberFormat="1" applyFont="1" applyBorder="1" applyAlignment="1">
      <alignment horizontal="center" vertical="center"/>
    </xf>
    <xf numFmtId="185" fontId="29" fillId="0" borderId="29" xfId="0" applyNumberFormat="1" applyFont="1" applyBorder="1" applyAlignment="1">
      <alignment horizontal="center" vertical="center"/>
    </xf>
    <xf numFmtId="4" fontId="84" fillId="0" borderId="3" xfId="0" applyNumberFormat="1" applyFont="1" applyBorder="1" applyAlignment="1">
      <alignment horizontal="center" vertical="center" wrapText="1"/>
    </xf>
    <xf numFmtId="4" fontId="84" fillId="0" borderId="5" xfId="0" applyNumberFormat="1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top" wrapText="1"/>
    </xf>
    <xf numFmtId="0" fontId="29" fillId="0" borderId="37" xfId="0" applyFont="1" applyBorder="1" applyAlignment="1">
      <alignment horizontal="center" vertical="top" wrapText="1"/>
    </xf>
    <xf numFmtId="0" fontId="29" fillId="0" borderId="52" xfId="0" applyFont="1" applyBorder="1" applyAlignment="1">
      <alignment horizontal="center" vertical="top" wrapText="1"/>
    </xf>
    <xf numFmtId="0" fontId="29" fillId="0" borderId="5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top" wrapText="1"/>
    </xf>
    <xf numFmtId="0" fontId="29" fillId="0" borderId="36" xfId="0" applyFont="1" applyBorder="1" applyAlignment="1">
      <alignment horizontal="center" vertical="top" wrapText="1"/>
    </xf>
    <xf numFmtId="0" fontId="29" fillId="0" borderId="5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29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0" xfId="0" applyFont="1" applyBorder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 shrinkToFit="1"/>
    </xf>
    <xf numFmtId="0" fontId="29" fillId="0" borderId="4" xfId="0" applyFont="1" applyBorder="1" applyAlignment="1">
      <alignment horizontal="center" vertical="center" wrapText="1" shrinkToFit="1"/>
    </xf>
    <xf numFmtId="0" fontId="29" fillId="0" borderId="5" xfId="0" applyFont="1" applyBorder="1" applyAlignment="1">
      <alignment horizontal="center" vertical="center" wrapText="1" shrinkToFit="1"/>
    </xf>
    <xf numFmtId="0" fontId="80" fillId="0" borderId="0" xfId="0" applyFont="1" applyAlignment="1">
      <alignment horizontal="left"/>
    </xf>
    <xf numFmtId="0" fontId="79" fillId="0" borderId="0" xfId="0" applyFont="1" applyAlignment="1">
      <alignment horizontal="left"/>
    </xf>
    <xf numFmtId="0" fontId="80" fillId="0" borderId="0" xfId="0" applyFont="1" applyBorder="1" applyAlignment="1">
      <alignment horizontal="left"/>
    </xf>
    <xf numFmtId="0" fontId="75" fillId="0" borderId="48" xfId="0" applyFont="1" applyBorder="1" applyAlignment="1">
      <alignment horizontal="center" vertical="center" wrapText="1"/>
    </xf>
    <xf numFmtId="0" fontId="75" fillId="0" borderId="7" xfId="0" applyFont="1" applyBorder="1" applyAlignment="1">
      <alignment horizontal="center" vertical="center" wrapText="1"/>
    </xf>
    <xf numFmtId="0" fontId="75" fillId="0" borderId="8" xfId="0" applyFont="1" applyBorder="1" applyAlignment="1">
      <alignment horizontal="center" vertical="center" wrapText="1"/>
    </xf>
    <xf numFmtId="0" fontId="75" fillId="0" borderId="49" xfId="0" applyFont="1" applyBorder="1" applyAlignment="1">
      <alignment horizontal="center" vertical="center" wrapText="1"/>
    </xf>
    <xf numFmtId="0" fontId="75" fillId="0" borderId="37" xfId="0" applyFont="1" applyBorder="1" applyAlignment="1">
      <alignment horizontal="center" vertical="center" wrapText="1"/>
    </xf>
    <xf numFmtId="0" fontId="75" fillId="0" borderId="52" xfId="0" applyFont="1" applyBorder="1" applyAlignment="1">
      <alignment horizontal="center" vertical="center" wrapText="1"/>
    </xf>
    <xf numFmtId="0" fontId="75" fillId="0" borderId="50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5" fillId="0" borderId="36" xfId="0" applyFont="1" applyBorder="1" applyAlignment="1">
      <alignment horizontal="center" vertical="center" wrapText="1"/>
    </xf>
    <xf numFmtId="0" fontId="75" fillId="0" borderId="5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29" xfId="0" applyFont="1" applyBorder="1" applyAlignment="1">
      <alignment horizontal="center" vertical="center" wrapText="1"/>
    </xf>
    <xf numFmtId="0" fontId="75" fillId="0" borderId="37" xfId="0" applyFont="1" applyBorder="1" applyAlignment="1">
      <alignment horizontal="center" vertical="center" wrapText="1" shrinkToFit="1"/>
    </xf>
    <xf numFmtId="0" fontId="75" fillId="0" borderId="52" xfId="0" applyFont="1" applyBorder="1" applyAlignment="1">
      <alignment horizontal="center" vertical="center" wrapText="1" shrinkToFit="1"/>
    </xf>
    <xf numFmtId="0" fontId="75" fillId="0" borderId="0" xfId="0" applyFont="1" applyBorder="1" applyAlignment="1">
      <alignment horizontal="center" vertical="center" wrapText="1" shrinkToFit="1"/>
    </xf>
    <xf numFmtId="0" fontId="75" fillId="0" borderId="36" xfId="0" applyFont="1" applyBorder="1" applyAlignment="1">
      <alignment horizontal="center" vertical="center" wrapText="1" shrinkToFit="1"/>
    </xf>
    <xf numFmtId="0" fontId="75" fillId="0" borderId="1" xfId="0" applyFont="1" applyBorder="1" applyAlignment="1">
      <alignment horizontal="center" vertical="center" wrapText="1" shrinkToFit="1"/>
    </xf>
    <xf numFmtId="0" fontId="75" fillId="0" borderId="29" xfId="0" applyFont="1" applyBorder="1" applyAlignment="1">
      <alignment horizontal="center" vertical="center" wrapText="1" shrinkToFit="1"/>
    </xf>
    <xf numFmtId="0" fontId="72" fillId="0" borderId="0" xfId="0" applyFont="1" applyBorder="1" applyAlignment="1">
      <alignment horizontal="center"/>
    </xf>
    <xf numFmtId="0" fontId="72" fillId="0" borderId="0" xfId="0" applyFont="1" applyAlignment="1">
      <alignment horizontal="center" wrapText="1"/>
    </xf>
    <xf numFmtId="0" fontId="76" fillId="0" borderId="23" xfId="1" applyFont="1" applyBorder="1" applyAlignment="1">
      <alignment horizontal="left" vertical="center" wrapText="1"/>
    </xf>
    <xf numFmtId="0" fontId="76" fillId="0" borderId="4" xfId="1" applyFont="1" applyBorder="1" applyAlignment="1">
      <alignment horizontal="left" vertical="center" wrapText="1"/>
    </xf>
    <xf numFmtId="49" fontId="75" fillId="0" borderId="35" xfId="1" applyNumberFormat="1" applyFont="1" applyFill="1" applyBorder="1" applyAlignment="1">
      <alignment horizontal="center" vertical="center" wrapText="1"/>
    </xf>
    <xf numFmtId="49" fontId="75" fillId="0" borderId="33" xfId="1" applyNumberFormat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75" fillId="0" borderId="35" xfId="1" applyFont="1" applyFill="1" applyBorder="1" applyAlignment="1">
      <alignment horizontal="center" vertical="center" wrapText="1"/>
    </xf>
    <xf numFmtId="0" fontId="75" fillId="0" borderId="33" xfId="1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49" fontId="8" fillId="2" borderId="23" xfId="1" applyNumberFormat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left" vertical="center" wrapText="1"/>
    </xf>
    <xf numFmtId="49" fontId="8" fillId="2" borderId="5" xfId="1" applyNumberFormat="1" applyFont="1" applyFill="1" applyBorder="1" applyAlignment="1">
      <alignment horizontal="left" vertical="center" wrapText="1"/>
    </xf>
    <xf numFmtId="181" fontId="8" fillId="2" borderId="3" xfId="1" applyNumberFormat="1" applyFont="1" applyFill="1" applyBorder="1" applyAlignment="1">
      <alignment horizontal="center" vertical="center" wrapText="1"/>
    </xf>
    <xf numFmtId="181" fontId="8" fillId="2" borderId="5" xfId="1" applyNumberFormat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left"/>
    </xf>
    <xf numFmtId="0" fontId="72" fillId="2" borderId="0" xfId="1" applyFont="1" applyFill="1" applyBorder="1" applyAlignment="1">
      <alignment horizontal="center"/>
    </xf>
    <xf numFmtId="0" fontId="75" fillId="2" borderId="0" xfId="1" applyFont="1" applyFill="1" applyBorder="1" applyAlignment="1">
      <alignment horizontal="left" vertical="center"/>
    </xf>
    <xf numFmtId="0" fontId="1" fillId="0" borderId="0" xfId="970" applyAlignment="1">
      <alignment horizontal="left"/>
    </xf>
    <xf numFmtId="0" fontId="75" fillId="2" borderId="0" xfId="1" applyFont="1" applyFill="1" applyBorder="1" applyAlignment="1">
      <alignment horizontal="center" vertical="center" wrapText="1"/>
    </xf>
    <xf numFmtId="0" fontId="75" fillId="2" borderId="0" xfId="1" applyFont="1" applyFill="1" applyBorder="1" applyAlignment="1">
      <alignment horizontal="center" vertical="top"/>
    </xf>
    <xf numFmtId="0" fontId="77" fillId="2" borderId="0" xfId="1" applyFont="1" applyFill="1" applyBorder="1" applyAlignment="1">
      <alignment horizontal="left" vertical="center" wrapText="1"/>
    </xf>
  </cellXfs>
  <cellStyles count="974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3" xfId="568"/>
    <cellStyle name="Обычный 3 2 4" xfId="569"/>
    <cellStyle name="Обычный 3 2 5" xfId="966"/>
    <cellStyle name="Обычный 3 3" xfId="19"/>
    <cellStyle name="Обычный 3 3 2" xfId="570"/>
    <cellStyle name="Обычный 3 3 3" xfId="571"/>
    <cellStyle name="Обычный 3 3 4" xfId="972"/>
    <cellStyle name="Обычный 3 4" xfId="20"/>
    <cellStyle name="Обычный 3 5" xfId="21"/>
    <cellStyle name="Обычный 3 5 2" xfId="22"/>
    <cellStyle name="Обычный 3 5 2 2" xfId="971"/>
    <cellStyle name="Обычный 3 6" xfId="16"/>
    <cellStyle name="Обычный 3 7" xfId="41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 4" xfId="973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43"/>
  <sheetViews>
    <sheetView showGridLines="0" tabSelected="1" view="pageBreakPreview" zoomScale="85" zoomScaleNormal="85" zoomScaleSheetLayoutView="85" workbookViewId="0">
      <selection activeCell="A45" sqref="A45:XFD52"/>
    </sheetView>
  </sheetViews>
  <sheetFormatPr defaultRowHeight="12.75" x14ac:dyDescent="0.2"/>
  <cols>
    <col min="1" max="1" width="5" style="1" customWidth="1"/>
    <col min="2" max="2" width="21.140625" style="2" customWidth="1"/>
    <col min="3" max="3" width="57.7109375" style="2" customWidth="1"/>
    <col min="4" max="4" width="13.85546875" style="5" customWidth="1"/>
    <col min="5" max="5" width="16.140625" style="5" customWidth="1"/>
    <col min="6" max="7" width="12.5703125" style="5" customWidth="1"/>
    <col min="8" max="8" width="13.42578125" style="5" customWidth="1"/>
    <col min="9" max="9" width="18.42578125" style="4" customWidth="1"/>
    <col min="10" max="10" width="16.140625" style="4" customWidth="1"/>
    <col min="11" max="13" width="9.140625" style="4" customWidth="1"/>
    <col min="14" max="14" width="12" style="4" bestFit="1" customWidth="1"/>
    <col min="15" max="16384" width="9.140625" style="4"/>
  </cols>
  <sheetData>
    <row r="1" spans="1:8" ht="18.75" x14ac:dyDescent="0.2">
      <c r="D1" s="56" t="s">
        <v>266</v>
      </c>
      <c r="F1" s="3"/>
      <c r="G1" s="3"/>
      <c r="H1" s="3"/>
    </row>
    <row r="2" spans="1:8" x14ac:dyDescent="0.2">
      <c r="D2" s="6"/>
      <c r="F2" s="3"/>
      <c r="G2" s="3"/>
      <c r="H2" s="3"/>
    </row>
    <row r="3" spans="1:8" ht="33.75" customHeight="1" x14ac:dyDescent="0.2">
      <c r="A3" s="256" t="s">
        <v>81</v>
      </c>
      <c r="B3" s="256"/>
      <c r="C3" s="256"/>
      <c r="D3" s="256"/>
      <c r="E3" s="256"/>
      <c r="F3" s="256"/>
      <c r="G3" s="256"/>
      <c r="H3" s="256"/>
    </row>
    <row r="4" spans="1:8" x14ac:dyDescent="0.2">
      <c r="D4" s="7" t="s">
        <v>0</v>
      </c>
      <c r="F4" s="3"/>
      <c r="G4" s="3"/>
      <c r="H4" s="3"/>
    </row>
    <row r="5" spans="1:8" x14ac:dyDescent="0.2">
      <c r="H5" s="3"/>
    </row>
    <row r="6" spans="1:8" x14ac:dyDescent="0.2">
      <c r="B6" s="2" t="s">
        <v>92</v>
      </c>
      <c r="D6" s="6"/>
      <c r="E6" s="3"/>
      <c r="F6" s="3"/>
      <c r="G6" s="3"/>
      <c r="H6" s="3"/>
    </row>
    <row r="7" spans="1:8" x14ac:dyDescent="0.2">
      <c r="D7" s="6"/>
      <c r="E7" s="3"/>
      <c r="F7" s="3"/>
      <c r="G7" s="3"/>
      <c r="H7" s="3"/>
    </row>
    <row r="8" spans="1:8" ht="12.75" customHeight="1" x14ac:dyDescent="0.2">
      <c r="A8" s="260" t="s">
        <v>1</v>
      </c>
      <c r="B8" s="261" t="s">
        <v>4</v>
      </c>
      <c r="C8" s="261" t="s">
        <v>5</v>
      </c>
      <c r="D8" s="262" t="s">
        <v>90</v>
      </c>
      <c r="E8" s="262"/>
      <c r="F8" s="262"/>
      <c r="G8" s="262"/>
      <c r="H8" s="260" t="s">
        <v>91</v>
      </c>
    </row>
    <row r="9" spans="1:8" x14ac:dyDescent="0.2">
      <c r="A9" s="260"/>
      <c r="B9" s="261"/>
      <c r="C9" s="261"/>
      <c r="D9" s="260" t="s">
        <v>24</v>
      </c>
      <c r="E9" s="260" t="s">
        <v>25</v>
      </c>
      <c r="F9" s="260" t="s">
        <v>2</v>
      </c>
      <c r="G9" s="260" t="s">
        <v>3</v>
      </c>
      <c r="H9" s="260"/>
    </row>
    <row r="10" spans="1:8" x14ac:dyDescent="0.2">
      <c r="A10" s="260"/>
      <c r="B10" s="261"/>
      <c r="C10" s="261"/>
      <c r="D10" s="260"/>
      <c r="E10" s="260"/>
      <c r="F10" s="260"/>
      <c r="G10" s="260"/>
      <c r="H10" s="260"/>
    </row>
    <row r="11" spans="1:8" x14ac:dyDescent="0.2">
      <c r="A11" s="260"/>
      <c r="B11" s="261"/>
      <c r="C11" s="261"/>
      <c r="D11" s="260"/>
      <c r="E11" s="260"/>
      <c r="F11" s="260"/>
      <c r="G11" s="260"/>
      <c r="H11" s="260"/>
    </row>
    <row r="12" spans="1:8" x14ac:dyDescent="0.2">
      <c r="A12" s="8">
        <v>1</v>
      </c>
      <c r="B12" s="9">
        <v>2</v>
      </c>
      <c r="C12" s="9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</row>
    <row r="13" spans="1:8" x14ac:dyDescent="0.2">
      <c r="A13" s="263" t="s">
        <v>6</v>
      </c>
      <c r="B13" s="264"/>
      <c r="C13" s="264"/>
      <c r="D13" s="264"/>
      <c r="E13" s="264"/>
      <c r="F13" s="264"/>
      <c r="G13" s="264"/>
      <c r="H13" s="264"/>
    </row>
    <row r="14" spans="1:8" x14ac:dyDescent="0.2">
      <c r="A14" s="10">
        <v>1</v>
      </c>
      <c r="B14" s="11" t="s">
        <v>65</v>
      </c>
      <c r="C14" s="11" t="s">
        <v>77</v>
      </c>
      <c r="D14" s="12"/>
      <c r="E14" s="70">
        <f>МРСК!H13</f>
        <v>14514234</v>
      </c>
      <c r="F14" s="13"/>
      <c r="G14" s="12"/>
      <c r="H14" s="13">
        <f>SUM(D14:G14)</f>
        <v>14514234</v>
      </c>
    </row>
    <row r="15" spans="1:8" x14ac:dyDescent="0.2">
      <c r="A15" s="10">
        <v>2</v>
      </c>
      <c r="B15" s="11" t="s">
        <v>65</v>
      </c>
      <c r="C15" s="11" t="s">
        <v>94</v>
      </c>
      <c r="D15" s="12"/>
      <c r="E15" s="70">
        <f>МРСК!H16</f>
        <v>1922784</v>
      </c>
      <c r="F15" s="13"/>
      <c r="G15" s="12"/>
      <c r="H15" s="13">
        <f t="shared" ref="H15" si="0">SUM(D15:G15)</f>
        <v>1922784</v>
      </c>
    </row>
    <row r="16" spans="1:8" x14ac:dyDescent="0.2">
      <c r="A16" s="14"/>
      <c r="B16" s="265" t="s">
        <v>7</v>
      </c>
      <c r="C16" s="266"/>
      <c r="D16" s="12"/>
      <c r="E16" s="71">
        <f>E14+E15</f>
        <v>16437018</v>
      </c>
      <c r="F16" s="71"/>
      <c r="G16" s="12"/>
      <c r="H16" s="13">
        <f>SUM(D16:G16)</f>
        <v>16437018</v>
      </c>
    </row>
    <row r="17" spans="1:8" x14ac:dyDescent="0.2">
      <c r="A17" s="263" t="s">
        <v>8</v>
      </c>
      <c r="B17" s="264"/>
      <c r="C17" s="264"/>
      <c r="D17" s="264"/>
      <c r="E17" s="264"/>
      <c r="F17" s="264"/>
      <c r="G17" s="264"/>
      <c r="H17" s="264"/>
    </row>
    <row r="18" spans="1:8" x14ac:dyDescent="0.2">
      <c r="A18" s="14"/>
      <c r="B18" s="265" t="s">
        <v>10</v>
      </c>
      <c r="C18" s="266"/>
      <c r="D18" s="12"/>
      <c r="E18" s="12"/>
      <c r="F18" s="12"/>
      <c r="G18" s="12"/>
      <c r="H18" s="12">
        <f>SUM(D18:G18)</f>
        <v>0</v>
      </c>
    </row>
    <row r="19" spans="1:8" x14ac:dyDescent="0.2">
      <c r="A19" s="263" t="s">
        <v>11</v>
      </c>
      <c r="B19" s="264"/>
      <c r="C19" s="264"/>
      <c r="D19" s="264"/>
      <c r="E19" s="264"/>
      <c r="F19" s="264"/>
      <c r="G19" s="264"/>
      <c r="H19" s="264"/>
    </row>
    <row r="20" spans="1:8" x14ac:dyDescent="0.2">
      <c r="A20" s="14"/>
      <c r="B20" s="265" t="s">
        <v>12</v>
      </c>
      <c r="C20" s="266"/>
      <c r="D20" s="12"/>
      <c r="E20" s="71">
        <f t="shared" ref="E20" si="1">E18+E16</f>
        <v>16437018</v>
      </c>
      <c r="F20" s="71"/>
      <c r="G20" s="71"/>
      <c r="H20" s="70">
        <f>SUM(D20:G20)</f>
        <v>16437018</v>
      </c>
    </row>
    <row r="21" spans="1:8" x14ac:dyDescent="0.2">
      <c r="A21" s="263" t="s">
        <v>13</v>
      </c>
      <c r="B21" s="264"/>
      <c r="C21" s="264"/>
      <c r="D21" s="264"/>
      <c r="E21" s="264"/>
      <c r="F21" s="264"/>
      <c r="G21" s="264"/>
      <c r="H21" s="264"/>
    </row>
    <row r="22" spans="1:8" x14ac:dyDescent="0.2">
      <c r="A22" s="14"/>
      <c r="B22" s="265" t="s">
        <v>14</v>
      </c>
      <c r="C22" s="266"/>
      <c r="D22" s="12"/>
      <c r="E22" s="71">
        <f t="shared" ref="E22" si="2">E20</f>
        <v>16437018</v>
      </c>
      <c r="F22" s="71"/>
      <c r="G22" s="71"/>
      <c r="H22" s="70">
        <f>SUM(D22:G22)</f>
        <v>16437018</v>
      </c>
    </row>
    <row r="23" spans="1:8" x14ac:dyDescent="0.2">
      <c r="A23" s="263" t="s">
        <v>15</v>
      </c>
      <c r="B23" s="264"/>
      <c r="C23" s="264"/>
      <c r="D23" s="264"/>
      <c r="E23" s="264"/>
      <c r="F23" s="264"/>
      <c r="G23" s="264"/>
      <c r="H23" s="264"/>
    </row>
    <row r="24" spans="1:8" ht="64.5" customHeight="1" x14ac:dyDescent="0.2">
      <c r="A24" s="10">
        <v>3</v>
      </c>
      <c r="B24" s="11" t="s">
        <v>65</v>
      </c>
      <c r="C24" s="11" t="s">
        <v>9</v>
      </c>
      <c r="D24" s="12"/>
      <c r="F24" s="71"/>
      <c r="G24" s="70">
        <f>(МРСК!K17-МРСК!M17-МРСК!N17)</f>
        <v>3404194</v>
      </c>
      <c r="H24" s="70">
        <f>G24</f>
        <v>3404194</v>
      </c>
    </row>
    <row r="25" spans="1:8" x14ac:dyDescent="0.2">
      <c r="A25" s="10">
        <v>4</v>
      </c>
      <c r="B25" s="11" t="s">
        <v>65</v>
      </c>
      <c r="C25" s="11" t="s">
        <v>93</v>
      </c>
      <c r="D25" s="12"/>
      <c r="E25" s="70"/>
      <c r="F25" s="71"/>
      <c r="G25" s="70">
        <f>МРСК!J17</f>
        <v>1432925</v>
      </c>
      <c r="H25" s="70">
        <f>SUM(D25:G25)</f>
        <v>1432925</v>
      </c>
    </row>
    <row r="26" spans="1:8" x14ac:dyDescent="0.2">
      <c r="A26" s="10">
        <v>5</v>
      </c>
      <c r="B26" s="11" t="s">
        <v>263</v>
      </c>
      <c r="C26" s="11" t="s">
        <v>257</v>
      </c>
      <c r="D26" s="71">
        <f>'1К'!K31</f>
        <v>18107</v>
      </c>
      <c r="E26" s="70">
        <v>0</v>
      </c>
      <c r="F26" s="71"/>
      <c r="G26" s="71"/>
      <c r="H26" s="70">
        <f>SUM(D26:G26)</f>
        <v>18107</v>
      </c>
    </row>
    <row r="27" spans="1:8" x14ac:dyDescent="0.2">
      <c r="A27" s="10">
        <v>6</v>
      </c>
      <c r="B27" s="11" t="s">
        <v>264</v>
      </c>
      <c r="C27" s="11" t="s">
        <v>259</v>
      </c>
      <c r="D27" s="71">
        <f>'2М'!L97</f>
        <v>21576</v>
      </c>
      <c r="E27" s="70">
        <v>0</v>
      </c>
      <c r="F27" s="71"/>
      <c r="G27" s="71"/>
      <c r="H27" s="70">
        <f>SUM(D27:G27)</f>
        <v>21576</v>
      </c>
    </row>
    <row r="28" spans="1:8" x14ac:dyDescent="0.2">
      <c r="A28" s="10">
        <v>7</v>
      </c>
      <c r="B28" s="11" t="s">
        <v>265</v>
      </c>
      <c r="C28" s="11" t="s">
        <v>258</v>
      </c>
      <c r="D28" s="71">
        <f>'3Т'!F50</f>
        <v>201373.03644624873</v>
      </c>
      <c r="E28" s="70">
        <v>0</v>
      </c>
      <c r="F28" s="71"/>
      <c r="G28" s="71"/>
      <c r="H28" s="70">
        <f>SUM(D28:G28)</f>
        <v>201373.03644624873</v>
      </c>
    </row>
    <row r="29" spans="1:8" x14ac:dyDescent="0.2">
      <c r="A29" s="14"/>
      <c r="B29" s="265" t="s">
        <v>16</v>
      </c>
      <c r="C29" s="266"/>
      <c r="D29" s="71">
        <f>D26+D27+D28+D25+D24</f>
        <v>241056.03644624873</v>
      </c>
      <c r="E29" s="71">
        <f t="shared" ref="E29:G29" si="3">E26+E27+E28+E25+E24</f>
        <v>0</v>
      </c>
      <c r="F29" s="71">
        <f t="shared" si="3"/>
        <v>0</v>
      </c>
      <c r="G29" s="71">
        <f t="shared" si="3"/>
        <v>4837119</v>
      </c>
      <c r="H29" s="70">
        <f t="shared" ref="H29" si="4">SUM(D29:G29)</f>
        <v>5078175.0364462491</v>
      </c>
    </row>
    <row r="30" spans="1:8" x14ac:dyDescent="0.2">
      <c r="A30" s="14"/>
      <c r="B30" s="265" t="s">
        <v>17</v>
      </c>
      <c r="C30" s="266"/>
      <c r="D30" s="71">
        <f>D29+D22</f>
        <v>241056.03644624873</v>
      </c>
      <c r="E30" s="71">
        <f t="shared" ref="E30:G30" si="5">E29+E22</f>
        <v>16437018</v>
      </c>
      <c r="F30" s="71">
        <f t="shared" si="5"/>
        <v>0</v>
      </c>
      <c r="G30" s="71">
        <f t="shared" si="5"/>
        <v>4837119</v>
      </c>
      <c r="H30" s="70">
        <f>SUM(D30:G30)</f>
        <v>21515193.036446251</v>
      </c>
    </row>
    <row r="31" spans="1:8" x14ac:dyDescent="0.2">
      <c r="A31" s="263" t="s">
        <v>18</v>
      </c>
      <c r="B31" s="264"/>
      <c r="C31" s="264"/>
      <c r="D31" s="264"/>
      <c r="E31" s="264"/>
      <c r="F31" s="264"/>
      <c r="G31" s="264"/>
      <c r="H31" s="264"/>
    </row>
    <row r="32" spans="1:8" hidden="1" x14ac:dyDescent="0.2">
      <c r="A32" s="10">
        <v>6</v>
      </c>
      <c r="B32" s="11" t="s">
        <v>65</v>
      </c>
      <c r="C32" s="11" t="s">
        <v>19</v>
      </c>
      <c r="D32" s="12"/>
      <c r="E32" s="12"/>
      <c r="F32" s="12"/>
      <c r="G32" s="13">
        <v>0</v>
      </c>
      <c r="H32" s="13">
        <f>SUM(D32:G32)</f>
        <v>0</v>
      </c>
    </row>
    <row r="33" spans="1:15" x14ac:dyDescent="0.2">
      <c r="A33" s="14"/>
      <c r="B33" s="265" t="s">
        <v>20</v>
      </c>
      <c r="C33" s="266"/>
      <c r="D33" s="12"/>
      <c r="E33" s="12"/>
      <c r="F33" s="12"/>
      <c r="G33" s="12"/>
      <c r="H33" s="13"/>
    </row>
    <row r="34" spans="1:15" x14ac:dyDescent="0.2">
      <c r="A34" s="263" t="s">
        <v>21</v>
      </c>
      <c r="B34" s="264"/>
      <c r="C34" s="264"/>
      <c r="D34" s="264"/>
      <c r="E34" s="264"/>
      <c r="F34" s="264"/>
      <c r="G34" s="264"/>
      <c r="H34" s="264"/>
    </row>
    <row r="35" spans="1:15" x14ac:dyDescent="0.2">
      <c r="A35" s="10">
        <v>8</v>
      </c>
      <c r="B35" s="11" t="s">
        <v>66</v>
      </c>
      <c r="C35" s="11" t="s">
        <v>26</v>
      </c>
      <c r="D35" s="70">
        <f>МРСК!M17</f>
        <v>1774818</v>
      </c>
      <c r="E35" s="71"/>
      <c r="F35" s="71"/>
      <c r="G35" s="71"/>
      <c r="H35" s="70">
        <f>SUM(D35:G35)</f>
        <v>1774818</v>
      </c>
    </row>
    <row r="36" spans="1:15" ht="27.95" customHeight="1" x14ac:dyDescent="0.2">
      <c r="A36" s="14"/>
      <c r="B36" s="265" t="s">
        <v>22</v>
      </c>
      <c r="C36" s="266"/>
      <c r="D36" s="70">
        <f>D35</f>
        <v>1774818</v>
      </c>
      <c r="E36" s="70"/>
      <c r="F36" s="70"/>
      <c r="G36" s="70"/>
      <c r="H36" s="70">
        <f t="shared" ref="H36" si="6">SUM(D36:G36)</f>
        <v>1774818</v>
      </c>
    </row>
    <row r="37" spans="1:15" x14ac:dyDescent="0.2">
      <c r="A37" s="14"/>
      <c r="B37" s="265" t="s">
        <v>23</v>
      </c>
      <c r="C37" s="266"/>
      <c r="D37" s="70">
        <f>D36+D33+D30</f>
        <v>2015874.0364462486</v>
      </c>
      <c r="E37" s="70">
        <f t="shared" ref="E37" si="7">E36+E33+E30</f>
        <v>16437018</v>
      </c>
      <c r="F37" s="70">
        <f t="shared" ref="F37" si="8">F36+F33+F30</f>
        <v>0</v>
      </c>
      <c r="G37" s="70">
        <f t="shared" ref="G37" si="9">G36+G33+G30</f>
        <v>4837119</v>
      </c>
      <c r="H37" s="70">
        <f>SUM(D37:G37)</f>
        <v>23290011.036446247</v>
      </c>
    </row>
    <row r="38" spans="1:15" ht="12.75" customHeight="1" x14ac:dyDescent="0.2">
      <c r="A38" s="257" t="s">
        <v>89</v>
      </c>
      <c r="B38" s="258"/>
      <c r="C38" s="258"/>
      <c r="D38" s="258"/>
      <c r="E38" s="258"/>
      <c r="F38" s="258"/>
      <c r="G38" s="258"/>
      <c r="H38" s="259"/>
      <c r="I38" s="39"/>
    </row>
    <row r="39" spans="1:15" s="44" customFormat="1" x14ac:dyDescent="0.2">
      <c r="A39" s="68">
        <v>9</v>
      </c>
      <c r="B39" s="15">
        <v>2021</v>
      </c>
      <c r="C39" s="55">
        <v>1.0509999999999999</v>
      </c>
      <c r="D39" s="57">
        <f>ROUND(D37*$C$39,0)</f>
        <v>2118684</v>
      </c>
      <c r="E39" s="57">
        <f t="shared" ref="E39:G39" si="10">ROUND(E37*$C$39,0)</f>
        <v>17275306</v>
      </c>
      <c r="F39" s="57">
        <f t="shared" si="10"/>
        <v>0</v>
      </c>
      <c r="G39" s="57">
        <f t="shared" si="10"/>
        <v>5083812</v>
      </c>
      <c r="H39" s="58">
        <f>D39+E39+F39+G39</f>
        <v>24477802</v>
      </c>
      <c r="I39" s="43">
        <v>52453132.420000002</v>
      </c>
      <c r="J39" s="72">
        <f>I39-H39</f>
        <v>27975330.420000002</v>
      </c>
      <c r="O39" s="46"/>
    </row>
    <row r="40" spans="1:15" s="62" customFormat="1" ht="12.75" customHeight="1" x14ac:dyDescent="0.2">
      <c r="A40" s="252" t="s">
        <v>84</v>
      </c>
      <c r="B40" s="253"/>
      <c r="C40" s="253"/>
      <c r="D40" s="253"/>
      <c r="E40" s="253"/>
      <c r="F40" s="253"/>
      <c r="G40" s="253"/>
      <c r="H40" s="253"/>
    </row>
    <row r="41" spans="1:15" s="62" customFormat="1" ht="25.5" x14ac:dyDescent="0.2">
      <c r="A41" s="63">
        <v>10</v>
      </c>
      <c r="B41" s="64" t="s">
        <v>85</v>
      </c>
      <c r="C41" s="64" t="s">
        <v>86</v>
      </c>
      <c r="D41" s="65">
        <f>ROUND(D39*0.2,2)</f>
        <v>423736.8</v>
      </c>
      <c r="E41" s="65">
        <f>ROUND(E39*0.2,2)</f>
        <v>3455061.2</v>
      </c>
      <c r="F41" s="65">
        <f t="shared" ref="F41:G41" si="11">ROUND(F39*0.2,2)</f>
        <v>0</v>
      </c>
      <c r="G41" s="65">
        <f t="shared" si="11"/>
        <v>1016762.4</v>
      </c>
      <c r="H41" s="65">
        <f>D41+E41+F41+G41</f>
        <v>4895560.4000000004</v>
      </c>
    </row>
    <row r="42" spans="1:15" s="67" customFormat="1" ht="12.75" customHeight="1" x14ac:dyDescent="0.2">
      <c r="A42" s="69"/>
      <c r="B42" s="254" t="s">
        <v>87</v>
      </c>
      <c r="C42" s="255"/>
      <c r="D42" s="66">
        <f>D41</f>
        <v>423736.8</v>
      </c>
      <c r="E42" s="66">
        <f t="shared" ref="E42" si="12">E41</f>
        <v>3455061.2</v>
      </c>
      <c r="F42" s="66">
        <f t="shared" ref="F42:G42" si="13">F41</f>
        <v>0</v>
      </c>
      <c r="G42" s="66">
        <f t="shared" si="13"/>
        <v>1016762.4</v>
      </c>
      <c r="H42" s="66">
        <f>D42+E42+F42+G42</f>
        <v>4895560.4000000004</v>
      </c>
    </row>
    <row r="43" spans="1:15" s="67" customFormat="1" ht="12.75" customHeight="1" x14ac:dyDescent="0.2">
      <c r="A43" s="69"/>
      <c r="B43" s="254" t="s">
        <v>88</v>
      </c>
      <c r="C43" s="255"/>
      <c r="D43" s="66">
        <f>D42+D39</f>
        <v>2542420.7999999998</v>
      </c>
      <c r="E43" s="66">
        <f t="shared" ref="E43" si="14">E42+E39</f>
        <v>20730367.199999999</v>
      </c>
      <c r="F43" s="66">
        <f t="shared" ref="F43:G43" si="15">F42+F39</f>
        <v>0</v>
      </c>
      <c r="G43" s="66">
        <f t="shared" si="15"/>
        <v>6100574.4000000004</v>
      </c>
      <c r="H43" s="66">
        <f>D43+E43+F43+G43</f>
        <v>29373362.399999999</v>
      </c>
    </row>
  </sheetData>
  <mergeCells count="30">
    <mergeCell ref="A17:H17"/>
    <mergeCell ref="B18:C18"/>
    <mergeCell ref="A19:H19"/>
    <mergeCell ref="B30:C30"/>
    <mergeCell ref="B37:C37"/>
    <mergeCell ref="B20:C20"/>
    <mergeCell ref="A21:H21"/>
    <mergeCell ref="B22:C22"/>
    <mergeCell ref="A23:H23"/>
    <mergeCell ref="B29:C29"/>
    <mergeCell ref="B33:C33"/>
    <mergeCell ref="A34:H34"/>
    <mergeCell ref="B36:C36"/>
    <mergeCell ref="A31:H31"/>
    <mergeCell ref="A40:H40"/>
    <mergeCell ref="B42:C42"/>
    <mergeCell ref="B43:C43"/>
    <mergeCell ref="A3:H3"/>
    <mergeCell ref="A38:H38"/>
    <mergeCell ref="H8:H11"/>
    <mergeCell ref="A8:A11"/>
    <mergeCell ref="B8:B11"/>
    <mergeCell ref="C8:C11"/>
    <mergeCell ref="D9:D11"/>
    <mergeCell ref="D8:G8"/>
    <mergeCell ref="E9:E11"/>
    <mergeCell ref="F9:F11"/>
    <mergeCell ref="G9:G11"/>
    <mergeCell ref="A13:H13"/>
    <mergeCell ref="B16:C16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8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view="pageBreakPreview" topLeftCell="A16" zoomScaleNormal="100" zoomScaleSheetLayoutView="100" workbookViewId="0">
      <selection activeCell="A46" sqref="A46:XFD52"/>
    </sheetView>
  </sheetViews>
  <sheetFormatPr defaultRowHeight="12.75" x14ac:dyDescent="0.2"/>
  <cols>
    <col min="1" max="1" width="3.85546875" style="16" customWidth="1"/>
    <col min="2" max="2" width="34.42578125" style="16" customWidth="1"/>
    <col min="3" max="3" width="12.7109375" style="16" customWidth="1"/>
    <col min="4" max="4" width="11" style="16" customWidth="1"/>
    <col min="5" max="5" width="7.85546875" style="16" customWidth="1"/>
    <col min="6" max="6" width="16.28515625" style="16" customWidth="1"/>
    <col min="7" max="7" width="13.42578125" style="16" customWidth="1"/>
    <col min="8" max="12" width="15.7109375" style="16" customWidth="1"/>
    <col min="13" max="14" width="12.85546875" style="16" customWidth="1"/>
    <col min="15" max="16384" width="9.140625" style="16"/>
  </cols>
  <sheetData>
    <row r="1" spans="1:14" ht="18.75" x14ac:dyDescent="0.3">
      <c r="A1" s="278" t="s">
        <v>54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14" x14ac:dyDescent="0.2">
      <c r="G2" s="37"/>
    </row>
    <row r="3" spans="1:14" ht="22.5" customHeight="1" x14ac:dyDescent="0.25">
      <c r="A3" s="281" t="s">
        <v>53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4" s="61" customFormat="1" ht="15" x14ac:dyDescent="0.25">
      <c r="A4" s="282" t="s">
        <v>82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60"/>
    </row>
    <row r="5" spans="1:14" ht="15.7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s="33" customFormat="1" ht="15.75" x14ac:dyDescent="0.25">
      <c r="A6" s="36"/>
      <c r="B6" s="35" t="str">
        <f>Т!A3</f>
        <v>Строительство двух ЛЭП 6 кВ от линейных ячеек № 6 и № 18 ПС Садовая. Строительство РП на границе ЗУ заявителя ССК Звезда ООО.</v>
      </c>
      <c r="C6" s="35"/>
      <c r="D6" s="34"/>
      <c r="E6" s="34"/>
      <c r="F6" s="34"/>
      <c r="G6" s="34"/>
      <c r="I6" s="47"/>
      <c r="J6" s="45"/>
      <c r="K6" s="45"/>
    </row>
    <row r="8" spans="1:14" x14ac:dyDescent="0.2">
      <c r="A8" s="272" t="s">
        <v>52</v>
      </c>
      <c r="B8" s="272" t="s">
        <v>51</v>
      </c>
      <c r="C8" s="272" t="s">
        <v>50</v>
      </c>
      <c r="D8" s="272" t="s">
        <v>49</v>
      </c>
      <c r="E8" s="272" t="s">
        <v>48</v>
      </c>
      <c r="F8" s="274" t="s">
        <v>47</v>
      </c>
      <c r="G8" s="272" t="s">
        <v>46</v>
      </c>
      <c r="H8" s="272" t="s">
        <v>83</v>
      </c>
      <c r="I8" s="272"/>
      <c r="J8" s="272"/>
      <c r="K8" s="272"/>
      <c r="L8" s="279" t="s">
        <v>45</v>
      </c>
      <c r="M8" s="268" t="s">
        <v>44</v>
      </c>
      <c r="N8" s="268"/>
    </row>
    <row r="9" spans="1:14" ht="63.75" x14ac:dyDescent="0.2">
      <c r="A9" s="272"/>
      <c r="B9" s="272"/>
      <c r="C9" s="272"/>
      <c r="D9" s="273"/>
      <c r="E9" s="272"/>
      <c r="F9" s="274"/>
      <c r="G9" s="273"/>
      <c r="H9" s="32" t="s">
        <v>43</v>
      </c>
      <c r="I9" s="32" t="s">
        <v>42</v>
      </c>
      <c r="J9" s="32" t="s">
        <v>41</v>
      </c>
      <c r="K9" s="32" t="s">
        <v>40</v>
      </c>
      <c r="L9" s="280"/>
      <c r="M9" s="31" t="s">
        <v>24</v>
      </c>
      <c r="N9" s="31" t="s">
        <v>39</v>
      </c>
    </row>
    <row r="10" spans="1:14" x14ac:dyDescent="0.2">
      <c r="A10" s="276" t="s">
        <v>60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</row>
    <row r="11" spans="1:14" ht="25.5" x14ac:dyDescent="0.2">
      <c r="A11" s="41">
        <v>1</v>
      </c>
      <c r="B11" s="30" t="s">
        <v>80</v>
      </c>
      <c r="C11" s="29" t="s">
        <v>57</v>
      </c>
      <c r="D11" s="42">
        <v>451.6</v>
      </c>
      <c r="E11" s="28">
        <f>1.6*2</f>
        <v>3.2</v>
      </c>
      <c r="F11" s="28">
        <f>ROUND(((1.5+1.5+7.5+2.6+3+1.5)/100+1)*1.022,3)</f>
        <v>1.202</v>
      </c>
      <c r="G11" s="27">
        <f>ROUND((D11*E11*F11),2)</f>
        <v>1737.03</v>
      </c>
      <c r="H11" s="27">
        <f>ROUND((0.825*G11)*1.09*$H$19*7.74,3)*1000</f>
        <v>12090068</v>
      </c>
      <c r="I11" s="27">
        <f>ROUND((0*G11)*1.09*$H$19*5.27,3)*1000</f>
        <v>0</v>
      </c>
      <c r="J11" s="27">
        <f>ROUND((0.5/100*G11)*1.09*$H$19*27.94,3)*1000</f>
        <v>264503</v>
      </c>
      <c r="K11" s="27">
        <f>ROUND((0.17*G11)*1.09*$H$19*10.42,3)*1000</f>
        <v>3353903</v>
      </c>
      <c r="L11" s="27">
        <f t="shared" ref="L11" si="0">SUM(H11:K11)</f>
        <v>15708474</v>
      </c>
      <c r="M11" s="27">
        <f>ROUND((L11*0.075),0)</f>
        <v>1178136</v>
      </c>
      <c r="N11" s="27">
        <f>ROUND((L11*0.026),0)</f>
        <v>408420</v>
      </c>
    </row>
    <row r="12" spans="1:14" ht="25.5" x14ac:dyDescent="0.2">
      <c r="A12" s="59">
        <v>2</v>
      </c>
      <c r="B12" s="30" t="s">
        <v>79</v>
      </c>
      <c r="C12" s="29" t="s">
        <v>78</v>
      </c>
      <c r="D12" s="42">
        <v>18.11</v>
      </c>
      <c r="E12" s="28">
        <f>1600/100</f>
        <v>16</v>
      </c>
      <c r="F12" s="28">
        <f>ROUND(((1.5+1.5+7.5+2.6+3+1.5)/100+1)*1.022,3)</f>
        <v>1.202</v>
      </c>
      <c r="G12" s="27">
        <f>ROUND((D12*E12*F12),2)</f>
        <v>348.29</v>
      </c>
      <c r="H12" s="27">
        <f>ROUND((0.825*G12)*1.09*$H$19*7.74,3)*1000</f>
        <v>2424166</v>
      </c>
      <c r="I12" s="27">
        <f>ROUND((0*G12)*1.09*$H$19*5.27,3)*1000</f>
        <v>0</v>
      </c>
      <c r="J12" s="27">
        <f>ROUND((0.5/100*G12)*1.09*$H$19*27.94,3)*1000</f>
        <v>53035</v>
      </c>
      <c r="K12" s="27">
        <f>ROUND((0.17*G12)*1.09*$H$19*10.42,3)*1000</f>
        <v>672487</v>
      </c>
      <c r="L12" s="27">
        <f t="shared" ref="L12" si="1">SUM(H12:K12)</f>
        <v>3149688</v>
      </c>
      <c r="M12" s="27">
        <f>ROUND((L12*0.075),0)</f>
        <v>236227</v>
      </c>
      <c r="N12" s="27">
        <f>ROUND((L12*0.026),0)</f>
        <v>81892</v>
      </c>
    </row>
    <row r="13" spans="1:14" ht="13.5" x14ac:dyDescent="0.2">
      <c r="A13" s="275" t="s">
        <v>55</v>
      </c>
      <c r="B13" s="275"/>
      <c r="C13" s="275"/>
      <c r="D13" s="275"/>
      <c r="E13" s="275"/>
      <c r="F13" s="275"/>
      <c r="G13" s="275"/>
      <c r="H13" s="27">
        <f>SUM(H11:H12)</f>
        <v>14514234</v>
      </c>
      <c r="I13" s="27">
        <f t="shared" ref="I13" si="2">SUM(I11:I12)</f>
        <v>0</v>
      </c>
      <c r="J13" s="27">
        <f>SUM(J11:J12)</f>
        <v>317538</v>
      </c>
      <c r="K13" s="27">
        <f>SUM(K11:K12)</f>
        <v>4026390</v>
      </c>
      <c r="L13" s="27">
        <f>SUM(H13:K13)</f>
        <v>18858162</v>
      </c>
      <c r="M13" s="27">
        <f>SUM(M11:M12)</f>
        <v>1414363</v>
      </c>
      <c r="N13" s="27">
        <f>SUM(N11:N12)</f>
        <v>490312</v>
      </c>
    </row>
    <row r="14" spans="1:14" x14ac:dyDescent="0.2">
      <c r="A14" s="276" t="s">
        <v>67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</row>
    <row r="15" spans="1:14" x14ac:dyDescent="0.2">
      <c r="A15" s="54">
        <v>3</v>
      </c>
      <c r="B15" s="30" t="s">
        <v>95</v>
      </c>
      <c r="C15" s="29" t="s">
        <v>62</v>
      </c>
      <c r="D15" s="42">
        <v>190</v>
      </c>
      <c r="E15" s="28">
        <v>14</v>
      </c>
      <c r="F15" s="28">
        <f>ROUND(((1+1+3.9+7.5+2.6+7+1.5)/100+1),3)</f>
        <v>1.2450000000000001</v>
      </c>
      <c r="G15" s="27">
        <f>ROUND((D15*E15*F15),2)</f>
        <v>3311.7</v>
      </c>
      <c r="H15" s="27">
        <f>ROUND((0.19*G15)*1.09*H19*10.14*J19,3)*1000</f>
        <v>1922784</v>
      </c>
      <c r="I15" s="27">
        <f>ROUND((0.6*G15)*1.09*H19*5.27,3)*1000*0</f>
        <v>0</v>
      </c>
      <c r="J15" s="27">
        <f>ROUND((4/100*G15)*1.09*H19*27.94*J19,3)*1000</f>
        <v>1115387</v>
      </c>
      <c r="K15" s="27">
        <f>ROUND((0.17*G15)*1.09*H19*10.42*J19,3)*1000</f>
        <v>1767892</v>
      </c>
      <c r="L15" s="27">
        <f t="shared" ref="L15:L16" si="3">SUM(H15:K15)</f>
        <v>4806063</v>
      </c>
      <c r="M15" s="27">
        <f>ROUND((L15*0.075),0)</f>
        <v>360455</v>
      </c>
      <c r="N15" s="27">
        <f>ROUND((L15*0.026),0)</f>
        <v>124958</v>
      </c>
    </row>
    <row r="16" spans="1:14" ht="13.5" x14ac:dyDescent="0.2">
      <c r="A16" s="275" t="s">
        <v>61</v>
      </c>
      <c r="B16" s="275"/>
      <c r="C16" s="275"/>
      <c r="D16" s="275"/>
      <c r="E16" s="275"/>
      <c r="F16" s="275"/>
      <c r="G16" s="275"/>
      <c r="H16" s="27">
        <f>SUM(H15:H15)</f>
        <v>1922784</v>
      </c>
      <c r="I16" s="27">
        <f>SUM(I15:I15)</f>
        <v>0</v>
      </c>
      <c r="J16" s="27">
        <f>SUM(J15:J15)</f>
        <v>1115387</v>
      </c>
      <c r="K16" s="27">
        <f>SUM(K15:K15)</f>
        <v>1767892</v>
      </c>
      <c r="L16" s="27">
        <f t="shared" si="3"/>
        <v>4806063</v>
      </c>
      <c r="M16" s="27">
        <f>SUM(M15:M15)</f>
        <v>360455</v>
      </c>
      <c r="N16" s="27">
        <f>SUM(N15:N15)</f>
        <v>124958</v>
      </c>
    </row>
    <row r="17" spans="1:14" s="250" customFormat="1" ht="12.75" customHeight="1" x14ac:dyDescent="0.2">
      <c r="A17" s="269" t="s">
        <v>38</v>
      </c>
      <c r="B17" s="270"/>
      <c r="C17" s="270"/>
      <c r="D17" s="270"/>
      <c r="E17" s="270"/>
      <c r="F17" s="270"/>
      <c r="G17" s="271"/>
      <c r="H17" s="26">
        <f>H13+H16</f>
        <v>16437018</v>
      </c>
      <c r="I17" s="26">
        <f t="shared" ref="I17:K17" si="4">I13+I16</f>
        <v>0</v>
      </c>
      <c r="J17" s="26">
        <f>J13+J16</f>
        <v>1432925</v>
      </c>
      <c r="K17" s="26">
        <f t="shared" si="4"/>
        <v>5794282</v>
      </c>
      <c r="L17" s="26">
        <f>SUM(H17:K17)</f>
        <v>23664225</v>
      </c>
      <c r="M17" s="26">
        <f>M13+M16</f>
        <v>1774818</v>
      </c>
      <c r="N17" s="26">
        <f>N13+N16</f>
        <v>615270</v>
      </c>
    </row>
    <row r="18" spans="1:14" x14ac:dyDescent="0.2">
      <c r="A18" s="25"/>
      <c r="B18" s="25"/>
      <c r="C18" s="25"/>
      <c r="D18" s="25"/>
      <c r="E18" s="25"/>
      <c r="F18" s="25"/>
      <c r="G18" s="25"/>
      <c r="H18" s="24"/>
      <c r="I18" s="24"/>
      <c r="J18" s="24"/>
      <c r="K18" s="24"/>
      <c r="L18" s="24"/>
    </row>
    <row r="19" spans="1:14" s="51" customFormat="1" x14ac:dyDescent="0.2">
      <c r="A19" s="277" t="s">
        <v>56</v>
      </c>
      <c r="B19" s="277"/>
      <c r="C19" s="277"/>
      <c r="D19" s="277"/>
      <c r="E19" s="277"/>
      <c r="F19" s="277"/>
      <c r="G19" s="277"/>
      <c r="H19" s="48">
        <v>1</v>
      </c>
      <c r="I19" s="49"/>
      <c r="J19" s="251">
        <v>0.27647859355607274</v>
      </c>
      <c r="K19" s="49"/>
      <c r="L19" s="50"/>
    </row>
    <row r="20" spans="1:14" x14ac:dyDescent="0.2">
      <c r="A20" s="25"/>
      <c r="B20" s="25"/>
      <c r="C20" s="25"/>
      <c r="D20" s="25"/>
      <c r="E20" s="25"/>
      <c r="F20" s="25"/>
      <c r="G20" s="25"/>
      <c r="H20" s="24"/>
      <c r="I20" s="53"/>
      <c r="J20" s="24"/>
      <c r="K20" s="24"/>
      <c r="L20" s="24"/>
      <c r="M20" s="24"/>
    </row>
    <row r="21" spans="1:14" x14ac:dyDescent="0.2">
      <c r="A21" s="19"/>
      <c r="B21" s="19" t="s">
        <v>37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4" x14ac:dyDescent="0.2">
      <c r="A22" s="19"/>
      <c r="B22" s="267" t="s">
        <v>36</v>
      </c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40"/>
    </row>
    <row r="23" spans="1:14" x14ac:dyDescent="0.2">
      <c r="A23" s="17"/>
      <c r="B23" s="17"/>
      <c r="C23" s="17"/>
      <c r="D23" s="17"/>
      <c r="E23" s="17"/>
      <c r="F23" s="17" t="s">
        <v>35</v>
      </c>
      <c r="G23" s="17"/>
      <c r="H23" s="17"/>
      <c r="I23" s="17"/>
      <c r="J23" s="17"/>
      <c r="K23" s="17"/>
      <c r="L23" s="17"/>
      <c r="M23" s="17"/>
    </row>
    <row r="24" spans="1:14" x14ac:dyDescent="0.2">
      <c r="A24" s="19"/>
      <c r="B24" s="19" t="s">
        <v>34</v>
      </c>
      <c r="C24" s="19"/>
      <c r="D24" s="19"/>
      <c r="E24" s="19"/>
      <c r="F24" s="19"/>
      <c r="G24" s="19"/>
      <c r="H24" s="19"/>
      <c r="I24" s="52"/>
      <c r="J24" s="19"/>
      <c r="K24" s="19"/>
      <c r="L24" s="19"/>
      <c r="M24" s="19"/>
    </row>
    <row r="25" spans="1:14" x14ac:dyDescent="0.2">
      <c r="A25" s="18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4" x14ac:dyDescent="0.2">
      <c r="A26" s="23" t="s">
        <v>33</v>
      </c>
      <c r="B26" s="22" t="s">
        <v>63</v>
      </c>
      <c r="C26" s="19"/>
      <c r="D26" s="19" t="s">
        <v>271</v>
      </c>
      <c r="E26" s="19"/>
      <c r="F26" s="19"/>
      <c r="G26" s="19"/>
      <c r="H26" s="23"/>
      <c r="I26" s="22"/>
      <c r="J26" s="19"/>
      <c r="K26" s="19"/>
      <c r="L26" s="19"/>
      <c r="M26" s="19"/>
    </row>
    <row r="27" spans="1:14" x14ac:dyDescent="0.2">
      <c r="A27" s="21" t="s">
        <v>32</v>
      </c>
      <c r="B27" s="19" t="s">
        <v>64</v>
      </c>
      <c r="C27" s="19"/>
      <c r="D27" s="19"/>
      <c r="E27" s="19"/>
      <c r="F27" s="19"/>
      <c r="G27" s="19"/>
      <c r="H27" s="21"/>
      <c r="I27" s="19"/>
      <c r="J27" s="19"/>
      <c r="K27" s="19"/>
      <c r="L27" s="19"/>
      <c r="M27" s="19"/>
    </row>
    <row r="28" spans="1:14" x14ac:dyDescent="0.2">
      <c r="A28" s="20" t="s">
        <v>28</v>
      </c>
      <c r="B28" s="19" t="s">
        <v>31</v>
      </c>
      <c r="C28" s="19"/>
      <c r="D28" s="19"/>
      <c r="E28" s="19"/>
      <c r="F28" s="19"/>
      <c r="G28" s="19"/>
      <c r="H28" s="20"/>
      <c r="I28" s="19"/>
      <c r="J28" s="19"/>
      <c r="K28" s="19"/>
      <c r="L28" s="19"/>
      <c r="M28" s="19"/>
    </row>
    <row r="29" spans="1:14" x14ac:dyDescent="0.2">
      <c r="A29" s="20" t="s">
        <v>28</v>
      </c>
      <c r="B29" s="19" t="s">
        <v>58</v>
      </c>
      <c r="C29" s="19"/>
      <c r="D29" s="19"/>
      <c r="E29" s="19"/>
      <c r="F29" s="19"/>
      <c r="G29" s="19"/>
      <c r="H29" s="20"/>
      <c r="I29" s="19"/>
      <c r="J29" s="19"/>
      <c r="K29" s="19"/>
      <c r="L29" s="19"/>
      <c r="M29" s="19"/>
    </row>
    <row r="30" spans="1:14" x14ac:dyDescent="0.2">
      <c r="A30" s="20" t="s">
        <v>28</v>
      </c>
      <c r="B30" s="19" t="s">
        <v>30</v>
      </c>
      <c r="C30" s="19"/>
      <c r="D30" s="19"/>
      <c r="E30" s="19"/>
      <c r="F30" s="19"/>
      <c r="G30" s="19"/>
      <c r="H30" s="20"/>
      <c r="I30" s="19"/>
      <c r="J30" s="19"/>
      <c r="K30" s="19"/>
      <c r="L30" s="19"/>
      <c r="M30" s="19"/>
    </row>
    <row r="31" spans="1:14" x14ac:dyDescent="0.2">
      <c r="A31" s="20" t="s">
        <v>28</v>
      </c>
      <c r="B31" s="19" t="s">
        <v>29</v>
      </c>
      <c r="C31" s="19"/>
      <c r="D31" s="19"/>
      <c r="E31" s="19"/>
      <c r="F31" s="19"/>
      <c r="G31" s="19"/>
      <c r="H31" s="20"/>
      <c r="I31" s="19"/>
      <c r="J31" s="19"/>
      <c r="K31" s="19"/>
      <c r="L31" s="19"/>
      <c r="M31" s="19"/>
    </row>
    <row r="32" spans="1:14" x14ac:dyDescent="0.2">
      <c r="A32" s="20" t="s">
        <v>28</v>
      </c>
      <c r="B32" s="19" t="s">
        <v>59</v>
      </c>
      <c r="C32" s="19"/>
      <c r="D32" s="19"/>
      <c r="E32" s="19"/>
      <c r="F32" s="19"/>
      <c r="G32" s="19"/>
      <c r="H32" s="20"/>
      <c r="I32" s="19"/>
      <c r="J32" s="19"/>
      <c r="K32" s="19"/>
      <c r="L32" s="19"/>
      <c r="M32" s="19"/>
    </row>
    <row r="33" spans="1:13" x14ac:dyDescent="0.2">
      <c r="A33" s="20" t="s">
        <v>28</v>
      </c>
      <c r="B33" s="19" t="s">
        <v>27</v>
      </c>
      <c r="C33" s="19"/>
      <c r="D33" s="19"/>
      <c r="E33" s="19"/>
      <c r="F33" s="19"/>
      <c r="G33" s="19"/>
      <c r="H33" s="20"/>
      <c r="I33" s="19"/>
      <c r="J33" s="19"/>
      <c r="K33" s="19"/>
      <c r="L33" s="19"/>
      <c r="M33" s="19"/>
    </row>
    <row r="34" spans="1:13" x14ac:dyDescent="0.2">
      <c r="A34" s="20" t="s">
        <v>268</v>
      </c>
      <c r="B34" s="19" t="s">
        <v>269</v>
      </c>
      <c r="C34" s="19"/>
      <c r="D34" s="19"/>
      <c r="E34" s="19"/>
      <c r="F34" s="19"/>
      <c r="G34" s="19"/>
      <c r="H34" s="20"/>
      <c r="I34" s="19"/>
      <c r="J34" s="19"/>
      <c r="K34" s="19"/>
      <c r="L34" s="19"/>
      <c r="M34" s="19"/>
    </row>
    <row r="35" spans="1:13" x14ac:dyDescent="0.2">
      <c r="A35" s="20" t="s">
        <v>28</v>
      </c>
      <c r="B35" s="19" t="s">
        <v>270</v>
      </c>
      <c r="C35" s="19"/>
      <c r="D35" s="19"/>
      <c r="E35" s="19"/>
      <c r="F35" s="19"/>
      <c r="G35" s="19"/>
      <c r="H35" s="20"/>
      <c r="I35" s="19"/>
      <c r="J35" s="19"/>
      <c r="K35" s="19"/>
      <c r="L35" s="19"/>
      <c r="M35" s="19"/>
    </row>
    <row r="36" spans="1:13" x14ac:dyDescent="0.2">
      <c r="A36" s="18" t="s">
        <v>68</v>
      </c>
      <c r="B36" s="17" t="s">
        <v>69</v>
      </c>
      <c r="C36" s="17"/>
      <c r="D36" s="19" t="s">
        <v>272</v>
      </c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2">
      <c r="A37" s="16" t="s">
        <v>70</v>
      </c>
      <c r="B37" s="16" t="s">
        <v>71</v>
      </c>
      <c r="H37" s="20"/>
      <c r="I37" s="19"/>
    </row>
    <row r="38" spans="1:13" x14ac:dyDescent="0.2">
      <c r="A38" s="20" t="s">
        <v>28</v>
      </c>
      <c r="B38" s="19" t="s">
        <v>72</v>
      </c>
    </row>
    <row r="39" spans="1:13" x14ac:dyDescent="0.2">
      <c r="A39" s="20" t="s">
        <v>28</v>
      </c>
      <c r="B39" s="19" t="s">
        <v>73</v>
      </c>
    </row>
    <row r="40" spans="1:13" x14ac:dyDescent="0.2">
      <c r="A40" s="20" t="s">
        <v>28</v>
      </c>
      <c r="B40" s="19" t="s">
        <v>74</v>
      </c>
    </row>
    <row r="41" spans="1:13" x14ac:dyDescent="0.2">
      <c r="A41" s="20" t="s">
        <v>28</v>
      </c>
      <c r="B41" s="19" t="s">
        <v>75</v>
      </c>
    </row>
    <row r="42" spans="1:13" x14ac:dyDescent="0.2">
      <c r="A42" s="20" t="s">
        <v>28</v>
      </c>
      <c r="B42" s="19" t="s">
        <v>29</v>
      </c>
    </row>
    <row r="43" spans="1:13" x14ac:dyDescent="0.2">
      <c r="A43" s="20" t="s">
        <v>28</v>
      </c>
      <c r="B43" s="19" t="s">
        <v>76</v>
      </c>
    </row>
    <row r="44" spans="1:13" x14ac:dyDescent="0.2">
      <c r="A44" s="20" t="s">
        <v>28</v>
      </c>
      <c r="B44" s="19" t="s">
        <v>27</v>
      </c>
    </row>
  </sheetData>
  <mergeCells count="20">
    <mergeCell ref="A1:L1"/>
    <mergeCell ref="G8:G9"/>
    <mergeCell ref="H8:K8"/>
    <mergeCell ref="L8:L9"/>
    <mergeCell ref="B8:B9"/>
    <mergeCell ref="A3:N3"/>
    <mergeCell ref="A4:M4"/>
    <mergeCell ref="B22:L22"/>
    <mergeCell ref="M8:N8"/>
    <mergeCell ref="A17:G17"/>
    <mergeCell ref="D8:D9"/>
    <mergeCell ref="E8:E9"/>
    <mergeCell ref="F8:F9"/>
    <mergeCell ref="A8:A9"/>
    <mergeCell ref="C8:C9"/>
    <mergeCell ref="A13:G13"/>
    <mergeCell ref="A10:N10"/>
    <mergeCell ref="A19:G19"/>
    <mergeCell ref="A14:N14"/>
    <mergeCell ref="A16:G16"/>
  </mergeCells>
  <pageMargins left="0.23622047244094491" right="0.23622047244094491" top="0.74803149606299213" bottom="0.74803149606299213" header="0" footer="0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zoomScale="60" zoomScaleNormal="85" workbookViewId="0">
      <selection activeCell="A33" sqref="A33:XFD39"/>
    </sheetView>
  </sheetViews>
  <sheetFormatPr defaultRowHeight="15.75" outlineLevelRow="1" x14ac:dyDescent="0.25"/>
  <cols>
    <col min="1" max="1" width="4.5703125" style="176" customWidth="1"/>
    <col min="2" max="2" width="46.140625" style="176" customWidth="1"/>
    <col min="3" max="3" width="18.42578125" style="176" customWidth="1"/>
    <col min="4" max="4" width="10.140625" style="176" customWidth="1"/>
    <col min="5" max="5" width="10.28515625" style="176" customWidth="1"/>
    <col min="6" max="7" width="15.85546875" style="176" customWidth="1"/>
    <col min="8" max="8" width="17" style="176" customWidth="1"/>
    <col min="9" max="9" width="6.5703125" style="176" customWidth="1"/>
    <col min="10" max="10" width="7" style="176" customWidth="1"/>
    <col min="11" max="11" width="18.7109375" style="176" customWidth="1"/>
    <col min="12" max="12" width="17" style="176" customWidth="1"/>
    <col min="13" max="16384" width="9.140625" style="176"/>
  </cols>
  <sheetData>
    <row r="1" spans="1:12" ht="33.75" customHeight="1" x14ac:dyDescent="0.25">
      <c r="A1" s="309" t="s">
        <v>262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3" spans="1:12" x14ac:dyDescent="0.25">
      <c r="A3" s="309" t="s">
        <v>142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</row>
    <row r="4" spans="1:12" x14ac:dyDescent="0.25">
      <c r="C4" s="177"/>
    </row>
    <row r="5" spans="1:12" x14ac:dyDescent="0.25">
      <c r="A5" s="176" t="s">
        <v>143</v>
      </c>
      <c r="C5" s="176" t="s">
        <v>182</v>
      </c>
    </row>
    <row r="6" spans="1:12" x14ac:dyDescent="0.25">
      <c r="A6" s="176" t="s">
        <v>144</v>
      </c>
      <c r="C6" s="178">
        <v>1.6</v>
      </c>
    </row>
    <row r="7" spans="1:12" x14ac:dyDescent="0.25">
      <c r="A7" s="176" t="s">
        <v>145</v>
      </c>
      <c r="C7" s="179">
        <f>1600*4/10000</f>
        <v>0.64</v>
      </c>
    </row>
    <row r="8" spans="1:12" x14ac:dyDescent="0.25">
      <c r="A8" s="176" t="s">
        <v>146</v>
      </c>
      <c r="C8" s="180">
        <f>ROUND((48*C6),0)</f>
        <v>77</v>
      </c>
    </row>
    <row r="9" spans="1:12" x14ac:dyDescent="0.25">
      <c r="A9" s="311" t="s">
        <v>147</v>
      </c>
      <c r="B9" s="311"/>
      <c r="C9" s="181">
        <v>2</v>
      </c>
    </row>
    <row r="10" spans="1:12" x14ac:dyDescent="0.25">
      <c r="A10" s="182" t="s">
        <v>148</v>
      </c>
      <c r="B10" s="182"/>
      <c r="C10" s="183">
        <v>0</v>
      </c>
    </row>
    <row r="11" spans="1:12" outlineLevel="1" x14ac:dyDescent="0.25">
      <c r="A11" s="311" t="s">
        <v>149</v>
      </c>
      <c r="B11" s="311"/>
      <c r="C11" s="184">
        <v>2</v>
      </c>
    </row>
    <row r="12" spans="1:12" outlineLevel="1" x14ac:dyDescent="0.25">
      <c r="A12" s="311" t="s">
        <v>150</v>
      </c>
      <c r="B12" s="311"/>
      <c r="C12" s="184">
        <v>2</v>
      </c>
    </row>
    <row r="13" spans="1:12" x14ac:dyDescent="0.25">
      <c r="K13" s="185"/>
      <c r="L13" s="185"/>
    </row>
    <row r="14" spans="1:12" x14ac:dyDescent="0.25">
      <c r="A14" s="307" t="s">
        <v>151</v>
      </c>
      <c r="B14" s="303" t="s">
        <v>152</v>
      </c>
      <c r="C14" s="303" t="s">
        <v>50</v>
      </c>
      <c r="D14" s="303" t="s">
        <v>153</v>
      </c>
      <c r="E14" s="303" t="s">
        <v>154</v>
      </c>
      <c r="F14" s="303" t="s">
        <v>155</v>
      </c>
      <c r="G14" s="303"/>
      <c r="H14" s="303" t="s">
        <v>156</v>
      </c>
      <c r="I14" s="303"/>
      <c r="J14" s="303"/>
      <c r="K14" s="303" t="s">
        <v>157</v>
      </c>
      <c r="L14" s="186"/>
    </row>
    <row r="15" spans="1:12" x14ac:dyDescent="0.25">
      <c r="A15" s="308"/>
      <c r="B15" s="303"/>
      <c r="C15" s="303"/>
      <c r="D15" s="303"/>
      <c r="E15" s="303"/>
      <c r="F15" s="187" t="s">
        <v>158</v>
      </c>
      <c r="G15" s="187" t="s">
        <v>159</v>
      </c>
      <c r="H15" s="303"/>
      <c r="I15" s="303"/>
      <c r="J15" s="303"/>
      <c r="K15" s="303"/>
      <c r="L15" s="186"/>
    </row>
    <row r="16" spans="1:12" ht="15.75" customHeight="1" x14ac:dyDescent="0.25">
      <c r="A16" s="286">
        <v>1</v>
      </c>
      <c r="B16" s="304" t="s">
        <v>162</v>
      </c>
      <c r="C16" s="286" t="s">
        <v>163</v>
      </c>
      <c r="D16" s="286" t="s">
        <v>164</v>
      </c>
      <c r="E16" s="286">
        <f>C7/1000</f>
        <v>6.4000000000000005E-4</v>
      </c>
      <c r="F16" s="286">
        <v>668</v>
      </c>
      <c r="G16" s="286">
        <v>49</v>
      </c>
      <c r="H16" s="190" t="s">
        <v>165</v>
      </c>
      <c r="I16" s="190" t="s">
        <v>166</v>
      </c>
      <c r="J16" s="191">
        <f>ROUND((1-0.4*(2-E16)),3)</f>
        <v>0.2</v>
      </c>
      <c r="K16" s="286">
        <f>ROUND((F16*J16*J17+G16*E16*J17)*J18,2)*J19</f>
        <v>638.22</v>
      </c>
      <c r="L16" s="185"/>
    </row>
    <row r="17" spans="1:12" x14ac:dyDescent="0.25">
      <c r="A17" s="287"/>
      <c r="B17" s="305"/>
      <c r="C17" s="287"/>
      <c r="D17" s="287"/>
      <c r="E17" s="287"/>
      <c r="F17" s="287"/>
      <c r="G17" s="287"/>
      <c r="H17" s="190" t="s">
        <v>167</v>
      </c>
      <c r="I17" s="190" t="s">
        <v>161</v>
      </c>
      <c r="J17" s="191">
        <f>1+0.1*C9</f>
        <v>1.2</v>
      </c>
      <c r="K17" s="287"/>
      <c r="L17" s="185"/>
    </row>
    <row r="18" spans="1:12" x14ac:dyDescent="0.25">
      <c r="A18" s="287"/>
      <c r="B18" s="305"/>
      <c r="C18" s="287"/>
      <c r="D18" s="287"/>
      <c r="E18" s="287"/>
      <c r="F18" s="287"/>
      <c r="G18" s="287"/>
      <c r="H18" s="188" t="s">
        <v>160</v>
      </c>
      <c r="I18" s="188" t="s">
        <v>161</v>
      </c>
      <c r="J18" s="189">
        <v>1.99</v>
      </c>
      <c r="K18" s="287"/>
      <c r="L18" s="185"/>
    </row>
    <row r="19" spans="1:12" x14ac:dyDescent="0.25">
      <c r="A19" s="288"/>
      <c r="B19" s="306"/>
      <c r="C19" s="288"/>
      <c r="D19" s="288"/>
      <c r="E19" s="288"/>
      <c r="F19" s="288"/>
      <c r="G19" s="288"/>
      <c r="H19" s="188" t="s">
        <v>168</v>
      </c>
      <c r="I19" s="188" t="s">
        <v>161</v>
      </c>
      <c r="J19" s="189">
        <f>C11</f>
        <v>2</v>
      </c>
      <c r="K19" s="288"/>
      <c r="L19" s="185"/>
    </row>
    <row r="20" spans="1:12" x14ac:dyDescent="0.25">
      <c r="A20" s="192">
        <v>2</v>
      </c>
      <c r="B20" s="193" t="s">
        <v>169</v>
      </c>
      <c r="C20" s="192" t="s">
        <v>170</v>
      </c>
      <c r="D20" s="192" t="s">
        <v>171</v>
      </c>
      <c r="E20" s="192">
        <v>10</v>
      </c>
      <c r="F20" s="192"/>
      <c r="G20" s="192"/>
      <c r="H20" s="188"/>
      <c r="I20" s="188"/>
      <c r="J20" s="189"/>
      <c r="K20" s="192">
        <f>E20%*K16</f>
        <v>63.822000000000003</v>
      </c>
      <c r="L20" s="185"/>
    </row>
    <row r="21" spans="1:12" ht="15.75" customHeight="1" x14ac:dyDescent="0.25">
      <c r="A21" s="286">
        <v>3</v>
      </c>
      <c r="B21" s="289" t="s">
        <v>172</v>
      </c>
      <c r="C21" s="292" t="s">
        <v>173</v>
      </c>
      <c r="D21" s="292" t="s">
        <v>164</v>
      </c>
      <c r="E21" s="292">
        <f>C7/1000</f>
        <v>6.4000000000000005E-4</v>
      </c>
      <c r="F21" s="292">
        <v>355</v>
      </c>
      <c r="G21" s="292">
        <v>22</v>
      </c>
      <c r="H21" s="194" t="s">
        <v>174</v>
      </c>
      <c r="I21" s="190" t="s">
        <v>166</v>
      </c>
      <c r="J21" s="191">
        <f>ROUND((1-0.45*(2-E21)),3)</f>
        <v>0.1</v>
      </c>
      <c r="K21" s="286">
        <f>ROUND(((F21*J21*J22+G21*E21*J23*J24)*J25*J26),2)*J27</f>
        <v>156.16</v>
      </c>
      <c r="L21" s="185"/>
    </row>
    <row r="22" spans="1:12" x14ac:dyDescent="0.25">
      <c r="A22" s="287"/>
      <c r="B22" s="290"/>
      <c r="C22" s="292"/>
      <c r="D22" s="292"/>
      <c r="E22" s="292"/>
      <c r="F22" s="292"/>
      <c r="G22" s="292"/>
      <c r="H22" s="194" t="s">
        <v>175</v>
      </c>
      <c r="I22" s="190" t="s">
        <v>166</v>
      </c>
      <c r="J22" s="191">
        <f>1+0.05*C9</f>
        <v>1.1000000000000001</v>
      </c>
      <c r="K22" s="287"/>
      <c r="L22" s="185"/>
    </row>
    <row r="23" spans="1:12" x14ac:dyDescent="0.25">
      <c r="A23" s="287"/>
      <c r="B23" s="290"/>
      <c r="C23" s="292"/>
      <c r="D23" s="292"/>
      <c r="E23" s="292"/>
      <c r="F23" s="292"/>
      <c r="G23" s="292"/>
      <c r="H23" s="194" t="s">
        <v>176</v>
      </c>
      <c r="I23" s="190" t="s">
        <v>177</v>
      </c>
      <c r="J23" s="191">
        <f>1+0.1*(C8-5)</f>
        <v>8.1999999999999993</v>
      </c>
      <c r="K23" s="287"/>
      <c r="L23" s="185"/>
    </row>
    <row r="24" spans="1:12" x14ac:dyDescent="0.25">
      <c r="A24" s="287"/>
      <c r="B24" s="290"/>
      <c r="C24" s="292"/>
      <c r="D24" s="292"/>
      <c r="E24" s="292"/>
      <c r="F24" s="292"/>
      <c r="G24" s="292"/>
      <c r="H24" s="194" t="s">
        <v>178</v>
      </c>
      <c r="I24" s="190" t="s">
        <v>177</v>
      </c>
      <c r="J24" s="191">
        <v>1.6</v>
      </c>
      <c r="K24" s="287"/>
      <c r="L24" s="185"/>
    </row>
    <row r="25" spans="1:12" x14ac:dyDescent="0.25">
      <c r="A25" s="287"/>
      <c r="B25" s="290"/>
      <c r="C25" s="292"/>
      <c r="D25" s="292"/>
      <c r="E25" s="292"/>
      <c r="F25" s="292"/>
      <c r="G25" s="292"/>
      <c r="H25" s="194" t="s">
        <v>179</v>
      </c>
      <c r="I25" s="190" t="s">
        <v>161</v>
      </c>
      <c r="J25" s="191">
        <f>1+0.1*C10</f>
        <v>1</v>
      </c>
      <c r="K25" s="287"/>
    </row>
    <row r="26" spans="1:12" x14ac:dyDescent="0.25">
      <c r="A26" s="287"/>
      <c r="B26" s="290"/>
      <c r="C26" s="292"/>
      <c r="D26" s="292"/>
      <c r="E26" s="292"/>
      <c r="F26" s="292"/>
      <c r="G26" s="292"/>
      <c r="H26" s="195" t="s">
        <v>160</v>
      </c>
      <c r="I26" s="188" t="s">
        <v>161</v>
      </c>
      <c r="J26" s="189">
        <v>1.99</v>
      </c>
      <c r="K26" s="287"/>
    </row>
    <row r="27" spans="1:12" x14ac:dyDescent="0.25">
      <c r="A27" s="288"/>
      <c r="B27" s="291"/>
      <c r="C27" s="292"/>
      <c r="D27" s="292"/>
      <c r="E27" s="292"/>
      <c r="F27" s="292"/>
      <c r="G27" s="292"/>
      <c r="H27" s="188" t="s">
        <v>168</v>
      </c>
      <c r="I27" s="188" t="s">
        <v>161</v>
      </c>
      <c r="J27" s="189">
        <f>C11</f>
        <v>2</v>
      </c>
      <c r="K27" s="288"/>
    </row>
    <row r="28" spans="1:12" x14ac:dyDescent="0.25">
      <c r="A28" s="196">
        <v>4</v>
      </c>
      <c r="B28" s="293" t="s">
        <v>38</v>
      </c>
      <c r="C28" s="294"/>
      <c r="D28" s="294"/>
      <c r="E28" s="294"/>
      <c r="F28" s="294"/>
      <c r="G28" s="294"/>
      <c r="H28" s="294"/>
      <c r="I28" s="294"/>
      <c r="J28" s="295"/>
      <c r="K28" s="196">
        <f>SUM(K16:K26)</f>
        <v>858.202</v>
      </c>
    </row>
    <row r="29" spans="1:12" s="199" customFormat="1" ht="48.75" customHeight="1" x14ac:dyDescent="0.25">
      <c r="A29" s="197">
        <v>5</v>
      </c>
      <c r="B29" s="296" t="s">
        <v>183</v>
      </c>
      <c r="C29" s="297"/>
      <c r="D29" s="297"/>
      <c r="E29" s="297"/>
      <c r="F29" s="297"/>
      <c r="G29" s="297"/>
      <c r="H29" s="198" t="s">
        <v>161</v>
      </c>
      <c r="I29" s="298">
        <v>15.505898999999999</v>
      </c>
      <c r="J29" s="299"/>
      <c r="K29" s="204">
        <f>ROUND((K28*I29),0)</f>
        <v>13307</v>
      </c>
    </row>
    <row r="30" spans="1:12" x14ac:dyDescent="0.25">
      <c r="A30" s="196">
        <v>6</v>
      </c>
      <c r="B30" s="300" t="s">
        <v>180</v>
      </c>
      <c r="C30" s="301"/>
      <c r="D30" s="301"/>
      <c r="E30" s="301"/>
      <c r="F30" s="301"/>
      <c r="G30" s="301"/>
      <c r="H30" s="200" t="s">
        <v>181</v>
      </c>
      <c r="I30" s="301">
        <f>C12</f>
        <v>2</v>
      </c>
      <c r="J30" s="302"/>
      <c r="K30" s="201">
        <f>2400*I30</f>
        <v>4800</v>
      </c>
    </row>
    <row r="31" spans="1:12" x14ac:dyDescent="0.25">
      <c r="A31" s="202">
        <v>7</v>
      </c>
      <c r="B31" s="283" t="s">
        <v>38</v>
      </c>
      <c r="C31" s="284"/>
      <c r="D31" s="284"/>
      <c r="E31" s="284"/>
      <c r="F31" s="284"/>
      <c r="G31" s="284"/>
      <c r="H31" s="284"/>
      <c r="I31" s="284"/>
      <c r="J31" s="285"/>
      <c r="K31" s="203">
        <f>K29+K30</f>
        <v>18107</v>
      </c>
    </row>
  </sheetData>
  <mergeCells count="35">
    <mergeCell ref="A1:K1"/>
    <mergeCell ref="A3:K3"/>
    <mergeCell ref="A9:B9"/>
    <mergeCell ref="A11:B11"/>
    <mergeCell ref="A12:B12"/>
    <mergeCell ref="H14:J15"/>
    <mergeCell ref="K14:K15"/>
    <mergeCell ref="A16:A19"/>
    <mergeCell ref="B16:B19"/>
    <mergeCell ref="C16:C19"/>
    <mergeCell ref="D16:D19"/>
    <mergeCell ref="E16:E19"/>
    <mergeCell ref="F16:F19"/>
    <mergeCell ref="G16:G19"/>
    <mergeCell ref="E14:E15"/>
    <mergeCell ref="A14:A15"/>
    <mergeCell ref="B14:B15"/>
    <mergeCell ref="C14:C15"/>
    <mergeCell ref="D14:D15"/>
    <mergeCell ref="F14:G14"/>
    <mergeCell ref="B31:J31"/>
    <mergeCell ref="K16:K19"/>
    <mergeCell ref="A21:A27"/>
    <mergeCell ref="B21:B27"/>
    <mergeCell ref="C21:C27"/>
    <mergeCell ref="D21:D27"/>
    <mergeCell ref="E21:E27"/>
    <mergeCell ref="F21:F27"/>
    <mergeCell ref="G21:G27"/>
    <mergeCell ref="K21:K27"/>
    <mergeCell ref="B28:J28"/>
    <mergeCell ref="B29:G29"/>
    <mergeCell ref="I29:J29"/>
    <mergeCell ref="B30:G30"/>
    <mergeCell ref="I30:J30"/>
  </mergeCells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view="pageBreakPreview" topLeftCell="A91" zoomScaleNormal="100" zoomScaleSheetLayoutView="100" workbookViewId="0">
      <selection activeCell="A99" sqref="A99:XFD105"/>
    </sheetView>
  </sheetViews>
  <sheetFormatPr defaultRowHeight="12.75" x14ac:dyDescent="0.2"/>
  <cols>
    <col min="1" max="1" width="4.5703125" customWidth="1"/>
    <col min="2" max="2" width="11.7109375" customWidth="1"/>
    <col min="3" max="3" width="9.5703125" customWidth="1"/>
    <col min="4" max="4" width="15.42578125" customWidth="1"/>
    <col min="5" max="5" width="17" customWidth="1"/>
    <col min="6" max="8" width="7.140625" customWidth="1"/>
    <col min="9" max="11" width="11.28515625" customWidth="1"/>
    <col min="12" max="13" width="6.28515625" customWidth="1"/>
    <col min="257" max="257" width="4.5703125" customWidth="1"/>
    <col min="258" max="258" width="11.7109375" customWidth="1"/>
    <col min="259" max="259" width="9.5703125" customWidth="1"/>
    <col min="260" max="260" width="15.42578125" customWidth="1"/>
    <col min="261" max="261" width="17" customWidth="1"/>
    <col min="262" max="264" width="7.140625" customWidth="1"/>
    <col min="265" max="267" width="11.28515625" customWidth="1"/>
    <col min="268" max="269" width="6.28515625" customWidth="1"/>
    <col min="513" max="513" width="4.5703125" customWidth="1"/>
    <col min="514" max="514" width="11.7109375" customWidth="1"/>
    <col min="515" max="515" width="9.5703125" customWidth="1"/>
    <col min="516" max="516" width="15.42578125" customWidth="1"/>
    <col min="517" max="517" width="17" customWidth="1"/>
    <col min="518" max="520" width="7.140625" customWidth="1"/>
    <col min="521" max="523" width="11.28515625" customWidth="1"/>
    <col min="524" max="525" width="6.28515625" customWidth="1"/>
    <col min="769" max="769" width="4.5703125" customWidth="1"/>
    <col min="770" max="770" width="11.7109375" customWidth="1"/>
    <col min="771" max="771" width="9.5703125" customWidth="1"/>
    <col min="772" max="772" width="15.42578125" customWidth="1"/>
    <col min="773" max="773" width="17" customWidth="1"/>
    <col min="774" max="776" width="7.140625" customWidth="1"/>
    <col min="777" max="779" width="11.28515625" customWidth="1"/>
    <col min="780" max="781" width="6.28515625" customWidth="1"/>
    <col min="1025" max="1025" width="4.5703125" customWidth="1"/>
    <col min="1026" max="1026" width="11.7109375" customWidth="1"/>
    <col min="1027" max="1027" width="9.5703125" customWidth="1"/>
    <col min="1028" max="1028" width="15.42578125" customWidth="1"/>
    <col min="1029" max="1029" width="17" customWidth="1"/>
    <col min="1030" max="1032" width="7.140625" customWidth="1"/>
    <col min="1033" max="1035" width="11.28515625" customWidth="1"/>
    <col min="1036" max="1037" width="6.28515625" customWidth="1"/>
    <col min="1281" max="1281" width="4.5703125" customWidth="1"/>
    <col min="1282" max="1282" width="11.7109375" customWidth="1"/>
    <col min="1283" max="1283" width="9.5703125" customWidth="1"/>
    <col min="1284" max="1284" width="15.42578125" customWidth="1"/>
    <col min="1285" max="1285" width="17" customWidth="1"/>
    <col min="1286" max="1288" width="7.140625" customWidth="1"/>
    <col min="1289" max="1291" width="11.28515625" customWidth="1"/>
    <col min="1292" max="1293" width="6.28515625" customWidth="1"/>
    <col min="1537" max="1537" width="4.5703125" customWidth="1"/>
    <col min="1538" max="1538" width="11.7109375" customWidth="1"/>
    <col min="1539" max="1539" width="9.5703125" customWidth="1"/>
    <col min="1540" max="1540" width="15.42578125" customWidth="1"/>
    <col min="1541" max="1541" width="17" customWidth="1"/>
    <col min="1542" max="1544" width="7.140625" customWidth="1"/>
    <col min="1545" max="1547" width="11.28515625" customWidth="1"/>
    <col min="1548" max="1549" width="6.28515625" customWidth="1"/>
    <col min="1793" max="1793" width="4.5703125" customWidth="1"/>
    <col min="1794" max="1794" width="11.7109375" customWidth="1"/>
    <col min="1795" max="1795" width="9.5703125" customWidth="1"/>
    <col min="1796" max="1796" width="15.42578125" customWidth="1"/>
    <col min="1797" max="1797" width="17" customWidth="1"/>
    <col min="1798" max="1800" width="7.140625" customWidth="1"/>
    <col min="1801" max="1803" width="11.28515625" customWidth="1"/>
    <col min="1804" max="1805" width="6.28515625" customWidth="1"/>
    <col min="2049" max="2049" width="4.5703125" customWidth="1"/>
    <col min="2050" max="2050" width="11.7109375" customWidth="1"/>
    <col min="2051" max="2051" width="9.5703125" customWidth="1"/>
    <col min="2052" max="2052" width="15.42578125" customWidth="1"/>
    <col min="2053" max="2053" width="17" customWidth="1"/>
    <col min="2054" max="2056" width="7.140625" customWidth="1"/>
    <col min="2057" max="2059" width="11.28515625" customWidth="1"/>
    <col min="2060" max="2061" width="6.28515625" customWidth="1"/>
    <col min="2305" max="2305" width="4.5703125" customWidth="1"/>
    <col min="2306" max="2306" width="11.7109375" customWidth="1"/>
    <col min="2307" max="2307" width="9.5703125" customWidth="1"/>
    <col min="2308" max="2308" width="15.42578125" customWidth="1"/>
    <col min="2309" max="2309" width="17" customWidth="1"/>
    <col min="2310" max="2312" width="7.140625" customWidth="1"/>
    <col min="2313" max="2315" width="11.28515625" customWidth="1"/>
    <col min="2316" max="2317" width="6.28515625" customWidth="1"/>
    <col min="2561" max="2561" width="4.5703125" customWidth="1"/>
    <col min="2562" max="2562" width="11.7109375" customWidth="1"/>
    <col min="2563" max="2563" width="9.5703125" customWidth="1"/>
    <col min="2564" max="2564" width="15.42578125" customWidth="1"/>
    <col min="2565" max="2565" width="17" customWidth="1"/>
    <col min="2566" max="2568" width="7.140625" customWidth="1"/>
    <col min="2569" max="2571" width="11.28515625" customWidth="1"/>
    <col min="2572" max="2573" width="6.28515625" customWidth="1"/>
    <col min="2817" max="2817" width="4.5703125" customWidth="1"/>
    <col min="2818" max="2818" width="11.7109375" customWidth="1"/>
    <col min="2819" max="2819" width="9.5703125" customWidth="1"/>
    <col min="2820" max="2820" width="15.42578125" customWidth="1"/>
    <col min="2821" max="2821" width="17" customWidth="1"/>
    <col min="2822" max="2824" width="7.140625" customWidth="1"/>
    <col min="2825" max="2827" width="11.28515625" customWidth="1"/>
    <col min="2828" max="2829" width="6.28515625" customWidth="1"/>
    <col min="3073" max="3073" width="4.5703125" customWidth="1"/>
    <col min="3074" max="3074" width="11.7109375" customWidth="1"/>
    <col min="3075" max="3075" width="9.5703125" customWidth="1"/>
    <col min="3076" max="3076" width="15.42578125" customWidth="1"/>
    <col min="3077" max="3077" width="17" customWidth="1"/>
    <col min="3078" max="3080" width="7.140625" customWidth="1"/>
    <col min="3081" max="3083" width="11.28515625" customWidth="1"/>
    <col min="3084" max="3085" width="6.28515625" customWidth="1"/>
    <col min="3329" max="3329" width="4.5703125" customWidth="1"/>
    <col min="3330" max="3330" width="11.7109375" customWidth="1"/>
    <col min="3331" max="3331" width="9.5703125" customWidth="1"/>
    <col min="3332" max="3332" width="15.42578125" customWidth="1"/>
    <col min="3333" max="3333" width="17" customWidth="1"/>
    <col min="3334" max="3336" width="7.140625" customWidth="1"/>
    <col min="3337" max="3339" width="11.28515625" customWidth="1"/>
    <col min="3340" max="3341" width="6.28515625" customWidth="1"/>
    <col min="3585" max="3585" width="4.5703125" customWidth="1"/>
    <col min="3586" max="3586" width="11.7109375" customWidth="1"/>
    <col min="3587" max="3587" width="9.5703125" customWidth="1"/>
    <col min="3588" max="3588" width="15.42578125" customWidth="1"/>
    <col min="3589" max="3589" width="17" customWidth="1"/>
    <col min="3590" max="3592" width="7.140625" customWidth="1"/>
    <col min="3593" max="3595" width="11.28515625" customWidth="1"/>
    <col min="3596" max="3597" width="6.28515625" customWidth="1"/>
    <col min="3841" max="3841" width="4.5703125" customWidth="1"/>
    <col min="3842" max="3842" width="11.7109375" customWidth="1"/>
    <col min="3843" max="3843" width="9.5703125" customWidth="1"/>
    <col min="3844" max="3844" width="15.42578125" customWidth="1"/>
    <col min="3845" max="3845" width="17" customWidth="1"/>
    <col min="3846" max="3848" width="7.140625" customWidth="1"/>
    <col min="3849" max="3851" width="11.28515625" customWidth="1"/>
    <col min="3852" max="3853" width="6.28515625" customWidth="1"/>
    <col min="4097" max="4097" width="4.5703125" customWidth="1"/>
    <col min="4098" max="4098" width="11.7109375" customWidth="1"/>
    <col min="4099" max="4099" width="9.5703125" customWidth="1"/>
    <col min="4100" max="4100" width="15.42578125" customWidth="1"/>
    <col min="4101" max="4101" width="17" customWidth="1"/>
    <col min="4102" max="4104" width="7.140625" customWidth="1"/>
    <col min="4105" max="4107" width="11.28515625" customWidth="1"/>
    <col min="4108" max="4109" width="6.28515625" customWidth="1"/>
    <col min="4353" max="4353" width="4.5703125" customWidth="1"/>
    <col min="4354" max="4354" width="11.7109375" customWidth="1"/>
    <col min="4355" max="4355" width="9.5703125" customWidth="1"/>
    <col min="4356" max="4356" width="15.42578125" customWidth="1"/>
    <col min="4357" max="4357" width="17" customWidth="1"/>
    <col min="4358" max="4360" width="7.140625" customWidth="1"/>
    <col min="4361" max="4363" width="11.28515625" customWidth="1"/>
    <col min="4364" max="4365" width="6.28515625" customWidth="1"/>
    <col min="4609" max="4609" width="4.5703125" customWidth="1"/>
    <col min="4610" max="4610" width="11.7109375" customWidth="1"/>
    <col min="4611" max="4611" width="9.5703125" customWidth="1"/>
    <col min="4612" max="4612" width="15.42578125" customWidth="1"/>
    <col min="4613" max="4613" width="17" customWidth="1"/>
    <col min="4614" max="4616" width="7.140625" customWidth="1"/>
    <col min="4617" max="4619" width="11.28515625" customWidth="1"/>
    <col min="4620" max="4621" width="6.28515625" customWidth="1"/>
    <col min="4865" max="4865" width="4.5703125" customWidth="1"/>
    <col min="4866" max="4866" width="11.7109375" customWidth="1"/>
    <col min="4867" max="4867" width="9.5703125" customWidth="1"/>
    <col min="4868" max="4868" width="15.42578125" customWidth="1"/>
    <col min="4869" max="4869" width="17" customWidth="1"/>
    <col min="4870" max="4872" width="7.140625" customWidth="1"/>
    <col min="4873" max="4875" width="11.28515625" customWidth="1"/>
    <col min="4876" max="4877" width="6.28515625" customWidth="1"/>
    <col min="5121" max="5121" width="4.5703125" customWidth="1"/>
    <col min="5122" max="5122" width="11.7109375" customWidth="1"/>
    <col min="5123" max="5123" width="9.5703125" customWidth="1"/>
    <col min="5124" max="5124" width="15.42578125" customWidth="1"/>
    <col min="5125" max="5125" width="17" customWidth="1"/>
    <col min="5126" max="5128" width="7.140625" customWidth="1"/>
    <col min="5129" max="5131" width="11.28515625" customWidth="1"/>
    <col min="5132" max="5133" width="6.28515625" customWidth="1"/>
    <col min="5377" max="5377" width="4.5703125" customWidth="1"/>
    <col min="5378" max="5378" width="11.7109375" customWidth="1"/>
    <col min="5379" max="5379" width="9.5703125" customWidth="1"/>
    <col min="5380" max="5380" width="15.42578125" customWidth="1"/>
    <col min="5381" max="5381" width="17" customWidth="1"/>
    <col min="5382" max="5384" width="7.140625" customWidth="1"/>
    <col min="5385" max="5387" width="11.28515625" customWidth="1"/>
    <col min="5388" max="5389" width="6.28515625" customWidth="1"/>
    <col min="5633" max="5633" width="4.5703125" customWidth="1"/>
    <col min="5634" max="5634" width="11.7109375" customWidth="1"/>
    <col min="5635" max="5635" width="9.5703125" customWidth="1"/>
    <col min="5636" max="5636" width="15.42578125" customWidth="1"/>
    <col min="5637" max="5637" width="17" customWidth="1"/>
    <col min="5638" max="5640" width="7.140625" customWidth="1"/>
    <col min="5641" max="5643" width="11.28515625" customWidth="1"/>
    <col min="5644" max="5645" width="6.28515625" customWidth="1"/>
    <col min="5889" max="5889" width="4.5703125" customWidth="1"/>
    <col min="5890" max="5890" width="11.7109375" customWidth="1"/>
    <col min="5891" max="5891" width="9.5703125" customWidth="1"/>
    <col min="5892" max="5892" width="15.42578125" customWidth="1"/>
    <col min="5893" max="5893" width="17" customWidth="1"/>
    <col min="5894" max="5896" width="7.140625" customWidth="1"/>
    <col min="5897" max="5899" width="11.28515625" customWidth="1"/>
    <col min="5900" max="5901" width="6.28515625" customWidth="1"/>
    <col min="6145" max="6145" width="4.5703125" customWidth="1"/>
    <col min="6146" max="6146" width="11.7109375" customWidth="1"/>
    <col min="6147" max="6147" width="9.5703125" customWidth="1"/>
    <col min="6148" max="6148" width="15.42578125" customWidth="1"/>
    <col min="6149" max="6149" width="17" customWidth="1"/>
    <col min="6150" max="6152" width="7.140625" customWidth="1"/>
    <col min="6153" max="6155" width="11.28515625" customWidth="1"/>
    <col min="6156" max="6157" width="6.28515625" customWidth="1"/>
    <col min="6401" max="6401" width="4.5703125" customWidth="1"/>
    <col min="6402" max="6402" width="11.7109375" customWidth="1"/>
    <col min="6403" max="6403" width="9.5703125" customWidth="1"/>
    <col min="6404" max="6404" width="15.42578125" customWidth="1"/>
    <col min="6405" max="6405" width="17" customWidth="1"/>
    <col min="6406" max="6408" width="7.140625" customWidth="1"/>
    <col min="6409" max="6411" width="11.28515625" customWidth="1"/>
    <col min="6412" max="6413" width="6.28515625" customWidth="1"/>
    <col min="6657" max="6657" width="4.5703125" customWidth="1"/>
    <col min="6658" max="6658" width="11.7109375" customWidth="1"/>
    <col min="6659" max="6659" width="9.5703125" customWidth="1"/>
    <col min="6660" max="6660" width="15.42578125" customWidth="1"/>
    <col min="6661" max="6661" width="17" customWidth="1"/>
    <col min="6662" max="6664" width="7.140625" customWidth="1"/>
    <col min="6665" max="6667" width="11.28515625" customWidth="1"/>
    <col min="6668" max="6669" width="6.28515625" customWidth="1"/>
    <col min="6913" max="6913" width="4.5703125" customWidth="1"/>
    <col min="6914" max="6914" width="11.7109375" customWidth="1"/>
    <col min="6915" max="6915" width="9.5703125" customWidth="1"/>
    <col min="6916" max="6916" width="15.42578125" customWidth="1"/>
    <col min="6917" max="6917" width="17" customWidth="1"/>
    <col min="6918" max="6920" width="7.140625" customWidth="1"/>
    <col min="6921" max="6923" width="11.28515625" customWidth="1"/>
    <col min="6924" max="6925" width="6.28515625" customWidth="1"/>
    <col min="7169" max="7169" width="4.5703125" customWidth="1"/>
    <col min="7170" max="7170" width="11.7109375" customWidth="1"/>
    <col min="7171" max="7171" width="9.5703125" customWidth="1"/>
    <col min="7172" max="7172" width="15.42578125" customWidth="1"/>
    <col min="7173" max="7173" width="17" customWidth="1"/>
    <col min="7174" max="7176" width="7.140625" customWidth="1"/>
    <col min="7177" max="7179" width="11.28515625" customWidth="1"/>
    <col min="7180" max="7181" width="6.28515625" customWidth="1"/>
    <col min="7425" max="7425" width="4.5703125" customWidth="1"/>
    <col min="7426" max="7426" width="11.7109375" customWidth="1"/>
    <col min="7427" max="7427" width="9.5703125" customWidth="1"/>
    <col min="7428" max="7428" width="15.42578125" customWidth="1"/>
    <col min="7429" max="7429" width="17" customWidth="1"/>
    <col min="7430" max="7432" width="7.140625" customWidth="1"/>
    <col min="7433" max="7435" width="11.28515625" customWidth="1"/>
    <col min="7436" max="7437" width="6.28515625" customWidth="1"/>
    <col min="7681" max="7681" width="4.5703125" customWidth="1"/>
    <col min="7682" max="7682" width="11.7109375" customWidth="1"/>
    <col min="7683" max="7683" width="9.5703125" customWidth="1"/>
    <col min="7684" max="7684" width="15.42578125" customWidth="1"/>
    <col min="7685" max="7685" width="17" customWidth="1"/>
    <col min="7686" max="7688" width="7.140625" customWidth="1"/>
    <col min="7689" max="7691" width="11.28515625" customWidth="1"/>
    <col min="7692" max="7693" width="6.28515625" customWidth="1"/>
    <col min="7937" max="7937" width="4.5703125" customWidth="1"/>
    <col min="7938" max="7938" width="11.7109375" customWidth="1"/>
    <col min="7939" max="7939" width="9.5703125" customWidth="1"/>
    <col min="7940" max="7940" width="15.42578125" customWidth="1"/>
    <col min="7941" max="7941" width="17" customWidth="1"/>
    <col min="7942" max="7944" width="7.140625" customWidth="1"/>
    <col min="7945" max="7947" width="11.28515625" customWidth="1"/>
    <col min="7948" max="7949" width="6.28515625" customWidth="1"/>
    <col min="8193" max="8193" width="4.5703125" customWidth="1"/>
    <col min="8194" max="8194" width="11.7109375" customWidth="1"/>
    <col min="8195" max="8195" width="9.5703125" customWidth="1"/>
    <col min="8196" max="8196" width="15.42578125" customWidth="1"/>
    <col min="8197" max="8197" width="17" customWidth="1"/>
    <col min="8198" max="8200" width="7.140625" customWidth="1"/>
    <col min="8201" max="8203" width="11.28515625" customWidth="1"/>
    <col min="8204" max="8205" width="6.28515625" customWidth="1"/>
    <col min="8449" max="8449" width="4.5703125" customWidth="1"/>
    <col min="8450" max="8450" width="11.7109375" customWidth="1"/>
    <col min="8451" max="8451" width="9.5703125" customWidth="1"/>
    <col min="8452" max="8452" width="15.42578125" customWidth="1"/>
    <col min="8453" max="8453" width="17" customWidth="1"/>
    <col min="8454" max="8456" width="7.140625" customWidth="1"/>
    <col min="8457" max="8459" width="11.28515625" customWidth="1"/>
    <col min="8460" max="8461" width="6.28515625" customWidth="1"/>
    <col min="8705" max="8705" width="4.5703125" customWidth="1"/>
    <col min="8706" max="8706" width="11.7109375" customWidth="1"/>
    <col min="8707" max="8707" width="9.5703125" customWidth="1"/>
    <col min="8708" max="8708" width="15.42578125" customWidth="1"/>
    <col min="8709" max="8709" width="17" customWidth="1"/>
    <col min="8710" max="8712" width="7.140625" customWidth="1"/>
    <col min="8713" max="8715" width="11.28515625" customWidth="1"/>
    <col min="8716" max="8717" width="6.28515625" customWidth="1"/>
    <col min="8961" max="8961" width="4.5703125" customWidth="1"/>
    <col min="8962" max="8962" width="11.7109375" customWidth="1"/>
    <col min="8963" max="8963" width="9.5703125" customWidth="1"/>
    <col min="8964" max="8964" width="15.42578125" customWidth="1"/>
    <col min="8965" max="8965" width="17" customWidth="1"/>
    <col min="8966" max="8968" width="7.140625" customWidth="1"/>
    <col min="8969" max="8971" width="11.28515625" customWidth="1"/>
    <col min="8972" max="8973" width="6.28515625" customWidth="1"/>
    <col min="9217" max="9217" width="4.5703125" customWidth="1"/>
    <col min="9218" max="9218" width="11.7109375" customWidth="1"/>
    <col min="9219" max="9219" width="9.5703125" customWidth="1"/>
    <col min="9220" max="9220" width="15.42578125" customWidth="1"/>
    <col min="9221" max="9221" width="17" customWidth="1"/>
    <col min="9222" max="9224" width="7.140625" customWidth="1"/>
    <col min="9225" max="9227" width="11.28515625" customWidth="1"/>
    <col min="9228" max="9229" width="6.28515625" customWidth="1"/>
    <col min="9473" max="9473" width="4.5703125" customWidth="1"/>
    <col min="9474" max="9474" width="11.7109375" customWidth="1"/>
    <col min="9475" max="9475" width="9.5703125" customWidth="1"/>
    <col min="9476" max="9476" width="15.42578125" customWidth="1"/>
    <col min="9477" max="9477" width="17" customWidth="1"/>
    <col min="9478" max="9480" width="7.140625" customWidth="1"/>
    <col min="9481" max="9483" width="11.28515625" customWidth="1"/>
    <col min="9484" max="9485" width="6.28515625" customWidth="1"/>
    <col min="9729" max="9729" width="4.5703125" customWidth="1"/>
    <col min="9730" max="9730" width="11.7109375" customWidth="1"/>
    <col min="9731" max="9731" width="9.5703125" customWidth="1"/>
    <col min="9732" max="9732" width="15.42578125" customWidth="1"/>
    <col min="9733" max="9733" width="17" customWidth="1"/>
    <col min="9734" max="9736" width="7.140625" customWidth="1"/>
    <col min="9737" max="9739" width="11.28515625" customWidth="1"/>
    <col min="9740" max="9741" width="6.28515625" customWidth="1"/>
    <col min="9985" max="9985" width="4.5703125" customWidth="1"/>
    <col min="9986" max="9986" width="11.7109375" customWidth="1"/>
    <col min="9987" max="9987" width="9.5703125" customWidth="1"/>
    <col min="9988" max="9988" width="15.42578125" customWidth="1"/>
    <col min="9989" max="9989" width="17" customWidth="1"/>
    <col min="9990" max="9992" width="7.140625" customWidth="1"/>
    <col min="9993" max="9995" width="11.28515625" customWidth="1"/>
    <col min="9996" max="9997" width="6.28515625" customWidth="1"/>
    <col min="10241" max="10241" width="4.5703125" customWidth="1"/>
    <col min="10242" max="10242" width="11.7109375" customWidth="1"/>
    <col min="10243" max="10243" width="9.5703125" customWidth="1"/>
    <col min="10244" max="10244" width="15.42578125" customWidth="1"/>
    <col min="10245" max="10245" width="17" customWidth="1"/>
    <col min="10246" max="10248" width="7.140625" customWidth="1"/>
    <col min="10249" max="10251" width="11.28515625" customWidth="1"/>
    <col min="10252" max="10253" width="6.28515625" customWidth="1"/>
    <col min="10497" max="10497" width="4.5703125" customWidth="1"/>
    <col min="10498" max="10498" width="11.7109375" customWidth="1"/>
    <col min="10499" max="10499" width="9.5703125" customWidth="1"/>
    <col min="10500" max="10500" width="15.42578125" customWidth="1"/>
    <col min="10501" max="10501" width="17" customWidth="1"/>
    <col min="10502" max="10504" width="7.140625" customWidth="1"/>
    <col min="10505" max="10507" width="11.28515625" customWidth="1"/>
    <col min="10508" max="10509" width="6.28515625" customWidth="1"/>
    <col min="10753" max="10753" width="4.5703125" customWidth="1"/>
    <col min="10754" max="10754" width="11.7109375" customWidth="1"/>
    <col min="10755" max="10755" width="9.5703125" customWidth="1"/>
    <col min="10756" max="10756" width="15.42578125" customWidth="1"/>
    <col min="10757" max="10757" width="17" customWidth="1"/>
    <col min="10758" max="10760" width="7.140625" customWidth="1"/>
    <col min="10761" max="10763" width="11.28515625" customWidth="1"/>
    <col min="10764" max="10765" width="6.28515625" customWidth="1"/>
    <col min="11009" max="11009" width="4.5703125" customWidth="1"/>
    <col min="11010" max="11010" width="11.7109375" customWidth="1"/>
    <col min="11011" max="11011" width="9.5703125" customWidth="1"/>
    <col min="11012" max="11012" width="15.42578125" customWidth="1"/>
    <col min="11013" max="11013" width="17" customWidth="1"/>
    <col min="11014" max="11016" width="7.140625" customWidth="1"/>
    <col min="11017" max="11019" width="11.28515625" customWidth="1"/>
    <col min="11020" max="11021" width="6.28515625" customWidth="1"/>
    <col min="11265" max="11265" width="4.5703125" customWidth="1"/>
    <col min="11266" max="11266" width="11.7109375" customWidth="1"/>
    <col min="11267" max="11267" width="9.5703125" customWidth="1"/>
    <col min="11268" max="11268" width="15.42578125" customWidth="1"/>
    <col min="11269" max="11269" width="17" customWidth="1"/>
    <col min="11270" max="11272" width="7.140625" customWidth="1"/>
    <col min="11273" max="11275" width="11.28515625" customWidth="1"/>
    <col min="11276" max="11277" width="6.28515625" customWidth="1"/>
    <col min="11521" max="11521" width="4.5703125" customWidth="1"/>
    <col min="11522" max="11522" width="11.7109375" customWidth="1"/>
    <col min="11523" max="11523" width="9.5703125" customWidth="1"/>
    <col min="11524" max="11524" width="15.42578125" customWidth="1"/>
    <col min="11525" max="11525" width="17" customWidth="1"/>
    <col min="11526" max="11528" width="7.140625" customWidth="1"/>
    <col min="11529" max="11531" width="11.28515625" customWidth="1"/>
    <col min="11532" max="11533" width="6.28515625" customWidth="1"/>
    <col min="11777" max="11777" width="4.5703125" customWidth="1"/>
    <col min="11778" max="11778" width="11.7109375" customWidth="1"/>
    <col min="11779" max="11779" width="9.5703125" customWidth="1"/>
    <col min="11780" max="11780" width="15.42578125" customWidth="1"/>
    <col min="11781" max="11781" width="17" customWidth="1"/>
    <col min="11782" max="11784" width="7.140625" customWidth="1"/>
    <col min="11785" max="11787" width="11.28515625" customWidth="1"/>
    <col min="11788" max="11789" width="6.28515625" customWidth="1"/>
    <col min="12033" max="12033" width="4.5703125" customWidth="1"/>
    <col min="12034" max="12034" width="11.7109375" customWidth="1"/>
    <col min="12035" max="12035" width="9.5703125" customWidth="1"/>
    <col min="12036" max="12036" width="15.42578125" customWidth="1"/>
    <col min="12037" max="12037" width="17" customWidth="1"/>
    <col min="12038" max="12040" width="7.140625" customWidth="1"/>
    <col min="12041" max="12043" width="11.28515625" customWidth="1"/>
    <col min="12044" max="12045" width="6.28515625" customWidth="1"/>
    <col min="12289" max="12289" width="4.5703125" customWidth="1"/>
    <col min="12290" max="12290" width="11.7109375" customWidth="1"/>
    <col min="12291" max="12291" width="9.5703125" customWidth="1"/>
    <col min="12292" max="12292" width="15.42578125" customWidth="1"/>
    <col min="12293" max="12293" width="17" customWidth="1"/>
    <col min="12294" max="12296" width="7.140625" customWidth="1"/>
    <col min="12297" max="12299" width="11.28515625" customWidth="1"/>
    <col min="12300" max="12301" width="6.28515625" customWidth="1"/>
    <col min="12545" max="12545" width="4.5703125" customWidth="1"/>
    <col min="12546" max="12546" width="11.7109375" customWidth="1"/>
    <col min="12547" max="12547" width="9.5703125" customWidth="1"/>
    <col min="12548" max="12548" width="15.42578125" customWidth="1"/>
    <col min="12549" max="12549" width="17" customWidth="1"/>
    <col min="12550" max="12552" width="7.140625" customWidth="1"/>
    <col min="12553" max="12555" width="11.28515625" customWidth="1"/>
    <col min="12556" max="12557" width="6.28515625" customWidth="1"/>
    <col min="12801" max="12801" width="4.5703125" customWidth="1"/>
    <col min="12802" max="12802" width="11.7109375" customWidth="1"/>
    <col min="12803" max="12803" width="9.5703125" customWidth="1"/>
    <col min="12804" max="12804" width="15.42578125" customWidth="1"/>
    <col min="12805" max="12805" width="17" customWidth="1"/>
    <col min="12806" max="12808" width="7.140625" customWidth="1"/>
    <col min="12809" max="12811" width="11.28515625" customWidth="1"/>
    <col min="12812" max="12813" width="6.28515625" customWidth="1"/>
    <col min="13057" max="13057" width="4.5703125" customWidth="1"/>
    <col min="13058" max="13058" width="11.7109375" customWidth="1"/>
    <col min="13059" max="13059" width="9.5703125" customWidth="1"/>
    <col min="13060" max="13060" width="15.42578125" customWidth="1"/>
    <col min="13061" max="13061" width="17" customWidth="1"/>
    <col min="13062" max="13064" width="7.140625" customWidth="1"/>
    <col min="13065" max="13067" width="11.28515625" customWidth="1"/>
    <col min="13068" max="13069" width="6.28515625" customWidth="1"/>
    <col min="13313" max="13313" width="4.5703125" customWidth="1"/>
    <col min="13314" max="13314" width="11.7109375" customWidth="1"/>
    <col min="13315" max="13315" width="9.5703125" customWidth="1"/>
    <col min="13316" max="13316" width="15.42578125" customWidth="1"/>
    <col min="13317" max="13317" width="17" customWidth="1"/>
    <col min="13318" max="13320" width="7.140625" customWidth="1"/>
    <col min="13321" max="13323" width="11.28515625" customWidth="1"/>
    <col min="13324" max="13325" width="6.28515625" customWidth="1"/>
    <col min="13569" max="13569" width="4.5703125" customWidth="1"/>
    <col min="13570" max="13570" width="11.7109375" customWidth="1"/>
    <col min="13571" max="13571" width="9.5703125" customWidth="1"/>
    <col min="13572" max="13572" width="15.42578125" customWidth="1"/>
    <col min="13573" max="13573" width="17" customWidth="1"/>
    <col min="13574" max="13576" width="7.140625" customWidth="1"/>
    <col min="13577" max="13579" width="11.28515625" customWidth="1"/>
    <col min="13580" max="13581" width="6.28515625" customWidth="1"/>
    <col min="13825" max="13825" width="4.5703125" customWidth="1"/>
    <col min="13826" max="13826" width="11.7109375" customWidth="1"/>
    <col min="13827" max="13827" width="9.5703125" customWidth="1"/>
    <col min="13828" max="13828" width="15.42578125" customWidth="1"/>
    <col min="13829" max="13829" width="17" customWidth="1"/>
    <col min="13830" max="13832" width="7.140625" customWidth="1"/>
    <col min="13833" max="13835" width="11.28515625" customWidth="1"/>
    <col min="13836" max="13837" width="6.28515625" customWidth="1"/>
    <col min="14081" max="14081" width="4.5703125" customWidth="1"/>
    <col min="14082" max="14082" width="11.7109375" customWidth="1"/>
    <col min="14083" max="14083" width="9.5703125" customWidth="1"/>
    <col min="14084" max="14084" width="15.42578125" customWidth="1"/>
    <col min="14085" max="14085" width="17" customWidth="1"/>
    <col min="14086" max="14088" width="7.140625" customWidth="1"/>
    <col min="14089" max="14091" width="11.28515625" customWidth="1"/>
    <col min="14092" max="14093" width="6.28515625" customWidth="1"/>
    <col min="14337" max="14337" width="4.5703125" customWidth="1"/>
    <col min="14338" max="14338" width="11.7109375" customWidth="1"/>
    <col min="14339" max="14339" width="9.5703125" customWidth="1"/>
    <col min="14340" max="14340" width="15.42578125" customWidth="1"/>
    <col min="14341" max="14341" width="17" customWidth="1"/>
    <col min="14342" max="14344" width="7.140625" customWidth="1"/>
    <col min="14345" max="14347" width="11.28515625" customWidth="1"/>
    <col min="14348" max="14349" width="6.28515625" customWidth="1"/>
    <col min="14593" max="14593" width="4.5703125" customWidth="1"/>
    <col min="14594" max="14594" width="11.7109375" customWidth="1"/>
    <col min="14595" max="14595" width="9.5703125" customWidth="1"/>
    <col min="14596" max="14596" width="15.42578125" customWidth="1"/>
    <col min="14597" max="14597" width="17" customWidth="1"/>
    <col min="14598" max="14600" width="7.140625" customWidth="1"/>
    <col min="14601" max="14603" width="11.28515625" customWidth="1"/>
    <col min="14604" max="14605" width="6.28515625" customWidth="1"/>
    <col min="14849" max="14849" width="4.5703125" customWidth="1"/>
    <col min="14850" max="14850" width="11.7109375" customWidth="1"/>
    <col min="14851" max="14851" width="9.5703125" customWidth="1"/>
    <col min="14852" max="14852" width="15.42578125" customWidth="1"/>
    <col min="14853" max="14853" width="17" customWidth="1"/>
    <col min="14854" max="14856" width="7.140625" customWidth="1"/>
    <col min="14857" max="14859" width="11.28515625" customWidth="1"/>
    <col min="14860" max="14861" width="6.28515625" customWidth="1"/>
    <col min="15105" max="15105" width="4.5703125" customWidth="1"/>
    <col min="15106" max="15106" width="11.7109375" customWidth="1"/>
    <col min="15107" max="15107" width="9.5703125" customWidth="1"/>
    <col min="15108" max="15108" width="15.42578125" customWidth="1"/>
    <col min="15109" max="15109" width="17" customWidth="1"/>
    <col min="15110" max="15112" width="7.140625" customWidth="1"/>
    <col min="15113" max="15115" width="11.28515625" customWidth="1"/>
    <col min="15116" max="15117" width="6.28515625" customWidth="1"/>
    <col min="15361" max="15361" width="4.5703125" customWidth="1"/>
    <col min="15362" max="15362" width="11.7109375" customWidth="1"/>
    <col min="15363" max="15363" width="9.5703125" customWidth="1"/>
    <col min="15364" max="15364" width="15.42578125" customWidth="1"/>
    <col min="15365" max="15365" width="17" customWidth="1"/>
    <col min="15366" max="15368" width="7.140625" customWidth="1"/>
    <col min="15369" max="15371" width="11.28515625" customWidth="1"/>
    <col min="15372" max="15373" width="6.28515625" customWidth="1"/>
    <col min="15617" max="15617" width="4.5703125" customWidth="1"/>
    <col min="15618" max="15618" width="11.7109375" customWidth="1"/>
    <col min="15619" max="15619" width="9.5703125" customWidth="1"/>
    <col min="15620" max="15620" width="15.42578125" customWidth="1"/>
    <col min="15621" max="15621" width="17" customWidth="1"/>
    <col min="15622" max="15624" width="7.140625" customWidth="1"/>
    <col min="15625" max="15627" width="11.28515625" customWidth="1"/>
    <col min="15628" max="15629" width="6.28515625" customWidth="1"/>
    <col min="15873" max="15873" width="4.5703125" customWidth="1"/>
    <col min="15874" max="15874" width="11.7109375" customWidth="1"/>
    <col min="15875" max="15875" width="9.5703125" customWidth="1"/>
    <col min="15876" max="15876" width="15.42578125" customWidth="1"/>
    <col min="15877" max="15877" width="17" customWidth="1"/>
    <col min="15878" max="15880" width="7.140625" customWidth="1"/>
    <col min="15881" max="15883" width="11.28515625" customWidth="1"/>
    <col min="15884" max="15885" width="6.28515625" customWidth="1"/>
    <col min="16129" max="16129" width="4.5703125" customWidth="1"/>
    <col min="16130" max="16130" width="11.7109375" customWidth="1"/>
    <col min="16131" max="16131" width="9.5703125" customWidth="1"/>
    <col min="16132" max="16132" width="15.42578125" customWidth="1"/>
    <col min="16133" max="16133" width="17" customWidth="1"/>
    <col min="16134" max="16136" width="7.140625" customWidth="1"/>
    <col min="16137" max="16139" width="11.28515625" customWidth="1"/>
    <col min="16140" max="16141" width="6.28515625" customWidth="1"/>
  </cols>
  <sheetData>
    <row r="1" spans="1:14" ht="18.75" x14ac:dyDescent="0.3">
      <c r="A1" s="430" t="s">
        <v>260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14" ht="15.75" x14ac:dyDescent="0.25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4" s="206" customFormat="1" ht="38.25" customHeight="1" x14ac:dyDescent="0.3">
      <c r="A3" s="431" t="s">
        <v>252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</row>
    <row r="4" spans="1:14" ht="6.75" customHeight="1" x14ac:dyDescent="0.25">
      <c r="A4" s="371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</row>
    <row r="5" spans="1:14" ht="6.75" customHeight="1" x14ac:dyDescent="0.25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</row>
    <row r="6" spans="1:14" ht="15.75" x14ac:dyDescent="0.25">
      <c r="A6" s="409" t="s">
        <v>184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</row>
    <row r="7" spans="1:14" ht="16.5" customHeight="1" x14ac:dyDescent="0.25">
      <c r="A7" s="207"/>
      <c r="B7" s="208"/>
      <c r="C7" s="207" t="s">
        <v>253</v>
      </c>
      <c r="D7" s="208"/>
      <c r="E7" s="208"/>
      <c r="F7" s="208"/>
      <c r="G7" s="208"/>
      <c r="H7" s="208"/>
      <c r="I7" s="208"/>
      <c r="J7" s="208"/>
      <c r="K7" s="208"/>
      <c r="L7" s="208"/>
      <c r="M7" s="208"/>
    </row>
    <row r="8" spans="1:14" ht="9" customHeight="1" x14ac:dyDescent="0.25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</row>
    <row r="9" spans="1:14" ht="15.75" x14ac:dyDescent="0.25">
      <c r="A9" s="411" t="s">
        <v>185</v>
      </c>
      <c r="B9" s="411"/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411"/>
    </row>
    <row r="10" spans="1:14" ht="8.25" customHeight="1" x14ac:dyDescent="0.25">
      <c r="A10" s="411"/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210"/>
    </row>
    <row r="11" spans="1:14" ht="8.25" customHeight="1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0"/>
    </row>
    <row r="12" spans="1:14" ht="30.75" customHeight="1" x14ac:dyDescent="0.2">
      <c r="A12" s="412" t="s">
        <v>151</v>
      </c>
      <c r="B12" s="415" t="s">
        <v>186</v>
      </c>
      <c r="C12" s="416"/>
      <c r="D12" s="416"/>
      <c r="E12" s="417"/>
      <c r="F12" s="424" t="s">
        <v>187</v>
      </c>
      <c r="G12" s="424"/>
      <c r="H12" s="425"/>
      <c r="I12" s="416" t="s">
        <v>188</v>
      </c>
      <c r="J12" s="416"/>
      <c r="K12" s="417"/>
      <c r="L12" s="415" t="s">
        <v>189</v>
      </c>
      <c r="M12" s="417"/>
    </row>
    <row r="13" spans="1:14" ht="30.75" customHeight="1" x14ac:dyDescent="0.2">
      <c r="A13" s="413"/>
      <c r="B13" s="418"/>
      <c r="C13" s="419"/>
      <c r="D13" s="419"/>
      <c r="E13" s="420"/>
      <c r="F13" s="426"/>
      <c r="G13" s="426"/>
      <c r="H13" s="427"/>
      <c r="I13" s="419"/>
      <c r="J13" s="419"/>
      <c r="K13" s="420"/>
      <c r="L13" s="418"/>
      <c r="M13" s="420"/>
      <c r="N13" s="210"/>
    </row>
    <row r="14" spans="1:14" ht="12.75" customHeight="1" x14ac:dyDescent="0.2">
      <c r="A14" s="414"/>
      <c r="B14" s="421"/>
      <c r="C14" s="422"/>
      <c r="D14" s="422"/>
      <c r="E14" s="423"/>
      <c r="F14" s="428"/>
      <c r="G14" s="428"/>
      <c r="H14" s="429"/>
      <c r="I14" s="422"/>
      <c r="J14" s="422"/>
      <c r="K14" s="423"/>
      <c r="L14" s="421"/>
      <c r="M14" s="423"/>
      <c r="N14" s="212"/>
    </row>
    <row r="15" spans="1:14" s="215" customFormat="1" ht="12.75" customHeight="1" x14ac:dyDescent="0.2">
      <c r="A15" s="213">
        <v>1</v>
      </c>
      <c r="B15" s="403">
        <v>2</v>
      </c>
      <c r="C15" s="404"/>
      <c r="D15" s="404"/>
      <c r="E15" s="405"/>
      <c r="F15" s="406">
        <v>3</v>
      </c>
      <c r="G15" s="407"/>
      <c r="H15" s="408"/>
      <c r="I15" s="403">
        <v>4</v>
      </c>
      <c r="J15" s="404"/>
      <c r="K15" s="405"/>
      <c r="L15" s="403">
        <v>5</v>
      </c>
      <c r="M15" s="405"/>
      <c r="N15" s="214"/>
    </row>
    <row r="16" spans="1:14" ht="9.75" customHeight="1" x14ac:dyDescent="0.25">
      <c r="A16" s="331">
        <v>1</v>
      </c>
      <c r="B16" s="363" t="s">
        <v>190</v>
      </c>
      <c r="C16" s="364"/>
      <c r="D16" s="364"/>
      <c r="E16" s="365"/>
      <c r="F16" s="363" t="s">
        <v>191</v>
      </c>
      <c r="G16" s="364"/>
      <c r="H16" s="365"/>
      <c r="I16" s="205"/>
      <c r="J16" s="205"/>
      <c r="K16" s="216"/>
      <c r="L16" s="217"/>
      <c r="M16" s="218"/>
    </row>
    <row r="17" spans="1:13" ht="9.75" customHeight="1" x14ac:dyDescent="0.25">
      <c r="A17" s="332"/>
      <c r="B17" s="363"/>
      <c r="C17" s="364"/>
      <c r="D17" s="364"/>
      <c r="E17" s="365"/>
      <c r="F17" s="363"/>
      <c r="G17" s="377"/>
      <c r="H17" s="365"/>
      <c r="I17" s="205"/>
      <c r="J17" s="205"/>
      <c r="K17" s="216"/>
      <c r="L17" s="217"/>
      <c r="M17" s="218"/>
    </row>
    <row r="18" spans="1:13" ht="15.75" x14ac:dyDescent="0.25">
      <c r="A18" s="332"/>
      <c r="B18" s="219" t="s">
        <v>192</v>
      </c>
      <c r="C18" s="219">
        <v>1</v>
      </c>
      <c r="D18" s="378" t="s">
        <v>119</v>
      </c>
      <c r="E18" s="379"/>
      <c r="F18" s="363"/>
      <c r="G18" s="377"/>
      <c r="H18" s="365"/>
      <c r="I18" s="205"/>
      <c r="J18" s="205"/>
      <c r="K18" s="216"/>
      <c r="L18" s="217"/>
      <c r="M18" s="218"/>
    </row>
    <row r="19" spans="1:13" ht="15.75" x14ac:dyDescent="0.25">
      <c r="A19" s="332"/>
      <c r="B19" s="219"/>
      <c r="C19" s="220">
        <f>(1600*4)/10000/1000</f>
        <v>6.4000000000000005E-4</v>
      </c>
      <c r="D19" s="378" t="s">
        <v>118</v>
      </c>
      <c r="E19" s="379"/>
      <c r="F19" s="363"/>
      <c r="G19" s="377"/>
      <c r="H19" s="365"/>
      <c r="I19" s="205"/>
      <c r="J19" s="205"/>
      <c r="K19" s="216"/>
      <c r="L19" s="217"/>
      <c r="M19" s="218"/>
    </row>
    <row r="20" spans="1:13" ht="15.75" x14ac:dyDescent="0.25">
      <c r="A20" s="332"/>
      <c r="B20" s="219"/>
      <c r="C20" s="219">
        <v>0</v>
      </c>
      <c r="D20" s="378" t="s">
        <v>193</v>
      </c>
      <c r="E20" s="379"/>
      <c r="F20" s="363"/>
      <c r="G20" s="377"/>
      <c r="H20" s="365"/>
      <c r="I20" s="205"/>
      <c r="J20" s="205"/>
      <c r="K20" s="216"/>
      <c r="L20" s="217"/>
      <c r="M20" s="218"/>
    </row>
    <row r="21" spans="1:13" ht="15.75" x14ac:dyDescent="0.25">
      <c r="A21" s="332"/>
      <c r="B21" s="219"/>
      <c r="C21" s="219">
        <v>0</v>
      </c>
      <c r="D21" s="378" t="s">
        <v>194</v>
      </c>
      <c r="E21" s="379"/>
      <c r="F21" s="363"/>
      <c r="G21" s="377"/>
      <c r="H21" s="365"/>
      <c r="I21" s="205"/>
      <c r="J21" s="205"/>
      <c r="K21" s="216"/>
      <c r="L21" s="217"/>
      <c r="M21" s="218"/>
    </row>
    <row r="22" spans="1:13" ht="15.75" x14ac:dyDescent="0.25">
      <c r="A22" s="332"/>
      <c r="B22" s="219" t="s">
        <v>195</v>
      </c>
      <c r="C22" s="219">
        <v>56</v>
      </c>
      <c r="D22" s="400" t="s">
        <v>196</v>
      </c>
      <c r="E22" s="401"/>
      <c r="F22" s="363"/>
      <c r="G22" s="377"/>
      <c r="H22" s="365"/>
      <c r="I22" s="370" t="s">
        <v>197</v>
      </c>
      <c r="J22" s="371"/>
      <c r="K22" s="372"/>
      <c r="L22" s="353">
        <f>C22*C24*C18</f>
        <v>5.6322559999999999</v>
      </c>
      <c r="M22" s="354"/>
    </row>
    <row r="23" spans="1:13" ht="15.75" x14ac:dyDescent="0.25">
      <c r="A23" s="332"/>
      <c r="B23" s="219" t="s">
        <v>198</v>
      </c>
      <c r="C23" s="219">
        <v>34</v>
      </c>
      <c r="D23" s="400" t="s">
        <v>196</v>
      </c>
      <c r="E23" s="401"/>
      <c r="F23" s="363"/>
      <c r="G23" s="377"/>
      <c r="H23" s="365"/>
      <c r="I23" s="370" t="s">
        <v>199</v>
      </c>
      <c r="J23" s="371"/>
      <c r="K23" s="372"/>
      <c r="L23" s="353">
        <f>C23*C25*(C19+C20+C21)</f>
        <v>6.5377484800000019E-3</v>
      </c>
      <c r="M23" s="354"/>
    </row>
    <row r="24" spans="1:13" ht="15.75" x14ac:dyDescent="0.25">
      <c r="A24" s="332"/>
      <c r="B24" s="219" t="s">
        <v>200</v>
      </c>
      <c r="C24" s="219">
        <f>1-0.9*(1-(C19+C20+C21))</f>
        <v>0.100576</v>
      </c>
      <c r="D24" s="375" t="s">
        <v>201</v>
      </c>
      <c r="E24" s="376"/>
      <c r="F24" s="363"/>
      <c r="G24" s="377"/>
      <c r="H24" s="365"/>
      <c r="I24" s="205"/>
      <c r="J24" s="205"/>
      <c r="K24" s="216"/>
      <c r="L24" s="217"/>
      <c r="M24" s="218"/>
    </row>
    <row r="25" spans="1:13" ht="15.75" x14ac:dyDescent="0.25">
      <c r="A25" s="332"/>
      <c r="B25" s="221" t="s">
        <v>203</v>
      </c>
      <c r="C25" s="221">
        <f>1-0.7*(1-(C19+C20+C21))</f>
        <v>0.30044800000000005</v>
      </c>
      <c r="D25" s="375" t="s">
        <v>204</v>
      </c>
      <c r="E25" s="376"/>
      <c r="F25" s="362"/>
      <c r="G25" s="351"/>
      <c r="H25" s="352"/>
      <c r="I25" s="222"/>
      <c r="J25" s="211"/>
      <c r="K25" s="223"/>
      <c r="L25" s="224"/>
      <c r="M25" s="225"/>
    </row>
    <row r="26" spans="1:13" ht="15.75" x14ac:dyDescent="0.25">
      <c r="A26" s="332"/>
      <c r="B26" s="355">
        <v>1.99</v>
      </c>
      <c r="C26" s="349" t="s">
        <v>205</v>
      </c>
      <c r="D26" s="349"/>
      <c r="E26" s="350"/>
      <c r="F26" s="334" t="s">
        <v>206</v>
      </c>
      <c r="G26" s="335"/>
      <c r="H26" s="336"/>
      <c r="I26" s="205"/>
      <c r="J26" s="205"/>
      <c r="K26" s="216"/>
      <c r="L26" s="343">
        <f>(L22+L23)*B26</f>
        <v>11.221199559475201</v>
      </c>
      <c r="M26" s="344"/>
    </row>
    <row r="27" spans="1:13" ht="15.75" x14ac:dyDescent="0.25">
      <c r="A27" s="332"/>
      <c r="B27" s="356"/>
      <c r="C27" s="351"/>
      <c r="D27" s="351"/>
      <c r="E27" s="352"/>
      <c r="F27" s="340"/>
      <c r="G27" s="341"/>
      <c r="H27" s="342"/>
      <c r="I27" s="222"/>
      <c r="J27" s="211"/>
      <c r="K27" s="223"/>
      <c r="L27" s="347"/>
      <c r="M27" s="348"/>
    </row>
    <row r="28" spans="1:13" ht="15.75" x14ac:dyDescent="0.25">
      <c r="A28" s="333"/>
      <c r="B28" s="328" t="s">
        <v>207</v>
      </c>
      <c r="C28" s="329"/>
      <c r="D28" s="329"/>
      <c r="E28" s="329"/>
      <c r="F28" s="227"/>
      <c r="G28" s="227"/>
      <c r="H28" s="227"/>
      <c r="I28" s="227"/>
      <c r="J28" s="227"/>
      <c r="K28" s="228"/>
      <c r="L28" s="389">
        <f>L26</f>
        <v>11.221199559475201</v>
      </c>
      <c r="M28" s="390"/>
    </row>
    <row r="29" spans="1:13" ht="6.75" customHeight="1" x14ac:dyDescent="0.25">
      <c r="A29" s="331">
        <v>2</v>
      </c>
      <c r="B29" s="361" t="s">
        <v>208</v>
      </c>
      <c r="C29" s="349"/>
      <c r="D29" s="349"/>
      <c r="E29" s="350"/>
      <c r="F29" s="361" t="s">
        <v>209</v>
      </c>
      <c r="G29" s="349"/>
      <c r="H29" s="350"/>
      <c r="I29" s="226"/>
      <c r="J29" s="226"/>
      <c r="K29" s="216"/>
      <c r="L29" s="229"/>
      <c r="M29" s="230"/>
    </row>
    <row r="30" spans="1:13" ht="6.75" customHeight="1" x14ac:dyDescent="0.25">
      <c r="A30" s="332"/>
      <c r="B30" s="362"/>
      <c r="C30" s="351"/>
      <c r="D30" s="351"/>
      <c r="E30" s="352"/>
      <c r="F30" s="363"/>
      <c r="G30" s="364"/>
      <c r="H30" s="365"/>
      <c r="I30" s="226"/>
      <c r="J30" s="226"/>
      <c r="K30" s="216"/>
      <c r="L30" s="229"/>
      <c r="M30" s="230"/>
    </row>
    <row r="31" spans="1:13" ht="15.75" x14ac:dyDescent="0.25">
      <c r="A31" s="332"/>
      <c r="B31" s="219" t="s">
        <v>192</v>
      </c>
      <c r="C31" s="219">
        <v>1</v>
      </c>
      <c r="D31" s="378" t="s">
        <v>109</v>
      </c>
      <c r="E31" s="379"/>
      <c r="F31" s="363"/>
      <c r="G31" s="364"/>
      <c r="H31" s="365"/>
      <c r="I31" s="226"/>
      <c r="J31" s="226"/>
      <c r="K31" s="216"/>
      <c r="L31" s="229"/>
      <c r="M31" s="230"/>
    </row>
    <row r="32" spans="1:13" ht="15.75" x14ac:dyDescent="0.25">
      <c r="A32" s="332"/>
      <c r="B32" s="219"/>
      <c r="C32" s="220">
        <f>C19</f>
        <v>6.4000000000000005E-4</v>
      </c>
      <c r="D32" s="378" t="s">
        <v>118</v>
      </c>
      <c r="E32" s="379"/>
      <c r="F32" s="363"/>
      <c r="G32" s="364"/>
      <c r="H32" s="365"/>
      <c r="I32" s="226"/>
      <c r="J32" s="226"/>
      <c r="K32" s="216"/>
      <c r="L32" s="229"/>
      <c r="M32" s="230"/>
    </row>
    <row r="33" spans="1:13" ht="15.75" x14ac:dyDescent="0.25">
      <c r="A33" s="332"/>
      <c r="B33" s="219"/>
      <c r="C33" s="219">
        <v>0</v>
      </c>
      <c r="D33" s="378" t="s">
        <v>193</v>
      </c>
      <c r="E33" s="379"/>
      <c r="F33" s="363"/>
      <c r="G33" s="364"/>
      <c r="H33" s="365"/>
      <c r="I33" s="226"/>
      <c r="J33" s="226"/>
      <c r="K33" s="216"/>
      <c r="L33" s="229"/>
      <c r="M33" s="230"/>
    </row>
    <row r="34" spans="1:13" ht="15.75" x14ac:dyDescent="0.25">
      <c r="A34" s="332"/>
      <c r="B34" s="219"/>
      <c r="C34" s="219">
        <v>0</v>
      </c>
      <c r="D34" s="378" t="s">
        <v>194</v>
      </c>
      <c r="E34" s="379"/>
      <c r="F34" s="363"/>
      <c r="G34" s="364"/>
      <c r="H34" s="365"/>
      <c r="I34" s="226"/>
      <c r="J34" s="226"/>
      <c r="K34" s="216"/>
      <c r="L34" s="229"/>
      <c r="M34" s="230"/>
    </row>
    <row r="35" spans="1:13" ht="15.75" x14ac:dyDescent="0.25">
      <c r="A35" s="332"/>
      <c r="B35" s="219" t="s">
        <v>195</v>
      </c>
      <c r="C35" s="219">
        <v>1363</v>
      </c>
      <c r="D35" s="400" t="s">
        <v>196</v>
      </c>
      <c r="E35" s="401"/>
      <c r="F35" s="363"/>
      <c r="G35" s="364"/>
      <c r="H35" s="365"/>
      <c r="I35" s="370" t="s">
        <v>210</v>
      </c>
      <c r="J35" s="402"/>
      <c r="K35" s="372"/>
      <c r="L35" s="345">
        <f>C35*C37*C38*C39*C31</f>
        <v>137.08508799999998</v>
      </c>
      <c r="M35" s="346"/>
    </row>
    <row r="36" spans="1:13" ht="15.75" x14ac:dyDescent="0.25">
      <c r="A36" s="332"/>
      <c r="B36" s="219" t="s">
        <v>198</v>
      </c>
      <c r="C36" s="219">
        <v>3431</v>
      </c>
      <c r="D36" s="400" t="s">
        <v>196</v>
      </c>
      <c r="E36" s="401"/>
      <c r="F36" s="363"/>
      <c r="G36" s="364"/>
      <c r="H36" s="365"/>
      <c r="I36" s="370" t="s">
        <v>211</v>
      </c>
      <c r="J36" s="402"/>
      <c r="K36" s="372"/>
      <c r="L36" s="345">
        <f>C36*C40*(C32+C33+C34)</f>
        <v>2.19584</v>
      </c>
      <c r="M36" s="346"/>
    </row>
    <row r="37" spans="1:13" ht="15.75" x14ac:dyDescent="0.25">
      <c r="A37" s="332"/>
      <c r="B37" s="231" t="s">
        <v>200</v>
      </c>
      <c r="C37" s="231">
        <f>1-0.9*(1-(C32+C33+C34))</f>
        <v>0.100576</v>
      </c>
      <c r="D37" s="375" t="s">
        <v>212</v>
      </c>
      <c r="E37" s="376"/>
      <c r="F37" s="363"/>
      <c r="G37" s="364"/>
      <c r="H37" s="365"/>
      <c r="I37" s="226"/>
      <c r="J37" s="226"/>
      <c r="K37" s="216"/>
      <c r="L37" s="229"/>
      <c r="M37" s="230"/>
    </row>
    <row r="38" spans="1:13" ht="15.75" x14ac:dyDescent="0.25">
      <c r="A38" s="332"/>
      <c r="B38" s="231" t="s">
        <v>213</v>
      </c>
      <c r="C38" s="231">
        <f>1+0.1*(1-1)</f>
        <v>1</v>
      </c>
      <c r="D38" s="375" t="s">
        <v>214</v>
      </c>
      <c r="E38" s="376"/>
      <c r="F38" s="363"/>
      <c r="G38" s="364"/>
      <c r="H38" s="365"/>
      <c r="I38" s="226"/>
      <c r="J38" s="226"/>
      <c r="K38" s="216"/>
      <c r="L38" s="229"/>
      <c r="M38" s="230"/>
    </row>
    <row r="39" spans="1:13" ht="15.75" x14ac:dyDescent="0.25">
      <c r="A39" s="332"/>
      <c r="B39" s="231" t="s">
        <v>215</v>
      </c>
      <c r="C39" s="231">
        <f>1+0.1*(1-1)</f>
        <v>1</v>
      </c>
      <c r="D39" s="375" t="s">
        <v>216</v>
      </c>
      <c r="E39" s="376"/>
      <c r="F39" s="363"/>
      <c r="G39" s="364"/>
      <c r="H39" s="365"/>
      <c r="I39" s="226"/>
      <c r="J39" s="226"/>
      <c r="K39" s="216"/>
      <c r="L39" s="229"/>
      <c r="M39" s="230"/>
    </row>
    <row r="40" spans="1:13" ht="15.75" x14ac:dyDescent="0.25">
      <c r="A40" s="332"/>
      <c r="B40" s="231" t="s">
        <v>217</v>
      </c>
      <c r="C40" s="231">
        <f>1+0.01*(5-5)</f>
        <v>1</v>
      </c>
      <c r="D40" s="375" t="s">
        <v>218</v>
      </c>
      <c r="E40" s="376"/>
      <c r="F40" s="362"/>
      <c r="G40" s="351"/>
      <c r="H40" s="352"/>
      <c r="I40" s="222"/>
      <c r="J40" s="211"/>
      <c r="K40" s="223"/>
      <c r="L40" s="232"/>
      <c r="M40" s="233"/>
    </row>
    <row r="41" spans="1:13" ht="15.75" customHeight="1" x14ac:dyDescent="0.25">
      <c r="A41" s="332"/>
      <c r="B41" s="355">
        <v>2.2200000000000002</v>
      </c>
      <c r="C41" s="361" t="s">
        <v>205</v>
      </c>
      <c r="D41" s="349"/>
      <c r="E41" s="350"/>
      <c r="F41" s="334" t="s">
        <v>206</v>
      </c>
      <c r="G41" s="335"/>
      <c r="H41" s="336"/>
      <c r="I41" s="226"/>
      <c r="J41" s="226"/>
      <c r="K41" s="216"/>
      <c r="L41" s="343">
        <f>(L35+L36)*B41</f>
        <v>309.20366016000003</v>
      </c>
      <c r="M41" s="344"/>
    </row>
    <row r="42" spans="1:13" ht="15.75" x14ac:dyDescent="0.25">
      <c r="A42" s="332"/>
      <c r="B42" s="356"/>
      <c r="C42" s="362"/>
      <c r="D42" s="351"/>
      <c r="E42" s="352"/>
      <c r="F42" s="340"/>
      <c r="G42" s="341"/>
      <c r="H42" s="342"/>
      <c r="I42" s="222"/>
      <c r="J42" s="211"/>
      <c r="K42" s="223"/>
      <c r="L42" s="347"/>
      <c r="M42" s="348"/>
    </row>
    <row r="43" spans="1:13" ht="12" customHeight="1" x14ac:dyDescent="0.2">
      <c r="A43" s="332"/>
      <c r="B43" s="361" t="s">
        <v>219</v>
      </c>
      <c r="C43" s="349"/>
      <c r="D43" s="349"/>
      <c r="E43" s="350"/>
      <c r="F43" s="334"/>
      <c r="G43" s="335"/>
      <c r="H43" s="336"/>
      <c r="I43" s="380">
        <v>0.1</v>
      </c>
      <c r="J43" s="381"/>
      <c r="K43" s="382"/>
      <c r="L43" s="343">
        <f>L41*I43</f>
        <v>30.920366016000003</v>
      </c>
      <c r="M43" s="344"/>
    </row>
    <row r="44" spans="1:13" ht="12.75" customHeight="1" x14ac:dyDescent="0.2">
      <c r="A44" s="332"/>
      <c r="B44" s="363"/>
      <c r="C44" s="364"/>
      <c r="D44" s="364"/>
      <c r="E44" s="365"/>
      <c r="F44" s="337"/>
      <c r="G44" s="338"/>
      <c r="H44" s="339"/>
      <c r="I44" s="383"/>
      <c r="J44" s="384"/>
      <c r="K44" s="385"/>
      <c r="L44" s="345"/>
      <c r="M44" s="346"/>
    </row>
    <row r="45" spans="1:13" ht="12.75" customHeight="1" x14ac:dyDescent="0.2">
      <c r="A45" s="332"/>
      <c r="B45" s="362"/>
      <c r="C45" s="351"/>
      <c r="D45" s="351"/>
      <c r="E45" s="352"/>
      <c r="F45" s="340"/>
      <c r="G45" s="341"/>
      <c r="H45" s="342"/>
      <c r="I45" s="386"/>
      <c r="J45" s="387"/>
      <c r="K45" s="388"/>
      <c r="L45" s="347"/>
      <c r="M45" s="348"/>
    </row>
    <row r="46" spans="1:13" ht="15.75" x14ac:dyDescent="0.25">
      <c r="A46" s="333"/>
      <c r="B46" s="328" t="s">
        <v>207</v>
      </c>
      <c r="C46" s="329"/>
      <c r="D46" s="329"/>
      <c r="E46" s="329"/>
      <c r="F46" s="227"/>
      <c r="G46" s="227"/>
      <c r="H46" s="234"/>
      <c r="I46" s="211"/>
      <c r="J46" s="211"/>
      <c r="K46" s="223"/>
      <c r="L46" s="389">
        <f>L43+L41</f>
        <v>340.12402617600003</v>
      </c>
      <c r="M46" s="390"/>
    </row>
    <row r="47" spans="1:13" ht="15.75" customHeight="1" x14ac:dyDescent="0.25">
      <c r="A47" s="361">
        <v>3</v>
      </c>
      <c r="B47" s="361" t="s">
        <v>220</v>
      </c>
      <c r="C47" s="349"/>
      <c r="D47" s="349"/>
      <c r="E47" s="350"/>
      <c r="F47" s="391" t="s">
        <v>221</v>
      </c>
      <c r="G47" s="392"/>
      <c r="H47" s="393"/>
      <c r="I47" s="226"/>
      <c r="J47" s="226"/>
      <c r="K47" s="216"/>
      <c r="L47" s="229"/>
      <c r="M47" s="230"/>
    </row>
    <row r="48" spans="1:13" ht="15.75" customHeight="1" x14ac:dyDescent="0.25">
      <c r="A48" s="363"/>
      <c r="B48" s="362"/>
      <c r="C48" s="351"/>
      <c r="D48" s="351"/>
      <c r="E48" s="352"/>
      <c r="F48" s="394"/>
      <c r="G48" s="395"/>
      <c r="H48" s="396"/>
      <c r="I48" s="226"/>
      <c r="J48" s="226"/>
      <c r="K48" s="216"/>
      <c r="L48" s="229"/>
      <c r="M48" s="230"/>
    </row>
    <row r="49" spans="1:13" ht="15.75" x14ac:dyDescent="0.25">
      <c r="A49" s="363"/>
      <c r="B49" s="219" t="s">
        <v>192</v>
      </c>
      <c r="C49" s="219">
        <v>1</v>
      </c>
      <c r="D49" s="378" t="s">
        <v>109</v>
      </c>
      <c r="E49" s="379"/>
      <c r="F49" s="394"/>
      <c r="G49" s="395"/>
      <c r="H49" s="396"/>
      <c r="I49" s="226"/>
      <c r="J49" s="226"/>
      <c r="K49" s="216"/>
      <c r="L49" s="229"/>
      <c r="M49" s="230"/>
    </row>
    <row r="50" spans="1:13" ht="15.75" x14ac:dyDescent="0.25">
      <c r="A50" s="363"/>
      <c r="B50" s="219"/>
      <c r="C50" s="219">
        <f>C32</f>
        <v>6.4000000000000005E-4</v>
      </c>
      <c r="D50" s="378" t="s">
        <v>118</v>
      </c>
      <c r="E50" s="379"/>
      <c r="F50" s="394"/>
      <c r="G50" s="395"/>
      <c r="H50" s="396"/>
      <c r="I50" s="226"/>
      <c r="J50" s="226"/>
      <c r="K50" s="216"/>
      <c r="L50" s="229"/>
      <c r="M50" s="230"/>
    </row>
    <row r="51" spans="1:13" ht="15.75" x14ac:dyDescent="0.25">
      <c r="A51" s="363"/>
      <c r="B51" s="219"/>
      <c r="C51" s="219">
        <v>0</v>
      </c>
      <c r="D51" s="378" t="s">
        <v>193</v>
      </c>
      <c r="E51" s="379"/>
      <c r="F51" s="394"/>
      <c r="G51" s="395"/>
      <c r="H51" s="396"/>
      <c r="I51" s="226"/>
      <c r="J51" s="226"/>
      <c r="K51" s="216"/>
      <c r="L51" s="229"/>
      <c r="M51" s="230"/>
    </row>
    <row r="52" spans="1:13" ht="15.75" x14ac:dyDescent="0.25">
      <c r="A52" s="363"/>
      <c r="B52" s="219"/>
      <c r="C52" s="219">
        <v>0</v>
      </c>
      <c r="D52" s="378" t="s">
        <v>194</v>
      </c>
      <c r="E52" s="379"/>
      <c r="F52" s="394"/>
      <c r="G52" s="395"/>
      <c r="H52" s="396"/>
      <c r="I52" s="226"/>
      <c r="J52" s="226"/>
      <c r="K52" s="216"/>
      <c r="L52" s="229"/>
      <c r="M52" s="230"/>
    </row>
    <row r="53" spans="1:13" ht="15.75" x14ac:dyDescent="0.25">
      <c r="A53" s="363"/>
      <c r="B53" s="219" t="s">
        <v>195</v>
      </c>
      <c r="C53" s="219">
        <v>355</v>
      </c>
      <c r="D53" s="400" t="s">
        <v>196</v>
      </c>
      <c r="E53" s="401"/>
      <c r="F53" s="394"/>
      <c r="G53" s="395"/>
      <c r="H53" s="396"/>
      <c r="I53" s="370" t="s">
        <v>222</v>
      </c>
      <c r="J53" s="402"/>
      <c r="K53" s="372"/>
      <c r="L53" s="345">
        <f>C53*C55*C56*C57*C58*C59*C49</f>
        <v>42.72268799999997</v>
      </c>
      <c r="M53" s="346"/>
    </row>
    <row r="54" spans="1:13" ht="15.75" x14ac:dyDescent="0.25">
      <c r="A54" s="363"/>
      <c r="B54" s="219" t="s">
        <v>198</v>
      </c>
      <c r="C54" s="219">
        <v>22</v>
      </c>
      <c r="D54" s="400" t="s">
        <v>196</v>
      </c>
      <c r="E54" s="401"/>
      <c r="F54" s="394"/>
      <c r="G54" s="395"/>
      <c r="H54" s="396"/>
      <c r="I54" s="370" t="s">
        <v>223</v>
      </c>
      <c r="J54" s="402"/>
      <c r="K54" s="372"/>
      <c r="L54" s="345">
        <f>C54*C61*C60*C62*(C50+C51+C52)</f>
        <v>2.2528000000000003E-2</v>
      </c>
      <c r="M54" s="346"/>
    </row>
    <row r="55" spans="1:13" ht="15.75" x14ac:dyDescent="0.25">
      <c r="A55" s="363"/>
      <c r="B55" s="231" t="s">
        <v>224</v>
      </c>
      <c r="C55" s="231">
        <f>1+0.15*(1-1)</f>
        <v>1</v>
      </c>
      <c r="D55" s="375" t="s">
        <v>225</v>
      </c>
      <c r="E55" s="376"/>
      <c r="F55" s="394"/>
      <c r="G55" s="395"/>
      <c r="H55" s="396"/>
      <c r="I55" s="226"/>
      <c r="J55" s="226"/>
      <c r="K55" s="216"/>
      <c r="L55" s="229"/>
      <c r="M55" s="230"/>
    </row>
    <row r="56" spans="1:13" ht="15.75" x14ac:dyDescent="0.25">
      <c r="A56" s="363"/>
      <c r="B56" s="231" t="s">
        <v>200</v>
      </c>
      <c r="C56" s="231">
        <f>1-0.45*(2-(C50+C51+C52))</f>
        <v>0.10028799999999993</v>
      </c>
      <c r="D56" s="375" t="s">
        <v>226</v>
      </c>
      <c r="E56" s="376"/>
      <c r="F56" s="394"/>
      <c r="G56" s="395"/>
      <c r="H56" s="396"/>
      <c r="I56" s="226"/>
      <c r="J56" s="226"/>
      <c r="K56" s="216"/>
      <c r="L56" s="229"/>
      <c r="M56" s="230"/>
    </row>
    <row r="57" spans="1:13" ht="15.75" x14ac:dyDescent="0.25">
      <c r="A57" s="363"/>
      <c r="B57" s="231" t="s">
        <v>202</v>
      </c>
      <c r="C57" s="231">
        <f>1+0.05*0</f>
        <v>1</v>
      </c>
      <c r="D57" s="375" t="s">
        <v>227</v>
      </c>
      <c r="E57" s="376"/>
      <c r="F57" s="394"/>
      <c r="G57" s="395"/>
      <c r="H57" s="396"/>
      <c r="I57" s="226"/>
      <c r="J57" s="226"/>
      <c r="K57" s="216"/>
      <c r="L57" s="229"/>
      <c r="M57" s="230"/>
    </row>
    <row r="58" spans="1:13" ht="15.75" x14ac:dyDescent="0.25">
      <c r="A58" s="363"/>
      <c r="B58" s="231" t="s">
        <v>228</v>
      </c>
      <c r="C58" s="231">
        <f>1+0.1*0</f>
        <v>1</v>
      </c>
      <c r="D58" s="375" t="s">
        <v>229</v>
      </c>
      <c r="E58" s="376"/>
      <c r="F58" s="394"/>
      <c r="G58" s="395"/>
      <c r="H58" s="396"/>
      <c r="I58" s="226"/>
      <c r="J58" s="226"/>
      <c r="K58" s="216"/>
      <c r="L58" s="229"/>
      <c r="M58" s="230"/>
    </row>
    <row r="59" spans="1:13" ht="15.75" customHeight="1" x14ac:dyDescent="0.25">
      <c r="A59" s="363"/>
      <c r="B59" s="219" t="s">
        <v>215</v>
      </c>
      <c r="C59" s="219">
        <f>1+0.1*(3-1)</f>
        <v>1.2</v>
      </c>
      <c r="D59" s="375" t="s">
        <v>216</v>
      </c>
      <c r="E59" s="376"/>
      <c r="F59" s="394"/>
      <c r="G59" s="395"/>
      <c r="H59" s="396"/>
      <c r="I59" s="226"/>
      <c r="J59" s="226"/>
      <c r="K59" s="216"/>
      <c r="L59" s="229"/>
      <c r="M59" s="230"/>
    </row>
    <row r="60" spans="1:13" ht="15.75" x14ac:dyDescent="0.25">
      <c r="A60" s="363"/>
      <c r="B60" s="231" t="s">
        <v>203</v>
      </c>
      <c r="C60" s="235">
        <f>1+0.1*(5-5)</f>
        <v>1</v>
      </c>
      <c r="D60" s="375" t="s">
        <v>230</v>
      </c>
      <c r="E60" s="376"/>
      <c r="F60" s="394"/>
      <c r="G60" s="395"/>
      <c r="H60" s="396"/>
      <c r="I60" s="236"/>
      <c r="J60" s="226"/>
      <c r="K60" s="216"/>
      <c r="L60" s="237"/>
      <c r="M60" s="230"/>
    </row>
    <row r="61" spans="1:13" ht="15.75" x14ac:dyDescent="0.25">
      <c r="A61" s="363"/>
      <c r="B61" s="231" t="s">
        <v>231</v>
      </c>
      <c r="C61" s="219">
        <f>1+0.1*0</f>
        <v>1</v>
      </c>
      <c r="D61" s="375" t="s">
        <v>229</v>
      </c>
      <c r="E61" s="376"/>
      <c r="F61" s="394"/>
      <c r="G61" s="395"/>
      <c r="H61" s="396"/>
      <c r="K61" s="238"/>
      <c r="L61" s="239"/>
      <c r="M61" s="240"/>
    </row>
    <row r="62" spans="1:13" ht="15.75" customHeight="1" x14ac:dyDescent="0.25">
      <c r="A62" s="363"/>
      <c r="B62" s="231" t="s">
        <v>232</v>
      </c>
      <c r="C62" s="219">
        <v>1.6</v>
      </c>
      <c r="D62" s="375" t="s">
        <v>233</v>
      </c>
      <c r="E62" s="376"/>
      <c r="F62" s="397"/>
      <c r="G62" s="398"/>
      <c r="H62" s="399"/>
      <c r="I62" s="241"/>
      <c r="J62" s="242"/>
      <c r="K62" s="243"/>
      <c r="L62" s="239"/>
      <c r="M62" s="244"/>
    </row>
    <row r="63" spans="1:13" ht="15.75" x14ac:dyDescent="0.25">
      <c r="A63" s="363"/>
      <c r="B63" s="355">
        <v>1.99</v>
      </c>
      <c r="C63" s="349" t="s">
        <v>205</v>
      </c>
      <c r="D63" s="349"/>
      <c r="E63" s="350"/>
      <c r="F63" s="334" t="s">
        <v>206</v>
      </c>
      <c r="G63" s="335"/>
      <c r="H63" s="336"/>
      <c r="I63" s="226"/>
      <c r="J63" s="226"/>
      <c r="K63" s="216"/>
      <c r="L63" s="343">
        <f>(L53+L54)*B63</f>
        <v>85.06297983999994</v>
      </c>
      <c r="M63" s="344"/>
    </row>
    <row r="64" spans="1:13" ht="15.75" x14ac:dyDescent="0.25">
      <c r="A64" s="363"/>
      <c r="B64" s="356"/>
      <c r="C64" s="351"/>
      <c r="D64" s="351"/>
      <c r="E64" s="352"/>
      <c r="F64" s="340"/>
      <c r="G64" s="341"/>
      <c r="H64" s="342"/>
      <c r="I64" s="222"/>
      <c r="J64" s="211"/>
      <c r="K64" s="223"/>
      <c r="L64" s="347"/>
      <c r="M64" s="348"/>
    </row>
    <row r="65" spans="1:13" ht="15.75" x14ac:dyDescent="0.25">
      <c r="A65" s="362"/>
      <c r="B65" s="328" t="s">
        <v>207</v>
      </c>
      <c r="C65" s="329"/>
      <c r="D65" s="329"/>
      <c r="E65" s="329"/>
      <c r="F65" s="234"/>
      <c r="G65" s="227"/>
      <c r="H65" s="227"/>
      <c r="I65" s="227"/>
      <c r="J65" s="227"/>
      <c r="K65" s="228"/>
      <c r="L65" s="389">
        <f>L63</f>
        <v>85.06297983999994</v>
      </c>
      <c r="M65" s="390"/>
    </row>
    <row r="66" spans="1:13" ht="11.25" customHeight="1" x14ac:dyDescent="0.25">
      <c r="A66" s="331">
        <v>4</v>
      </c>
      <c r="B66" s="361" t="s">
        <v>234</v>
      </c>
      <c r="C66" s="349"/>
      <c r="D66" s="349"/>
      <c r="E66" s="350"/>
      <c r="F66" s="361" t="s">
        <v>235</v>
      </c>
      <c r="G66" s="364"/>
      <c r="H66" s="365"/>
      <c r="I66" s="205"/>
      <c r="J66" s="205"/>
      <c r="K66" s="216"/>
      <c r="L66" s="217"/>
      <c r="M66" s="218"/>
    </row>
    <row r="67" spans="1:13" ht="11.25" customHeight="1" x14ac:dyDescent="0.25">
      <c r="A67" s="332"/>
      <c r="B67" s="362"/>
      <c r="C67" s="351"/>
      <c r="D67" s="351"/>
      <c r="E67" s="352"/>
      <c r="F67" s="363"/>
      <c r="G67" s="377"/>
      <c r="H67" s="365"/>
      <c r="I67" s="205"/>
      <c r="J67" s="205"/>
      <c r="K67" s="216"/>
      <c r="L67" s="217"/>
      <c r="M67" s="218"/>
    </row>
    <row r="68" spans="1:13" ht="15.75" x14ac:dyDescent="0.25">
      <c r="A68" s="332"/>
      <c r="B68" s="219" t="s">
        <v>192</v>
      </c>
      <c r="C68" s="219">
        <v>1</v>
      </c>
      <c r="D68" s="378" t="s">
        <v>109</v>
      </c>
      <c r="E68" s="379"/>
      <c r="F68" s="363"/>
      <c r="G68" s="377"/>
      <c r="H68" s="365"/>
      <c r="I68" s="205"/>
      <c r="J68" s="205"/>
      <c r="K68" s="216"/>
      <c r="L68" s="217"/>
      <c r="M68" s="218"/>
    </row>
    <row r="69" spans="1:13" ht="15.75" x14ac:dyDescent="0.25">
      <c r="A69" s="332"/>
      <c r="B69" s="219"/>
      <c r="C69" s="219">
        <f>(1600*2+4*2)/1000</f>
        <v>3.2080000000000002</v>
      </c>
      <c r="D69" s="378" t="s">
        <v>236</v>
      </c>
      <c r="E69" s="379"/>
      <c r="F69" s="363"/>
      <c r="G69" s="377"/>
      <c r="H69" s="365"/>
      <c r="I69" s="205"/>
      <c r="J69" s="205"/>
      <c r="K69" s="216"/>
      <c r="L69" s="217"/>
      <c r="M69" s="218"/>
    </row>
    <row r="70" spans="1:13" ht="15.75" x14ac:dyDescent="0.25">
      <c r="A70" s="332"/>
      <c r="B70" s="219"/>
      <c r="C70" s="219">
        <v>0</v>
      </c>
      <c r="D70" s="378" t="s">
        <v>237</v>
      </c>
      <c r="E70" s="379"/>
      <c r="F70" s="363"/>
      <c r="G70" s="377"/>
      <c r="H70" s="365"/>
      <c r="I70" s="205"/>
      <c r="J70" s="205"/>
      <c r="K70" s="216"/>
      <c r="L70" s="217"/>
      <c r="M70" s="218"/>
    </row>
    <row r="71" spans="1:13" ht="15.75" x14ac:dyDescent="0.25">
      <c r="A71" s="332"/>
      <c r="B71" s="219"/>
      <c r="C71" s="219">
        <v>0</v>
      </c>
      <c r="D71" s="378" t="s">
        <v>238</v>
      </c>
      <c r="E71" s="379"/>
      <c r="F71" s="363"/>
      <c r="G71" s="377"/>
      <c r="H71" s="365"/>
      <c r="I71" s="205"/>
      <c r="J71" s="205"/>
      <c r="K71" s="216"/>
      <c r="L71" s="217"/>
      <c r="M71" s="218"/>
    </row>
    <row r="72" spans="1:13" ht="15.75" x14ac:dyDescent="0.25">
      <c r="A72" s="332"/>
      <c r="B72" s="219" t="s">
        <v>195</v>
      </c>
      <c r="C72" s="219">
        <v>882</v>
      </c>
      <c r="D72" s="375" t="s">
        <v>196</v>
      </c>
      <c r="E72" s="376"/>
      <c r="F72" s="363"/>
      <c r="G72" s="377"/>
      <c r="H72" s="365"/>
      <c r="I72" s="370" t="s">
        <v>239</v>
      </c>
      <c r="J72" s="371"/>
      <c r="K72" s="372"/>
      <c r="L72" s="353">
        <f>C72*C68*C74</f>
        <v>232.98911999999996</v>
      </c>
      <c r="M72" s="354"/>
    </row>
    <row r="73" spans="1:13" ht="15.75" x14ac:dyDescent="0.25">
      <c r="A73" s="332"/>
      <c r="B73" s="235" t="s">
        <v>198</v>
      </c>
      <c r="C73" s="235">
        <v>11</v>
      </c>
      <c r="D73" s="374" t="s">
        <v>196</v>
      </c>
      <c r="E73" s="369"/>
      <c r="F73" s="363"/>
      <c r="G73" s="377"/>
      <c r="H73" s="365"/>
      <c r="I73" s="370" t="s">
        <v>240</v>
      </c>
      <c r="J73" s="371"/>
      <c r="K73" s="372"/>
      <c r="L73" s="353">
        <f>C73*C75*C76*C77*(C69+C70+C71)</f>
        <v>76.222079999999991</v>
      </c>
      <c r="M73" s="354"/>
    </row>
    <row r="74" spans="1:13" ht="15.75" x14ac:dyDescent="0.25">
      <c r="A74" s="332"/>
      <c r="B74" s="219" t="s">
        <v>200</v>
      </c>
      <c r="C74" s="219">
        <f>1-0.02*(40-(C69+C70+C71))</f>
        <v>0.26415999999999995</v>
      </c>
      <c r="D74" s="375" t="s">
        <v>241</v>
      </c>
      <c r="E74" s="376"/>
      <c r="F74" s="363"/>
      <c r="G74" s="377"/>
      <c r="H74" s="365"/>
      <c r="I74" s="205"/>
      <c r="J74" s="205"/>
      <c r="K74" s="216"/>
      <c r="L74" s="217"/>
      <c r="M74" s="218"/>
    </row>
    <row r="75" spans="1:13" ht="15.75" x14ac:dyDescent="0.25">
      <c r="A75" s="332"/>
      <c r="B75" s="219" t="s">
        <v>217</v>
      </c>
      <c r="C75" s="219">
        <f>1+0.05*(5-1)</f>
        <v>1.2</v>
      </c>
      <c r="D75" s="375" t="s">
        <v>242</v>
      </c>
      <c r="E75" s="376"/>
      <c r="F75" s="363"/>
      <c r="G75" s="377"/>
      <c r="H75" s="365"/>
      <c r="I75" s="205"/>
      <c r="J75" s="205"/>
      <c r="K75" s="216"/>
      <c r="L75" s="217"/>
      <c r="M75" s="218"/>
    </row>
    <row r="76" spans="1:13" ht="15.75" x14ac:dyDescent="0.25">
      <c r="A76" s="332"/>
      <c r="B76" s="219" t="s">
        <v>231</v>
      </c>
      <c r="C76" s="219">
        <f>1+0.1*(3-1)</f>
        <v>1.2</v>
      </c>
      <c r="D76" s="375" t="s">
        <v>243</v>
      </c>
      <c r="E76" s="376"/>
      <c r="F76" s="363"/>
      <c r="G76" s="377"/>
      <c r="H76" s="365"/>
      <c r="I76" s="205"/>
      <c r="J76" s="205"/>
      <c r="K76" s="216"/>
      <c r="L76" s="217"/>
      <c r="M76" s="218"/>
    </row>
    <row r="77" spans="1:13" ht="15.75" x14ac:dyDescent="0.25">
      <c r="A77" s="332"/>
      <c r="B77" s="221" t="s">
        <v>244</v>
      </c>
      <c r="C77" s="221">
        <v>1.5</v>
      </c>
      <c r="D77" s="375" t="s">
        <v>245</v>
      </c>
      <c r="E77" s="376"/>
      <c r="F77" s="362"/>
      <c r="G77" s="351"/>
      <c r="H77" s="352"/>
      <c r="I77" s="222"/>
      <c r="J77" s="211"/>
      <c r="K77" s="223"/>
      <c r="L77" s="224"/>
      <c r="M77" s="225"/>
    </row>
    <row r="78" spans="1:13" ht="15.75" x14ac:dyDescent="0.25">
      <c r="A78" s="332"/>
      <c r="B78" s="355">
        <v>2.2200000000000002</v>
      </c>
      <c r="C78" s="349" t="s">
        <v>205</v>
      </c>
      <c r="D78" s="349"/>
      <c r="E78" s="350"/>
      <c r="F78" s="334" t="s">
        <v>206</v>
      </c>
      <c r="G78" s="335"/>
      <c r="H78" s="336"/>
      <c r="I78" s="205"/>
      <c r="J78" s="205"/>
      <c r="K78" s="216"/>
      <c r="L78" s="343">
        <f>(L72+L73)*B78</f>
        <v>686.44886399999996</v>
      </c>
      <c r="M78" s="344"/>
    </row>
    <row r="79" spans="1:13" ht="15.75" x14ac:dyDescent="0.25">
      <c r="A79" s="332"/>
      <c r="B79" s="356"/>
      <c r="C79" s="351"/>
      <c r="D79" s="351"/>
      <c r="E79" s="352"/>
      <c r="F79" s="340"/>
      <c r="G79" s="341"/>
      <c r="H79" s="342"/>
      <c r="I79" s="222"/>
      <c r="J79" s="211"/>
      <c r="K79" s="223"/>
      <c r="L79" s="347"/>
      <c r="M79" s="348"/>
    </row>
    <row r="80" spans="1:13" ht="12" customHeight="1" x14ac:dyDescent="0.2">
      <c r="A80" s="332"/>
      <c r="B80" s="361" t="s">
        <v>219</v>
      </c>
      <c r="C80" s="349"/>
      <c r="D80" s="349"/>
      <c r="E80" s="350"/>
      <c r="F80" s="334"/>
      <c r="G80" s="335"/>
      <c r="H80" s="336"/>
      <c r="I80" s="380">
        <v>0.1</v>
      </c>
      <c r="J80" s="381"/>
      <c r="K80" s="382"/>
      <c r="L80" s="343">
        <f>L78*I80</f>
        <v>68.644886400000004</v>
      </c>
      <c r="M80" s="344"/>
    </row>
    <row r="81" spans="1:13" ht="12.75" customHeight="1" x14ac:dyDescent="0.2">
      <c r="A81" s="332"/>
      <c r="B81" s="363"/>
      <c r="C81" s="364"/>
      <c r="D81" s="364"/>
      <c r="E81" s="365"/>
      <c r="F81" s="337"/>
      <c r="G81" s="338"/>
      <c r="H81" s="339"/>
      <c r="I81" s="383"/>
      <c r="J81" s="384"/>
      <c r="K81" s="385"/>
      <c r="L81" s="345"/>
      <c r="M81" s="346"/>
    </row>
    <row r="82" spans="1:13" ht="12.75" customHeight="1" x14ac:dyDescent="0.2">
      <c r="A82" s="332"/>
      <c r="B82" s="362"/>
      <c r="C82" s="351"/>
      <c r="D82" s="351"/>
      <c r="E82" s="352"/>
      <c r="F82" s="340"/>
      <c r="G82" s="341"/>
      <c r="H82" s="342"/>
      <c r="I82" s="386"/>
      <c r="J82" s="387"/>
      <c r="K82" s="388"/>
      <c r="L82" s="347"/>
      <c r="M82" s="348"/>
    </row>
    <row r="83" spans="1:13" ht="15.75" x14ac:dyDescent="0.25">
      <c r="A83" s="333"/>
      <c r="B83" s="328" t="s">
        <v>207</v>
      </c>
      <c r="C83" s="329"/>
      <c r="D83" s="329"/>
      <c r="E83" s="329"/>
      <c r="F83" s="227"/>
      <c r="G83" s="227"/>
      <c r="H83" s="234"/>
      <c r="I83" s="211"/>
      <c r="J83" s="211"/>
      <c r="K83" s="223"/>
      <c r="L83" s="389">
        <f>L80+L78</f>
        <v>755.09375039999998</v>
      </c>
      <c r="M83" s="390"/>
    </row>
    <row r="84" spans="1:13" ht="15.75" x14ac:dyDescent="0.25">
      <c r="A84" s="331">
        <v>5</v>
      </c>
      <c r="B84" s="361" t="s">
        <v>246</v>
      </c>
      <c r="C84" s="349"/>
      <c r="D84" s="349"/>
      <c r="E84" s="350"/>
      <c r="F84" s="361" t="s">
        <v>247</v>
      </c>
      <c r="G84" s="349"/>
      <c r="H84" s="350"/>
      <c r="I84" s="205"/>
      <c r="J84" s="205"/>
      <c r="K84" s="216"/>
      <c r="L84" s="217"/>
      <c r="M84" s="218"/>
    </row>
    <row r="85" spans="1:13" ht="15.75" x14ac:dyDescent="0.25">
      <c r="A85" s="332"/>
      <c r="B85" s="362"/>
      <c r="C85" s="351"/>
      <c r="D85" s="351"/>
      <c r="E85" s="352"/>
      <c r="F85" s="363"/>
      <c r="G85" s="364"/>
      <c r="H85" s="365"/>
      <c r="I85" s="205"/>
      <c r="J85" s="205"/>
      <c r="K85" s="216"/>
      <c r="L85" s="217"/>
      <c r="M85" s="218"/>
    </row>
    <row r="86" spans="1:13" ht="15.75" x14ac:dyDescent="0.25">
      <c r="A86" s="332"/>
      <c r="B86" s="231" t="s">
        <v>192</v>
      </c>
      <c r="C86" s="231">
        <v>1</v>
      </c>
      <c r="D86" s="366" t="s">
        <v>248</v>
      </c>
      <c r="E86" s="367"/>
      <c r="F86" s="363"/>
      <c r="G86" s="364"/>
      <c r="H86" s="365"/>
      <c r="I86" s="205"/>
      <c r="J86" s="205"/>
      <c r="K86" s="216"/>
      <c r="L86" s="217"/>
      <c r="M86" s="218"/>
    </row>
    <row r="87" spans="1:13" ht="15.75" x14ac:dyDescent="0.25">
      <c r="A87" s="332"/>
      <c r="B87" s="235"/>
      <c r="C87" s="235"/>
      <c r="D87" s="205"/>
      <c r="E87" s="216"/>
      <c r="F87" s="363"/>
      <c r="G87" s="364"/>
      <c r="H87" s="365"/>
      <c r="I87" s="205"/>
      <c r="J87" s="205"/>
      <c r="K87" s="216"/>
      <c r="L87" s="217"/>
      <c r="M87" s="218"/>
    </row>
    <row r="88" spans="1:13" ht="15.75" x14ac:dyDescent="0.25">
      <c r="A88" s="332"/>
      <c r="B88" s="235"/>
      <c r="C88" s="235">
        <v>200</v>
      </c>
      <c r="D88" s="368" t="s">
        <v>196</v>
      </c>
      <c r="E88" s="369"/>
      <c r="F88" s="363"/>
      <c r="G88" s="364"/>
      <c r="H88" s="365"/>
      <c r="I88" s="370" t="s">
        <v>249</v>
      </c>
      <c r="J88" s="371"/>
      <c r="K88" s="372"/>
      <c r="L88" s="353">
        <f>C88*C86</f>
        <v>200</v>
      </c>
      <c r="M88" s="354"/>
    </row>
    <row r="89" spans="1:13" ht="15.75" x14ac:dyDescent="0.25">
      <c r="A89" s="332"/>
      <c r="B89" s="221"/>
      <c r="C89" s="221"/>
      <c r="D89" s="211"/>
      <c r="E89" s="223"/>
      <c r="F89" s="362"/>
      <c r="G89" s="351"/>
      <c r="H89" s="352"/>
      <c r="I89" s="222"/>
      <c r="J89" s="211"/>
      <c r="K89" s="223"/>
      <c r="L89" s="224"/>
      <c r="M89" s="225"/>
    </row>
    <row r="90" spans="1:13" ht="15.75" x14ac:dyDescent="0.2">
      <c r="A90" s="332"/>
      <c r="B90" s="355">
        <v>1</v>
      </c>
      <c r="C90" s="349" t="s">
        <v>205</v>
      </c>
      <c r="D90" s="349"/>
      <c r="E90" s="350"/>
      <c r="F90" s="334" t="s">
        <v>206</v>
      </c>
      <c r="G90" s="335"/>
      <c r="H90" s="336"/>
      <c r="I90" s="245"/>
      <c r="J90" s="245"/>
      <c r="K90" s="246"/>
      <c r="L90" s="357">
        <f>L88*B90</f>
        <v>200</v>
      </c>
      <c r="M90" s="358"/>
    </row>
    <row r="91" spans="1:13" ht="15.75" x14ac:dyDescent="0.2">
      <c r="A91" s="332"/>
      <c r="B91" s="356"/>
      <c r="C91" s="351"/>
      <c r="D91" s="351"/>
      <c r="E91" s="352"/>
      <c r="F91" s="340"/>
      <c r="G91" s="341"/>
      <c r="H91" s="342"/>
      <c r="I91" s="247"/>
      <c r="J91" s="248"/>
      <c r="K91" s="249"/>
      <c r="L91" s="359"/>
      <c r="M91" s="360"/>
    </row>
    <row r="92" spans="1:13" ht="15.75" x14ac:dyDescent="0.25">
      <c r="A92" s="333"/>
      <c r="B92" s="373" t="s">
        <v>207</v>
      </c>
      <c r="C92" s="329"/>
      <c r="D92" s="329"/>
      <c r="E92" s="329"/>
      <c r="F92" s="227"/>
      <c r="G92" s="227"/>
      <c r="H92" s="227"/>
      <c r="I92" s="227"/>
      <c r="J92" s="211"/>
      <c r="K92" s="223"/>
      <c r="L92" s="326">
        <f>L90</f>
        <v>200</v>
      </c>
      <c r="M92" s="327"/>
    </row>
    <row r="93" spans="1:13" ht="15.75" x14ac:dyDescent="0.25">
      <c r="A93" s="213">
        <v>6</v>
      </c>
      <c r="B93" s="328" t="s">
        <v>250</v>
      </c>
      <c r="C93" s="329"/>
      <c r="D93" s="329"/>
      <c r="E93" s="329"/>
      <c r="F93" s="329"/>
      <c r="G93" s="329"/>
      <c r="H93" s="329"/>
      <c r="I93" s="329"/>
      <c r="J93" s="329"/>
      <c r="K93" s="330"/>
      <c r="L93" s="326">
        <f>L92+L83+L65+L46+L28</f>
        <v>1391.5019559754751</v>
      </c>
      <c r="M93" s="327"/>
    </row>
    <row r="94" spans="1:13" ht="12.75" customHeight="1" x14ac:dyDescent="0.2">
      <c r="A94" s="331">
        <v>7</v>
      </c>
      <c r="B94" s="312" t="s">
        <v>183</v>
      </c>
      <c r="C94" s="313"/>
      <c r="D94" s="313"/>
      <c r="E94" s="313"/>
      <c r="F94" s="313"/>
      <c r="G94" s="313"/>
      <c r="H94" s="314"/>
      <c r="I94" s="334">
        <v>15.505898999999999</v>
      </c>
      <c r="J94" s="335"/>
      <c r="K94" s="336"/>
      <c r="L94" s="343">
        <f>ROUND(L93*I94,0)</f>
        <v>21576</v>
      </c>
      <c r="M94" s="344"/>
    </row>
    <row r="95" spans="1:13" ht="18.75" customHeight="1" x14ac:dyDescent="0.2">
      <c r="A95" s="332"/>
      <c r="B95" s="315"/>
      <c r="C95" s="316"/>
      <c r="D95" s="316"/>
      <c r="E95" s="316"/>
      <c r="F95" s="316"/>
      <c r="G95" s="316"/>
      <c r="H95" s="317"/>
      <c r="I95" s="337"/>
      <c r="J95" s="338"/>
      <c r="K95" s="339"/>
      <c r="L95" s="345"/>
      <c r="M95" s="346"/>
    </row>
    <row r="96" spans="1:13" ht="32.25" customHeight="1" x14ac:dyDescent="0.2">
      <c r="A96" s="333"/>
      <c r="B96" s="318"/>
      <c r="C96" s="319"/>
      <c r="D96" s="319"/>
      <c r="E96" s="319"/>
      <c r="F96" s="319"/>
      <c r="G96" s="319"/>
      <c r="H96" s="320"/>
      <c r="I96" s="340"/>
      <c r="J96" s="341"/>
      <c r="K96" s="342"/>
      <c r="L96" s="347"/>
      <c r="M96" s="348"/>
    </row>
    <row r="97" spans="1:13" ht="18.75" x14ac:dyDescent="0.3">
      <c r="A97" s="321" t="s">
        <v>251</v>
      </c>
      <c r="B97" s="322"/>
      <c r="C97" s="322"/>
      <c r="D97" s="322"/>
      <c r="E97" s="322"/>
      <c r="F97" s="322"/>
      <c r="G97" s="322"/>
      <c r="H97" s="322"/>
      <c r="I97" s="322"/>
      <c r="J97" s="322"/>
      <c r="K97" s="323"/>
      <c r="L97" s="324">
        <f>L94</f>
        <v>21576</v>
      </c>
      <c r="M97" s="325"/>
    </row>
    <row r="104" spans="1:13" ht="12.75" customHeight="1" x14ac:dyDescent="0.2"/>
    <row r="109" spans="1:13" ht="12.75" customHeight="1" x14ac:dyDescent="0.2"/>
    <row r="110" spans="1:13" ht="12.75" customHeight="1" x14ac:dyDescent="0.2"/>
    <row r="112" spans="1:13" ht="12.75" customHeight="1" x14ac:dyDescent="0.2"/>
    <row r="114" ht="12.75" customHeight="1" x14ac:dyDescent="0.2"/>
    <row r="116" ht="12.75" customHeight="1" x14ac:dyDescent="0.2"/>
    <row r="119" ht="12.75" customHeight="1" x14ac:dyDescent="0.2"/>
  </sheetData>
  <mergeCells count="138">
    <mergeCell ref="A6:M6"/>
    <mergeCell ref="A9:M9"/>
    <mergeCell ref="A10:M10"/>
    <mergeCell ref="A12:A14"/>
    <mergeCell ref="B12:E14"/>
    <mergeCell ref="F12:H14"/>
    <mergeCell ref="I12:K14"/>
    <mergeCell ref="L12:M14"/>
    <mergeCell ref="A1:M1"/>
    <mergeCell ref="A3:M3"/>
    <mergeCell ref="A4:M4"/>
    <mergeCell ref="B15:E15"/>
    <mergeCell ref="F15:H15"/>
    <mergeCell ref="I15:K15"/>
    <mergeCell ref="L15:M15"/>
    <mergeCell ref="A16:A28"/>
    <mergeCell ref="B16:E17"/>
    <mergeCell ref="F16:H25"/>
    <mergeCell ref="D18:E18"/>
    <mergeCell ref="D19:E19"/>
    <mergeCell ref="D20:E20"/>
    <mergeCell ref="L26:M27"/>
    <mergeCell ref="B28:E28"/>
    <mergeCell ref="L28:M28"/>
    <mergeCell ref="D24:E24"/>
    <mergeCell ref="D25:E25"/>
    <mergeCell ref="B26:B27"/>
    <mergeCell ref="C26:E27"/>
    <mergeCell ref="F26:H27"/>
    <mergeCell ref="D21:E21"/>
    <mergeCell ref="D22:E22"/>
    <mergeCell ref="I22:K22"/>
    <mergeCell ref="L22:M22"/>
    <mergeCell ref="D23:E23"/>
    <mergeCell ref="I23:K23"/>
    <mergeCell ref="L23:M23"/>
    <mergeCell ref="I35:K35"/>
    <mergeCell ref="L35:M35"/>
    <mergeCell ref="D36:E36"/>
    <mergeCell ref="I36:K36"/>
    <mergeCell ref="L36:M36"/>
    <mergeCell ref="D37:E37"/>
    <mergeCell ref="A29:A46"/>
    <mergeCell ref="B29:E30"/>
    <mergeCell ref="F29:H40"/>
    <mergeCell ref="D31:E31"/>
    <mergeCell ref="D32:E32"/>
    <mergeCell ref="D33:E33"/>
    <mergeCell ref="D34:E34"/>
    <mergeCell ref="D35:E35"/>
    <mergeCell ref="D38:E38"/>
    <mergeCell ref="D39:E39"/>
    <mergeCell ref="B43:E45"/>
    <mergeCell ref="F43:H45"/>
    <mergeCell ref="I43:K45"/>
    <mergeCell ref="L43:M45"/>
    <mergeCell ref="B46:E46"/>
    <mergeCell ref="L46:M46"/>
    <mergeCell ref="D40:E40"/>
    <mergeCell ref="B41:B42"/>
    <mergeCell ref="C41:E42"/>
    <mergeCell ref="F41:H42"/>
    <mergeCell ref="L41:M42"/>
    <mergeCell ref="I53:K53"/>
    <mergeCell ref="L53:M53"/>
    <mergeCell ref="D54:E54"/>
    <mergeCell ref="I54:K54"/>
    <mergeCell ref="L54:M54"/>
    <mergeCell ref="D55:E55"/>
    <mergeCell ref="A47:A65"/>
    <mergeCell ref="B47:E48"/>
    <mergeCell ref="F47:H62"/>
    <mergeCell ref="D49:E49"/>
    <mergeCell ref="D50:E50"/>
    <mergeCell ref="D51:E51"/>
    <mergeCell ref="D52:E52"/>
    <mergeCell ref="D53:E53"/>
    <mergeCell ref="D56:E56"/>
    <mergeCell ref="D57:E57"/>
    <mergeCell ref="F63:H64"/>
    <mergeCell ref="L63:M64"/>
    <mergeCell ref="B65:E65"/>
    <mergeCell ref="L65:M65"/>
    <mergeCell ref="D58:E58"/>
    <mergeCell ref="D59:E59"/>
    <mergeCell ref="D60:E60"/>
    <mergeCell ref="D61:E61"/>
    <mergeCell ref="D62:E62"/>
    <mergeCell ref="B63:B64"/>
    <mergeCell ref="C63:E64"/>
    <mergeCell ref="I72:K72"/>
    <mergeCell ref="L72:M72"/>
    <mergeCell ref="D73:E73"/>
    <mergeCell ref="I73:K73"/>
    <mergeCell ref="L73:M73"/>
    <mergeCell ref="D74:E74"/>
    <mergeCell ref="A66:A83"/>
    <mergeCell ref="B66:E67"/>
    <mergeCell ref="F66:H77"/>
    <mergeCell ref="D68:E68"/>
    <mergeCell ref="D69:E69"/>
    <mergeCell ref="D70:E70"/>
    <mergeCell ref="D71:E71"/>
    <mergeCell ref="D72:E72"/>
    <mergeCell ref="D75:E75"/>
    <mergeCell ref="D76:E76"/>
    <mergeCell ref="B80:E82"/>
    <mergeCell ref="F80:H82"/>
    <mergeCell ref="I80:K82"/>
    <mergeCell ref="L80:M82"/>
    <mergeCell ref="B83:E83"/>
    <mergeCell ref="L83:M83"/>
    <mergeCell ref="D77:E77"/>
    <mergeCell ref="B78:B79"/>
    <mergeCell ref="C78:E79"/>
    <mergeCell ref="F78:H79"/>
    <mergeCell ref="L78:M79"/>
    <mergeCell ref="L88:M88"/>
    <mergeCell ref="B90:B91"/>
    <mergeCell ref="C90:E91"/>
    <mergeCell ref="F90:H91"/>
    <mergeCell ref="L90:M91"/>
    <mergeCell ref="A84:A92"/>
    <mergeCell ref="B84:E85"/>
    <mergeCell ref="F84:H89"/>
    <mergeCell ref="D86:E86"/>
    <mergeCell ref="D88:E88"/>
    <mergeCell ref="I88:K88"/>
    <mergeCell ref="B92:E92"/>
    <mergeCell ref="B94:H96"/>
    <mergeCell ref="A97:K97"/>
    <mergeCell ref="L97:M97"/>
    <mergeCell ref="L92:M92"/>
    <mergeCell ref="B93:K93"/>
    <mergeCell ref="L93:M93"/>
    <mergeCell ref="A94:A96"/>
    <mergeCell ref="I94:K96"/>
    <mergeCell ref="L94:M9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1"/>
  <sheetViews>
    <sheetView view="pageBreakPreview" topLeftCell="A23" zoomScaleNormal="100" zoomScaleSheetLayoutView="100" workbookViewId="0">
      <selection activeCell="E72" sqref="E72"/>
    </sheetView>
  </sheetViews>
  <sheetFormatPr defaultRowHeight="12.75" x14ac:dyDescent="0.2"/>
  <cols>
    <col min="1" max="1" width="42.28515625" style="73" customWidth="1"/>
    <col min="2" max="2" width="18.42578125" style="73" customWidth="1"/>
    <col min="3" max="3" width="16.140625" style="73" customWidth="1"/>
    <col min="4" max="4" width="13.85546875" style="73" customWidth="1"/>
    <col min="5" max="5" width="13.28515625" style="73" customWidth="1"/>
    <col min="6" max="6" width="17.42578125" style="73" customWidth="1"/>
    <col min="7" max="8" width="9.140625" style="73"/>
    <col min="9" max="12" width="0" style="73" hidden="1" customWidth="1"/>
    <col min="13" max="16384" width="9.140625" style="73"/>
  </cols>
  <sheetData>
    <row r="1" spans="1:16" hidden="1" x14ac:dyDescent="0.2"/>
    <row r="2" spans="1:16" ht="18.75" x14ac:dyDescent="0.3">
      <c r="A2" s="449" t="s">
        <v>261</v>
      </c>
      <c r="B2" s="449"/>
      <c r="C2" s="449"/>
      <c r="D2" s="449"/>
      <c r="E2" s="449"/>
      <c r="F2" s="449"/>
      <c r="G2" s="175"/>
      <c r="H2" s="175"/>
      <c r="I2" s="175"/>
      <c r="J2" s="175"/>
      <c r="K2" s="175"/>
      <c r="L2" s="175"/>
      <c r="M2" s="175"/>
      <c r="N2" s="175"/>
      <c r="O2" s="175"/>
    </row>
    <row r="3" spans="1:16" ht="26.25" customHeight="1" x14ac:dyDescent="0.25">
      <c r="A3" s="450" t="s">
        <v>136</v>
      </c>
      <c r="B3" s="451"/>
      <c r="C3" s="451"/>
      <c r="D3" s="451"/>
      <c r="E3" s="451"/>
      <c r="F3" s="451"/>
      <c r="G3" s="451"/>
      <c r="H3" s="451"/>
      <c r="I3" s="175"/>
      <c r="J3" s="175"/>
      <c r="K3" s="175"/>
      <c r="L3" s="175"/>
      <c r="M3" s="175"/>
      <c r="N3" s="175"/>
      <c r="O3" s="175"/>
    </row>
    <row r="4" spans="1:16" s="172" customFormat="1" ht="24.75" customHeight="1" x14ac:dyDescent="0.25">
      <c r="A4" s="452" t="s">
        <v>254</v>
      </c>
      <c r="B4" s="452"/>
      <c r="C4" s="452"/>
      <c r="D4" s="452"/>
      <c r="E4" s="452"/>
      <c r="F4" s="452"/>
      <c r="G4" s="175"/>
      <c r="H4" s="175"/>
      <c r="I4" s="175"/>
      <c r="J4" s="175"/>
      <c r="K4" s="175"/>
      <c r="L4" s="175"/>
      <c r="M4" s="175"/>
      <c r="N4" s="175"/>
      <c r="O4" s="175"/>
    </row>
    <row r="5" spans="1:16" s="172" customFormat="1" ht="6.75" customHeight="1" x14ac:dyDescent="0.25">
      <c r="A5" s="453"/>
      <c r="B5" s="453"/>
      <c r="C5" s="453"/>
      <c r="D5" s="453"/>
      <c r="E5" s="453"/>
      <c r="F5" s="453"/>
      <c r="G5" s="174"/>
      <c r="H5" s="174"/>
      <c r="I5" s="174"/>
      <c r="J5" s="174"/>
      <c r="K5" s="174"/>
      <c r="L5" s="174"/>
      <c r="M5" s="174"/>
      <c r="N5" s="174"/>
      <c r="O5" s="173"/>
    </row>
    <row r="6" spans="1:16" ht="15.75" customHeight="1" x14ac:dyDescent="0.2">
      <c r="A6" s="454" t="s">
        <v>135</v>
      </c>
      <c r="B6" s="454"/>
      <c r="C6" s="454"/>
      <c r="D6" s="171"/>
      <c r="E6" s="171"/>
      <c r="F6" s="171"/>
      <c r="G6" s="163"/>
      <c r="H6" s="163"/>
      <c r="I6" s="163"/>
      <c r="J6" s="163"/>
      <c r="K6" s="163"/>
      <c r="L6" s="163"/>
      <c r="M6" s="163"/>
      <c r="N6" s="163"/>
      <c r="O6" s="163"/>
      <c r="P6" s="162"/>
    </row>
    <row r="7" spans="1:16" s="169" customFormat="1" ht="15.75" x14ac:dyDescent="0.25">
      <c r="A7" s="448" t="s">
        <v>141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170"/>
      <c r="O7" s="170"/>
    </row>
    <row r="8" spans="1:16" s="165" customFormat="1" ht="15.75" x14ac:dyDescent="0.25">
      <c r="A8" s="167" t="s">
        <v>267</v>
      </c>
      <c r="B8" s="166"/>
      <c r="C8" s="166"/>
      <c r="D8" s="168"/>
      <c r="E8" s="168"/>
      <c r="F8" s="166"/>
      <c r="G8" s="166"/>
      <c r="H8" s="166"/>
      <c r="I8" s="166"/>
      <c r="J8" s="166"/>
      <c r="K8" s="166"/>
      <c r="L8" s="166"/>
      <c r="M8" s="166"/>
    </row>
    <row r="9" spans="1:16" s="165" customFormat="1" ht="15.75" x14ac:dyDescent="0.25">
      <c r="A9" s="167" t="s">
        <v>255</v>
      </c>
      <c r="B9" s="166"/>
      <c r="C9" s="167"/>
      <c r="D9" s="166"/>
      <c r="E9" s="166"/>
      <c r="F9" s="166"/>
      <c r="G9" s="166"/>
      <c r="H9" s="166"/>
      <c r="I9" s="166"/>
      <c r="J9" s="166"/>
      <c r="K9" s="166"/>
      <c r="L9" s="166"/>
      <c r="M9" s="166"/>
    </row>
    <row r="10" spans="1:16" ht="13.5" thickBot="1" x14ac:dyDescent="0.25">
      <c r="A10" s="164" t="s">
        <v>134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63"/>
      <c r="O10" s="163"/>
      <c r="P10" s="162"/>
    </row>
    <row r="11" spans="1:16" ht="16.5" thickBot="1" x14ac:dyDescent="0.3">
      <c r="A11" s="434" t="s">
        <v>133</v>
      </c>
      <c r="B11" s="435"/>
      <c r="C11" s="161">
        <f>((1600)*4)/10000</f>
        <v>0.64</v>
      </c>
      <c r="D11" s="160" t="s">
        <v>132</v>
      </c>
      <c r="E11" s="159" t="s">
        <v>120</v>
      </c>
      <c r="F11" s="158"/>
      <c r="G11" s="122"/>
      <c r="H11" s="122"/>
      <c r="I11" s="122"/>
      <c r="J11" s="122"/>
      <c r="K11" s="122"/>
      <c r="L11" s="122"/>
      <c r="M11" s="122"/>
      <c r="N11" s="122"/>
      <c r="O11" s="122"/>
    </row>
    <row r="12" spans="1:16" ht="15.75" x14ac:dyDescent="0.25">
      <c r="A12" s="157"/>
      <c r="B12" s="156" t="s">
        <v>110</v>
      </c>
      <c r="C12" s="155">
        <f>668</f>
        <v>668</v>
      </c>
      <c r="D12" s="105" t="s">
        <v>109</v>
      </c>
      <c r="E12" s="104"/>
      <c r="F12" s="154"/>
      <c r="G12" s="122"/>
      <c r="H12" s="122"/>
      <c r="I12" s="122"/>
      <c r="J12" s="122"/>
      <c r="K12" s="122"/>
      <c r="L12" s="122"/>
      <c r="M12" s="122"/>
      <c r="N12" s="122"/>
      <c r="O12" s="122"/>
    </row>
    <row r="13" spans="1:16" ht="15.75" x14ac:dyDescent="0.25">
      <c r="A13" s="153"/>
      <c r="B13" s="90" t="s">
        <v>108</v>
      </c>
      <c r="C13" s="152">
        <f>49</f>
        <v>49</v>
      </c>
      <c r="D13" s="436" t="s">
        <v>107</v>
      </c>
      <c r="E13" s="437"/>
      <c r="F13" s="89"/>
      <c r="G13" s="122"/>
      <c r="H13" s="122"/>
      <c r="I13" s="122"/>
      <c r="J13" s="122">
        <f>(2930-310)*40+310*2.6</f>
        <v>105606</v>
      </c>
      <c r="K13" s="122"/>
      <c r="L13" s="122"/>
      <c r="M13" s="122"/>
      <c r="N13" s="122"/>
      <c r="O13" s="122"/>
    </row>
    <row r="14" spans="1:16" ht="15.75" x14ac:dyDescent="0.25">
      <c r="A14" s="91" t="s">
        <v>131</v>
      </c>
      <c r="B14" s="90" t="s">
        <v>103</v>
      </c>
      <c r="C14" s="151">
        <f>1-0.4*(2-E14)</f>
        <v>0.45600000000000007</v>
      </c>
      <c r="D14" s="84" t="s">
        <v>105</v>
      </c>
      <c r="E14" s="150">
        <f>C11</f>
        <v>0.64</v>
      </c>
      <c r="F14" s="89"/>
      <c r="G14" s="122"/>
      <c r="H14" s="122"/>
      <c r="I14" s="122"/>
      <c r="J14" s="122"/>
      <c r="K14" s="122">
        <f>2930-310</f>
        <v>2620</v>
      </c>
      <c r="L14" s="122"/>
      <c r="M14" s="122"/>
      <c r="N14" s="122"/>
      <c r="O14" s="122"/>
    </row>
    <row r="15" spans="1:16" ht="15.75" x14ac:dyDescent="0.25">
      <c r="A15" s="91" t="s">
        <v>101</v>
      </c>
      <c r="B15" s="90" t="s">
        <v>100</v>
      </c>
      <c r="C15" s="90">
        <v>2.2200000000000002</v>
      </c>
      <c r="D15" s="84" t="s">
        <v>99</v>
      </c>
      <c r="E15" s="90"/>
      <c r="F15" s="89"/>
      <c r="G15" s="122"/>
      <c r="H15" s="122"/>
      <c r="I15" s="122"/>
      <c r="J15" s="122"/>
      <c r="K15" s="122"/>
      <c r="L15" s="122"/>
      <c r="M15" s="122"/>
      <c r="N15" s="122"/>
      <c r="O15" s="122"/>
    </row>
    <row r="16" spans="1:16" ht="15.75" x14ac:dyDescent="0.25">
      <c r="A16" s="91" t="s">
        <v>256</v>
      </c>
      <c r="B16" s="90" t="s">
        <v>138</v>
      </c>
      <c r="C16" s="90">
        <v>1.1000000000000001</v>
      </c>
      <c r="D16" s="84" t="s">
        <v>140</v>
      </c>
      <c r="E16" s="90"/>
      <c r="F16" s="89"/>
      <c r="G16" s="88"/>
      <c r="H16" s="62"/>
      <c r="I16" s="62"/>
      <c r="J16" s="62"/>
      <c r="K16" s="62"/>
      <c r="L16" s="62"/>
      <c r="M16" s="62"/>
      <c r="N16" s="62"/>
      <c r="O16" s="62"/>
    </row>
    <row r="17" spans="1:15" ht="15.75" x14ac:dyDescent="0.25">
      <c r="A17" s="87" t="s">
        <v>139</v>
      </c>
      <c r="B17" s="99"/>
      <c r="C17" s="149"/>
      <c r="D17" s="148"/>
      <c r="E17" s="147"/>
      <c r="F17" s="114">
        <f>ROUND((C12*C14)+(C13*C11),2)</f>
        <v>335.97</v>
      </c>
      <c r="G17" s="122"/>
      <c r="H17" s="122"/>
      <c r="I17" s="122"/>
      <c r="J17" s="122"/>
      <c r="K17" s="122"/>
      <c r="L17" s="122"/>
      <c r="M17" s="122"/>
      <c r="N17" s="122"/>
      <c r="O17" s="122"/>
    </row>
    <row r="18" spans="1:15" ht="16.5" thickBot="1" x14ac:dyDescent="0.3">
      <c r="A18" s="133" t="str">
        <f>CONCATENATE("C=","(",C12,"*",C14,"+",C13,")","*",C15,"*",C16,)</f>
        <v>C=(668*0,456+49)*2,22*1,1</v>
      </c>
      <c r="B18" s="132"/>
      <c r="C18" s="132"/>
      <c r="D18" s="132"/>
      <c r="E18" s="131"/>
      <c r="F18" s="130">
        <f>ROUND(PRODUCT(F17,C15,C16,),2)</f>
        <v>820.44</v>
      </c>
      <c r="G18" s="88"/>
      <c r="H18" s="122"/>
      <c r="I18" s="122"/>
      <c r="J18" s="122"/>
      <c r="K18" s="122"/>
      <c r="L18" s="122"/>
      <c r="M18" s="122"/>
      <c r="N18" s="122"/>
      <c r="O18" s="122"/>
    </row>
    <row r="19" spans="1:15" ht="20.25" customHeight="1" thickBot="1" x14ac:dyDescent="0.3">
      <c r="A19" s="129" t="s">
        <v>130</v>
      </c>
      <c r="B19" s="146"/>
      <c r="C19" s="145">
        <f>((1600*2)+(4*2))/1000</f>
        <v>3.2080000000000002</v>
      </c>
      <c r="D19" s="110" t="s">
        <v>129</v>
      </c>
      <c r="E19" s="127" t="s">
        <v>120</v>
      </c>
      <c r="F19" s="144"/>
      <c r="G19" s="88"/>
      <c r="H19" s="122"/>
      <c r="I19" s="122"/>
      <c r="J19" s="122"/>
      <c r="K19" s="122"/>
      <c r="L19" s="122"/>
      <c r="M19" s="122"/>
      <c r="N19" s="122"/>
      <c r="O19" s="122"/>
    </row>
    <row r="20" spans="1:15" ht="15.75" x14ac:dyDescent="0.25">
      <c r="A20" s="143"/>
      <c r="B20" s="106" t="s">
        <v>110</v>
      </c>
      <c r="C20" s="106">
        <v>882</v>
      </c>
      <c r="D20" s="105" t="s">
        <v>119</v>
      </c>
      <c r="E20" s="142"/>
      <c r="F20" s="103"/>
      <c r="G20" s="88"/>
      <c r="H20" s="122"/>
      <c r="I20" s="122"/>
      <c r="J20" s="122"/>
      <c r="K20" s="122"/>
      <c r="L20" s="122"/>
      <c r="M20" s="122"/>
      <c r="N20" s="122"/>
      <c r="O20" s="122"/>
    </row>
    <row r="21" spans="1:15" ht="15.75" x14ac:dyDescent="0.25">
      <c r="A21" s="141"/>
      <c r="B21" s="99" t="s">
        <v>108</v>
      </c>
      <c r="C21" s="99">
        <v>11</v>
      </c>
      <c r="D21" s="84" t="s">
        <v>128</v>
      </c>
      <c r="E21" s="134"/>
      <c r="F21" s="97"/>
      <c r="G21" s="88"/>
      <c r="H21" s="122"/>
      <c r="I21" s="122"/>
      <c r="J21" s="122"/>
      <c r="K21" s="122"/>
      <c r="L21" s="122"/>
      <c r="M21" s="122"/>
      <c r="N21" s="122"/>
      <c r="O21" s="122"/>
    </row>
    <row r="22" spans="1:15" ht="15.75" x14ac:dyDescent="0.25">
      <c r="A22" s="101" t="s">
        <v>127</v>
      </c>
      <c r="B22" s="99" t="s">
        <v>103</v>
      </c>
      <c r="C22" s="140">
        <f>ROUND(SUM(1,-0.02*(40-E22)),2)</f>
        <v>0.26</v>
      </c>
      <c r="D22" s="99" t="s">
        <v>105</v>
      </c>
      <c r="E22" s="139">
        <f>C19</f>
        <v>3.2080000000000002</v>
      </c>
      <c r="F22" s="97"/>
      <c r="G22" s="122"/>
      <c r="H22" s="122"/>
      <c r="I22" s="122"/>
      <c r="J22" s="122"/>
      <c r="K22" s="122"/>
      <c r="L22" s="122"/>
      <c r="M22" s="122"/>
      <c r="N22" s="122"/>
      <c r="O22" s="122"/>
    </row>
    <row r="23" spans="1:15" ht="15.75" x14ac:dyDescent="0.25">
      <c r="A23" s="91" t="s">
        <v>126</v>
      </c>
      <c r="B23" s="99" t="s">
        <v>115</v>
      </c>
      <c r="C23" s="138">
        <f>ROUND(SUM(1,0.05*(E23-1)),2)</f>
        <v>10.95</v>
      </c>
      <c r="D23" s="99" t="s">
        <v>112</v>
      </c>
      <c r="E23" s="93">
        <f>E34*20</f>
        <v>200</v>
      </c>
      <c r="F23" s="97"/>
      <c r="G23" s="88"/>
      <c r="H23" s="122"/>
      <c r="I23" s="122"/>
      <c r="J23" s="122"/>
      <c r="K23" s="122"/>
      <c r="L23" s="122"/>
      <c r="M23" s="122"/>
      <c r="N23" s="122"/>
      <c r="O23" s="122"/>
    </row>
    <row r="24" spans="1:15" ht="15.75" x14ac:dyDescent="0.25">
      <c r="A24" s="137" t="s">
        <v>125</v>
      </c>
      <c r="B24" s="99" t="s">
        <v>115</v>
      </c>
      <c r="C24" s="136">
        <v>1.5</v>
      </c>
      <c r="D24" s="99" t="s">
        <v>124</v>
      </c>
      <c r="E24" s="135"/>
      <c r="F24" s="92"/>
      <c r="G24" s="88"/>
      <c r="H24" s="122"/>
      <c r="I24" s="122"/>
      <c r="J24" s="122"/>
      <c r="K24" s="122"/>
      <c r="L24" s="122"/>
      <c r="M24" s="122"/>
      <c r="N24" s="122"/>
      <c r="O24" s="122"/>
    </row>
    <row r="25" spans="1:15" ht="15.75" x14ac:dyDescent="0.25">
      <c r="A25" s="91" t="s">
        <v>123</v>
      </c>
      <c r="B25" s="90" t="s">
        <v>100</v>
      </c>
      <c r="C25" s="90">
        <v>2.2200000000000002</v>
      </c>
      <c r="D25" s="84" t="s">
        <v>99</v>
      </c>
      <c r="E25" s="90"/>
      <c r="F25" s="89"/>
      <c r="G25" s="88"/>
      <c r="H25" s="122"/>
      <c r="I25" s="122"/>
      <c r="J25" s="122"/>
      <c r="K25" s="122"/>
      <c r="L25" s="122"/>
      <c r="M25" s="122"/>
      <c r="N25" s="122"/>
      <c r="O25" s="122"/>
    </row>
    <row r="26" spans="1:15" ht="15.75" x14ac:dyDescent="0.25">
      <c r="A26" s="91" t="s">
        <v>256</v>
      </c>
      <c r="B26" s="90" t="s">
        <v>138</v>
      </c>
      <c r="C26" s="90">
        <v>1.1000000000000001</v>
      </c>
      <c r="D26" s="84" t="s">
        <v>140</v>
      </c>
      <c r="E26" s="90"/>
      <c r="F26" s="89"/>
      <c r="G26" s="88"/>
      <c r="H26" s="62"/>
      <c r="I26" s="62"/>
      <c r="J26" s="62"/>
      <c r="K26" s="62"/>
      <c r="L26" s="62"/>
      <c r="M26" s="62"/>
      <c r="N26" s="62"/>
      <c r="O26" s="62"/>
    </row>
    <row r="27" spans="1:15" ht="15.75" x14ac:dyDescent="0.25">
      <c r="A27" s="87" t="s">
        <v>139</v>
      </c>
      <c r="B27" s="99"/>
      <c r="C27" s="134"/>
      <c r="D27" s="134"/>
      <c r="E27" s="134"/>
      <c r="F27" s="114">
        <f>ROUND((C20*C22)+(C21*C19*C23*C24),2)</f>
        <v>808.93</v>
      </c>
      <c r="G27" s="88"/>
      <c r="H27" s="122"/>
      <c r="I27" s="122"/>
      <c r="J27" s="122"/>
      <c r="K27" s="122"/>
      <c r="L27" s="122"/>
      <c r="M27" s="122"/>
      <c r="N27" s="122"/>
      <c r="O27" s="122"/>
    </row>
    <row r="28" spans="1:15" ht="16.5" thickBot="1" x14ac:dyDescent="0.3">
      <c r="A28" s="133" t="str">
        <f>CONCATENATE("C=","(",C20,"*",C22,"+",C21,"*",C19,"*",C23,"*",C24,")","*",C25,"*",C26,)</f>
        <v>C=(882*0,26+11*3,208*10,95*1,5)*2,22*1,1</v>
      </c>
      <c r="B28" s="132"/>
      <c r="C28" s="132"/>
      <c r="D28" s="132"/>
      <c r="E28" s="131"/>
      <c r="F28" s="130">
        <f>ROUND(PRODUCT(F27,C25,C26,),2)</f>
        <v>1975.41</v>
      </c>
      <c r="G28" s="88"/>
      <c r="H28" s="122"/>
      <c r="I28" s="122"/>
      <c r="J28" s="122"/>
      <c r="K28" s="122"/>
      <c r="L28" s="122"/>
      <c r="M28" s="122"/>
      <c r="N28" s="122"/>
      <c r="O28" s="122"/>
    </row>
    <row r="29" spans="1:15" ht="16.5" customHeight="1" thickBot="1" x14ac:dyDescent="0.3">
      <c r="A29" s="129" t="s">
        <v>122</v>
      </c>
      <c r="B29" s="128"/>
      <c r="C29" s="111">
        <f>C11</f>
        <v>0.64</v>
      </c>
      <c r="D29" s="110" t="s">
        <v>121</v>
      </c>
      <c r="E29" s="127" t="s">
        <v>120</v>
      </c>
      <c r="F29" s="126"/>
      <c r="G29" s="88"/>
      <c r="H29" s="62"/>
      <c r="I29" s="62"/>
      <c r="J29" s="62"/>
      <c r="K29" s="62"/>
      <c r="L29" s="62"/>
      <c r="M29" s="62"/>
      <c r="N29" s="62"/>
      <c r="O29" s="62"/>
    </row>
    <row r="30" spans="1:15" ht="15.75" x14ac:dyDescent="0.25">
      <c r="A30" s="125"/>
      <c r="B30" s="94" t="s">
        <v>110</v>
      </c>
      <c r="C30" s="94">
        <v>56</v>
      </c>
      <c r="D30" s="105" t="s">
        <v>119</v>
      </c>
      <c r="E30" s="115"/>
      <c r="F30" s="116"/>
      <c r="G30" s="88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124"/>
      <c r="B31" s="99" t="s">
        <v>108</v>
      </c>
      <c r="C31" s="94">
        <v>34</v>
      </c>
      <c r="D31" s="84" t="s">
        <v>118</v>
      </c>
      <c r="E31" s="115"/>
      <c r="F31" s="116"/>
      <c r="G31" s="122"/>
      <c r="H31" s="122"/>
      <c r="I31" s="122"/>
      <c r="J31" s="122"/>
      <c r="K31" s="122"/>
      <c r="L31" s="122"/>
      <c r="M31" s="122"/>
      <c r="N31" s="122"/>
      <c r="O31" s="122"/>
    </row>
    <row r="32" spans="1:15" ht="15.75" x14ac:dyDescent="0.25">
      <c r="A32" s="96" t="s">
        <v>117</v>
      </c>
      <c r="B32" s="94" t="s">
        <v>103</v>
      </c>
      <c r="C32" s="123">
        <f>ROUND(SUM(1,-0.9*(1-E32)),2)</f>
        <v>0.68</v>
      </c>
      <c r="D32" s="94" t="s">
        <v>105</v>
      </c>
      <c r="E32" s="120">
        <f>C29</f>
        <v>0.64</v>
      </c>
      <c r="F32" s="116"/>
      <c r="G32" s="122"/>
      <c r="H32" s="122"/>
      <c r="I32" s="122"/>
      <c r="J32" s="122"/>
      <c r="K32" s="122"/>
      <c r="L32" s="122"/>
      <c r="M32" s="122"/>
      <c r="N32" s="122"/>
      <c r="O32" s="122"/>
    </row>
    <row r="33" spans="1:15" ht="15.75" x14ac:dyDescent="0.25">
      <c r="A33" s="96" t="s">
        <v>116</v>
      </c>
      <c r="B33" s="121" t="s">
        <v>115</v>
      </c>
      <c r="C33" s="95">
        <f>ROUND(SUM(1,-0.7*(1-E33)),2)</f>
        <v>0.75</v>
      </c>
      <c r="D33" s="94" t="s">
        <v>114</v>
      </c>
      <c r="E33" s="120">
        <f>E32</f>
        <v>0.64</v>
      </c>
      <c r="F33" s="116"/>
      <c r="G33" s="88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96" t="s">
        <v>113</v>
      </c>
      <c r="B34" s="94" t="s">
        <v>103</v>
      </c>
      <c r="C34" s="95">
        <f>ROUND(SUM(1,0.2*(E34-1)),2)</f>
        <v>2.8</v>
      </c>
      <c r="D34" s="94" t="s">
        <v>112</v>
      </c>
      <c r="E34" s="119">
        <v>10</v>
      </c>
      <c r="F34" s="116"/>
      <c r="G34" s="88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118" t="s">
        <v>101</v>
      </c>
      <c r="B35" s="106" t="s">
        <v>100</v>
      </c>
      <c r="C35" s="94">
        <v>1.99</v>
      </c>
      <c r="D35" s="117" t="s">
        <v>99</v>
      </c>
      <c r="E35" s="106"/>
      <c r="F35" s="116"/>
      <c r="G35" s="88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87" t="s">
        <v>98</v>
      </c>
      <c r="B36" s="94"/>
      <c r="C36" s="115"/>
      <c r="D36" s="115"/>
      <c r="E36" s="115"/>
      <c r="F36" s="114">
        <f>ROUND((C30*C32*C34)+(C31*C33*C29),2)</f>
        <v>122.94</v>
      </c>
      <c r="G36" s="88"/>
      <c r="H36" s="62"/>
      <c r="I36" s="62"/>
      <c r="J36" s="62"/>
      <c r="K36" s="62"/>
      <c r="L36" s="62"/>
      <c r="M36" s="62"/>
      <c r="N36" s="62"/>
      <c r="O36" s="62"/>
    </row>
    <row r="37" spans="1:15" ht="16.5" thickBot="1" x14ac:dyDescent="0.3">
      <c r="A37" s="85" t="str">
        <f>CONCATENATE("C=","(",C30,"*",C32,"*",C34,"+",C31,"*",C33,")","*",C35,)</f>
        <v>C=(56*0,68*2,8+34*0,75)*1,99</v>
      </c>
      <c r="B37" s="113"/>
      <c r="C37" s="113"/>
      <c r="D37" s="113"/>
      <c r="E37" s="112"/>
      <c r="F37" s="82">
        <f>ROUND(PRODUCT(F36,C35),2)</f>
        <v>244.65</v>
      </c>
      <c r="G37" s="88"/>
      <c r="H37" s="62"/>
      <c r="I37" s="62"/>
      <c r="J37" s="62"/>
      <c r="K37" s="62"/>
      <c r="L37" s="62"/>
      <c r="M37" s="62"/>
      <c r="N37" s="62"/>
      <c r="O37" s="62"/>
    </row>
    <row r="38" spans="1:15" ht="16.5" thickBot="1" x14ac:dyDescent="0.3">
      <c r="A38" s="438" t="str">
        <f>CONCATENATE("4.Подготовка технического плана")</f>
        <v>4.Подготовка технического плана</v>
      </c>
      <c r="B38" s="439"/>
      <c r="C38" s="111">
        <f>C11</f>
        <v>0.64</v>
      </c>
      <c r="D38" s="110" t="s">
        <v>111</v>
      </c>
      <c r="E38" s="109"/>
      <c r="F38" s="108"/>
      <c r="G38" s="88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107"/>
      <c r="B39" s="106" t="s">
        <v>110</v>
      </c>
      <c r="C39" s="106">
        <v>1363</v>
      </c>
      <c r="D39" s="105" t="s">
        <v>109</v>
      </c>
      <c r="E39" s="104"/>
      <c r="F39" s="103"/>
      <c r="G39" s="88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102"/>
      <c r="B40" s="99" t="s">
        <v>108</v>
      </c>
      <c r="C40" s="99">
        <v>3431</v>
      </c>
      <c r="D40" s="436" t="s">
        <v>107</v>
      </c>
      <c r="E40" s="437"/>
      <c r="F40" s="97"/>
      <c r="G40" s="88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101" t="s">
        <v>106</v>
      </c>
      <c r="B41" s="99" t="s">
        <v>103</v>
      </c>
      <c r="C41" s="100">
        <f>ROUND(SUM(1,-0.9*(1-E41)),2)</f>
        <v>0.68</v>
      </c>
      <c r="D41" s="99" t="s">
        <v>105</v>
      </c>
      <c r="E41" s="98">
        <f>C38</f>
        <v>0.64</v>
      </c>
      <c r="F41" s="97"/>
      <c r="G41" s="88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96" t="s">
        <v>104</v>
      </c>
      <c r="B42" s="94" t="s">
        <v>103</v>
      </c>
      <c r="C42" s="95">
        <f>ROUND(SUM(1,0.1*(E42-1)),2)</f>
        <v>1.9</v>
      </c>
      <c r="D42" s="94" t="s">
        <v>102</v>
      </c>
      <c r="E42" s="93">
        <v>10</v>
      </c>
      <c r="F42" s="92"/>
      <c r="G42" s="88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91" t="s">
        <v>101</v>
      </c>
      <c r="B43" s="90" t="s">
        <v>100</v>
      </c>
      <c r="C43" s="90">
        <v>2.2200000000000002</v>
      </c>
      <c r="D43" s="84" t="s">
        <v>99</v>
      </c>
      <c r="E43" s="90"/>
      <c r="F43" s="89"/>
      <c r="G43" s="88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91" t="s">
        <v>256</v>
      </c>
      <c r="B44" s="90" t="s">
        <v>138</v>
      </c>
      <c r="C44" s="90">
        <v>1.1000000000000001</v>
      </c>
      <c r="D44" s="84" t="s">
        <v>140</v>
      </c>
      <c r="E44" s="90"/>
      <c r="F44" s="89"/>
      <c r="G44" s="88"/>
      <c r="H44" s="62"/>
      <c r="I44" s="62"/>
      <c r="J44" s="62"/>
      <c r="K44" s="62"/>
      <c r="L44" s="62"/>
      <c r="M44" s="62"/>
      <c r="N44" s="62"/>
      <c r="O44" s="62"/>
    </row>
    <row r="45" spans="1:15" ht="15" x14ac:dyDescent="0.25">
      <c r="A45" s="87" t="s">
        <v>139</v>
      </c>
      <c r="B45" s="84"/>
      <c r="C45" s="84"/>
      <c r="D45" s="84"/>
      <c r="E45" s="83"/>
      <c r="F45" s="86">
        <f>ROUND((C39*C41*C42)+(C40*C38),2)</f>
        <v>3956.84</v>
      </c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85" t="str">
        <f>CONCATENATE("C=","(",C39,"*",C41,"*",C42,"+",C40,")","*",C43,"*",C44,)</f>
        <v>C=(1363*0,68*1,9+3431)*2,22*1,1</v>
      </c>
      <c r="B46" s="84"/>
      <c r="C46" s="84"/>
      <c r="D46" s="84"/>
      <c r="E46" s="83"/>
      <c r="F46" s="82">
        <f>F45*C43*C44</f>
        <v>9662.6032800000012</v>
      </c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">
      <c r="A47" s="440" t="str">
        <f>CONCATENATE("С=",F37,"+",F28,"+",F18,"+",F46,)</f>
        <v>С=244,65+1975,41+820,44+9662,60328</v>
      </c>
      <c r="B47" s="441"/>
      <c r="C47" s="441"/>
      <c r="D47" s="441"/>
      <c r="E47" s="442"/>
      <c r="F47" s="77">
        <f>F18+F28+F37+F46</f>
        <v>12703.103280000001</v>
      </c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40.5" customHeight="1" x14ac:dyDescent="0.2">
      <c r="A48" s="443" t="s">
        <v>137</v>
      </c>
      <c r="B48" s="444"/>
      <c r="C48" s="445"/>
      <c r="D48" s="446">
        <v>15.505898999999999</v>
      </c>
      <c r="E48" s="447"/>
      <c r="F48" s="77">
        <f>F47*D48</f>
        <v>196973.03644624873</v>
      </c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">
      <c r="A49" s="432" t="s">
        <v>97</v>
      </c>
      <c r="B49" s="433"/>
      <c r="C49" s="433"/>
      <c r="D49" s="433"/>
      <c r="E49" s="81" t="s">
        <v>96</v>
      </c>
      <c r="F49" s="80">
        <f>E49*2</f>
        <v>4400</v>
      </c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">
      <c r="A50" s="79" t="s">
        <v>38</v>
      </c>
      <c r="B50" s="78"/>
      <c r="C50" s="78"/>
      <c r="D50" s="78"/>
      <c r="E50" s="78"/>
      <c r="F50" s="77">
        <f>F48+F49</f>
        <v>201373.03644624873</v>
      </c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23.25" customHeight="1" x14ac:dyDescent="0.25">
      <c r="A51" s="76"/>
      <c r="B51" s="75"/>
      <c r="C51" s="75"/>
      <c r="D51" s="76"/>
      <c r="E51" s="75"/>
      <c r="F51" s="74"/>
      <c r="G51" s="62"/>
      <c r="H51" s="62"/>
      <c r="I51" s="62"/>
      <c r="J51" s="62"/>
      <c r="K51" s="62"/>
      <c r="L51" s="62"/>
      <c r="M51" s="62"/>
      <c r="N51" s="62"/>
      <c r="O51" s="62"/>
    </row>
  </sheetData>
  <mergeCells count="14">
    <mergeCell ref="A7:M7"/>
    <mergeCell ref="A2:F2"/>
    <mergeCell ref="A3:H3"/>
    <mergeCell ref="A4:F4"/>
    <mergeCell ref="A5:F5"/>
    <mergeCell ref="A6:C6"/>
    <mergeCell ref="A49:D49"/>
    <mergeCell ref="A11:B11"/>
    <mergeCell ref="D13:E13"/>
    <mergeCell ref="A38:B38"/>
    <mergeCell ref="D40:E40"/>
    <mergeCell ref="A47:E47"/>
    <mergeCell ref="A48:C48"/>
    <mergeCell ref="D48:E48"/>
  </mergeCells>
  <pageMargins left="0.98425196850393704" right="0.59055118110236227" top="0.78740157480314965" bottom="0.78740157480314965" header="0.11811023622047245" footer="0.11811023622047245"/>
  <pageSetup paperSize="9" scale="7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Т</vt:lpstr>
      <vt:lpstr>МРСК</vt:lpstr>
      <vt:lpstr>1К</vt:lpstr>
      <vt:lpstr>2М</vt:lpstr>
      <vt:lpstr>3Т</vt:lpstr>
      <vt:lpstr>'2М'!Заголовки_для_печати</vt:lpstr>
      <vt:lpstr>Т!Заголовки_для_печати</vt:lpstr>
      <vt:lpstr>'2М'!Область_печати</vt:lpstr>
      <vt:lpstr>'3Т'!Область_печати</vt:lpstr>
      <vt:lpstr>МРСК!Область_печати</vt:lpstr>
      <vt:lpstr>Т!Область_печати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Ирдуганова Ирина Николаевна</cp:lastModifiedBy>
  <cp:lastPrinted>2017-07-07T06:09:34Z</cp:lastPrinted>
  <dcterms:created xsi:type="dcterms:W3CDTF">2002-03-25T05:35:56Z</dcterms:created>
  <dcterms:modified xsi:type="dcterms:W3CDTF">2021-03-19T06:54:11Z</dcterms:modified>
</cp:coreProperties>
</file>