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купки 2021\2.2.1. Услуги ТПиР\92001 ЗК МСП реконстркуция ВЛ Николаевка Дежнево ЭС ЕАО\документы для объявления закупки 92001 коррект\"/>
    </mc:Choice>
  </mc:AlternateContent>
  <bookViews>
    <workbookView xWindow="0" yWindow="0" windowWidth="28800" windowHeight="11730" tabRatio="638" firstSheet="2" activeTab="2"/>
  </bookViews>
  <sheets>
    <sheet name="Приложение Т-оригинал" sheetId="1" state="hidden" r:id="rId1"/>
    <sheet name="Прил Т-1" sheetId="3" state="hidden" r:id="rId2"/>
    <sheet name="Т" sheetId="8" r:id="rId3"/>
    <sheet name="ГКПЗ" sheetId="5" state="hidden" r:id="rId4"/>
  </sheets>
  <definedNames>
    <definedName name="_xlnm.Print_Area" localSheetId="3">ГКПЗ!$A$1:$H$68</definedName>
    <definedName name="_xlnm.Print_Area" localSheetId="1">'Прил Т-1'!$A$1:$H$69</definedName>
    <definedName name="_xlnm.Print_Area" localSheetId="0">'Приложение Т-оригинал'!$A$1:$H$56</definedName>
    <definedName name="_xlnm.Print_Area" localSheetId="2">Т!$A$1:$J$58</definedName>
  </definedNames>
  <calcPr calcId="162913"/>
</workbook>
</file>

<file path=xl/calcChain.xml><?xml version="1.0" encoding="utf-8"?>
<calcChain xmlns="http://schemas.openxmlformats.org/spreadsheetml/2006/main">
  <c r="H36" i="8" l="1"/>
  <c r="E51" i="8" l="1"/>
  <c r="E50" i="8"/>
  <c r="E48" i="8"/>
  <c r="G36" i="8" l="1"/>
  <c r="E36" i="8"/>
  <c r="H22" i="8" l="1"/>
  <c r="G20" i="8"/>
  <c r="E20" i="8"/>
  <c r="H13" i="8" l="1"/>
  <c r="H12" i="8"/>
  <c r="H32" i="8" l="1"/>
  <c r="F24" i="8"/>
  <c r="G24" i="8"/>
  <c r="E24" i="8"/>
  <c r="E28" i="8" s="1"/>
  <c r="H23" i="8"/>
  <c r="H15" i="8"/>
  <c r="H16" i="8"/>
  <c r="H17" i="8"/>
  <c r="H18" i="8"/>
  <c r="H19" i="8"/>
  <c r="F20" i="8"/>
  <c r="H20" i="8" s="1"/>
  <c r="F36" i="8"/>
  <c r="H14" i="8" l="1"/>
  <c r="G44" i="8"/>
  <c r="F44" i="8"/>
  <c r="E44" i="8"/>
  <c r="D41" i="8"/>
  <c r="F40" i="8"/>
  <c r="E40" i="8"/>
  <c r="H30" i="8"/>
  <c r="F28" i="8"/>
  <c r="F37" i="8" s="1"/>
  <c r="D24" i="8"/>
  <c r="H24" i="8" l="1"/>
  <c r="H28" i="8" s="1"/>
  <c r="F41" i="8"/>
  <c r="F45" i="8" s="1"/>
  <c r="F47" i="8" s="1"/>
  <c r="G28" i="8"/>
  <c r="G37" i="8" s="1"/>
  <c r="E37" i="8"/>
  <c r="E41" i="8" s="1"/>
  <c r="E45" i="8" s="1"/>
  <c r="E47" i="8" l="1"/>
  <c r="F48" i="8"/>
  <c r="F51" i="8" s="1"/>
  <c r="H37" i="8"/>
  <c r="D43" i="8" l="1"/>
  <c r="D44" i="8" s="1"/>
  <c r="H43" i="8" l="1"/>
  <c r="H44" i="8"/>
  <c r="G39" i="8" s="1"/>
  <c r="D45" i="8"/>
  <c r="D47" i="8" l="1"/>
  <c r="D48" i="8" s="1"/>
  <c r="D51" i="8" s="1"/>
  <c r="G40" i="8" l="1"/>
  <c r="G41" i="8" s="1"/>
  <c r="G45" i="8" s="1"/>
  <c r="H39" i="8"/>
  <c r="H40" i="8" s="1"/>
  <c r="H41" i="8" s="1"/>
  <c r="G47" i="8" l="1"/>
  <c r="G48" i="8" s="1"/>
  <c r="G50" i="8" s="1"/>
  <c r="H45" i="8"/>
  <c r="H50" i="8" l="1"/>
  <c r="G51" i="8"/>
  <c r="H51" i="8" s="1"/>
  <c r="H47" i="8"/>
  <c r="H48" i="8" s="1"/>
  <c r="H56" i="3" l="1"/>
  <c r="G56" i="3"/>
  <c r="E56" i="3"/>
  <c r="D56" i="3"/>
  <c r="G30" i="3" l="1"/>
  <c r="E16" i="3"/>
  <c r="L15" i="3" l="1"/>
  <c r="D53" i="3"/>
  <c r="L14" i="3"/>
  <c r="L13" i="3"/>
  <c r="E23" i="3" l="1"/>
  <c r="E23" i="5" l="1"/>
  <c r="C13" i="5" l="1"/>
  <c r="G47" i="5" l="1"/>
  <c r="H47" i="5" s="1"/>
  <c r="G46" i="5"/>
  <c r="H46" i="5" s="1"/>
  <c r="G53" i="3" l="1"/>
  <c r="F53" i="3"/>
  <c r="E53" i="3"/>
  <c r="H53" i="3" l="1"/>
  <c r="B3" i="5" l="1"/>
  <c r="E14" i="5" l="1"/>
  <c r="C14" i="5"/>
  <c r="E13" i="5" l="1"/>
  <c r="E27" i="3"/>
  <c r="H53" i="5" l="1"/>
  <c r="G37" i="5"/>
  <c r="F37" i="5"/>
  <c r="E37" i="5"/>
  <c r="F31" i="5"/>
  <c r="E31" i="5"/>
  <c r="E27" i="5"/>
  <c r="H23" i="5"/>
  <c r="H27" i="5" s="1"/>
  <c r="G16" i="5"/>
  <c r="G20" i="5" s="1"/>
  <c r="G28" i="5" s="1"/>
  <c r="F16" i="5"/>
  <c r="F20" i="5" s="1"/>
  <c r="F28" i="5" s="1"/>
  <c r="E16" i="5"/>
  <c r="E20" i="5" s="1"/>
  <c r="D16" i="5"/>
  <c r="D28" i="5" s="1"/>
  <c r="D32" i="5" s="1"/>
  <c r="H15" i="5"/>
  <c r="H14" i="5"/>
  <c r="H13" i="5"/>
  <c r="H11" i="5"/>
  <c r="H16" i="5" l="1"/>
  <c r="H20" i="5" s="1"/>
  <c r="H28" i="5" s="1"/>
  <c r="G30" i="5" s="1"/>
  <c r="E28" i="5"/>
  <c r="E32" i="5" s="1"/>
  <c r="E38" i="5" s="1"/>
  <c r="E40" i="5" s="1"/>
  <c r="F32" i="5"/>
  <c r="F38" i="5" s="1"/>
  <c r="F40" i="5" s="1"/>
  <c r="F41" i="5" s="1"/>
  <c r="H23" i="3"/>
  <c r="H27" i="3" s="1"/>
  <c r="F48" i="5" l="1"/>
  <c r="F50" i="5" s="1"/>
  <c r="F51" i="5" s="1"/>
  <c r="F52" i="5" s="1"/>
  <c r="E41" i="5"/>
  <c r="E48" i="5" s="1"/>
  <c r="E50" i="5" s="1"/>
  <c r="E51" i="5" s="1"/>
  <c r="H30" i="5"/>
  <c r="H31" i="5" s="1"/>
  <c r="H32" i="5" s="1"/>
  <c r="D34" i="5" s="1"/>
  <c r="G31" i="5"/>
  <c r="G32" i="5" s="1"/>
  <c r="G38" i="5" s="1"/>
  <c r="G40" i="5" s="1"/>
  <c r="H46" i="3"/>
  <c r="G37" i="3"/>
  <c r="F37" i="3"/>
  <c r="E37" i="3"/>
  <c r="F31" i="3"/>
  <c r="E31" i="3"/>
  <c r="G16" i="3"/>
  <c r="G20" i="3" s="1"/>
  <c r="G28" i="3" s="1"/>
  <c r="F16" i="3"/>
  <c r="F20" i="3" s="1"/>
  <c r="F28" i="3" s="1"/>
  <c r="F32" i="3" s="1"/>
  <c r="E20" i="3"/>
  <c r="E28" i="3" s="1"/>
  <c r="D16" i="3"/>
  <c r="D28" i="3" s="1"/>
  <c r="D32" i="3" s="1"/>
  <c r="H15" i="3"/>
  <c r="H14" i="3"/>
  <c r="H13" i="3"/>
  <c r="H11" i="3"/>
  <c r="F38" i="3" l="1"/>
  <c r="F40" i="3" s="1"/>
  <c r="F41" i="3" s="1"/>
  <c r="F54" i="5"/>
  <c r="F56" i="5" s="1"/>
  <c r="D37" i="5"/>
  <c r="H34" i="5"/>
  <c r="G41" i="5"/>
  <c r="G48" i="5" s="1"/>
  <c r="H16" i="3"/>
  <c r="H20" i="3" s="1"/>
  <c r="H28" i="3" s="1"/>
  <c r="E32" i="3"/>
  <c r="E38" i="3" s="1"/>
  <c r="G45" i="5" l="1"/>
  <c r="H37" i="5"/>
  <c r="H38" i="5" s="1"/>
  <c r="D38" i="5"/>
  <c r="D40" i="5" s="1"/>
  <c r="F58" i="5"/>
  <c r="F57" i="5"/>
  <c r="F43" i="3"/>
  <c r="F44" i="3" s="1"/>
  <c r="F45" i="3" s="1"/>
  <c r="H30" i="3"/>
  <c r="H31" i="3" s="1"/>
  <c r="H32" i="3" s="1"/>
  <c r="D34" i="3" s="1"/>
  <c r="G31" i="3"/>
  <c r="G32" i="3" s="1"/>
  <c r="E40" i="3"/>
  <c r="E41" i="3" s="1"/>
  <c r="E52" i="5" l="1"/>
  <c r="E54" i="5" s="1"/>
  <c r="E56" i="5" s="1"/>
  <c r="G50" i="5"/>
  <c r="G51" i="5" s="1"/>
  <c r="H40" i="5"/>
  <c r="H41" i="5" s="1"/>
  <c r="G38" i="3"/>
  <c r="E43" i="3"/>
  <c r="E44" i="3" s="1"/>
  <c r="E45" i="3" s="1"/>
  <c r="F47" i="3"/>
  <c r="F54" i="3" s="1"/>
  <c r="E58" i="5" l="1"/>
  <c r="E57" i="5"/>
  <c r="G52" i="5"/>
  <c r="G54" i="5" s="1"/>
  <c r="G56" i="5" s="1"/>
  <c r="D41" i="5"/>
  <c r="D48" i="5" s="1"/>
  <c r="D50" i="5" s="1"/>
  <c r="D51" i="5" s="1"/>
  <c r="D52" i="5" s="1"/>
  <c r="D54" i="5" s="1"/>
  <c r="D56" i="5" s="1"/>
  <c r="E47" i="3"/>
  <c r="F56" i="3" s="1"/>
  <c r="D37" i="3"/>
  <c r="D38" i="3" s="1"/>
  <c r="H34" i="3"/>
  <c r="G40" i="3"/>
  <c r="G41" i="3" s="1"/>
  <c r="F57" i="3" l="1"/>
  <c r="E57" i="3"/>
  <c r="G58" i="5"/>
  <c r="G57" i="5"/>
  <c r="H48" i="5"/>
  <c r="H45" i="5"/>
  <c r="H44" i="5"/>
  <c r="H43" i="5"/>
  <c r="H37" i="3"/>
  <c r="H38" i="3" s="1"/>
  <c r="G43" i="3"/>
  <c r="G44" i="3" s="1"/>
  <c r="G45" i="3" s="1"/>
  <c r="F58" i="3" l="1"/>
  <c r="F59" i="3"/>
  <c r="D58" i="5"/>
  <c r="E59" i="3"/>
  <c r="E58" i="3"/>
  <c r="H50" i="5"/>
  <c r="H51" i="5" s="1"/>
  <c r="H52" i="5"/>
  <c r="H54" i="5" s="1"/>
  <c r="G47" i="3"/>
  <c r="D40" i="3"/>
  <c r="H40" i="3" s="1"/>
  <c r="H41" i="3" s="1"/>
  <c r="F31" i="1"/>
  <c r="F16" i="1"/>
  <c r="F28" i="1" s="1"/>
  <c r="E31" i="1"/>
  <c r="E27" i="1"/>
  <c r="E16" i="1"/>
  <c r="E28" i="1"/>
  <c r="G16" i="1"/>
  <c r="G28" i="1" s="1"/>
  <c r="D16" i="1"/>
  <c r="H14" i="1"/>
  <c r="G31" i="1"/>
  <c r="H48" i="1"/>
  <c r="H15" i="1"/>
  <c r="H16" i="1"/>
  <c r="D28" i="1"/>
  <c r="H30" i="1"/>
  <c r="H31" i="1" s="1"/>
  <c r="D42" i="1"/>
  <c r="D43" i="1" s="1"/>
  <c r="D44" i="1" s="1"/>
  <c r="H45" i="1"/>
  <c r="G57" i="3" l="1"/>
  <c r="D41" i="3"/>
  <c r="G37" i="1"/>
  <c r="G39" i="1" s="1"/>
  <c r="G40" i="1" s="1"/>
  <c r="E37" i="1"/>
  <c r="E39" i="1" s="1"/>
  <c r="E40" i="1" s="1"/>
  <c r="G42" i="1"/>
  <c r="G43" i="1" s="1"/>
  <c r="G44" i="1" s="1"/>
  <c r="G46" i="1" s="1"/>
  <c r="D46" i="1"/>
  <c r="F37" i="1"/>
  <c r="F39" i="1" s="1"/>
  <c r="F40" i="1" s="1"/>
  <c r="H28" i="1"/>
  <c r="H37" i="1" s="1"/>
  <c r="G58" i="3" l="1"/>
  <c r="G59" i="3"/>
  <c r="H58" i="5"/>
  <c r="D57" i="5"/>
  <c r="H57" i="5" s="1"/>
  <c r="H56" i="5"/>
  <c r="D43" i="3"/>
  <c r="H43" i="3" s="1"/>
  <c r="H44" i="3" s="1"/>
  <c r="G53" i="1"/>
  <c r="H53" i="1" s="1"/>
  <c r="K53" i="1" s="1"/>
  <c r="G51" i="1"/>
  <c r="H51" i="1" s="1"/>
  <c r="K51" i="1" s="1"/>
  <c r="G50" i="1"/>
  <c r="H50" i="1" s="1"/>
  <c r="K50" i="1" s="1"/>
  <c r="G49" i="1"/>
  <c r="G54" i="1" s="1"/>
  <c r="G52" i="1"/>
  <c r="H52" i="1" s="1"/>
  <c r="K52" i="1" s="1"/>
  <c r="F42" i="1"/>
  <c r="F43" i="1"/>
  <c r="F44" i="1" s="1"/>
  <c r="F46" i="1" s="1"/>
  <c r="F49" i="1" s="1"/>
  <c r="F54" i="1" s="1"/>
  <c r="F55" i="1" s="1"/>
  <c r="H39" i="1"/>
  <c r="H40" i="1"/>
  <c r="E42" i="1"/>
  <c r="E43" i="1" s="1"/>
  <c r="E44" i="1" s="1"/>
  <c r="D44" i="3" l="1"/>
  <c r="D45" i="3" s="1"/>
  <c r="E46" i="1"/>
  <c r="E49" i="1" s="1"/>
  <c r="H44" i="1"/>
  <c r="H46" i="1" s="1"/>
  <c r="H42" i="1"/>
  <c r="H43" i="1" s="1"/>
  <c r="D47" i="3" l="1"/>
  <c r="H45" i="3"/>
  <c r="H47" i="3" s="1"/>
  <c r="H49" i="1"/>
  <c r="E54" i="1"/>
  <c r="E55" i="1" s="1"/>
  <c r="D57" i="3" l="1"/>
  <c r="H57" i="3" s="1"/>
  <c r="H54" i="3"/>
  <c r="H54" i="1"/>
  <c r="K49" i="1"/>
  <c r="I49" i="1"/>
  <c r="D59" i="3" l="1"/>
  <c r="H59" i="3" s="1"/>
  <c r="D58" i="3" l="1"/>
  <c r="H58" i="3" s="1"/>
</calcChain>
</file>

<file path=xl/sharedStrings.xml><?xml version="1.0" encoding="utf-8"?>
<sst xmlns="http://schemas.openxmlformats.org/spreadsheetml/2006/main" count="261" uniqueCount="124">
  <si>
    <t>(способ расчета)</t>
  </si>
  <si>
    <t>№ п/п</t>
  </si>
  <si>
    <t>Сметная стоимость в тыс.руб.</t>
  </si>
  <si>
    <t>Общая сметная стоимость в тыс.руб.</t>
  </si>
  <si>
    <t>Глава 1. Подготовка территории строительства.</t>
  </si>
  <si>
    <t> ИТОГО по главе 1</t>
  </si>
  <si>
    <t>Глава 2. Основные объекты строительства.</t>
  </si>
  <si>
    <t>ИТОГО по главе 2</t>
  </si>
  <si>
    <t>Глава 8. Временные здания и сооружения.</t>
  </si>
  <si>
    <t xml:space="preserve">Временные здания и сооружения </t>
  </si>
  <si>
    <t>ИТОГО по главе 8</t>
  </si>
  <si>
    <t>ИТОГО по главам 1-8</t>
  </si>
  <si>
    <t>Глава 9. Прочие работы и затраты.</t>
  </si>
  <si>
    <t xml:space="preserve">Производство работ в зимнее время </t>
  </si>
  <si>
    <t xml:space="preserve">Командирование работников  строительных организаций </t>
  </si>
  <si>
    <t xml:space="preserve">Затраты на подвижный и разъездной характер работ </t>
  </si>
  <si>
    <t xml:space="preserve">Перебазировка строительно-монтажных организаций </t>
  </si>
  <si>
    <t>Затраты на пусконаладочные работы "вхолостую"</t>
  </si>
  <si>
    <t>ИТОГО по главе 9</t>
  </si>
  <si>
    <t>ИТОГО по главам 1- 9</t>
  </si>
  <si>
    <t xml:space="preserve">Глава 10. Содержание службы заказчика. Строительный контроль </t>
  </si>
  <si>
    <t>ИТОГО по главе 10</t>
  </si>
  <si>
    <t>Глава 12. Публичный технологический и ценовой аудит, проектные и изыскательские работы.</t>
  </si>
  <si>
    <t>Проектные работы</t>
  </si>
  <si>
    <t xml:space="preserve">Экспертиза проекта </t>
  </si>
  <si>
    <t xml:space="preserve">Авторский надзор </t>
  </si>
  <si>
    <t>ИТОГО по главе 12</t>
  </si>
  <si>
    <t>ИТОГО по главам 1- 12</t>
  </si>
  <si>
    <t xml:space="preserve">Непредвиденные затраты </t>
  </si>
  <si>
    <t>ИТОГО с непредвиденными</t>
  </si>
  <si>
    <t>Налоги и обязательные платежи</t>
  </si>
  <si>
    <t>НДС 18%</t>
  </si>
  <si>
    <t>СМР</t>
  </si>
  <si>
    <t>ПИР</t>
  </si>
  <si>
    <t>ОБ</t>
  </si>
  <si>
    <t>Приложение Т</t>
  </si>
  <si>
    <t>прочие (ФОТ, аренда и др.)</t>
  </si>
  <si>
    <t>d</t>
  </si>
  <si>
    <t>ВСЕГО стоимость  объекта в прогнозных ценах с НДС</t>
  </si>
  <si>
    <t>d+1</t>
  </si>
  <si>
    <t>**Перевод остатка в прогнозный уровень цен (с помощью индексов-дефляторов):</t>
  </si>
  <si>
    <t>Содержание службы заказчика-застройщика 1,2 %</t>
  </si>
  <si>
    <t>Проверил:  _______________ Начальник ОКСиИ Царегородцев А.В.</t>
  </si>
  <si>
    <t>Прогнозный год составления расчета - 2019</t>
  </si>
  <si>
    <t>Оснащение ПС 35/10 кВ Доброе устройствами телемеханики  - 1 компл.</t>
  </si>
  <si>
    <t>Обоснование стоимости/                        источники ценовой информации</t>
  </si>
  <si>
    <t>Наименование</t>
  </si>
  <si>
    <t>ЛОКАЛЬНЫЙ СМЕТНЫЙ РАСЧЕТ № 1</t>
  </si>
  <si>
    <t>Коммерческое предложение ООО "ИНФОРМАТИКА"</t>
  </si>
  <si>
    <t>*НЗС. ФАКТ освоения на 01.01.2018</t>
  </si>
  <si>
    <t>ОСТАТОК освоения на 01.01.2018</t>
  </si>
  <si>
    <t>МДС 81-35.2004 п. 4.96</t>
  </si>
  <si>
    <t>МДС 81-35.2004 п. 4.100</t>
  </si>
  <si>
    <t>ВСЕГО в текущем уровне цен 2018 года с  НДС 18%</t>
  </si>
  <si>
    <t>Всего по объекту в ценах на 1 кв. 2018  года с НДС</t>
  </si>
  <si>
    <t>Сметный расчет стоимости реализации инвестиционного проекта</t>
  </si>
  <si>
    <t>Непредвиденные затраты-3%</t>
  </si>
  <si>
    <t>НДС 20%</t>
  </si>
  <si>
    <t>Проектно-изыскательские работы 8%</t>
  </si>
  <si>
    <t>ИТОГО по главам 1- 10</t>
  </si>
  <si>
    <t>МДС 81-35.2004 п.4.87</t>
  </si>
  <si>
    <t>ИТОГО финансирования объекта в прогнозных ценах с НДС, тыс.руб.</t>
  </si>
  <si>
    <t>ВСЕГО  сметная стоимость объекта в прогнозных ценах с НДС, млн.руб.</t>
  </si>
  <si>
    <t>Справочно освоение объекта в прогнозных ценах без НДС, млн. руб.</t>
  </si>
  <si>
    <t>Всего по объекту в ценах на 2 кв. 2019 года с НДС</t>
  </si>
  <si>
    <t>УСП ОАО Холдинг МРСК 2012г.</t>
  </si>
  <si>
    <t>ЛСР 01</t>
  </si>
  <si>
    <t xml:space="preserve">Составлена в ценах по состоянию на 2 кв. 2019 г. </t>
  </si>
  <si>
    <r>
      <t xml:space="preserve">ВСЕГО в текущем уровне цен на </t>
    </r>
    <r>
      <rPr>
        <b/>
        <sz val="12"/>
        <color theme="1"/>
        <rFont val="Times New Roman"/>
        <family val="1"/>
        <charset val="204"/>
      </rPr>
      <t>2 кв. 2019</t>
    </r>
    <r>
      <rPr>
        <sz val="12"/>
        <color theme="1"/>
        <rFont val="Times New Roman"/>
        <family val="1"/>
        <charset val="204"/>
      </rPr>
      <t xml:space="preserve"> года с НДС 20%</t>
    </r>
  </si>
  <si>
    <t>Командирование работников  строительных организаций (ТЗ+ТЗМ)/8*200</t>
  </si>
  <si>
    <t>МДС 81-35.2004, постановление Правительства РФ от 02.10.2002 № 729</t>
  </si>
  <si>
    <t>*НЗС. ФАКТ освоения на 01.01.2020</t>
  </si>
  <si>
    <t>ОСТАТОК освоения на 01.01.2020</t>
  </si>
  <si>
    <t>Составил:</t>
  </si>
  <si>
    <t>Инженер-сметчик 2 кат. ОКСиИ ________________ Козмалы И.Н.</t>
  </si>
  <si>
    <t>Специалист технадзора _______________________ инженер 2 кат. ОКСиИ, Родченко Н.С.</t>
  </si>
  <si>
    <t>Проверил: Начальник ОКСиИ _________________ Царегородцев А.В.</t>
  </si>
  <si>
    <t>Согласованно АО "ДРСК" ____________________ должность, Ф.И.О.</t>
  </si>
  <si>
    <t>СДО</t>
  </si>
  <si>
    <t>ООС</t>
  </si>
  <si>
    <t>Непредвиденные затраты-1,5%</t>
  </si>
  <si>
    <t>ЛСР 02</t>
  </si>
  <si>
    <t>Реконструкция КЛ 6 кВ г. Биробиджан протяженностью 21,568 км.</t>
  </si>
  <si>
    <r>
      <t xml:space="preserve">Реконструкция КЛ 6 кВ г. Биробиджан протяженностью </t>
    </r>
    <r>
      <rPr>
        <sz val="12"/>
        <color rgb="FFFF0000"/>
        <rFont val="Times New Roman"/>
        <family val="1"/>
        <charset val="204"/>
      </rPr>
      <t>21,568 км. 2025 г.</t>
    </r>
  </si>
  <si>
    <t xml:space="preserve">ЛСР </t>
  </si>
  <si>
    <t>2026 г.</t>
  </si>
  <si>
    <t>2027 г.</t>
  </si>
  <si>
    <t>Проектно-изыскательские работы</t>
  </si>
  <si>
    <t>Содержание службы заказчика-застройщика</t>
  </si>
  <si>
    <t>Содержание службы заказчика-застройщика 4%</t>
  </si>
  <si>
    <t>Освоение
 (млн.руб)</t>
  </si>
  <si>
    <t>Форма 3 без НДС</t>
  </si>
  <si>
    <t>Финасирование 
(млн.руб)</t>
  </si>
  <si>
    <t>Форма 2 с НДС</t>
  </si>
  <si>
    <t>МДС 81-35.2004 п.3.27</t>
  </si>
  <si>
    <t>Проектно-изыскательские работы от 6 %</t>
  </si>
  <si>
    <t>Реконструкция ВЛ 0,4 кВ п. Николаевка от ТП-704. Смидовического района .ЕАО</t>
  </si>
  <si>
    <t>Непредвиденные затраты 1,5%</t>
  </si>
  <si>
    <t>Командировочные расходы (ТЗ+ТЗМ)/8*200 (1293,3+406,38)/8*200
Реконструкция ВЛ 0,4 кВ п. Николаевка от ТП-704</t>
  </si>
  <si>
    <t>Реконструкция ВЛ 0,4 кВ с.Дежнево от ТП-195. Ленинского района .ЕАО</t>
  </si>
  <si>
    <t>Глава 1. Подготовка территории строительства</t>
  </si>
  <si>
    <t>Реконструкция ВЛ 0,4 кВ п. Николаевка
пусконаладочные работы</t>
  </si>
  <si>
    <t>Командировочные расходы (ТЗ+ТЗМ)/8*200 (1259,7+417,43)/8*200
Реконструкция ВЛ 0,4 кВ с.Дежнево от ТП-195</t>
  </si>
  <si>
    <t>Реконструкция ВЛ 0,4 кВ с.Дежнево от ТП-195
пусконаладочные работы</t>
  </si>
  <si>
    <t>Реконструкция ВЛ 0,4 кВ г. п. Николаевка Смидовичского района, Реконструкция ВЛ 0,4 кВ с. Дежнево, Ленинского района филиал ЭС ЕАО</t>
  </si>
  <si>
    <t>ОСР 09-01</t>
  </si>
  <si>
    <t>Закрепление на местности проектного положения оси линейного сооружения</t>
  </si>
  <si>
    <t>Вынос центров опор в натуру</t>
  </si>
  <si>
    <t>расчет № 1</t>
  </si>
  <si>
    <t>расчет № 2</t>
  </si>
  <si>
    <t>ОСР №2</t>
  </si>
  <si>
    <t>ОСР №1</t>
  </si>
  <si>
    <t>ОСР № 2</t>
  </si>
  <si>
    <t>ОСР № 1</t>
  </si>
  <si>
    <t>Сводный сметный расчёт</t>
  </si>
  <si>
    <t>Перебазировка до п. Николаевка</t>
  </si>
  <si>
    <t xml:space="preserve">Перебазировка до с.Дежнево </t>
  </si>
  <si>
    <t>ЛСР № 3</t>
  </si>
  <si>
    <t>ЛСР № 4</t>
  </si>
  <si>
    <t>Дополнительные работы и затраты</t>
  </si>
  <si>
    <t>Индекс-дефлятор на 2021 год - 1,051</t>
  </si>
  <si>
    <t>Методика 421пр (п.179)</t>
  </si>
  <si>
    <t xml:space="preserve">Составлена в ценах по состоянию на 2021 г. </t>
  </si>
  <si>
    <t>Всего по объекту ценах 2021 года без 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</si>
</sst>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_ ;\-#,##0\ "/>
    <numFmt numFmtId="167" formatCode="_-* #,##0.00\ _р_._-;\-* #,##0.00\ _р_._-;_-* &quot;-&quot;??\ _р_._-;_-@_-"/>
    <numFmt numFmtId="168" formatCode="0.000"/>
    <numFmt numFmtId="169" formatCode="#,##0.000"/>
    <numFmt numFmtId="170" formatCode="#,##0.00000000"/>
  </numFmts>
  <fonts count="3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0" fillId="0" borderId="0"/>
    <xf numFmtId="165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1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</cellStyleXfs>
  <cellXfs count="226">
    <xf numFmtId="0" fontId="0" fillId="0" borderId="0" xfId="0"/>
    <xf numFmtId="168" fontId="3" fillId="0" borderId="2" xfId="0" applyNumberFormat="1" applyFont="1" applyFill="1" applyBorder="1" applyAlignment="1">
      <alignment vertical="center"/>
    </xf>
    <xf numFmtId="168" fontId="3" fillId="0" borderId="0" xfId="0" applyNumberFormat="1" applyFont="1"/>
    <xf numFmtId="168" fontId="5" fillId="0" borderId="0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vertical="center"/>
    </xf>
    <xf numFmtId="168" fontId="4" fillId="0" borderId="2" xfId="0" applyNumberFormat="1" applyFont="1" applyFill="1" applyBorder="1" applyAlignment="1">
      <alignment vertical="center"/>
    </xf>
    <xf numFmtId="168" fontId="4" fillId="0" borderId="2" xfId="0" applyNumberFormat="1" applyFont="1" applyFill="1" applyBorder="1" applyAlignment="1">
      <alignment vertical="center" wrapText="1"/>
    </xf>
    <xf numFmtId="168" fontId="3" fillId="0" borderId="2" xfId="0" applyNumberFormat="1" applyFont="1" applyFill="1" applyBorder="1" applyAlignment="1">
      <alignment horizontal="right" vertical="center"/>
    </xf>
    <xf numFmtId="168" fontId="6" fillId="0" borderId="2" xfId="0" applyNumberFormat="1" applyFont="1" applyFill="1" applyBorder="1" applyAlignment="1">
      <alignment horizontal="right" vertical="center" wrapText="1"/>
    </xf>
    <xf numFmtId="168" fontId="3" fillId="0" borderId="2" xfId="0" applyNumberFormat="1" applyFont="1" applyBorder="1" applyAlignment="1">
      <alignment vertical="center" wrapText="1"/>
    </xf>
    <xf numFmtId="168" fontId="3" fillId="0" borderId="2" xfId="0" applyNumberFormat="1" applyFont="1" applyBorder="1" applyAlignment="1">
      <alignment horizontal="right" vertical="center"/>
    </xf>
    <xf numFmtId="168" fontId="6" fillId="0" borderId="2" xfId="0" applyNumberFormat="1" applyFont="1" applyBorder="1" applyAlignment="1">
      <alignment horizontal="right" vertical="top"/>
    </xf>
    <xf numFmtId="168" fontId="6" fillId="0" borderId="2" xfId="0" applyNumberFormat="1" applyFont="1" applyBorder="1" applyAlignment="1">
      <alignment horizontal="right" vertical="top" wrapText="1"/>
    </xf>
    <xf numFmtId="168" fontId="6" fillId="0" borderId="2" xfId="0" applyNumberFormat="1" applyFont="1" applyBorder="1" applyAlignment="1">
      <alignment horizontal="left" vertical="top" wrapText="1"/>
    </xf>
    <xf numFmtId="168" fontId="3" fillId="0" borderId="0" xfId="0" applyNumberFormat="1" applyFont="1" applyBorder="1"/>
    <xf numFmtId="168" fontId="4" fillId="0" borderId="2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right" vertical="top" wrapText="1"/>
    </xf>
    <xf numFmtId="168" fontId="3" fillId="0" borderId="2" xfId="0" applyNumberFormat="1" applyFont="1" applyFill="1" applyBorder="1" applyAlignment="1">
      <alignment vertical="center" wrapText="1"/>
    </xf>
    <xf numFmtId="168" fontId="4" fillId="0" borderId="2" xfId="1" applyNumberFormat="1" applyFont="1" applyFill="1" applyBorder="1" applyAlignment="1">
      <alignment vertical="center"/>
    </xf>
    <xf numFmtId="168" fontId="4" fillId="0" borderId="2" xfId="1" applyNumberFormat="1" applyFont="1" applyBorder="1" applyAlignment="1">
      <alignment vertical="center"/>
    </xf>
    <xf numFmtId="168" fontId="4" fillId="0" borderId="2" xfId="0" applyNumberFormat="1" applyFont="1" applyFill="1" applyBorder="1" applyAlignment="1">
      <alignment horizontal="left" vertical="center" wrapText="1"/>
    </xf>
    <xf numFmtId="168" fontId="4" fillId="0" borderId="2" xfId="1" applyNumberFormat="1" applyFont="1" applyFill="1" applyBorder="1" applyAlignment="1">
      <alignment horizontal="right" vertical="center"/>
    </xf>
    <xf numFmtId="168" fontId="12" fillId="0" borderId="2" xfId="1" applyNumberFormat="1" applyFont="1" applyFill="1" applyBorder="1" applyAlignment="1">
      <alignment horizontal="right" vertical="center"/>
    </xf>
    <xf numFmtId="168" fontId="4" fillId="0" borderId="2" xfId="1" applyNumberFormat="1" applyFont="1" applyBorder="1" applyAlignment="1">
      <alignment horizontal="right" vertical="center"/>
    </xf>
    <xf numFmtId="168" fontId="4" fillId="0" borderId="0" xfId="0" applyNumberFormat="1" applyFont="1" applyBorder="1" applyAlignment="1">
      <alignment vertical="center" wrapText="1"/>
    </xf>
    <xf numFmtId="168" fontId="4" fillId="0" borderId="0" xfId="1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left" vertical="center" wrapText="1"/>
    </xf>
    <xf numFmtId="168" fontId="3" fillId="0" borderId="0" xfId="0" applyNumberFormat="1" applyFont="1" applyAlignment="1">
      <alignment horizontal="left"/>
    </xf>
    <xf numFmtId="168" fontId="4" fillId="0" borderId="2" xfId="0" applyNumberFormat="1" applyFont="1" applyFill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 wrapText="1"/>
    </xf>
    <xf numFmtId="168" fontId="3" fillId="0" borderId="2" xfId="0" applyNumberFormat="1" applyFont="1" applyBorder="1" applyAlignment="1">
      <alignment horizontal="left" vertical="center" wrapText="1"/>
    </xf>
    <xf numFmtId="169" fontId="5" fillId="3" borderId="2" xfId="23" applyNumberFormat="1" applyFont="1" applyFill="1" applyBorder="1" applyAlignment="1">
      <alignment horizontal="right" vertical="center"/>
    </xf>
    <xf numFmtId="169" fontId="13" fillId="2" borderId="2" xfId="3" applyNumberFormat="1" applyFont="1" applyFill="1" applyBorder="1" applyAlignment="1">
      <alignment wrapText="1"/>
    </xf>
    <xf numFmtId="169" fontId="14" fillId="4" borderId="2" xfId="23" applyNumberFormat="1" applyFont="1" applyFill="1" applyBorder="1" applyAlignment="1">
      <alignment horizontal="right" vertical="center"/>
    </xf>
    <xf numFmtId="168" fontId="3" fillId="5" borderId="2" xfId="0" applyNumberFormat="1" applyFont="1" applyFill="1" applyBorder="1" applyAlignment="1">
      <alignment vertical="center" wrapText="1"/>
    </xf>
    <xf numFmtId="168" fontId="3" fillId="0" borderId="0" xfId="0" applyNumberFormat="1" applyFont="1" applyFill="1" applyBorder="1" applyAlignment="1">
      <alignment vertical="center" wrapText="1"/>
    </xf>
    <xf numFmtId="169" fontId="3" fillId="0" borderId="0" xfId="0" applyNumberFormat="1" applyFont="1"/>
    <xf numFmtId="169" fontId="3" fillId="0" borderId="0" xfId="0" applyNumberFormat="1" applyFont="1" applyFill="1" applyBorder="1" applyAlignment="1">
      <alignment vertical="center" wrapText="1"/>
    </xf>
    <xf numFmtId="169" fontId="5" fillId="0" borderId="0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169" fontId="3" fillId="0" borderId="2" xfId="0" applyNumberFormat="1" applyFont="1" applyBorder="1" applyAlignment="1">
      <alignment vertical="center"/>
    </xf>
    <xf numFmtId="169" fontId="3" fillId="0" borderId="2" xfId="0" applyNumberFormat="1" applyFont="1" applyFill="1" applyBorder="1" applyAlignment="1">
      <alignment vertical="center"/>
    </xf>
    <xf numFmtId="169" fontId="3" fillId="0" borderId="2" xfId="0" applyNumberFormat="1" applyFont="1" applyFill="1" applyBorder="1" applyAlignment="1">
      <alignment horizontal="right" vertical="center"/>
    </xf>
    <xf numFmtId="169" fontId="6" fillId="0" borderId="2" xfId="0" applyNumberFormat="1" applyFont="1" applyFill="1" applyBorder="1" applyAlignment="1">
      <alignment horizontal="right" vertical="center" wrapText="1"/>
    </xf>
    <xf numFmtId="169" fontId="4" fillId="0" borderId="2" xfId="0" applyNumberFormat="1" applyFont="1" applyFill="1" applyBorder="1" applyAlignment="1">
      <alignment horizontal="right" vertical="center"/>
    </xf>
    <xf numFmtId="169" fontId="3" fillId="0" borderId="2" xfId="0" applyNumberFormat="1" applyFont="1" applyBorder="1" applyAlignment="1">
      <alignment horizontal="right" vertical="center"/>
    </xf>
    <xf numFmtId="169" fontId="4" fillId="0" borderId="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top"/>
    </xf>
    <xf numFmtId="169" fontId="6" fillId="0" borderId="2" xfId="0" applyNumberFormat="1" applyFont="1" applyBorder="1" applyAlignment="1">
      <alignment horizontal="right" vertical="top" wrapText="1"/>
    </xf>
    <xf numFmtId="169" fontId="12" fillId="0" borderId="2" xfId="0" applyNumberFormat="1" applyFont="1" applyBorder="1" applyAlignment="1">
      <alignment horizontal="right" vertical="top" wrapText="1"/>
    </xf>
    <xf numFmtId="169" fontId="4" fillId="0" borderId="2" xfId="0" applyNumberFormat="1" applyFont="1" applyFill="1" applyBorder="1" applyAlignment="1">
      <alignment vertical="center"/>
    </xf>
    <xf numFmtId="169" fontId="4" fillId="0" borderId="2" xfId="1" applyNumberFormat="1" applyFont="1" applyFill="1" applyBorder="1" applyAlignment="1">
      <alignment vertical="center"/>
    </xf>
    <xf numFmtId="169" fontId="4" fillId="0" borderId="2" xfId="0" applyNumberFormat="1" applyFont="1" applyBorder="1" applyAlignment="1">
      <alignment vertical="center"/>
    </xf>
    <xf numFmtId="169" fontId="4" fillId="0" borderId="2" xfId="1" applyNumberFormat="1" applyFont="1" applyBorder="1" applyAlignment="1">
      <alignment vertical="center"/>
    </xf>
    <xf numFmtId="169" fontId="4" fillId="0" borderId="2" xfId="1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left" vertical="top" wrapText="1"/>
    </xf>
    <xf numFmtId="49" fontId="17" fillId="0" borderId="0" xfId="0" applyNumberFormat="1" applyFont="1" applyFill="1" applyBorder="1" applyAlignment="1" applyProtection="1">
      <alignment horizontal="left" vertical="top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right" vertical="top"/>
    </xf>
    <xf numFmtId="0" fontId="18" fillId="0" borderId="0" xfId="0" applyNumberFormat="1" applyFont="1" applyFill="1" applyBorder="1" applyAlignment="1" applyProtection="1">
      <alignment horizontal="right" vertical="top" indent="2"/>
    </xf>
    <xf numFmtId="0" fontId="18" fillId="0" borderId="0" xfId="0" applyNumberFormat="1" applyFont="1" applyFill="1" applyBorder="1" applyAlignment="1" applyProtection="1">
      <alignment horizontal="right" vertical="top" indent="4"/>
    </xf>
    <xf numFmtId="169" fontId="4" fillId="0" borderId="5" xfId="0" applyNumberFormat="1" applyFont="1" applyFill="1" applyBorder="1" applyAlignment="1">
      <alignment horizontal="right" vertical="center"/>
    </xf>
    <xf numFmtId="168" fontId="5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169" fontId="22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right" vertical="center" wrapText="1"/>
    </xf>
    <xf numFmtId="0" fontId="6" fillId="0" borderId="0" xfId="3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right" vertical="top"/>
    </xf>
    <xf numFmtId="4" fontId="3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 wrapText="1"/>
    </xf>
    <xf numFmtId="169" fontId="4" fillId="6" borderId="2" xfId="1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vertical="center" wrapText="1"/>
    </xf>
    <xf numFmtId="168" fontId="6" fillId="0" borderId="0" xfId="0" applyNumberFormat="1" applyFont="1" applyFill="1"/>
    <xf numFmtId="169" fontId="6" fillId="0" borderId="2" xfId="0" applyNumberFormat="1" applyFont="1" applyBorder="1" applyAlignment="1">
      <alignment horizontal="right" vertical="center" wrapText="1"/>
    </xf>
    <xf numFmtId="168" fontId="6" fillId="0" borderId="0" xfId="0" applyNumberFormat="1" applyFont="1"/>
    <xf numFmtId="169" fontId="6" fillId="0" borderId="0" xfId="0" applyNumberFormat="1" applyFont="1"/>
    <xf numFmtId="169" fontId="12" fillId="0" borderId="0" xfId="0" applyNumberFormat="1" applyFont="1" applyAlignment="1"/>
    <xf numFmtId="170" fontId="6" fillId="0" borderId="0" xfId="0" applyNumberFormat="1" applyFont="1"/>
    <xf numFmtId="170" fontId="12" fillId="0" borderId="0" xfId="0" applyNumberFormat="1" applyFont="1" applyAlignment="1">
      <alignment horizontal="right"/>
    </xf>
    <xf numFmtId="168" fontId="13" fillId="0" borderId="0" xfId="0" applyNumberFormat="1" applyFont="1" applyBorder="1" applyAlignment="1">
      <alignment horizontal="center" vertical="center"/>
    </xf>
    <xf numFmtId="169" fontId="13" fillId="0" borderId="0" xfId="0" applyNumberFormat="1" applyFont="1" applyBorder="1" applyAlignment="1">
      <alignment horizontal="center" vertical="center"/>
    </xf>
    <xf numFmtId="168" fontId="12" fillId="0" borderId="0" xfId="0" applyNumberFormat="1" applyFont="1" applyBorder="1" applyAlignment="1">
      <alignment horizontal="left" vertical="center"/>
    </xf>
    <xf numFmtId="169" fontId="13" fillId="0" borderId="1" xfId="0" applyNumberFormat="1" applyFont="1" applyBorder="1" applyAlignment="1">
      <alignment horizontal="center" vertical="center"/>
    </xf>
    <xf numFmtId="169" fontId="25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Fill="1"/>
    <xf numFmtId="1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vertical="center" wrapText="1"/>
    </xf>
    <xf numFmtId="169" fontId="6" fillId="0" borderId="2" xfId="0" applyNumberFormat="1" applyFont="1" applyFill="1" applyBorder="1" applyAlignment="1">
      <alignment vertical="center"/>
    </xf>
    <xf numFmtId="168" fontId="6" fillId="0" borderId="2" xfId="0" applyNumberFormat="1" applyFont="1" applyFill="1" applyBorder="1" applyAlignment="1">
      <alignment vertical="center"/>
    </xf>
    <xf numFmtId="168" fontId="12" fillId="0" borderId="2" xfId="0" applyNumberFormat="1" applyFont="1" applyFill="1" applyBorder="1" applyAlignment="1">
      <alignment horizontal="right" vertical="center"/>
    </xf>
    <xf numFmtId="169" fontId="12" fillId="0" borderId="5" xfId="0" applyNumberFormat="1" applyFont="1" applyFill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168" fontId="6" fillId="0" borderId="2" xfId="0" applyNumberFormat="1" applyFont="1" applyBorder="1" applyAlignment="1">
      <alignment vertical="center"/>
    </xf>
    <xf numFmtId="168" fontId="6" fillId="0" borderId="2" xfId="0" applyNumberFormat="1" applyFont="1" applyBorder="1" applyAlignment="1">
      <alignment vertical="center" wrapText="1"/>
    </xf>
    <xf numFmtId="169" fontId="6" fillId="0" borderId="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168" fontId="12" fillId="0" borderId="2" xfId="0" applyNumberFormat="1" applyFont="1" applyBorder="1" applyAlignment="1">
      <alignment horizontal="right" vertical="center" wrapText="1"/>
    </xf>
    <xf numFmtId="168" fontId="6" fillId="0" borderId="2" xfId="0" applyNumberFormat="1" applyFont="1" applyBorder="1" applyAlignment="1">
      <alignment horizontal="left" vertical="center" wrapText="1"/>
    </xf>
    <xf numFmtId="168" fontId="6" fillId="0" borderId="0" xfId="0" applyNumberFormat="1" applyFont="1" applyBorder="1"/>
    <xf numFmtId="168" fontId="6" fillId="0" borderId="2" xfId="0" applyNumberFormat="1" applyFont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center" vertical="center" wrapText="1"/>
    </xf>
    <xf numFmtId="168" fontId="12" fillId="7" borderId="2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vertical="top"/>
    </xf>
    <xf numFmtId="170" fontId="26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right" vertical="top" indent="2"/>
    </xf>
    <xf numFmtId="0" fontId="27" fillId="0" borderId="0" xfId="0" applyNumberFormat="1" applyFont="1" applyFill="1" applyBorder="1" applyAlignment="1" applyProtection="1">
      <alignment vertical="top"/>
    </xf>
    <xf numFmtId="170" fontId="27" fillId="0" borderId="0" xfId="0" applyNumberFormat="1" applyFont="1" applyFill="1" applyBorder="1" applyAlignment="1" applyProtection="1">
      <alignment vertical="top"/>
    </xf>
    <xf numFmtId="49" fontId="26" fillId="0" borderId="0" xfId="0" applyNumberFormat="1" applyFont="1" applyFill="1" applyBorder="1" applyAlignment="1" applyProtection="1">
      <alignment horizontal="left" vertical="top"/>
    </xf>
    <xf numFmtId="0" fontId="26" fillId="0" borderId="0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right" vertical="top"/>
    </xf>
    <xf numFmtId="170" fontId="29" fillId="0" borderId="0" xfId="0" applyNumberFormat="1" applyFont="1" applyFill="1" applyBorder="1" applyAlignment="1" applyProtection="1">
      <alignment horizontal="right" vertical="top"/>
    </xf>
    <xf numFmtId="0" fontId="29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right" vertical="top" indent="4"/>
    </xf>
    <xf numFmtId="0" fontId="27" fillId="0" borderId="0" xfId="0" applyNumberFormat="1" applyFont="1" applyFill="1" applyBorder="1" applyAlignment="1" applyProtection="1">
      <alignment horizontal="right" vertical="top"/>
    </xf>
    <xf numFmtId="169" fontId="6" fillId="0" borderId="2" xfId="0" applyNumberFormat="1" applyFont="1" applyFill="1" applyBorder="1" applyAlignment="1">
      <alignment horizontal="right" vertical="center"/>
    </xf>
    <xf numFmtId="169" fontId="6" fillId="0" borderId="2" xfId="0" applyNumberFormat="1" applyFont="1" applyFill="1" applyBorder="1" applyAlignment="1">
      <alignment horizontal="right" vertical="top" wrapText="1"/>
    </xf>
    <xf numFmtId="168" fontId="6" fillId="0" borderId="0" xfId="0" applyNumberFormat="1" applyFont="1" applyFill="1" applyBorder="1"/>
    <xf numFmtId="168" fontId="12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69" fontId="12" fillId="0" borderId="2" xfId="0" applyNumberFormat="1" applyFont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" fontId="6" fillId="0" borderId="2" xfId="0" applyNumberFormat="1" applyFont="1" applyBorder="1" applyAlignment="1">
      <alignment horizontal="left" vertical="center"/>
    </xf>
    <xf numFmtId="169" fontId="6" fillId="0" borderId="2" xfId="0" applyNumberFormat="1" applyFont="1" applyBorder="1" applyAlignment="1">
      <alignment horizontal="left" vertical="center"/>
    </xf>
    <xf numFmtId="170" fontId="6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169" fontId="6" fillId="0" borderId="5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horizontal="center" vertical="center"/>
    </xf>
    <xf numFmtId="168" fontId="30" fillId="0" borderId="0" xfId="0" applyNumberFormat="1" applyFont="1"/>
    <xf numFmtId="168" fontId="31" fillId="0" borderId="0" xfId="0" applyNumberFormat="1" applyFont="1"/>
    <xf numFmtId="169" fontId="31" fillId="0" borderId="0" xfId="0" applyNumberFormat="1" applyFont="1"/>
    <xf numFmtId="170" fontId="31" fillId="0" borderId="0" xfId="0" applyNumberFormat="1" applyFont="1"/>
    <xf numFmtId="169" fontId="32" fillId="0" borderId="2" xfId="0" applyNumberFormat="1" applyFont="1" applyBorder="1" applyAlignment="1">
      <alignment horizontal="right" vertical="center"/>
    </xf>
    <xf numFmtId="169" fontId="32" fillId="0" borderId="2" xfId="0" applyNumberFormat="1" applyFont="1" applyBorder="1" applyAlignment="1">
      <alignment horizontal="right" vertical="top" wrapText="1"/>
    </xf>
    <xf numFmtId="168" fontId="32" fillId="2" borderId="2" xfId="0" applyNumberFormat="1" applyFont="1" applyFill="1" applyBorder="1" applyAlignment="1">
      <alignment horizontal="center" vertical="center"/>
    </xf>
    <xf numFmtId="168" fontId="32" fillId="7" borderId="2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vertical="center"/>
    </xf>
    <xf numFmtId="168" fontId="4" fillId="0" borderId="4" xfId="0" applyNumberFormat="1" applyFont="1" applyFill="1" applyBorder="1" applyAlignment="1">
      <alignment vertical="center"/>
    </xf>
    <xf numFmtId="168" fontId="4" fillId="0" borderId="5" xfId="0" applyNumberFormat="1" applyFont="1" applyFill="1" applyBorder="1" applyAlignment="1">
      <alignment vertical="center"/>
    </xf>
    <xf numFmtId="168" fontId="4" fillId="0" borderId="3" xfId="0" applyNumberFormat="1" applyFont="1" applyBorder="1" applyAlignment="1">
      <alignment vertical="center"/>
    </xf>
    <xf numFmtId="168" fontId="4" fillId="0" borderId="4" xfId="0" applyNumberFormat="1" applyFont="1" applyBorder="1" applyAlignment="1">
      <alignment vertical="center"/>
    </xf>
    <xf numFmtId="168" fontId="4" fillId="0" borderId="5" xfId="0" applyNumberFormat="1" applyFont="1" applyBorder="1" applyAlignment="1">
      <alignment vertical="center"/>
    </xf>
    <xf numFmtId="168" fontId="5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left" vertical="center"/>
    </xf>
    <xf numFmtId="168" fontId="3" fillId="0" borderId="6" xfId="0" applyNumberFormat="1" applyFont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vertical="center" wrapText="1"/>
    </xf>
    <xf numFmtId="168" fontId="4" fillId="0" borderId="4" xfId="0" applyNumberFormat="1" applyFont="1" applyBorder="1" applyAlignment="1">
      <alignment vertical="center" wrapText="1"/>
    </xf>
    <xf numFmtId="168" fontId="4" fillId="0" borderId="5" xfId="0" applyNumberFormat="1" applyFont="1" applyBorder="1" applyAlignment="1">
      <alignment vertical="center" wrapText="1"/>
    </xf>
    <xf numFmtId="168" fontId="4" fillId="0" borderId="3" xfId="0" applyNumberFormat="1" applyFont="1" applyBorder="1" applyAlignment="1">
      <alignment horizontal="right" vertical="center" wrapText="1"/>
    </xf>
    <xf numFmtId="168" fontId="4" fillId="0" borderId="4" xfId="0" applyNumberFormat="1" applyFont="1" applyBorder="1" applyAlignment="1">
      <alignment horizontal="right" vertical="center" wrapText="1"/>
    </xf>
    <xf numFmtId="168" fontId="4" fillId="0" borderId="5" xfId="0" applyNumberFormat="1" applyFont="1" applyBorder="1" applyAlignment="1">
      <alignment horizontal="right" vertical="center" wrapText="1"/>
    </xf>
    <xf numFmtId="168" fontId="4" fillId="0" borderId="3" xfId="0" applyNumberFormat="1" applyFont="1" applyBorder="1" applyAlignment="1">
      <alignment horizontal="right" vertical="center"/>
    </xf>
    <xf numFmtId="168" fontId="4" fillId="0" borderId="4" xfId="0" applyNumberFormat="1" applyFont="1" applyBorder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168" fontId="5" fillId="3" borderId="3" xfId="0" applyNumberFormat="1" applyFont="1" applyFill="1" applyBorder="1" applyAlignment="1">
      <alignment horizontal="right" vertical="center" wrapText="1"/>
    </xf>
    <xf numFmtId="168" fontId="5" fillId="3" borderId="4" xfId="0" applyNumberFormat="1" applyFont="1" applyFill="1" applyBorder="1" applyAlignment="1">
      <alignment horizontal="right" vertical="center" wrapText="1"/>
    </xf>
    <xf numFmtId="168" fontId="5" fillId="3" borderId="5" xfId="0" applyNumberFormat="1" applyFont="1" applyFill="1" applyBorder="1" applyAlignment="1">
      <alignment horizontal="right" vertical="center" wrapText="1"/>
    </xf>
    <xf numFmtId="0" fontId="13" fillId="2" borderId="3" xfId="3" applyFont="1" applyFill="1" applyBorder="1" applyAlignment="1">
      <alignment horizontal="right" wrapText="1"/>
    </xf>
    <xf numFmtId="0" fontId="13" fillId="2" borderId="4" xfId="3" applyFont="1" applyFill="1" applyBorder="1" applyAlignment="1">
      <alignment horizontal="right" wrapText="1"/>
    </xf>
    <xf numFmtId="0" fontId="13" fillId="2" borderId="5" xfId="3" applyFont="1" applyFill="1" applyBorder="1" applyAlignment="1">
      <alignment horizontal="right" wrapText="1"/>
    </xf>
    <xf numFmtId="168" fontId="14" fillId="4" borderId="3" xfId="0" applyNumberFormat="1" applyFont="1" applyFill="1" applyBorder="1" applyAlignment="1">
      <alignment horizontal="right" vertical="center" wrapText="1"/>
    </xf>
    <xf numFmtId="168" fontId="14" fillId="4" borderId="4" xfId="0" applyNumberFormat="1" applyFont="1" applyFill="1" applyBorder="1" applyAlignment="1">
      <alignment horizontal="right" vertical="center" wrapText="1"/>
    </xf>
    <xf numFmtId="168" fontId="14" fillId="4" borderId="5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Alignment="1">
      <alignment horizontal="right"/>
    </xf>
    <xf numFmtId="168" fontId="21" fillId="0" borderId="0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Border="1" applyAlignment="1">
      <alignment horizontal="center" vertical="center"/>
    </xf>
    <xf numFmtId="168" fontId="22" fillId="0" borderId="6" xfId="0" applyNumberFormat="1" applyFont="1" applyBorder="1" applyAlignment="1">
      <alignment horizontal="center" vertical="center" wrapText="1"/>
    </xf>
    <xf numFmtId="168" fontId="22" fillId="0" borderId="7" xfId="0" applyNumberFormat="1" applyFont="1" applyBorder="1" applyAlignment="1">
      <alignment horizontal="center" vertical="center" wrapText="1"/>
    </xf>
    <xf numFmtId="169" fontId="22" fillId="0" borderId="3" xfId="0" applyNumberFormat="1" applyFont="1" applyBorder="1" applyAlignment="1">
      <alignment horizontal="center" vertical="center" wrapText="1"/>
    </xf>
    <xf numFmtId="169" fontId="22" fillId="0" borderId="4" xfId="0" applyNumberFormat="1" applyFont="1" applyBorder="1" applyAlignment="1">
      <alignment horizontal="center" vertical="center" wrapText="1"/>
    </xf>
    <xf numFmtId="169" fontId="22" fillId="0" borderId="5" xfId="0" applyNumberFormat="1" applyFont="1" applyBorder="1" applyAlignment="1">
      <alignment horizontal="center" vertical="center" wrapText="1"/>
    </xf>
    <xf numFmtId="169" fontId="22" fillId="0" borderId="6" xfId="0" applyNumberFormat="1" applyFont="1" applyBorder="1" applyAlignment="1">
      <alignment horizontal="center" vertical="center" wrapText="1"/>
    </xf>
    <xf numFmtId="169" fontId="22" fillId="0" borderId="7" xfId="0" applyNumberFormat="1" applyFont="1" applyBorder="1" applyAlignment="1">
      <alignment horizontal="center" vertical="center" wrapText="1"/>
    </xf>
    <xf numFmtId="168" fontId="12" fillId="0" borderId="3" xfId="0" applyNumberFormat="1" applyFont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5" xfId="0" applyNumberFormat="1" applyFont="1" applyBorder="1" applyAlignment="1">
      <alignment vertical="center"/>
    </xf>
    <xf numFmtId="168" fontId="32" fillId="0" borderId="3" xfId="0" applyNumberFormat="1" applyFont="1" applyBorder="1" applyAlignment="1">
      <alignment horizontal="right" vertical="center"/>
    </xf>
    <xf numFmtId="168" fontId="32" fillId="0" borderId="4" xfId="0" applyNumberFormat="1" applyFont="1" applyBorder="1" applyAlignment="1">
      <alignment horizontal="right" vertical="center"/>
    </xf>
    <xf numFmtId="168" fontId="32" fillId="0" borderId="5" xfId="0" applyNumberFormat="1" applyFont="1" applyBorder="1" applyAlignment="1">
      <alignment horizontal="right" vertical="center"/>
    </xf>
    <xf numFmtId="168" fontId="12" fillId="0" borderId="3" xfId="0" applyNumberFormat="1" applyFont="1" applyFill="1" applyBorder="1" applyAlignment="1">
      <alignment vertical="center"/>
    </xf>
    <xf numFmtId="168" fontId="12" fillId="0" borderId="4" xfId="0" applyNumberFormat="1" applyFont="1" applyFill="1" applyBorder="1" applyAlignment="1">
      <alignment vertical="center"/>
    </xf>
    <xf numFmtId="168" fontId="12" fillId="0" borderId="5" xfId="0" applyNumberFormat="1" applyFont="1" applyFill="1" applyBorder="1" applyAlignment="1">
      <alignment vertical="center"/>
    </xf>
    <xf numFmtId="169" fontId="12" fillId="0" borderId="3" xfId="0" applyNumberFormat="1" applyFont="1" applyBorder="1" applyAlignment="1">
      <alignment horizontal="left" vertical="center"/>
    </xf>
    <xf numFmtId="169" fontId="12" fillId="0" borderId="4" xfId="0" applyNumberFormat="1" applyFont="1" applyBorder="1" applyAlignment="1">
      <alignment horizontal="left" vertical="center"/>
    </xf>
    <xf numFmtId="169" fontId="12" fillId="0" borderId="5" xfId="0" applyNumberFormat="1" applyFont="1" applyBorder="1" applyAlignment="1">
      <alignment horizontal="left" vertical="center"/>
    </xf>
    <xf numFmtId="168" fontId="32" fillId="0" borderId="0" xfId="0" applyNumberFormat="1" applyFont="1" applyAlignment="1">
      <alignment horizontal="center" vertical="center"/>
    </xf>
    <xf numFmtId="168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68" fontId="25" fillId="0" borderId="6" xfId="0" applyNumberFormat="1" applyFont="1" applyBorder="1" applyAlignment="1">
      <alignment horizontal="center" vertical="center" wrapText="1"/>
    </xf>
    <xf numFmtId="168" fontId="25" fillId="0" borderId="7" xfId="0" applyNumberFormat="1" applyFont="1" applyBorder="1" applyAlignment="1">
      <alignment horizontal="center" vertical="center" wrapText="1"/>
    </xf>
    <xf numFmtId="169" fontId="25" fillId="0" borderId="3" xfId="0" applyNumberFormat="1" applyFont="1" applyBorder="1" applyAlignment="1">
      <alignment horizontal="center" vertical="center" wrapText="1"/>
    </xf>
    <xf numFmtId="169" fontId="25" fillId="0" borderId="4" xfId="0" applyNumberFormat="1" applyFont="1" applyBorder="1" applyAlignment="1">
      <alignment horizontal="center" vertical="center" wrapText="1"/>
    </xf>
    <xf numFmtId="169" fontId="25" fillId="0" borderId="5" xfId="0" applyNumberFormat="1" applyFont="1" applyBorder="1" applyAlignment="1">
      <alignment horizontal="center" vertical="center" wrapText="1"/>
    </xf>
    <xf numFmtId="169" fontId="25" fillId="0" borderId="6" xfId="0" applyNumberFormat="1" applyFont="1" applyBorder="1" applyAlignment="1">
      <alignment horizontal="center" vertical="center" wrapText="1"/>
    </xf>
    <xf numFmtId="169" fontId="25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</cellXfs>
  <cellStyles count="25">
    <cellStyle name="Обычный" xfId="0" builtinId="0"/>
    <cellStyle name="Обычный 12 2" xfId="2"/>
    <cellStyle name="Обычный 2" xfId="3"/>
    <cellStyle name="Обычный 3" xfId="4"/>
    <cellStyle name="Обычный 3 2 2" xfId="14"/>
    <cellStyle name="Обычный 3 2 2 2" xfId="5"/>
    <cellStyle name="Обычный 3 2 2 2 2" xfId="15"/>
    <cellStyle name="Обычный 3 2 2 3" xfId="18"/>
    <cellStyle name="Обычный 4" xfId="6"/>
    <cellStyle name="Обычный 4 2" xfId="17"/>
    <cellStyle name="Обычный 5" xfId="7"/>
    <cellStyle name="Обычный 6" xfId="8"/>
    <cellStyle name="Обычный 6 2" xfId="9"/>
    <cellStyle name="Обычный 7" xfId="10"/>
    <cellStyle name="Обычный 7 8" xfId="24"/>
    <cellStyle name="Финансовый" xfId="1" builtinId="3"/>
    <cellStyle name="Финансовый 2" xfId="11"/>
    <cellStyle name="Финансовый 2 2 2 2 2" xfId="12"/>
    <cellStyle name="Финансовый 3" xfId="13"/>
    <cellStyle name="Финансовый 3 2 2" xfId="19"/>
    <cellStyle name="Финансовый 3 2 2 2" xfId="20"/>
    <cellStyle name="Финансовый 3 2 2 2 2" xfId="21"/>
    <cellStyle name="Финансовый 3 2 2 3" xfId="22"/>
    <cellStyle name="Финансовый 4" xfId="16"/>
    <cellStyle name="Финансовый 7" xfId="2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showZeros="0" view="pageBreakPreview" zoomScale="85" zoomScaleNormal="100" zoomScaleSheetLayoutView="85" workbookViewId="0">
      <pane ySplit="9" topLeftCell="A10" activePane="bottomLeft" state="frozen"/>
      <selection pane="bottomLeft" activeCell="H16" sqref="H16"/>
    </sheetView>
  </sheetViews>
  <sheetFormatPr defaultColWidth="8.75" defaultRowHeight="15.75" x14ac:dyDescent="0.25"/>
  <cols>
    <col min="1" max="1" width="8.75" style="2"/>
    <col min="2" max="2" width="25.875" style="2" customWidth="1"/>
    <col min="3" max="3" width="50.125" style="2" customWidth="1"/>
    <col min="4" max="4" width="12.75" style="2" customWidth="1"/>
    <col min="5" max="5" width="17.875" style="2" customWidth="1"/>
    <col min="6" max="6" width="14.25" style="2" customWidth="1"/>
    <col min="7" max="7" width="13.25" style="2" customWidth="1"/>
    <col min="8" max="8" width="16.5" style="2" customWidth="1"/>
    <col min="9" max="9" width="11.75" style="2" bestFit="1" customWidth="1"/>
    <col min="10" max="10" width="14.375" style="2" hidden="1" customWidth="1"/>
    <col min="11" max="11" width="9.375" style="2" hidden="1" customWidth="1"/>
    <col min="12" max="16384" width="8.75" style="2"/>
  </cols>
  <sheetData>
    <row r="1" spans="1:8" x14ac:dyDescent="0.25">
      <c r="F1" s="164" t="s">
        <v>35</v>
      </c>
      <c r="G1" s="164"/>
    </row>
    <row r="2" spans="1:8" x14ac:dyDescent="0.25">
      <c r="A2" s="165" t="s">
        <v>55</v>
      </c>
      <c r="B2" s="165"/>
      <c r="C2" s="165"/>
      <c r="D2" s="165"/>
      <c r="E2" s="165"/>
      <c r="F2" s="165"/>
      <c r="G2" s="165"/>
      <c r="H2" s="165"/>
    </row>
    <row r="3" spans="1:8" ht="45" customHeight="1" x14ac:dyDescent="0.25">
      <c r="A3" s="166" t="s">
        <v>44</v>
      </c>
      <c r="B3" s="166"/>
      <c r="C3" s="166"/>
      <c r="D3" s="166"/>
      <c r="E3" s="166"/>
      <c r="F3" s="166"/>
      <c r="G3" s="166"/>
      <c r="H3" s="166"/>
    </row>
    <row r="4" spans="1:8" x14ac:dyDescent="0.25">
      <c r="A4" s="163" t="s">
        <v>0</v>
      </c>
      <c r="B4" s="163"/>
      <c r="C4" s="163"/>
      <c r="D4" s="163"/>
      <c r="E4" s="163"/>
      <c r="F4" s="163"/>
      <c r="G4" s="163"/>
      <c r="H4" s="163"/>
    </row>
    <row r="5" spans="1:8" x14ac:dyDescent="0.25">
      <c r="A5" s="163" t="s">
        <v>43</v>
      </c>
      <c r="B5" s="163"/>
      <c r="C5" s="163"/>
      <c r="D5" s="163"/>
      <c r="E5" s="163"/>
      <c r="F5" s="163"/>
      <c r="G5" s="163"/>
      <c r="H5" s="163"/>
    </row>
    <row r="6" spans="1:8" x14ac:dyDescent="0.25">
      <c r="A6" s="3"/>
      <c r="B6" s="167"/>
      <c r="C6" s="167"/>
      <c r="D6" s="167"/>
      <c r="E6" s="167"/>
      <c r="F6" s="3"/>
      <c r="G6" s="3"/>
      <c r="H6" s="3"/>
    </row>
    <row r="7" spans="1:8" x14ac:dyDescent="0.25">
      <c r="A7" s="3"/>
      <c r="B7" s="3"/>
      <c r="C7" s="3"/>
      <c r="D7" s="4"/>
      <c r="E7" s="4"/>
      <c r="F7" s="4"/>
      <c r="G7" s="4"/>
      <c r="H7" s="3"/>
    </row>
    <row r="8" spans="1:8" ht="15.75" customHeight="1" x14ac:dyDescent="0.25">
      <c r="A8" s="168" t="s">
        <v>1</v>
      </c>
      <c r="B8" s="168" t="s">
        <v>45</v>
      </c>
      <c r="C8" s="168" t="s">
        <v>46</v>
      </c>
      <c r="D8" s="170" t="s">
        <v>2</v>
      </c>
      <c r="E8" s="171"/>
      <c r="F8" s="171"/>
      <c r="G8" s="172"/>
      <c r="H8" s="168" t="s">
        <v>3</v>
      </c>
    </row>
    <row r="9" spans="1:8" ht="42.75" customHeight="1" x14ac:dyDescent="0.25">
      <c r="A9" s="169"/>
      <c r="B9" s="169"/>
      <c r="C9" s="169"/>
      <c r="D9" s="5" t="s">
        <v>33</v>
      </c>
      <c r="E9" s="5" t="s">
        <v>32</v>
      </c>
      <c r="F9" s="5" t="s">
        <v>34</v>
      </c>
      <c r="G9" s="5" t="s">
        <v>36</v>
      </c>
      <c r="H9" s="169"/>
    </row>
    <row r="10" spans="1:8" x14ac:dyDescent="0.25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</row>
    <row r="11" spans="1:8" x14ac:dyDescent="0.25">
      <c r="A11" s="160" t="s">
        <v>4</v>
      </c>
      <c r="B11" s="161"/>
      <c r="C11" s="162"/>
      <c r="D11" s="6"/>
      <c r="E11" s="1"/>
      <c r="F11" s="6"/>
      <c r="G11" s="6"/>
      <c r="H11" s="6"/>
    </row>
    <row r="12" spans="1:8" x14ac:dyDescent="0.25">
      <c r="A12" s="1"/>
      <c r="B12" s="1"/>
      <c r="C12" s="1" t="s">
        <v>5</v>
      </c>
      <c r="D12" s="1"/>
      <c r="E12" s="1"/>
      <c r="F12" s="1"/>
      <c r="G12" s="1"/>
      <c r="H12" s="1"/>
    </row>
    <row r="13" spans="1:8" x14ac:dyDescent="0.25">
      <c r="A13" s="157" t="s">
        <v>6</v>
      </c>
      <c r="B13" s="158"/>
      <c r="C13" s="158"/>
      <c r="D13" s="158"/>
      <c r="E13" s="158"/>
      <c r="F13" s="158"/>
      <c r="G13" s="158"/>
      <c r="H13" s="159"/>
    </row>
    <row r="14" spans="1:8" ht="73.5" customHeight="1" x14ac:dyDescent="0.25">
      <c r="A14" s="7"/>
      <c r="B14" s="19" t="s">
        <v>48</v>
      </c>
      <c r="C14" s="8" t="s">
        <v>44</v>
      </c>
      <c r="D14" s="9"/>
      <c r="E14" s="9"/>
      <c r="F14" s="9">
        <v>435.13600000000002</v>
      </c>
      <c r="G14" s="1"/>
      <c r="H14" s="10">
        <f>SUM(D14:G14)</f>
        <v>435.13600000000002</v>
      </c>
    </row>
    <row r="15" spans="1:8" ht="73.5" customHeight="1" x14ac:dyDescent="0.25">
      <c r="A15" s="7"/>
      <c r="B15" s="19" t="s">
        <v>47</v>
      </c>
      <c r="C15" s="8" t="s">
        <v>44</v>
      </c>
      <c r="D15" s="9"/>
      <c r="E15" s="9">
        <v>255.13200000000001</v>
      </c>
      <c r="F15" s="9"/>
      <c r="G15" s="1"/>
      <c r="H15" s="10">
        <f>SUM(D15:G15)</f>
        <v>255.13200000000001</v>
      </c>
    </row>
    <row r="16" spans="1:8" x14ac:dyDescent="0.25">
      <c r="A16" s="1"/>
      <c r="B16" s="1"/>
      <c r="C16" s="1" t="s">
        <v>7</v>
      </c>
      <c r="D16" s="9">
        <f t="shared" ref="D16" si="0">SUM(D14:D15)</f>
        <v>0</v>
      </c>
      <c r="E16" s="9">
        <f>SUM(E14:E15)</f>
        <v>255.13200000000001</v>
      </c>
      <c r="F16" s="9">
        <f t="shared" ref="F16:G16" si="1">SUM(F14:F15)</f>
        <v>435.13600000000002</v>
      </c>
      <c r="G16" s="1">
        <f t="shared" si="1"/>
        <v>0</v>
      </c>
      <c r="H16" s="9">
        <f>SUM(H15:H15)</f>
        <v>255.13200000000001</v>
      </c>
    </row>
    <row r="17" spans="1:20" x14ac:dyDescent="0.25">
      <c r="A17" s="160" t="s">
        <v>8</v>
      </c>
      <c r="B17" s="161"/>
      <c r="C17" s="161"/>
      <c r="D17" s="161"/>
      <c r="E17" s="161"/>
      <c r="F17" s="161"/>
      <c r="G17" s="161"/>
      <c r="H17" s="162"/>
    </row>
    <row r="18" spans="1:20" x14ac:dyDescent="0.25">
      <c r="A18" s="6"/>
      <c r="B18" s="11"/>
      <c r="C18" s="6" t="s">
        <v>9</v>
      </c>
      <c r="D18" s="12"/>
      <c r="E18" s="12"/>
      <c r="F18" s="6"/>
      <c r="G18" s="6"/>
      <c r="H18" s="12"/>
    </row>
    <row r="19" spans="1:20" x14ac:dyDescent="0.25">
      <c r="A19" s="6"/>
      <c r="B19" s="6"/>
      <c r="C19" s="6" t="s">
        <v>10</v>
      </c>
      <c r="D19" s="12"/>
      <c r="E19" s="12"/>
      <c r="F19" s="6"/>
      <c r="G19" s="6"/>
      <c r="H19" s="12"/>
    </row>
    <row r="20" spans="1:20" x14ac:dyDescent="0.25">
      <c r="A20" s="6"/>
      <c r="B20" s="6"/>
      <c r="C20" s="6" t="s">
        <v>11</v>
      </c>
      <c r="D20" s="12"/>
      <c r="E20" s="12"/>
      <c r="F20" s="12"/>
      <c r="G20" s="6"/>
      <c r="H20" s="12"/>
    </row>
    <row r="21" spans="1:20" x14ac:dyDescent="0.25">
      <c r="A21" s="160" t="s">
        <v>12</v>
      </c>
      <c r="B21" s="161"/>
      <c r="C21" s="161"/>
      <c r="D21" s="161"/>
      <c r="E21" s="161"/>
      <c r="F21" s="161"/>
      <c r="G21" s="161"/>
      <c r="H21" s="162"/>
    </row>
    <row r="22" spans="1:20" x14ac:dyDescent="0.25">
      <c r="A22" s="6"/>
      <c r="B22" s="11"/>
      <c r="C22" s="11" t="s">
        <v>13</v>
      </c>
      <c r="D22" s="12"/>
      <c r="E22" s="9"/>
      <c r="F22" s="6"/>
      <c r="G22" s="6"/>
      <c r="H22" s="12"/>
    </row>
    <row r="23" spans="1:20" ht="15" customHeight="1" x14ac:dyDescent="0.25">
      <c r="A23" s="6"/>
      <c r="B23" s="11"/>
      <c r="C23" s="11" t="s">
        <v>14</v>
      </c>
      <c r="D23" s="6"/>
      <c r="E23" s="1"/>
      <c r="F23" s="6"/>
      <c r="G23" s="12"/>
      <c r="H23" s="12"/>
    </row>
    <row r="24" spans="1:20" x14ac:dyDescent="0.25">
      <c r="A24" s="6"/>
      <c r="B24" s="11"/>
      <c r="C24" s="11" t="s">
        <v>15</v>
      </c>
      <c r="D24" s="6"/>
      <c r="E24" s="1"/>
      <c r="F24" s="6"/>
      <c r="G24" s="12"/>
      <c r="H24" s="12"/>
    </row>
    <row r="25" spans="1:20" x14ac:dyDescent="0.25">
      <c r="A25" s="6"/>
      <c r="B25" s="11"/>
      <c r="C25" s="11" t="s">
        <v>16</v>
      </c>
      <c r="D25" s="6"/>
      <c r="E25" s="1"/>
      <c r="F25" s="6"/>
      <c r="G25" s="12"/>
      <c r="H25" s="12"/>
    </row>
    <row r="26" spans="1:20" x14ac:dyDescent="0.25">
      <c r="A26" s="6"/>
      <c r="B26" s="11"/>
      <c r="C26" s="11" t="s">
        <v>17</v>
      </c>
      <c r="D26" s="6"/>
      <c r="E26" s="1"/>
      <c r="F26" s="6"/>
      <c r="G26" s="6"/>
      <c r="H26" s="6"/>
    </row>
    <row r="27" spans="1:20" x14ac:dyDescent="0.25">
      <c r="A27" s="6"/>
      <c r="B27" s="11"/>
      <c r="C27" s="11" t="s">
        <v>18</v>
      </c>
      <c r="D27" s="13"/>
      <c r="E27" s="13">
        <f>E26</f>
        <v>0</v>
      </c>
      <c r="F27" s="14"/>
      <c r="G27" s="14"/>
      <c r="H27" s="12"/>
    </row>
    <row r="28" spans="1:20" x14ac:dyDescent="0.25">
      <c r="A28" s="6"/>
      <c r="B28" s="11"/>
      <c r="C28" s="11" t="s">
        <v>19</v>
      </c>
      <c r="D28" s="14">
        <f>D27+D20+D16+D12</f>
        <v>0</v>
      </c>
      <c r="E28" s="14">
        <f>E27+E20+E16+E12</f>
        <v>255.13200000000001</v>
      </c>
      <c r="F28" s="14">
        <f>F27+F20+F16+F12</f>
        <v>435.13600000000002</v>
      </c>
      <c r="G28" s="14">
        <f>G27+G20+G16+G12</f>
        <v>0</v>
      </c>
      <c r="H28" s="14">
        <f>E28+F28</f>
        <v>690.26800000000003</v>
      </c>
    </row>
    <row r="29" spans="1:20" x14ac:dyDescent="0.25">
      <c r="A29" s="160" t="s">
        <v>20</v>
      </c>
      <c r="B29" s="161"/>
      <c r="C29" s="161"/>
      <c r="D29" s="161"/>
      <c r="E29" s="161"/>
      <c r="F29" s="161"/>
      <c r="G29" s="161"/>
      <c r="H29" s="162"/>
    </row>
    <row r="30" spans="1:20" x14ac:dyDescent="0.25">
      <c r="A30" s="6"/>
      <c r="B30" s="11"/>
      <c r="C30" s="15" t="s">
        <v>41</v>
      </c>
      <c r="D30" s="6"/>
      <c r="E30" s="13"/>
      <c r="F30" s="13"/>
      <c r="G30" s="14"/>
      <c r="H30" s="14">
        <f>SUM(E30:G30)</f>
        <v>0</v>
      </c>
    </row>
    <row r="31" spans="1:20" x14ac:dyDescent="0.25">
      <c r="A31" s="6"/>
      <c r="B31" s="11"/>
      <c r="C31" s="11" t="s">
        <v>21</v>
      </c>
      <c r="D31" s="6"/>
      <c r="E31" s="14">
        <f>E30</f>
        <v>0</v>
      </c>
      <c r="F31" s="14">
        <f>F30</f>
        <v>0</v>
      </c>
      <c r="G31" s="14">
        <f>G30</f>
        <v>0</v>
      </c>
      <c r="H31" s="14">
        <f>H30</f>
        <v>0</v>
      </c>
      <c r="M31" s="16"/>
      <c r="N31" s="16"/>
      <c r="O31" s="16"/>
      <c r="P31" s="16"/>
      <c r="Q31" s="16"/>
      <c r="R31" s="16"/>
      <c r="S31" s="16"/>
      <c r="T31" s="16"/>
    </row>
    <row r="32" spans="1:20" x14ac:dyDescent="0.25">
      <c r="A32" s="160" t="s">
        <v>22</v>
      </c>
      <c r="B32" s="161"/>
      <c r="C32" s="161"/>
      <c r="D32" s="161"/>
      <c r="E32" s="161"/>
      <c r="F32" s="161"/>
      <c r="G32" s="161"/>
      <c r="H32" s="162"/>
      <c r="M32" s="16"/>
      <c r="N32" s="16"/>
      <c r="O32" s="16"/>
      <c r="P32" s="16"/>
      <c r="Q32" s="16"/>
      <c r="R32" s="16"/>
      <c r="S32" s="16"/>
      <c r="T32" s="16"/>
    </row>
    <row r="33" spans="1:20" x14ac:dyDescent="0.25">
      <c r="A33" s="17"/>
      <c r="B33" s="6"/>
      <c r="C33" s="6" t="s">
        <v>23</v>
      </c>
      <c r="D33" s="7"/>
      <c r="E33" s="17"/>
      <c r="F33" s="17"/>
      <c r="G33" s="12"/>
      <c r="H33" s="12"/>
      <c r="M33" s="16"/>
      <c r="N33" s="16"/>
      <c r="O33" s="16"/>
      <c r="P33" s="16"/>
      <c r="Q33" s="16"/>
      <c r="R33" s="16"/>
      <c r="S33" s="16"/>
      <c r="T33" s="16"/>
    </row>
    <row r="34" spans="1:20" x14ac:dyDescent="0.25">
      <c r="A34" s="6"/>
      <c r="B34" s="11"/>
      <c r="C34" s="11" t="s">
        <v>24</v>
      </c>
      <c r="D34" s="1"/>
      <c r="E34" s="6"/>
      <c r="F34" s="6"/>
      <c r="G34" s="12"/>
      <c r="H34" s="12"/>
      <c r="M34" s="16"/>
      <c r="N34" s="18"/>
      <c r="O34" s="18"/>
      <c r="P34" s="18"/>
      <c r="Q34" s="18"/>
      <c r="R34" s="16"/>
      <c r="S34" s="16"/>
      <c r="T34" s="16"/>
    </row>
    <row r="35" spans="1:20" x14ac:dyDescent="0.25">
      <c r="A35" s="6"/>
      <c r="B35" s="11"/>
      <c r="C35" s="11" t="s">
        <v>25</v>
      </c>
      <c r="D35" s="1"/>
      <c r="E35" s="6"/>
      <c r="F35" s="6"/>
      <c r="G35" s="12"/>
      <c r="H35" s="12"/>
      <c r="M35" s="16"/>
      <c r="N35" s="18"/>
      <c r="O35" s="18"/>
      <c r="P35" s="18"/>
      <c r="Q35" s="18"/>
      <c r="R35" s="16"/>
      <c r="S35" s="16"/>
      <c r="T35" s="16"/>
    </row>
    <row r="36" spans="1:20" x14ac:dyDescent="0.25">
      <c r="A36" s="6"/>
      <c r="B36" s="11"/>
      <c r="C36" s="11" t="s">
        <v>26</v>
      </c>
      <c r="D36" s="6"/>
      <c r="E36" s="6"/>
      <c r="F36" s="6"/>
      <c r="G36" s="12"/>
      <c r="H36" s="12"/>
      <c r="M36" s="16"/>
      <c r="N36" s="18"/>
      <c r="O36" s="18"/>
      <c r="P36" s="18"/>
      <c r="Q36" s="18"/>
      <c r="R36" s="16"/>
      <c r="S36" s="16"/>
      <c r="T36" s="16"/>
    </row>
    <row r="37" spans="1:20" x14ac:dyDescent="0.25">
      <c r="A37" s="6"/>
      <c r="B37" s="11"/>
      <c r="C37" s="11" t="s">
        <v>27</v>
      </c>
      <c r="D37" s="12"/>
      <c r="E37" s="12">
        <f>E36+E31+E28</f>
        <v>255.13200000000001</v>
      </c>
      <c r="F37" s="12">
        <f t="shared" ref="F37:G37" si="2">F36+F31+F28</f>
        <v>435.13600000000002</v>
      </c>
      <c r="G37" s="12">
        <f t="shared" si="2"/>
        <v>0</v>
      </c>
      <c r="H37" s="12">
        <f>H36+H31+H28</f>
        <v>690.26800000000003</v>
      </c>
      <c r="M37" s="16"/>
      <c r="N37" s="16"/>
      <c r="O37" s="16"/>
      <c r="P37" s="16"/>
      <c r="Q37" s="16"/>
      <c r="R37" s="16"/>
      <c r="S37" s="16"/>
      <c r="T37" s="16"/>
    </row>
    <row r="38" spans="1:20" x14ac:dyDescent="0.25">
      <c r="A38" s="160" t="s">
        <v>28</v>
      </c>
      <c r="B38" s="161"/>
      <c r="C38" s="161"/>
      <c r="D38" s="161"/>
      <c r="E38" s="161"/>
      <c r="F38" s="161"/>
      <c r="G38" s="161"/>
      <c r="H38" s="162"/>
      <c r="M38" s="16"/>
      <c r="N38" s="16"/>
      <c r="O38" s="16"/>
      <c r="P38" s="16"/>
      <c r="Q38" s="16"/>
      <c r="R38" s="16"/>
      <c r="S38" s="16"/>
      <c r="T38" s="16"/>
    </row>
    <row r="39" spans="1:20" x14ac:dyDescent="0.25">
      <c r="A39" s="6"/>
      <c r="B39" s="11" t="s">
        <v>51</v>
      </c>
      <c r="C39" s="11" t="s">
        <v>28</v>
      </c>
      <c r="D39" s="12"/>
      <c r="E39" s="14">
        <f>E37*1.5%</f>
        <v>3.8269799999999998</v>
      </c>
      <c r="F39" s="14">
        <f>F37*1.5%</f>
        <v>6.5270400000000004</v>
      </c>
      <c r="G39" s="14">
        <f>G37*1.5%</f>
        <v>0</v>
      </c>
      <c r="H39" s="14">
        <f>SUM(E39:G39)</f>
        <v>10.35402</v>
      </c>
      <c r="M39" s="16"/>
      <c r="N39" s="16"/>
      <c r="O39" s="16"/>
      <c r="P39" s="16"/>
      <c r="Q39" s="16"/>
      <c r="R39" s="16"/>
      <c r="S39" s="16"/>
      <c r="T39" s="16"/>
    </row>
    <row r="40" spans="1:20" x14ac:dyDescent="0.25">
      <c r="A40" s="6"/>
      <c r="B40" s="11"/>
      <c r="C40" s="11" t="s">
        <v>29</v>
      </c>
      <c r="D40" s="12"/>
      <c r="E40" s="14">
        <f>E39+E37</f>
        <v>258.95898</v>
      </c>
      <c r="F40" s="14">
        <f t="shared" ref="F40:G40" si="3">F39+F37</f>
        <v>441.66304000000002</v>
      </c>
      <c r="G40" s="14">
        <f t="shared" si="3"/>
        <v>0</v>
      </c>
      <c r="H40" s="14">
        <f>SUM(E40:G40)</f>
        <v>700.62202000000002</v>
      </c>
    </row>
    <row r="41" spans="1:20" x14ac:dyDescent="0.25">
      <c r="A41" s="160" t="s">
        <v>30</v>
      </c>
      <c r="B41" s="161"/>
      <c r="C41" s="161"/>
      <c r="D41" s="161"/>
      <c r="E41" s="161"/>
      <c r="F41" s="161"/>
      <c r="G41" s="161"/>
      <c r="H41" s="162"/>
    </row>
    <row r="42" spans="1:20" x14ac:dyDescent="0.25">
      <c r="A42" s="6"/>
      <c r="B42" s="11" t="s">
        <v>52</v>
      </c>
      <c r="C42" s="11" t="s">
        <v>31</v>
      </c>
      <c r="D42" s="6">
        <f>D40*0.18</f>
        <v>0</v>
      </c>
      <c r="E42" s="6">
        <f t="shared" ref="E42:G42" si="4">E40*0.18</f>
        <v>46.6126164</v>
      </c>
      <c r="F42" s="6">
        <f t="shared" si="4"/>
        <v>79.499347200000003</v>
      </c>
      <c r="G42" s="6">
        <f t="shared" si="4"/>
        <v>0</v>
      </c>
      <c r="H42" s="6">
        <f>H40*0.18</f>
        <v>126.1119636</v>
      </c>
    </row>
    <row r="43" spans="1:20" x14ac:dyDescent="0.25">
      <c r="A43" s="6"/>
      <c r="B43" s="11"/>
      <c r="C43" s="19" t="s">
        <v>53</v>
      </c>
      <c r="D43" s="6">
        <f>D40+D42</f>
        <v>0</v>
      </c>
      <c r="E43" s="6">
        <f>E40+E42</f>
        <v>305.57159639999998</v>
      </c>
      <c r="F43" s="6">
        <f>F40+F42</f>
        <v>521.16238720000001</v>
      </c>
      <c r="G43" s="6">
        <f t="shared" ref="G43:H43" si="5">G40+G42</f>
        <v>0</v>
      </c>
      <c r="H43" s="6">
        <f t="shared" si="5"/>
        <v>826.73398359999999</v>
      </c>
    </row>
    <row r="44" spans="1:20" ht="35.25" customHeight="1" x14ac:dyDescent="0.25">
      <c r="A44" s="176" t="s">
        <v>54</v>
      </c>
      <c r="B44" s="177"/>
      <c r="C44" s="178"/>
      <c r="D44" s="7">
        <f>D43</f>
        <v>0</v>
      </c>
      <c r="E44" s="20">
        <f t="shared" ref="E44:G44" si="6">E43</f>
        <v>305.57159639999998</v>
      </c>
      <c r="F44" s="20">
        <f t="shared" si="6"/>
        <v>521.16238720000001</v>
      </c>
      <c r="G44" s="20">
        <f t="shared" si="6"/>
        <v>0</v>
      </c>
      <c r="H44" s="20">
        <f>SUM(D44:G44)</f>
        <v>826.73398359999999</v>
      </c>
    </row>
    <row r="45" spans="1:20" ht="25.5" customHeight="1" x14ac:dyDescent="0.25">
      <c r="A45" s="179" t="s">
        <v>49</v>
      </c>
      <c r="B45" s="180"/>
      <c r="C45" s="181"/>
      <c r="D45" s="17">
        <v>0</v>
      </c>
      <c r="E45" s="17">
        <v>0</v>
      </c>
      <c r="F45" s="17">
        <v>0</v>
      </c>
      <c r="G45" s="17">
        <v>0</v>
      </c>
      <c r="H45" s="17">
        <f>SUM(D45:G45)</f>
        <v>0</v>
      </c>
    </row>
    <row r="46" spans="1:20" ht="25.5" customHeight="1" x14ac:dyDescent="0.25">
      <c r="A46" s="179" t="s">
        <v>50</v>
      </c>
      <c r="B46" s="180"/>
      <c r="C46" s="181"/>
      <c r="D46" s="17">
        <f>D44-D45</f>
        <v>0</v>
      </c>
      <c r="E46" s="21">
        <f t="shared" ref="E46:G46" si="7">E44-E45</f>
        <v>305.57159639999998</v>
      </c>
      <c r="F46" s="21">
        <f t="shared" si="7"/>
        <v>521.16238720000001</v>
      </c>
      <c r="G46" s="21">
        <f t="shared" si="7"/>
        <v>0</v>
      </c>
      <c r="H46" s="21">
        <f>H44-H45</f>
        <v>826.73398359999999</v>
      </c>
    </row>
    <row r="47" spans="1:20" ht="22.5" customHeight="1" x14ac:dyDescent="0.25">
      <c r="A47" s="173" t="s">
        <v>40</v>
      </c>
      <c r="B47" s="174"/>
      <c r="C47" s="174"/>
      <c r="D47" s="174"/>
      <c r="E47" s="174"/>
      <c r="F47" s="174"/>
      <c r="G47" s="174"/>
      <c r="H47" s="175"/>
    </row>
    <row r="48" spans="1:20" x14ac:dyDescent="0.25">
      <c r="A48" s="17"/>
      <c r="B48" s="30">
        <v>2018</v>
      </c>
      <c r="C48" s="22">
        <v>1.046</v>
      </c>
      <c r="D48" s="23"/>
      <c r="E48" s="23"/>
      <c r="F48" s="23"/>
      <c r="G48" s="23"/>
      <c r="H48" s="23">
        <f>SUM(D48:G48)</f>
        <v>0</v>
      </c>
    </row>
    <row r="49" spans="1:11" x14ac:dyDescent="0.25">
      <c r="A49" s="17" t="s">
        <v>37</v>
      </c>
      <c r="B49" s="30">
        <v>2019</v>
      </c>
      <c r="C49" s="22">
        <v>1.044</v>
      </c>
      <c r="D49" s="23"/>
      <c r="E49" s="23">
        <f>E46*C49</f>
        <v>319.01674664159998</v>
      </c>
      <c r="F49" s="23">
        <f>F46*C49</f>
        <v>544.0935322368</v>
      </c>
      <c r="G49" s="23">
        <f>G46*C49*C48*19.96%</f>
        <v>0</v>
      </c>
      <c r="H49" s="23">
        <f>SUM(D49:G49)</f>
        <v>863.11027887839998</v>
      </c>
      <c r="I49" s="2">
        <f>H49/1.18/1000</f>
        <v>0.73144938888</v>
      </c>
      <c r="J49" s="2">
        <v>5269</v>
      </c>
      <c r="K49" s="2">
        <f>J49/H49</f>
        <v>6.104666030448616</v>
      </c>
    </row>
    <row r="50" spans="1:11" x14ac:dyDescent="0.25">
      <c r="A50" s="17" t="s">
        <v>39</v>
      </c>
      <c r="B50" s="30">
        <v>2020</v>
      </c>
      <c r="C50" s="22">
        <v>1.042</v>
      </c>
      <c r="D50" s="23"/>
      <c r="E50" s="23"/>
      <c r="F50" s="23"/>
      <c r="G50" s="23">
        <f>G46*C50*C49*C48*25.66%</f>
        <v>0</v>
      </c>
      <c r="H50" s="23">
        <f t="shared" ref="H50:H53" si="8">SUM(D50:G50)</f>
        <v>0</v>
      </c>
      <c r="J50" s="2">
        <v>6900</v>
      </c>
      <c r="K50" s="2" t="e">
        <f t="shared" ref="K50:K53" si="9">J50/H50</f>
        <v>#DIV/0!</v>
      </c>
    </row>
    <row r="51" spans="1:11" x14ac:dyDescent="0.25">
      <c r="A51" s="6"/>
      <c r="B51" s="30">
        <v>2021</v>
      </c>
      <c r="C51" s="22">
        <v>1.0429999999999999</v>
      </c>
      <c r="D51" s="23"/>
      <c r="E51" s="23"/>
      <c r="F51" s="24"/>
      <c r="G51" s="23">
        <f>G46*C51*C50*C49*C48*21.72%</f>
        <v>0</v>
      </c>
      <c r="H51" s="23">
        <f>SUM(D51:G51)</f>
        <v>0</v>
      </c>
      <c r="J51" s="2">
        <v>7366</v>
      </c>
      <c r="K51" s="2" t="e">
        <f t="shared" si="9"/>
        <v>#DIV/0!</v>
      </c>
    </row>
    <row r="52" spans="1:11" x14ac:dyDescent="0.25">
      <c r="A52" s="6"/>
      <c r="B52" s="30">
        <v>2022</v>
      </c>
      <c r="C52" s="22">
        <v>1.036</v>
      </c>
      <c r="D52" s="23"/>
      <c r="E52" s="23"/>
      <c r="F52" s="23"/>
      <c r="G52" s="23">
        <f>G46*C52*C51*C50*C49*C48*20.05%</f>
        <v>0</v>
      </c>
      <c r="H52" s="23">
        <f t="shared" si="8"/>
        <v>0</v>
      </c>
      <c r="J52" s="2">
        <v>7056</v>
      </c>
      <c r="K52" s="2" t="e">
        <f t="shared" si="9"/>
        <v>#DIV/0!</v>
      </c>
    </row>
    <row r="53" spans="1:11" x14ac:dyDescent="0.25">
      <c r="A53" s="6"/>
      <c r="B53" s="30">
        <v>2023</v>
      </c>
      <c r="C53" s="22">
        <v>1.0309999999999999</v>
      </c>
      <c r="D53" s="25"/>
      <c r="E53" s="23"/>
      <c r="F53" s="23"/>
      <c r="G53" s="23">
        <f>G46*C53*C52*C51*C50*C49*C48*20.05%</f>
        <v>0</v>
      </c>
      <c r="H53" s="23">
        <f t="shared" si="8"/>
        <v>0</v>
      </c>
      <c r="J53" s="2">
        <v>7359</v>
      </c>
      <c r="K53" s="2" t="e">
        <f t="shared" si="9"/>
        <v>#DIV/0!</v>
      </c>
    </row>
    <row r="54" spans="1:11" ht="15.75" customHeight="1" x14ac:dyDescent="0.25">
      <c r="A54" s="173" t="s">
        <v>38</v>
      </c>
      <c r="B54" s="174"/>
      <c r="C54" s="175"/>
      <c r="D54" s="25"/>
      <c r="E54" s="25">
        <f>SUM(E48:E53)</f>
        <v>319.01674664159998</v>
      </c>
      <c r="F54" s="25">
        <f>SUM(F48:F53)</f>
        <v>544.0935322368</v>
      </c>
      <c r="G54" s="25">
        <f>SUM(G48:G53)</f>
        <v>0</v>
      </c>
      <c r="H54" s="25">
        <f>SUM(H48:H53)</f>
        <v>863.11027887839998</v>
      </c>
    </row>
    <row r="55" spans="1:11" ht="15.75" customHeight="1" x14ac:dyDescent="0.25">
      <c r="A55" s="26"/>
      <c r="B55" s="26"/>
      <c r="C55" s="26"/>
      <c r="D55" s="27"/>
      <c r="E55" s="27">
        <f>E54/1.18/1000</f>
        <v>0.27035317512000001</v>
      </c>
      <c r="F55" s="27">
        <f>F54/1.18/1000</f>
        <v>0.46109621375999998</v>
      </c>
      <c r="G55" s="27"/>
      <c r="H55" s="27"/>
    </row>
    <row r="56" spans="1:11" x14ac:dyDescent="0.25">
      <c r="A56" s="28"/>
      <c r="B56" s="31" t="s">
        <v>42</v>
      </c>
    </row>
  </sheetData>
  <mergeCells count="24">
    <mergeCell ref="A29:H29"/>
    <mergeCell ref="A32:H32"/>
    <mergeCell ref="A41:H41"/>
    <mergeCell ref="A54:C54"/>
    <mergeCell ref="A47:H47"/>
    <mergeCell ref="A44:C44"/>
    <mergeCell ref="A45:C45"/>
    <mergeCell ref="A46:C46"/>
    <mergeCell ref="A38:H38"/>
    <mergeCell ref="A13:H13"/>
    <mergeCell ref="A17:H17"/>
    <mergeCell ref="A21:H21"/>
    <mergeCell ref="A5:H5"/>
    <mergeCell ref="F1:G1"/>
    <mergeCell ref="A2:H2"/>
    <mergeCell ref="A3:H3"/>
    <mergeCell ref="A4:H4"/>
    <mergeCell ref="B6:E6"/>
    <mergeCell ref="A8:A9"/>
    <mergeCell ref="B8:B9"/>
    <mergeCell ref="C8:C9"/>
    <mergeCell ref="D8:G8"/>
    <mergeCell ref="H8:H9"/>
    <mergeCell ref="A11:C11"/>
  </mergeCells>
  <pageMargins left="0.25" right="0.25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showZeros="0" zoomScale="80" zoomScaleNormal="80" zoomScaleSheetLayoutView="90" workbookViewId="0">
      <selection activeCell="Q34" sqref="Q34"/>
    </sheetView>
  </sheetViews>
  <sheetFormatPr defaultColWidth="8.75" defaultRowHeight="15.75" x14ac:dyDescent="0.25"/>
  <cols>
    <col min="1" max="1" width="6.125" style="2" customWidth="1"/>
    <col min="2" max="2" width="28.125" style="2" customWidth="1"/>
    <col min="3" max="3" width="52.375" style="2" customWidth="1"/>
    <col min="4" max="6" width="11.375" style="41" customWidth="1"/>
    <col min="7" max="7" width="14.25" style="41" customWidth="1"/>
    <col min="8" max="8" width="16.5" style="41" customWidth="1"/>
    <col min="9" max="9" width="9.75" style="2" customWidth="1"/>
    <col min="10" max="10" width="14.375" style="2" hidden="1" customWidth="1"/>
    <col min="11" max="11" width="9.375" style="2" hidden="1" customWidth="1"/>
    <col min="12" max="16384" width="8.75" style="2"/>
  </cols>
  <sheetData>
    <row r="1" spans="1:12" x14ac:dyDescent="0.25">
      <c r="F1" s="191" t="s">
        <v>35</v>
      </c>
      <c r="G1" s="191"/>
      <c r="H1" s="191"/>
    </row>
    <row r="2" spans="1:12" x14ac:dyDescent="0.25">
      <c r="A2" s="165" t="s">
        <v>55</v>
      </c>
      <c r="B2" s="165"/>
      <c r="C2" s="165"/>
      <c r="D2" s="165"/>
      <c r="E2" s="165"/>
      <c r="F2" s="165"/>
      <c r="G2" s="165"/>
      <c r="H2" s="165"/>
    </row>
    <row r="3" spans="1:12" ht="39" customHeight="1" x14ac:dyDescent="0.25">
      <c r="A3" s="40"/>
      <c r="B3" s="192" t="s">
        <v>82</v>
      </c>
      <c r="C3" s="192"/>
      <c r="D3" s="192"/>
      <c r="E3" s="192"/>
      <c r="F3" s="192"/>
      <c r="G3" s="192"/>
      <c r="H3" s="2"/>
    </row>
    <row r="4" spans="1:12" x14ac:dyDescent="0.25">
      <c r="A4" s="193" t="s">
        <v>43</v>
      </c>
      <c r="B4" s="193"/>
      <c r="C4" s="193"/>
      <c r="D4" s="193"/>
      <c r="E4" s="193"/>
      <c r="F4" s="193"/>
      <c r="G4" s="193"/>
      <c r="H4" s="193"/>
    </row>
    <row r="5" spans="1:12" x14ac:dyDescent="0.25">
      <c r="A5" s="74"/>
      <c r="B5" s="167"/>
      <c r="C5" s="167"/>
      <c r="D5" s="167"/>
      <c r="E5" s="167"/>
      <c r="F5" s="43"/>
      <c r="G5" s="43"/>
      <c r="H5" s="43"/>
    </row>
    <row r="6" spans="1:12" x14ac:dyDescent="0.25">
      <c r="A6" s="61" t="s">
        <v>67</v>
      </c>
      <c r="B6" s="74"/>
      <c r="C6" s="74"/>
      <c r="D6" s="44"/>
      <c r="E6" s="44"/>
      <c r="F6" s="44"/>
      <c r="G6" s="44"/>
      <c r="H6" s="43"/>
    </row>
    <row r="7" spans="1:12" ht="15.75" customHeight="1" x14ac:dyDescent="0.25">
      <c r="A7" s="194" t="s">
        <v>1</v>
      </c>
      <c r="B7" s="194" t="s">
        <v>45</v>
      </c>
      <c r="C7" s="194" t="s">
        <v>46</v>
      </c>
      <c r="D7" s="196" t="s">
        <v>2</v>
      </c>
      <c r="E7" s="197"/>
      <c r="F7" s="197"/>
      <c r="G7" s="198"/>
      <c r="H7" s="199" t="s">
        <v>3</v>
      </c>
    </row>
    <row r="8" spans="1:12" ht="30" x14ac:dyDescent="0.25">
      <c r="A8" s="195"/>
      <c r="B8" s="195"/>
      <c r="C8" s="195"/>
      <c r="D8" s="76" t="s">
        <v>33</v>
      </c>
      <c r="E8" s="76" t="s">
        <v>32</v>
      </c>
      <c r="F8" s="76" t="s">
        <v>34</v>
      </c>
      <c r="G8" s="76" t="s">
        <v>36</v>
      </c>
      <c r="H8" s="200"/>
    </row>
    <row r="9" spans="1:12" x14ac:dyDescent="0.25">
      <c r="A9" s="29">
        <v>1</v>
      </c>
      <c r="B9" s="29">
        <v>2</v>
      </c>
      <c r="C9" s="29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</row>
    <row r="10" spans="1:12" hidden="1" x14ac:dyDescent="0.25">
      <c r="A10" s="160" t="s">
        <v>4</v>
      </c>
      <c r="B10" s="161"/>
      <c r="C10" s="162"/>
      <c r="D10" s="45"/>
      <c r="E10" s="46"/>
      <c r="F10" s="45"/>
      <c r="G10" s="45"/>
      <c r="H10" s="45"/>
    </row>
    <row r="11" spans="1:12" hidden="1" x14ac:dyDescent="0.25">
      <c r="A11" s="1"/>
      <c r="B11" s="1"/>
      <c r="C11" s="32" t="s">
        <v>5</v>
      </c>
      <c r="D11" s="46"/>
      <c r="E11" s="46"/>
      <c r="F11" s="46"/>
      <c r="G11" s="46"/>
      <c r="H11" s="46">
        <f>E11+G11</f>
        <v>0</v>
      </c>
    </row>
    <row r="12" spans="1:12" x14ac:dyDescent="0.25">
      <c r="A12" s="157" t="s">
        <v>6</v>
      </c>
      <c r="B12" s="158"/>
      <c r="C12" s="158"/>
      <c r="D12" s="158"/>
      <c r="E12" s="158"/>
      <c r="F12" s="158"/>
      <c r="G12" s="158"/>
      <c r="H12" s="159"/>
    </row>
    <row r="13" spans="1:12" ht="31.5" x14ac:dyDescent="0.25">
      <c r="A13" s="77">
        <v>1</v>
      </c>
      <c r="B13" s="39" t="s">
        <v>84</v>
      </c>
      <c r="C13" s="19" t="s">
        <v>83</v>
      </c>
      <c r="D13" s="46"/>
      <c r="E13" s="46">
        <v>11382.457</v>
      </c>
      <c r="F13" s="46"/>
      <c r="G13" s="46"/>
      <c r="H13" s="48">
        <f>SUM(E13:F13)</f>
        <v>11382.457</v>
      </c>
      <c r="L13" s="2">
        <f>724.082+424.139+2443.088+2936.373+965.722+862.834+731.299+1171.561+1417.844+1149.246</f>
        <v>12826.187999999998</v>
      </c>
    </row>
    <row r="14" spans="1:12" x14ac:dyDescent="0.25">
      <c r="A14" s="77"/>
      <c r="B14" s="39"/>
      <c r="C14" s="85" t="s">
        <v>85</v>
      </c>
      <c r="D14" s="46"/>
      <c r="E14" s="46"/>
      <c r="F14" s="46"/>
      <c r="G14" s="46"/>
      <c r="H14" s="48">
        <f t="shared" ref="H14:H15" si="0">SUM(E14:F14)</f>
        <v>0</v>
      </c>
      <c r="L14" s="2">
        <f>115.025+214.491+590.007+438.352+870.208+854.479+968.509+841.714+515.128+912.517+685.458</f>
        <v>7005.887999999999</v>
      </c>
    </row>
    <row r="15" spans="1:12" x14ac:dyDescent="0.25">
      <c r="A15" s="77"/>
      <c r="B15" s="39"/>
      <c r="C15" s="85" t="s">
        <v>86</v>
      </c>
      <c r="D15" s="47"/>
      <c r="E15" s="47"/>
      <c r="F15" s="47"/>
      <c r="G15" s="46"/>
      <c r="H15" s="48">
        <f t="shared" si="0"/>
        <v>0</v>
      </c>
      <c r="L15" s="2">
        <f>3792.416+688.546+1796.067+359.228+340.2+1029.149+205.966+1995.264+586.929+387.887</f>
        <v>11181.652</v>
      </c>
    </row>
    <row r="16" spans="1:12" x14ac:dyDescent="0.25">
      <c r="A16" s="77"/>
      <c r="B16" s="1"/>
      <c r="C16" s="32" t="s">
        <v>7</v>
      </c>
      <c r="D16" s="73">
        <f>SUM(D15:D15)</f>
        <v>0</v>
      </c>
      <c r="E16" s="49">
        <f>SUM(E13:E15)</f>
        <v>11382.457</v>
      </c>
      <c r="F16" s="49">
        <f>SUM(F15:F15)</f>
        <v>0</v>
      </c>
      <c r="G16" s="49">
        <f>SUM(G15:G15)</f>
        <v>0</v>
      </c>
      <c r="H16" s="49">
        <f>SUM(H13:H15)</f>
        <v>11382.457</v>
      </c>
    </row>
    <row r="17" spans="1:20" x14ac:dyDescent="0.25">
      <c r="A17" s="160" t="s">
        <v>8</v>
      </c>
      <c r="B17" s="161"/>
      <c r="C17" s="161"/>
      <c r="D17" s="161"/>
      <c r="E17" s="161"/>
      <c r="F17" s="161"/>
      <c r="G17" s="161"/>
      <c r="H17" s="162"/>
    </row>
    <row r="18" spans="1:20" hidden="1" x14ac:dyDescent="0.25">
      <c r="A18" s="6"/>
      <c r="B18" s="11"/>
      <c r="C18" s="6" t="s">
        <v>9</v>
      </c>
      <c r="D18" s="50"/>
      <c r="E18" s="50"/>
      <c r="F18" s="45"/>
      <c r="G18" s="45"/>
      <c r="H18" s="50"/>
    </row>
    <row r="19" spans="1:20" hidden="1" x14ac:dyDescent="0.25">
      <c r="A19" s="6"/>
      <c r="B19" s="6"/>
      <c r="C19" s="6" t="s">
        <v>10</v>
      </c>
      <c r="D19" s="50"/>
      <c r="E19" s="50"/>
      <c r="F19" s="45"/>
      <c r="G19" s="45"/>
      <c r="H19" s="50"/>
    </row>
    <row r="20" spans="1:20" x14ac:dyDescent="0.25">
      <c r="A20" s="6"/>
      <c r="B20" s="6"/>
      <c r="C20" s="33" t="s">
        <v>11</v>
      </c>
      <c r="D20" s="51"/>
      <c r="E20" s="51">
        <f>E16+E19</f>
        <v>11382.457</v>
      </c>
      <c r="F20" s="51">
        <f t="shared" ref="F20:G20" si="1">F16+F19</f>
        <v>0</v>
      </c>
      <c r="G20" s="51">
        <f t="shared" si="1"/>
        <v>0</v>
      </c>
      <c r="H20" s="51">
        <f>H16+H19</f>
        <v>11382.457</v>
      </c>
    </row>
    <row r="21" spans="1:20" x14ac:dyDescent="0.25">
      <c r="A21" s="160" t="s">
        <v>12</v>
      </c>
      <c r="B21" s="161"/>
      <c r="C21" s="161"/>
      <c r="D21" s="161"/>
      <c r="E21" s="161"/>
      <c r="F21" s="161"/>
      <c r="G21" s="161"/>
      <c r="H21" s="162"/>
    </row>
    <row r="22" spans="1:20" hidden="1" x14ac:dyDescent="0.25">
      <c r="A22" s="6"/>
      <c r="B22" s="11"/>
      <c r="C22" s="11" t="s">
        <v>13</v>
      </c>
      <c r="D22" s="50"/>
      <c r="E22" s="47"/>
      <c r="F22" s="45"/>
      <c r="G22" s="45"/>
      <c r="H22" s="50"/>
    </row>
    <row r="23" spans="1:20" ht="47.25" hidden="1" x14ac:dyDescent="0.25">
      <c r="A23" s="29"/>
      <c r="B23" s="11" t="s">
        <v>70</v>
      </c>
      <c r="C23" s="19" t="s">
        <v>69</v>
      </c>
      <c r="D23" s="45"/>
      <c r="E23" s="46">
        <f>(0+0)/8*200</f>
        <v>0</v>
      </c>
      <c r="F23" s="45"/>
      <c r="G23" s="50"/>
      <c r="H23" s="50">
        <f>SUM(D23:G23)</f>
        <v>0</v>
      </c>
    </row>
    <row r="24" spans="1:20" hidden="1" x14ac:dyDescent="0.25">
      <c r="A24" s="6"/>
      <c r="B24" s="11"/>
      <c r="C24" s="11" t="s">
        <v>15</v>
      </c>
      <c r="D24" s="45"/>
      <c r="E24" s="46"/>
      <c r="F24" s="45"/>
      <c r="G24" s="50"/>
      <c r="H24" s="50"/>
    </row>
    <row r="25" spans="1:20" hidden="1" x14ac:dyDescent="0.25">
      <c r="A25" s="6"/>
      <c r="B25" s="11"/>
      <c r="C25" s="11" t="s">
        <v>16</v>
      </c>
      <c r="D25" s="45"/>
      <c r="E25" s="46"/>
      <c r="F25" s="45"/>
      <c r="G25" s="50"/>
      <c r="H25" s="50"/>
    </row>
    <row r="26" spans="1:20" hidden="1" x14ac:dyDescent="0.25">
      <c r="A26" s="6"/>
      <c r="B26" s="11"/>
      <c r="C26" s="11" t="s">
        <v>17</v>
      </c>
      <c r="D26" s="45"/>
      <c r="E26" s="46"/>
      <c r="F26" s="45"/>
      <c r="G26" s="45"/>
      <c r="H26" s="45"/>
    </row>
    <row r="27" spans="1:20" hidden="1" x14ac:dyDescent="0.25">
      <c r="A27" s="6"/>
      <c r="B27" s="11"/>
      <c r="C27" s="11" t="s">
        <v>18</v>
      </c>
      <c r="D27" s="52"/>
      <c r="E27" s="52">
        <f>SUM(E22:E26)</f>
        <v>0</v>
      </c>
      <c r="F27" s="53"/>
      <c r="G27" s="53"/>
      <c r="H27" s="50">
        <f>SUM(H22:H26)</f>
        <v>0</v>
      </c>
    </row>
    <row r="28" spans="1:20" x14ac:dyDescent="0.25">
      <c r="A28" s="6"/>
      <c r="B28" s="11"/>
      <c r="C28" s="34" t="s">
        <v>19</v>
      </c>
      <c r="D28" s="54">
        <f>D27+D20+D16+D11</f>
        <v>0</v>
      </c>
      <c r="E28" s="54">
        <f>E20+E27</f>
        <v>11382.457</v>
      </c>
      <c r="F28" s="54">
        <f t="shared" ref="F28:G28" si="2">F20+F27</f>
        <v>0</v>
      </c>
      <c r="G28" s="54">
        <f t="shared" si="2"/>
        <v>0</v>
      </c>
      <c r="H28" s="54">
        <f>H20+H27</f>
        <v>11382.457</v>
      </c>
    </row>
    <row r="29" spans="1:20" x14ac:dyDescent="0.25">
      <c r="A29" s="160" t="s">
        <v>20</v>
      </c>
      <c r="B29" s="161"/>
      <c r="C29" s="161"/>
      <c r="D29" s="161"/>
      <c r="E29" s="161"/>
      <c r="F29" s="161"/>
      <c r="G29" s="161"/>
      <c r="H29" s="162"/>
    </row>
    <row r="30" spans="1:20" x14ac:dyDescent="0.25">
      <c r="A30" s="29">
        <v>2</v>
      </c>
      <c r="B30" s="11" t="s">
        <v>60</v>
      </c>
      <c r="C30" s="15" t="s">
        <v>88</v>
      </c>
      <c r="D30" s="45"/>
      <c r="E30" s="52"/>
      <c r="F30" s="52"/>
      <c r="G30" s="53">
        <f>(H28)*0.012</f>
        <v>136.589484</v>
      </c>
      <c r="H30" s="53">
        <f>SUM(E30:G30)</f>
        <v>136.589484</v>
      </c>
    </row>
    <row r="31" spans="1:20" x14ac:dyDescent="0.25">
      <c r="A31" s="6"/>
      <c r="B31" s="11"/>
      <c r="C31" s="35" t="s">
        <v>21</v>
      </c>
      <c r="D31" s="51"/>
      <c r="E31" s="54">
        <f>E30</f>
        <v>0</v>
      </c>
      <c r="F31" s="53">
        <f>F30</f>
        <v>0</v>
      </c>
      <c r="G31" s="53">
        <f>G30</f>
        <v>136.589484</v>
      </c>
      <c r="H31" s="53">
        <f>H30</f>
        <v>136.589484</v>
      </c>
      <c r="M31" s="16"/>
      <c r="N31" s="16"/>
      <c r="O31" s="16"/>
      <c r="P31" s="16"/>
      <c r="Q31" s="16"/>
      <c r="R31" s="16"/>
      <c r="S31" s="16"/>
      <c r="T31" s="16"/>
    </row>
    <row r="32" spans="1:20" x14ac:dyDescent="0.25">
      <c r="A32" s="6"/>
      <c r="B32" s="11"/>
      <c r="C32" s="34" t="s">
        <v>59</v>
      </c>
      <c r="D32" s="54">
        <f>D28+D31</f>
        <v>0</v>
      </c>
      <c r="E32" s="54">
        <f>E28+E31</f>
        <v>11382.457</v>
      </c>
      <c r="F32" s="54">
        <f>F28+F31</f>
        <v>0</v>
      </c>
      <c r="G32" s="54">
        <f>G28+G31</f>
        <v>136.589484</v>
      </c>
      <c r="H32" s="54">
        <f>H28+H31</f>
        <v>11519.046484</v>
      </c>
      <c r="M32" s="16"/>
      <c r="N32" s="16"/>
      <c r="O32" s="16"/>
      <c r="P32" s="16"/>
      <c r="Q32" s="16"/>
      <c r="R32" s="16"/>
      <c r="S32" s="16"/>
      <c r="T32" s="16"/>
    </row>
    <row r="33" spans="1:20" x14ac:dyDescent="0.25">
      <c r="A33" s="160" t="s">
        <v>22</v>
      </c>
      <c r="B33" s="161"/>
      <c r="C33" s="161"/>
      <c r="D33" s="161"/>
      <c r="E33" s="161"/>
      <c r="F33" s="161"/>
      <c r="G33" s="161"/>
      <c r="H33" s="162"/>
      <c r="M33" s="16"/>
      <c r="N33" s="16"/>
      <c r="O33" s="16"/>
      <c r="P33" s="16"/>
      <c r="Q33" s="16"/>
      <c r="R33" s="16"/>
      <c r="S33" s="16"/>
      <c r="T33" s="16"/>
    </row>
    <row r="34" spans="1:20" ht="31.5" x14ac:dyDescent="0.25">
      <c r="A34" s="29">
        <v>3</v>
      </c>
      <c r="B34" s="19" t="s">
        <v>65</v>
      </c>
      <c r="C34" s="6" t="s">
        <v>87</v>
      </c>
      <c r="D34" s="46">
        <f>H32*0.075</f>
        <v>863.92848630000003</v>
      </c>
      <c r="E34" s="45"/>
      <c r="F34" s="45"/>
      <c r="G34" s="50"/>
      <c r="H34" s="50">
        <f>SUM(D34:G34)</f>
        <v>863.92848630000003</v>
      </c>
      <c r="M34" s="16"/>
      <c r="N34" s="16"/>
      <c r="O34" s="16"/>
      <c r="P34" s="16"/>
      <c r="Q34" s="16"/>
      <c r="R34" s="16"/>
      <c r="S34" s="16"/>
      <c r="T34" s="16"/>
    </row>
    <row r="35" spans="1:20" hidden="1" x14ac:dyDescent="0.25">
      <c r="A35" s="6"/>
      <c r="B35" s="11"/>
      <c r="C35" s="11" t="s">
        <v>24</v>
      </c>
      <c r="D35" s="46"/>
      <c r="E35" s="45"/>
      <c r="F35" s="45"/>
      <c r="G35" s="50"/>
      <c r="H35" s="50"/>
      <c r="M35" s="16"/>
      <c r="N35" s="18"/>
      <c r="O35" s="18"/>
      <c r="P35" s="18"/>
      <c r="Q35" s="18"/>
      <c r="R35" s="16"/>
      <c r="S35" s="16"/>
      <c r="T35" s="16"/>
    </row>
    <row r="36" spans="1:20" hidden="1" x14ac:dyDescent="0.25">
      <c r="A36" s="6"/>
      <c r="B36" s="11"/>
      <c r="C36" s="11" t="s">
        <v>25</v>
      </c>
      <c r="D36" s="46"/>
      <c r="E36" s="45"/>
      <c r="F36" s="45"/>
      <c r="G36" s="50"/>
      <c r="H36" s="50"/>
      <c r="M36" s="16"/>
      <c r="N36" s="18"/>
      <c r="O36" s="18"/>
      <c r="P36" s="18"/>
      <c r="Q36" s="18"/>
      <c r="R36" s="16"/>
      <c r="S36" s="16"/>
      <c r="T36" s="16"/>
    </row>
    <row r="37" spans="1:20" x14ac:dyDescent="0.25">
      <c r="A37" s="6"/>
      <c r="B37" s="11"/>
      <c r="C37" s="11" t="s">
        <v>26</v>
      </c>
      <c r="D37" s="45">
        <f>SUM(D34:D36)</f>
        <v>863.92848630000003</v>
      </c>
      <c r="E37" s="45">
        <f t="shared" ref="E37:G37" si="3">SUM(E34:E36)</f>
        <v>0</v>
      </c>
      <c r="F37" s="45">
        <f t="shared" si="3"/>
        <v>0</v>
      </c>
      <c r="G37" s="45">
        <f t="shared" si="3"/>
        <v>0</v>
      </c>
      <c r="H37" s="50">
        <f>SUM(D37:G37)</f>
        <v>863.92848630000003</v>
      </c>
      <c r="M37" s="16"/>
      <c r="N37" s="18"/>
      <c r="O37" s="18"/>
      <c r="P37" s="18"/>
      <c r="Q37" s="18"/>
      <c r="R37" s="16"/>
      <c r="S37" s="16"/>
      <c r="T37" s="16"/>
    </row>
    <row r="38" spans="1:20" x14ac:dyDescent="0.25">
      <c r="A38" s="6"/>
      <c r="B38" s="11"/>
      <c r="C38" s="34" t="s">
        <v>27</v>
      </c>
      <c r="D38" s="51">
        <f>D32+D37</f>
        <v>863.92848630000003</v>
      </c>
      <c r="E38" s="51">
        <f t="shared" ref="E38:G38" si="4">E32+E37</f>
        <v>11382.457</v>
      </c>
      <c r="F38" s="51">
        <f t="shared" si="4"/>
        <v>0</v>
      </c>
      <c r="G38" s="51">
        <f t="shared" si="4"/>
        <v>136.589484</v>
      </c>
      <c r="H38" s="51">
        <f>H37+H31+H28</f>
        <v>12382.9749703</v>
      </c>
      <c r="M38" s="16"/>
      <c r="N38" s="16"/>
      <c r="O38" s="16"/>
      <c r="P38" s="16"/>
      <c r="Q38" s="16"/>
      <c r="R38" s="16"/>
      <c r="S38" s="16"/>
      <c r="T38" s="16"/>
    </row>
    <row r="39" spans="1:20" x14ac:dyDescent="0.25">
      <c r="A39" s="160" t="s">
        <v>28</v>
      </c>
      <c r="B39" s="161"/>
      <c r="C39" s="161"/>
      <c r="D39" s="161"/>
      <c r="E39" s="161"/>
      <c r="F39" s="161"/>
      <c r="G39" s="161"/>
      <c r="H39" s="162"/>
      <c r="M39" s="16"/>
      <c r="N39" s="16"/>
      <c r="O39" s="16"/>
      <c r="P39" s="16"/>
      <c r="Q39" s="16"/>
      <c r="R39" s="16"/>
      <c r="S39" s="16"/>
      <c r="T39" s="16"/>
    </row>
    <row r="40" spans="1:20" x14ac:dyDescent="0.25">
      <c r="A40" s="29">
        <v>4</v>
      </c>
      <c r="B40" s="11" t="s">
        <v>51</v>
      </c>
      <c r="C40" s="11" t="s">
        <v>56</v>
      </c>
      <c r="D40" s="50">
        <f>D38*3%</f>
        <v>25.917854589000001</v>
      </c>
      <c r="E40" s="50">
        <f t="shared" ref="E40:F40" si="5">E38*3%</f>
        <v>341.47370999999998</v>
      </c>
      <c r="F40" s="50">
        <f t="shared" si="5"/>
        <v>0</v>
      </c>
      <c r="G40" s="50">
        <f>G38*3%</f>
        <v>4.0976845199999996</v>
      </c>
      <c r="H40" s="53">
        <f>SUM(D40:G40)</f>
        <v>371.48924910899996</v>
      </c>
      <c r="M40" s="16"/>
      <c r="N40" s="16"/>
      <c r="O40" s="16"/>
      <c r="P40" s="16"/>
      <c r="Q40" s="16"/>
      <c r="R40" s="16"/>
      <c r="S40" s="16"/>
      <c r="T40" s="16"/>
    </row>
    <row r="41" spans="1:20" x14ac:dyDescent="0.25">
      <c r="A41" s="6"/>
      <c r="B41" s="11"/>
      <c r="C41" s="34" t="s">
        <v>29</v>
      </c>
      <c r="D41" s="51">
        <f>D38+D40</f>
        <v>889.84634088899998</v>
      </c>
      <c r="E41" s="51">
        <f t="shared" ref="E41:F41" si="6">E38+E40</f>
        <v>11723.930710000001</v>
      </c>
      <c r="F41" s="51">
        <f t="shared" si="6"/>
        <v>0</v>
      </c>
      <c r="G41" s="51">
        <f>G38+G40</f>
        <v>140.68716852</v>
      </c>
      <c r="H41" s="54">
        <f>H38+H40</f>
        <v>12754.464219408999</v>
      </c>
    </row>
    <row r="42" spans="1:20" x14ac:dyDescent="0.25">
      <c r="A42" s="160" t="s">
        <v>30</v>
      </c>
      <c r="B42" s="161"/>
      <c r="C42" s="161"/>
      <c r="D42" s="161"/>
      <c r="E42" s="161"/>
      <c r="F42" s="161"/>
      <c r="G42" s="161"/>
      <c r="H42" s="162"/>
    </row>
    <row r="43" spans="1:20" x14ac:dyDescent="0.25">
      <c r="A43" s="29">
        <v>5</v>
      </c>
      <c r="B43" s="11" t="s">
        <v>52</v>
      </c>
      <c r="C43" s="11" t="s">
        <v>57</v>
      </c>
      <c r="D43" s="45">
        <f>D41*0.2</f>
        <v>177.96926817780002</v>
      </c>
      <c r="E43" s="45">
        <f>E41*0.2</f>
        <v>2344.7861420000004</v>
      </c>
      <c r="F43" s="45">
        <f t="shared" ref="F43" si="7">F41*0.2</f>
        <v>0</v>
      </c>
      <c r="G43" s="45">
        <f>G41*0.2</f>
        <v>28.137433704000003</v>
      </c>
      <c r="H43" s="45">
        <f>SUM(D43:G43)</f>
        <v>2550.8928438818007</v>
      </c>
    </row>
    <row r="44" spans="1:20" x14ac:dyDescent="0.25">
      <c r="A44" s="6"/>
      <c r="B44" s="11"/>
      <c r="C44" s="9" t="s">
        <v>68</v>
      </c>
      <c r="D44" s="50">
        <f>D41+D43</f>
        <v>1067.8156090667999</v>
      </c>
      <c r="E44" s="50">
        <f>E41+E43</f>
        <v>14068.716852000001</v>
      </c>
      <c r="F44" s="50">
        <f t="shared" ref="F44:G44" si="8">F41+F43</f>
        <v>0</v>
      </c>
      <c r="G44" s="50">
        <f t="shared" si="8"/>
        <v>168.82460222399999</v>
      </c>
      <c r="H44" s="50">
        <f>H41+H43</f>
        <v>15305.357063290799</v>
      </c>
    </row>
    <row r="45" spans="1:20" x14ac:dyDescent="0.25">
      <c r="A45" s="176" t="s">
        <v>64</v>
      </c>
      <c r="B45" s="177"/>
      <c r="C45" s="178"/>
      <c r="D45" s="55">
        <f>D44</f>
        <v>1067.8156090667999</v>
      </c>
      <c r="E45" s="56">
        <f t="shared" ref="E45:G45" si="9">E44</f>
        <v>14068.716852000001</v>
      </c>
      <c r="F45" s="56">
        <f t="shared" si="9"/>
        <v>0</v>
      </c>
      <c r="G45" s="56">
        <f t="shared" si="9"/>
        <v>168.82460222399999</v>
      </c>
      <c r="H45" s="56">
        <f>SUM(D45:G45)</f>
        <v>15305.357063290801</v>
      </c>
    </row>
    <row r="46" spans="1:20" x14ac:dyDescent="0.25">
      <c r="A46" s="179" t="s">
        <v>71</v>
      </c>
      <c r="B46" s="180"/>
      <c r="C46" s="181"/>
      <c r="D46" s="57">
        <v>0</v>
      </c>
      <c r="E46" s="57">
        <v>0</v>
      </c>
      <c r="F46" s="57">
        <v>0</v>
      </c>
      <c r="G46" s="57">
        <v>0</v>
      </c>
      <c r="H46" s="57">
        <f>SUM(D46:G46)</f>
        <v>0</v>
      </c>
    </row>
    <row r="47" spans="1:20" x14ac:dyDescent="0.25">
      <c r="A47" s="179" t="s">
        <v>72</v>
      </c>
      <c r="B47" s="180"/>
      <c r="C47" s="181"/>
      <c r="D47" s="57">
        <f>D45-D46</f>
        <v>1067.8156090667999</v>
      </c>
      <c r="E47" s="57">
        <f t="shared" ref="E47:G47" si="10">E45-E46</f>
        <v>14068.716852000001</v>
      </c>
      <c r="F47" s="57">
        <f t="shared" si="10"/>
        <v>0</v>
      </c>
      <c r="G47" s="57">
        <f t="shared" si="10"/>
        <v>168.82460222399999</v>
      </c>
      <c r="H47" s="58">
        <f>H45-H46</f>
        <v>15305.357063290801</v>
      </c>
    </row>
    <row r="48" spans="1:20" x14ac:dyDescent="0.25">
      <c r="A48" s="173" t="s">
        <v>40</v>
      </c>
      <c r="B48" s="174"/>
      <c r="C48" s="174"/>
      <c r="D48" s="174"/>
      <c r="E48" s="174"/>
      <c r="F48" s="174"/>
      <c r="G48" s="174"/>
      <c r="H48" s="175"/>
    </row>
    <row r="49" spans="1:19" x14ac:dyDescent="0.25">
      <c r="A49" s="17"/>
      <c r="B49" s="30">
        <v>2020</v>
      </c>
      <c r="C49" s="22">
        <v>1.044</v>
      </c>
      <c r="D49" s="59"/>
      <c r="E49" s="59"/>
      <c r="F49" s="59"/>
      <c r="G49" s="59"/>
      <c r="H49" s="59"/>
    </row>
    <row r="50" spans="1:19" x14ac:dyDescent="0.25">
      <c r="A50" s="6"/>
      <c r="B50" s="30">
        <v>2021</v>
      </c>
      <c r="C50" s="22">
        <v>1.042</v>
      </c>
      <c r="D50" s="59"/>
      <c r="E50" s="59"/>
      <c r="F50" s="59"/>
      <c r="G50" s="59"/>
      <c r="H50" s="59"/>
    </row>
    <row r="51" spans="1:19" x14ac:dyDescent="0.25">
      <c r="A51" s="6"/>
      <c r="B51" s="30">
        <v>2022</v>
      </c>
      <c r="C51" s="22">
        <v>1.0429999999999999</v>
      </c>
      <c r="D51" s="59"/>
      <c r="E51" s="59"/>
      <c r="F51" s="59"/>
      <c r="G51" s="59"/>
      <c r="H51" s="59"/>
    </row>
    <row r="52" spans="1:19" x14ac:dyDescent="0.25">
      <c r="A52" s="6"/>
      <c r="B52" s="30">
        <v>2023</v>
      </c>
      <c r="C52" s="22">
        <v>1.044</v>
      </c>
      <c r="D52" s="59"/>
      <c r="E52" s="59"/>
      <c r="F52" s="59"/>
      <c r="G52" s="59"/>
      <c r="H52" s="59"/>
    </row>
    <row r="53" spans="1:19" x14ac:dyDescent="0.25">
      <c r="A53" s="6"/>
      <c r="B53" s="30">
        <v>2024</v>
      </c>
      <c r="C53" s="22">
        <v>1.044</v>
      </c>
      <c r="D53" s="59">
        <f>D48*PRODUCT($C$49:$C$52)</f>
        <v>0</v>
      </c>
      <c r="E53" s="59">
        <f t="shared" ref="E53:G53" si="11">E48*PRODUCT($C$49:$C$52)</f>
        <v>0</v>
      </c>
      <c r="F53" s="59">
        <f t="shared" si="11"/>
        <v>0</v>
      </c>
      <c r="G53" s="59">
        <f t="shared" si="11"/>
        <v>0</v>
      </c>
      <c r="H53" s="59">
        <f>SUM(D53:G53)</f>
        <v>0</v>
      </c>
    </row>
    <row r="54" spans="1:19" x14ac:dyDescent="0.25">
      <c r="A54" s="6"/>
      <c r="B54" s="30">
        <v>2025</v>
      </c>
      <c r="C54" s="22">
        <v>1.0429999999999999</v>
      </c>
      <c r="D54" s="59"/>
      <c r="E54" s="59"/>
      <c r="F54" s="59">
        <f>F47*PRODUCT(C49:C54)</f>
        <v>0</v>
      </c>
      <c r="G54" s="59"/>
      <c r="H54" s="59">
        <f>SUM(D54:G54)</f>
        <v>0</v>
      </c>
      <c r="M54" s="2">
        <v>1655.4817725203548</v>
      </c>
      <c r="N54" s="2">
        <v>20448.144423423357</v>
      </c>
      <c r="O54" s="2">
        <v>0</v>
      </c>
      <c r="P54" s="2">
        <v>245.37773308108027</v>
      </c>
      <c r="Q54" s="2">
        <v>22349.003929024791</v>
      </c>
    </row>
    <row r="55" spans="1:19" x14ac:dyDescent="0.25">
      <c r="A55" s="6"/>
      <c r="B55" s="30">
        <v>2026</v>
      </c>
      <c r="C55" s="22">
        <v>1.042</v>
      </c>
      <c r="D55" s="59"/>
      <c r="E55" s="59"/>
      <c r="F55" s="59"/>
      <c r="G55" s="59"/>
      <c r="H55" s="59"/>
      <c r="M55" s="2">
        <v>942.2316996648176</v>
      </c>
      <c r="N55" s="2">
        <v>11638.237397045668</v>
      </c>
      <c r="O55" s="2">
        <v>0</v>
      </c>
      <c r="P55" s="2">
        <v>139.65884876454805</v>
      </c>
      <c r="Q55" s="2">
        <v>12720.127945475033</v>
      </c>
    </row>
    <row r="56" spans="1:19" x14ac:dyDescent="0.25">
      <c r="A56" s="6"/>
      <c r="B56" s="30">
        <v>2027</v>
      </c>
      <c r="C56" s="22">
        <v>1.0409999999999999</v>
      </c>
      <c r="D56" s="59">
        <f>D47*PRODUCT(C49:C56)</f>
        <v>1494.0067005285464</v>
      </c>
      <c r="E56" s="59">
        <f>E47*PRODUCT(C49:C56)</f>
        <v>19683.882747411681</v>
      </c>
      <c r="F56" s="59">
        <f t="shared" ref="F56" si="12">F47*PRODUCT(E49:E56)</f>
        <v>0</v>
      </c>
      <c r="G56" s="59">
        <f>G47*PRODUCT(C49:C56)</f>
        <v>236.20659296894016</v>
      </c>
      <c r="H56" s="59">
        <f>SUM(D56:G56)</f>
        <v>21414.096040909168</v>
      </c>
      <c r="M56" s="2">
        <v>1565.4933328580689</v>
      </c>
      <c r="N56" s="2">
        <v>19336.627135104598</v>
      </c>
      <c r="O56" s="2">
        <v>0</v>
      </c>
      <c r="P56" s="2">
        <v>232.03952562125522</v>
      </c>
      <c r="Q56" s="2">
        <v>21134.159993583922</v>
      </c>
    </row>
    <row r="57" spans="1:19" ht="15.75" customHeight="1" x14ac:dyDescent="0.25">
      <c r="A57" s="182" t="s">
        <v>61</v>
      </c>
      <c r="B57" s="183"/>
      <c r="C57" s="184"/>
      <c r="D57" s="36">
        <f>SUM(D49:D56)</f>
        <v>1494.0067005285464</v>
      </c>
      <c r="E57" s="36">
        <f t="shared" ref="E57:G57" si="13">SUM(E49:E56)</f>
        <v>19683.882747411681</v>
      </c>
      <c r="F57" s="36">
        <f t="shared" si="13"/>
        <v>0</v>
      </c>
      <c r="G57" s="36">
        <f t="shared" si="13"/>
        <v>236.20659296894016</v>
      </c>
      <c r="H57" s="36">
        <f>SUM(D57:G57)</f>
        <v>21414.096040909168</v>
      </c>
    </row>
    <row r="58" spans="1:19" ht="15.75" customHeight="1" x14ac:dyDescent="0.25">
      <c r="A58" s="185" t="s">
        <v>62</v>
      </c>
      <c r="B58" s="186"/>
      <c r="C58" s="187"/>
      <c r="D58" s="37">
        <f>D57/1000</f>
        <v>1.4940067005285464</v>
      </c>
      <c r="E58" s="37">
        <f>E57/1000</f>
        <v>19.68388274741168</v>
      </c>
      <c r="F58" s="37">
        <f t="shared" ref="F58:G58" si="14">F57/1000</f>
        <v>0</v>
      </c>
      <c r="G58" s="37">
        <f t="shared" si="14"/>
        <v>0.23620659296894014</v>
      </c>
      <c r="H58" s="37">
        <f t="shared" ref="H58:H59" si="15">SUM(D58:G58)</f>
        <v>21.414096040909168</v>
      </c>
    </row>
    <row r="59" spans="1:19" ht="15.75" customHeight="1" x14ac:dyDescent="0.25">
      <c r="A59" s="188" t="s">
        <v>63</v>
      </c>
      <c r="B59" s="189"/>
      <c r="C59" s="190"/>
      <c r="D59" s="38">
        <f>D57/1.2/1000</f>
        <v>1.2450055837737886</v>
      </c>
      <c r="E59" s="38">
        <f>E57/1.2/1000</f>
        <v>16.40323562284307</v>
      </c>
      <c r="F59" s="38">
        <f t="shared" ref="F59:G59" si="16">F57/1.2/1000</f>
        <v>0</v>
      </c>
      <c r="G59" s="38">
        <f t="shared" si="16"/>
        <v>0.19683882747411682</v>
      </c>
      <c r="H59" s="38">
        <f t="shared" si="15"/>
        <v>17.845080034090977</v>
      </c>
    </row>
    <row r="62" spans="1:19" x14ac:dyDescent="0.25">
      <c r="B62" s="78" t="s">
        <v>73</v>
      </c>
      <c r="C62" s="79" t="s">
        <v>74</v>
      </c>
    </row>
    <row r="63" spans="1:19" ht="15.75" customHeight="1" x14ac:dyDescent="0.25">
      <c r="B63" s="80"/>
      <c r="C63" s="80" t="s">
        <v>75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x14ac:dyDescent="0.25">
      <c r="B64" s="80"/>
      <c r="C64" s="80"/>
      <c r="E64" s="71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 x14ac:dyDescent="0.25">
      <c r="B65" s="80"/>
      <c r="C65" s="80" t="s">
        <v>76</v>
      </c>
      <c r="D65" s="65"/>
      <c r="E65" s="64"/>
      <c r="F65" s="62"/>
      <c r="G65" s="6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8"/>
    </row>
    <row r="66" spans="2:19" ht="15.75" customHeight="1" x14ac:dyDescent="0.25">
      <c r="B66" s="80"/>
      <c r="C66" s="80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2:19" x14ac:dyDescent="0.25">
      <c r="B67" s="80"/>
      <c r="C67" s="80" t="s">
        <v>77</v>
      </c>
      <c r="D67" s="72"/>
      <c r="E67" s="70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 x14ac:dyDescent="0.25">
      <c r="B68" s="81"/>
      <c r="C68" s="80" t="s">
        <v>78</v>
      </c>
    </row>
    <row r="69" spans="2:19" x14ac:dyDescent="0.25">
      <c r="B69" s="80"/>
      <c r="C69" s="80" t="s">
        <v>79</v>
      </c>
    </row>
  </sheetData>
  <mergeCells count="25">
    <mergeCell ref="A33:H33"/>
    <mergeCell ref="F1:H1"/>
    <mergeCell ref="A2:H2"/>
    <mergeCell ref="B3:G3"/>
    <mergeCell ref="A4:H4"/>
    <mergeCell ref="B5:E5"/>
    <mergeCell ref="A7:A8"/>
    <mergeCell ref="B7:B8"/>
    <mergeCell ref="C7:C8"/>
    <mergeCell ref="D7:G7"/>
    <mergeCell ref="H7:H8"/>
    <mergeCell ref="A10:C10"/>
    <mergeCell ref="A12:H12"/>
    <mergeCell ref="A17:H17"/>
    <mergeCell ref="A21:H21"/>
    <mergeCell ref="A29:H29"/>
    <mergeCell ref="A57:C57"/>
    <mergeCell ref="A58:C58"/>
    <mergeCell ref="A59:C59"/>
    <mergeCell ref="A39:H39"/>
    <mergeCell ref="A42:H42"/>
    <mergeCell ref="A45:C45"/>
    <mergeCell ref="A46:C46"/>
    <mergeCell ref="A47:C47"/>
    <mergeCell ref="A48:H48"/>
  </mergeCells>
  <pageMargins left="0.25" right="0.25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showZeros="0" tabSelected="1" view="pageBreakPreview" zoomScale="80" zoomScaleNormal="80" zoomScaleSheetLayoutView="80" workbookViewId="0">
      <selection activeCell="H37" sqref="H37"/>
    </sheetView>
  </sheetViews>
  <sheetFormatPr defaultColWidth="8.75" defaultRowHeight="15.75" x14ac:dyDescent="0.25"/>
  <cols>
    <col min="1" max="1" width="6.125" style="88" customWidth="1"/>
    <col min="2" max="2" width="28" style="88" customWidth="1"/>
    <col min="3" max="3" width="44.875" style="88" customWidth="1"/>
    <col min="4" max="6" width="13.5" style="89" customWidth="1"/>
    <col min="7" max="7" width="16.375" style="89" customWidth="1"/>
    <col min="8" max="8" width="18.375" style="89" customWidth="1"/>
    <col min="9" max="10" width="17.75" style="91" hidden="1" customWidth="1"/>
    <col min="11" max="11" width="9.375" style="88" customWidth="1"/>
    <col min="12" max="12" width="8.75" style="88"/>
    <col min="13" max="13" width="8.75" style="88" customWidth="1"/>
    <col min="14" max="16384" width="8.75" style="88"/>
  </cols>
  <sheetData>
    <row r="1" spans="1:10" x14ac:dyDescent="0.25">
      <c r="F1" s="90"/>
      <c r="G1" s="90"/>
      <c r="H1" s="90"/>
      <c r="J1" s="92" t="s">
        <v>35</v>
      </c>
    </row>
    <row r="2" spans="1:10" ht="18.75" x14ac:dyDescent="0.25">
      <c r="A2" s="213" t="s">
        <v>114</v>
      </c>
      <c r="B2" s="213"/>
      <c r="C2" s="213"/>
      <c r="D2" s="213"/>
      <c r="E2" s="213"/>
      <c r="F2" s="213"/>
      <c r="G2" s="213"/>
      <c r="H2" s="213"/>
    </row>
    <row r="3" spans="1:10" x14ac:dyDescent="0.25">
      <c r="A3" s="142"/>
      <c r="B3" s="142"/>
      <c r="C3" s="142"/>
      <c r="D3" s="142"/>
      <c r="E3" s="142"/>
      <c r="F3" s="142"/>
      <c r="G3" s="142"/>
      <c r="H3" s="142"/>
    </row>
    <row r="4" spans="1:10" ht="42" customHeight="1" x14ac:dyDescent="0.25">
      <c r="A4" s="214" t="s">
        <v>104</v>
      </c>
      <c r="B4" s="214"/>
      <c r="C4" s="214"/>
      <c r="D4" s="214"/>
      <c r="E4" s="214"/>
      <c r="F4" s="214"/>
      <c r="G4" s="214"/>
      <c r="H4" s="214"/>
    </row>
    <row r="5" spans="1:10" ht="16.5" customHeight="1" x14ac:dyDescent="0.25">
      <c r="A5" s="215"/>
      <c r="B5" s="215"/>
      <c r="C5" s="215"/>
      <c r="D5" s="215"/>
      <c r="E5" s="215"/>
      <c r="F5" s="215"/>
      <c r="G5" s="215"/>
      <c r="H5" s="215"/>
    </row>
    <row r="6" spans="1:10" x14ac:dyDescent="0.25">
      <c r="A6" s="139"/>
      <c r="B6" s="2"/>
      <c r="C6" s="138"/>
      <c r="D6" s="140"/>
      <c r="E6" s="137"/>
      <c r="F6" s="94"/>
      <c r="G6" s="94"/>
      <c r="H6" s="94"/>
    </row>
    <row r="7" spans="1:10" x14ac:dyDescent="0.25">
      <c r="A7" s="95" t="s">
        <v>122</v>
      </c>
      <c r="B7" s="93"/>
      <c r="C7" s="93"/>
      <c r="D7" s="96"/>
      <c r="E7" s="96"/>
      <c r="F7" s="96"/>
      <c r="G7" s="96"/>
      <c r="H7" s="94"/>
    </row>
    <row r="8" spans="1:10" ht="15.75" customHeight="1" x14ac:dyDescent="0.25">
      <c r="A8" s="216" t="s">
        <v>1</v>
      </c>
      <c r="B8" s="216" t="s">
        <v>45</v>
      </c>
      <c r="C8" s="216" t="s">
        <v>46</v>
      </c>
      <c r="D8" s="218" t="s">
        <v>2</v>
      </c>
      <c r="E8" s="219"/>
      <c r="F8" s="219"/>
      <c r="G8" s="220"/>
      <c r="H8" s="221" t="s">
        <v>3</v>
      </c>
    </row>
    <row r="9" spans="1:10" ht="30" x14ac:dyDescent="0.25">
      <c r="A9" s="217"/>
      <c r="B9" s="217"/>
      <c r="C9" s="217"/>
      <c r="D9" s="97" t="s">
        <v>33</v>
      </c>
      <c r="E9" s="97" t="s">
        <v>32</v>
      </c>
      <c r="F9" s="97" t="s">
        <v>34</v>
      </c>
      <c r="G9" s="97" t="s">
        <v>36</v>
      </c>
      <c r="H9" s="222"/>
    </row>
    <row r="10" spans="1:10" x14ac:dyDescent="0.25">
      <c r="A10" s="98">
        <v>1</v>
      </c>
      <c r="B10" s="98">
        <v>2</v>
      </c>
      <c r="C10" s="98">
        <v>3</v>
      </c>
      <c r="D10" s="99">
        <v>4</v>
      </c>
      <c r="E10" s="99">
        <v>5</v>
      </c>
      <c r="F10" s="99">
        <v>6</v>
      </c>
      <c r="G10" s="99">
        <v>7</v>
      </c>
      <c r="H10" s="99">
        <v>8</v>
      </c>
    </row>
    <row r="11" spans="1:10" s="146" customFormat="1" x14ac:dyDescent="0.25">
      <c r="A11" s="210" t="s">
        <v>100</v>
      </c>
      <c r="B11" s="211"/>
      <c r="C11" s="211"/>
      <c r="D11" s="211"/>
      <c r="E11" s="211"/>
      <c r="F11" s="211"/>
      <c r="G11" s="211"/>
      <c r="H11" s="212"/>
      <c r="I11" s="145"/>
      <c r="J11" s="145"/>
    </row>
    <row r="12" spans="1:10" s="146" customFormat="1" ht="31.5" hidden="1" x14ac:dyDescent="0.25">
      <c r="A12" s="143"/>
      <c r="B12" s="143" t="s">
        <v>108</v>
      </c>
      <c r="C12" s="115" t="s">
        <v>106</v>
      </c>
      <c r="D12" s="110"/>
      <c r="E12" s="110"/>
      <c r="F12" s="110"/>
      <c r="G12" s="110"/>
      <c r="H12" s="110">
        <f>G12</f>
        <v>0</v>
      </c>
      <c r="I12" s="145"/>
      <c r="J12" s="145"/>
    </row>
    <row r="13" spans="1:10" s="146" customFormat="1" hidden="1" x14ac:dyDescent="0.25">
      <c r="A13" s="143"/>
      <c r="B13" s="143" t="s">
        <v>109</v>
      </c>
      <c r="C13" s="143" t="s">
        <v>107</v>
      </c>
      <c r="D13" s="110"/>
      <c r="E13" s="110"/>
      <c r="F13" s="110"/>
      <c r="G13" s="110"/>
      <c r="H13" s="110">
        <f>G13</f>
        <v>0</v>
      </c>
      <c r="I13" s="145"/>
      <c r="J13" s="145"/>
    </row>
    <row r="14" spans="1:10" s="146" customFormat="1" ht="31.5" x14ac:dyDescent="0.25">
      <c r="A14" s="143"/>
      <c r="B14" s="115" t="s">
        <v>113</v>
      </c>
      <c r="C14" s="115" t="s">
        <v>96</v>
      </c>
      <c r="D14" s="144"/>
      <c r="E14" s="110">
        <v>135.69</v>
      </c>
      <c r="F14" s="110"/>
      <c r="G14" s="110"/>
      <c r="H14" s="110">
        <f>SUM(D14:G14)</f>
        <v>135.69</v>
      </c>
      <c r="I14" s="145"/>
      <c r="J14" s="145"/>
    </row>
    <row r="15" spans="1:10" s="146" customFormat="1" ht="31.5" x14ac:dyDescent="0.25">
      <c r="A15" s="143"/>
      <c r="B15" s="115" t="s">
        <v>112</v>
      </c>
      <c r="C15" s="115" t="s">
        <v>99</v>
      </c>
      <c r="D15" s="144"/>
      <c r="E15" s="110">
        <v>135.05000000000001</v>
      </c>
      <c r="F15" s="110"/>
      <c r="G15" s="110"/>
      <c r="H15" s="110">
        <f t="shared" ref="H15:H19" si="0">SUM(D15:G15)</f>
        <v>135.05000000000001</v>
      </c>
      <c r="I15" s="145"/>
      <c r="J15" s="145"/>
    </row>
    <row r="16" spans="1:10" s="146" customFormat="1" hidden="1" x14ac:dyDescent="0.25">
      <c r="A16" s="143"/>
      <c r="B16" s="115"/>
      <c r="C16" s="115"/>
      <c r="D16" s="144"/>
      <c r="E16" s="110"/>
      <c r="F16" s="110"/>
      <c r="G16" s="110"/>
      <c r="H16" s="110">
        <f t="shared" si="0"/>
        <v>0</v>
      </c>
      <c r="I16" s="145"/>
      <c r="J16" s="145"/>
    </row>
    <row r="17" spans="1:13" s="146" customFormat="1" hidden="1" x14ac:dyDescent="0.25">
      <c r="A17" s="143"/>
      <c r="B17" s="115"/>
      <c r="C17" s="115"/>
      <c r="D17" s="144"/>
      <c r="E17" s="110"/>
      <c r="F17" s="110"/>
      <c r="G17" s="110"/>
      <c r="H17" s="110">
        <f t="shared" si="0"/>
        <v>0</v>
      </c>
      <c r="I17" s="145"/>
      <c r="J17" s="145"/>
    </row>
    <row r="18" spans="1:13" s="146" customFormat="1" hidden="1" x14ac:dyDescent="0.25">
      <c r="A18" s="143"/>
      <c r="B18" s="115"/>
      <c r="C18" s="115"/>
      <c r="D18" s="144"/>
      <c r="E18" s="110"/>
      <c r="F18" s="110"/>
      <c r="G18" s="110"/>
      <c r="H18" s="110">
        <f t="shared" si="0"/>
        <v>0</v>
      </c>
      <c r="I18" s="145"/>
      <c r="J18" s="145"/>
    </row>
    <row r="19" spans="1:13" s="146" customFormat="1" hidden="1" x14ac:dyDescent="0.25">
      <c r="A19" s="143"/>
      <c r="B19" s="115"/>
      <c r="C19" s="115"/>
      <c r="D19" s="144"/>
      <c r="E19" s="110"/>
      <c r="F19" s="110"/>
      <c r="G19" s="110"/>
      <c r="H19" s="110">
        <f t="shared" si="0"/>
        <v>0</v>
      </c>
      <c r="I19" s="145"/>
      <c r="J19" s="145"/>
    </row>
    <row r="20" spans="1:13" x14ac:dyDescent="0.25">
      <c r="A20" s="98"/>
      <c r="B20" s="1"/>
      <c r="C20" s="32" t="s">
        <v>5</v>
      </c>
      <c r="D20" s="141"/>
      <c r="E20" s="113">
        <f>SUM(E12:E19)</f>
        <v>270.74</v>
      </c>
      <c r="F20" s="141">
        <f t="shared" ref="F20" si="1">SUM(F14:F19)</f>
        <v>0</v>
      </c>
      <c r="G20" s="113">
        <f>SUM(G12:G19)</f>
        <v>0</v>
      </c>
      <c r="H20" s="113">
        <f>SUM(D20:G20)</f>
        <v>270.74</v>
      </c>
    </row>
    <row r="21" spans="1:13" s="86" customFormat="1" x14ac:dyDescent="0.25">
      <c r="A21" s="207" t="s">
        <v>6</v>
      </c>
      <c r="B21" s="208"/>
      <c r="C21" s="208"/>
      <c r="D21" s="208"/>
      <c r="E21" s="208"/>
      <c r="F21" s="208"/>
      <c r="G21" s="208"/>
      <c r="H21" s="209"/>
      <c r="I21" s="100"/>
      <c r="J21" s="100"/>
      <c r="M21" s="88"/>
    </row>
    <row r="22" spans="1:13" s="86" customFormat="1" ht="31.5" x14ac:dyDescent="0.25">
      <c r="A22" s="101"/>
      <c r="B22" s="102" t="s">
        <v>111</v>
      </c>
      <c r="C22" s="102" t="s">
        <v>96</v>
      </c>
      <c r="D22" s="103"/>
      <c r="E22" s="103">
        <v>1833.7</v>
      </c>
      <c r="F22" s="103"/>
      <c r="G22" s="103"/>
      <c r="H22" s="48">
        <f>SUM(D22:G22)</f>
        <v>1833.7</v>
      </c>
      <c r="I22" s="148"/>
      <c r="J22" s="100"/>
      <c r="M22" s="88"/>
    </row>
    <row r="23" spans="1:13" s="86" customFormat="1" ht="31.5" x14ac:dyDescent="0.25">
      <c r="A23" s="101"/>
      <c r="B23" s="102" t="s">
        <v>110</v>
      </c>
      <c r="C23" s="102" t="s">
        <v>99</v>
      </c>
      <c r="D23" s="147"/>
      <c r="E23" s="147">
        <v>1867.09</v>
      </c>
      <c r="F23" s="147"/>
      <c r="G23" s="147"/>
      <c r="H23" s="48">
        <f>SUM(D23:G23)</f>
        <v>1867.09</v>
      </c>
      <c r="I23" s="148"/>
      <c r="J23" s="100"/>
      <c r="M23" s="88"/>
    </row>
    <row r="24" spans="1:13" x14ac:dyDescent="0.25">
      <c r="A24" s="101"/>
      <c r="B24" s="104"/>
      <c r="C24" s="105" t="s">
        <v>7</v>
      </c>
      <c r="D24" s="106">
        <f>SUM(D22)</f>
        <v>0</v>
      </c>
      <c r="E24" s="106">
        <f>SUM(E22:E23)</f>
        <v>3700.79</v>
      </c>
      <c r="F24" s="106">
        <f t="shared" ref="F24:G24" si="2">SUM(F22:F23)</f>
        <v>0</v>
      </c>
      <c r="G24" s="106">
        <f t="shared" si="2"/>
        <v>0</v>
      </c>
      <c r="H24" s="107">
        <f>SUM(D24:G24)</f>
        <v>3700.79</v>
      </c>
    </row>
    <row r="25" spans="1:13" hidden="1" x14ac:dyDescent="0.25">
      <c r="A25" s="201" t="s">
        <v>8</v>
      </c>
      <c r="B25" s="202"/>
      <c r="C25" s="202"/>
      <c r="D25" s="202"/>
      <c r="E25" s="202"/>
      <c r="F25" s="202"/>
      <c r="G25" s="202"/>
      <c r="H25" s="203"/>
    </row>
    <row r="26" spans="1:13" hidden="1" x14ac:dyDescent="0.25">
      <c r="A26" s="108"/>
      <c r="B26" s="109"/>
      <c r="C26" s="108" t="s">
        <v>9</v>
      </c>
      <c r="D26" s="110"/>
      <c r="E26" s="110"/>
      <c r="F26" s="111"/>
      <c r="G26" s="111"/>
      <c r="H26" s="110"/>
    </row>
    <row r="27" spans="1:13" hidden="1" x14ac:dyDescent="0.25">
      <c r="A27" s="108"/>
      <c r="B27" s="108"/>
      <c r="C27" s="108" t="s">
        <v>10</v>
      </c>
      <c r="D27" s="110"/>
      <c r="E27" s="110"/>
      <c r="F27" s="111"/>
      <c r="G27" s="111"/>
      <c r="H27" s="110"/>
    </row>
    <row r="28" spans="1:13" x14ac:dyDescent="0.25">
      <c r="A28" s="108"/>
      <c r="B28" s="108"/>
      <c r="C28" s="112" t="s">
        <v>11</v>
      </c>
      <c r="D28" s="113"/>
      <c r="E28" s="113">
        <f>E20+E24+E27</f>
        <v>3971.5299999999997</v>
      </c>
      <c r="F28" s="113">
        <f>F20+F24+F27</f>
        <v>0</v>
      </c>
      <c r="G28" s="113">
        <f>G20+G24+G27</f>
        <v>0</v>
      </c>
      <c r="H28" s="113">
        <f>H20+H24+H27</f>
        <v>3971.5299999999997</v>
      </c>
    </row>
    <row r="29" spans="1:13" x14ac:dyDescent="0.25">
      <c r="A29" s="201" t="s">
        <v>12</v>
      </c>
      <c r="B29" s="202"/>
      <c r="C29" s="202"/>
      <c r="D29" s="202"/>
      <c r="E29" s="202"/>
      <c r="F29" s="202"/>
      <c r="G29" s="202"/>
      <c r="H29" s="203"/>
    </row>
    <row r="30" spans="1:13" ht="63" x14ac:dyDescent="0.25">
      <c r="A30" s="98"/>
      <c r="B30" s="109"/>
      <c r="C30" s="102" t="s">
        <v>98</v>
      </c>
      <c r="D30" s="111"/>
      <c r="E30" s="103">
        <v>42.49</v>
      </c>
      <c r="F30" s="111"/>
      <c r="G30" s="110"/>
      <c r="H30" s="110">
        <f>SUM(D30:G30)</f>
        <v>42.49</v>
      </c>
    </row>
    <row r="31" spans="1:13" ht="31.5" hidden="1" x14ac:dyDescent="0.25">
      <c r="A31" s="98"/>
      <c r="B31" s="109" t="s">
        <v>105</v>
      </c>
      <c r="C31" s="102" t="s">
        <v>101</v>
      </c>
      <c r="D31" s="111"/>
      <c r="E31" s="103"/>
      <c r="F31" s="111"/>
      <c r="G31" s="110"/>
      <c r="H31" s="110"/>
    </row>
    <row r="32" spans="1:13" ht="47.25" x14ac:dyDescent="0.25">
      <c r="A32" s="98"/>
      <c r="B32" s="109"/>
      <c r="C32" s="102" t="s">
        <v>102</v>
      </c>
      <c r="D32" s="111"/>
      <c r="E32" s="103">
        <v>41.93</v>
      </c>
      <c r="F32" s="111"/>
      <c r="G32" s="110"/>
      <c r="H32" s="110">
        <f t="shared" ref="H32" si="3">SUM(D32:G32)</f>
        <v>41.93</v>
      </c>
    </row>
    <row r="33" spans="1:19" ht="31.5" hidden="1" x14ac:dyDescent="0.25">
      <c r="A33" s="98"/>
      <c r="B33" s="109" t="s">
        <v>105</v>
      </c>
      <c r="C33" s="102" t="s">
        <v>103</v>
      </c>
      <c r="D33" s="111"/>
      <c r="E33" s="103"/>
      <c r="F33" s="111"/>
      <c r="G33" s="110"/>
      <c r="H33" s="110"/>
    </row>
    <row r="34" spans="1:19" x14ac:dyDescent="0.25">
      <c r="A34" s="98"/>
      <c r="B34" s="109" t="s">
        <v>117</v>
      </c>
      <c r="C34" s="102" t="s">
        <v>115</v>
      </c>
      <c r="D34" s="111"/>
      <c r="E34" s="103"/>
      <c r="F34" s="111"/>
      <c r="G34" s="110">
        <v>118.298</v>
      </c>
      <c r="H34" s="110"/>
    </row>
    <row r="35" spans="1:19" x14ac:dyDescent="0.25">
      <c r="A35" s="98"/>
      <c r="B35" s="109" t="s">
        <v>118</v>
      </c>
      <c r="C35" s="102" t="s">
        <v>116</v>
      </c>
      <c r="D35" s="111"/>
      <c r="E35" s="103"/>
      <c r="F35" s="111"/>
      <c r="G35" s="110">
        <v>123.53</v>
      </c>
      <c r="H35" s="110"/>
    </row>
    <row r="36" spans="1:19" x14ac:dyDescent="0.25">
      <c r="A36" s="108"/>
      <c r="B36" s="109"/>
      <c r="C36" s="117" t="s">
        <v>18</v>
      </c>
      <c r="D36" s="52"/>
      <c r="E36" s="52">
        <f>SUM(E30:E33)</f>
        <v>84.42</v>
      </c>
      <c r="F36" s="52">
        <f>SUM(F30:F33)</f>
        <v>0</v>
      </c>
      <c r="G36" s="52">
        <f>SUM(G30:G35)</f>
        <v>241.828</v>
      </c>
      <c r="H36" s="110">
        <f>E36+G36</f>
        <v>326.24799999999999</v>
      </c>
    </row>
    <row r="37" spans="1:19" x14ac:dyDescent="0.25">
      <c r="A37" s="108"/>
      <c r="B37" s="109"/>
      <c r="C37" s="114" t="s">
        <v>19</v>
      </c>
      <c r="D37" s="54"/>
      <c r="E37" s="54">
        <f>E28+E36</f>
        <v>4055.95</v>
      </c>
      <c r="F37" s="54">
        <f>F28+F36</f>
        <v>0</v>
      </c>
      <c r="G37" s="54">
        <f>G28+G36</f>
        <v>241.828</v>
      </c>
      <c r="H37" s="54">
        <f>H28+H36</f>
        <v>4297.7779999999993</v>
      </c>
    </row>
    <row r="38" spans="1:19" hidden="1" x14ac:dyDescent="0.25">
      <c r="A38" s="201" t="s">
        <v>20</v>
      </c>
      <c r="B38" s="202"/>
      <c r="C38" s="202"/>
      <c r="D38" s="202"/>
      <c r="E38" s="202"/>
      <c r="F38" s="202"/>
      <c r="G38" s="202"/>
      <c r="H38" s="203"/>
    </row>
    <row r="39" spans="1:19" hidden="1" x14ac:dyDescent="0.25">
      <c r="A39" s="98"/>
      <c r="B39" s="109" t="s">
        <v>60</v>
      </c>
      <c r="C39" s="15" t="s">
        <v>89</v>
      </c>
      <c r="D39" s="111"/>
      <c r="E39" s="52"/>
      <c r="F39" s="52"/>
      <c r="G39" s="53">
        <f>(H37+H44)*0</f>
        <v>0</v>
      </c>
      <c r="H39" s="53">
        <f>SUM(E39:G39)</f>
        <v>0</v>
      </c>
    </row>
    <row r="40" spans="1:19" hidden="1" x14ac:dyDescent="0.25">
      <c r="A40" s="108"/>
      <c r="B40" s="109"/>
      <c r="C40" s="115" t="s">
        <v>21</v>
      </c>
      <c r="D40" s="113"/>
      <c r="E40" s="54">
        <f>E39</f>
        <v>0</v>
      </c>
      <c r="F40" s="53">
        <f>F39</f>
        <v>0</v>
      </c>
      <c r="G40" s="53">
        <f>G39</f>
        <v>0</v>
      </c>
      <c r="H40" s="53">
        <f>H39</f>
        <v>0</v>
      </c>
      <c r="L40" s="116"/>
      <c r="M40" s="116"/>
      <c r="N40" s="116"/>
      <c r="O40" s="116"/>
      <c r="P40" s="116"/>
      <c r="Q40" s="116"/>
      <c r="R40" s="116"/>
      <c r="S40" s="116"/>
    </row>
    <row r="41" spans="1:19" x14ac:dyDescent="0.25">
      <c r="A41" s="108"/>
      <c r="B41" s="109"/>
      <c r="C41" s="114" t="s">
        <v>59</v>
      </c>
      <c r="D41" s="54">
        <f>D37+D40</f>
        <v>0</v>
      </c>
      <c r="E41" s="54">
        <f>E37+E40</f>
        <v>4055.95</v>
      </c>
      <c r="F41" s="54">
        <f>F37+F40</f>
        <v>0</v>
      </c>
      <c r="G41" s="54">
        <f>G37+G40</f>
        <v>241.828</v>
      </c>
      <c r="H41" s="54">
        <f>H37+H40</f>
        <v>4297.7779999999993</v>
      </c>
      <c r="L41" s="116"/>
      <c r="M41" s="116"/>
      <c r="N41" s="116"/>
      <c r="O41" s="116"/>
      <c r="P41" s="116"/>
      <c r="Q41" s="116"/>
      <c r="R41" s="116"/>
      <c r="S41" s="116"/>
    </row>
    <row r="42" spans="1:19" x14ac:dyDescent="0.25">
      <c r="A42" s="201" t="s">
        <v>22</v>
      </c>
      <c r="B42" s="202"/>
      <c r="C42" s="202"/>
      <c r="D42" s="202"/>
      <c r="E42" s="202"/>
      <c r="F42" s="202"/>
      <c r="G42" s="202"/>
      <c r="H42" s="203"/>
      <c r="L42" s="116"/>
      <c r="M42" s="116"/>
      <c r="N42" s="116"/>
      <c r="O42" s="116"/>
      <c r="P42" s="116"/>
      <c r="Q42" s="116"/>
      <c r="R42" s="116"/>
      <c r="S42" s="116"/>
    </row>
    <row r="43" spans="1:19" hidden="1" x14ac:dyDescent="0.25">
      <c r="A43" s="98"/>
      <c r="B43" s="102" t="s">
        <v>94</v>
      </c>
      <c r="C43" s="108" t="s">
        <v>95</v>
      </c>
      <c r="D43" s="103">
        <f>(H37)*0</f>
        <v>0</v>
      </c>
      <c r="E43" s="111"/>
      <c r="F43" s="111"/>
      <c r="G43" s="110"/>
      <c r="H43" s="110">
        <f>SUM(D43:G43)</f>
        <v>0</v>
      </c>
      <c r="L43" s="116"/>
      <c r="M43" s="116"/>
      <c r="N43" s="116"/>
      <c r="O43" s="116"/>
      <c r="P43" s="116"/>
      <c r="Q43" s="116"/>
      <c r="R43" s="116"/>
      <c r="S43" s="116"/>
    </row>
    <row r="44" spans="1:19" hidden="1" x14ac:dyDescent="0.25">
      <c r="A44" s="108"/>
      <c r="B44" s="109"/>
      <c r="C44" s="109" t="s">
        <v>26</v>
      </c>
      <c r="D44" s="111">
        <f>SUM(D43:D43)</f>
        <v>0</v>
      </c>
      <c r="E44" s="111">
        <f>SUM(E43:E43)</f>
        <v>0</v>
      </c>
      <c r="F44" s="111">
        <f>SUM(F43:F43)</f>
        <v>0</v>
      </c>
      <c r="G44" s="111">
        <f>SUM(G43:G43)</f>
        <v>0</v>
      </c>
      <c r="H44" s="110">
        <f>SUM(D44:G44)</f>
        <v>0</v>
      </c>
      <c r="L44" s="116"/>
      <c r="M44" s="18"/>
      <c r="N44" s="18"/>
      <c r="O44" s="18"/>
      <c r="P44" s="18"/>
      <c r="Q44" s="116"/>
      <c r="R44" s="116"/>
      <c r="S44" s="116"/>
    </row>
    <row r="45" spans="1:19" x14ac:dyDescent="0.25">
      <c r="A45" s="108"/>
      <c r="B45" s="109"/>
      <c r="C45" s="114" t="s">
        <v>27</v>
      </c>
      <c r="D45" s="113">
        <f>D41+D44</f>
        <v>0</v>
      </c>
      <c r="E45" s="113">
        <f>E41+E44</f>
        <v>4055.95</v>
      </c>
      <c r="F45" s="113">
        <f>F41+F44</f>
        <v>0</v>
      </c>
      <c r="G45" s="113">
        <f>G41+G44</f>
        <v>241.828</v>
      </c>
      <c r="H45" s="113">
        <f>H44+H40+H37</f>
        <v>4297.7779999999993</v>
      </c>
      <c r="L45" s="116"/>
      <c r="M45" s="116"/>
      <c r="N45" s="116"/>
      <c r="O45" s="116"/>
      <c r="P45" s="116"/>
      <c r="Q45" s="116"/>
      <c r="R45" s="116"/>
      <c r="S45" s="116"/>
    </row>
    <row r="46" spans="1:19" x14ac:dyDescent="0.25">
      <c r="A46" s="201" t="s">
        <v>28</v>
      </c>
      <c r="B46" s="202"/>
      <c r="C46" s="202"/>
      <c r="D46" s="202"/>
      <c r="E46" s="202"/>
      <c r="F46" s="202"/>
      <c r="G46" s="202"/>
      <c r="H46" s="203"/>
      <c r="L46" s="116"/>
      <c r="M46" s="116"/>
      <c r="N46" s="116"/>
      <c r="O46" s="116"/>
      <c r="P46" s="116"/>
      <c r="Q46" s="116"/>
      <c r="R46" s="116"/>
      <c r="S46" s="116"/>
    </row>
    <row r="47" spans="1:19" s="86" customFormat="1" x14ac:dyDescent="0.25">
      <c r="A47" s="101"/>
      <c r="B47" s="102" t="s">
        <v>121</v>
      </c>
      <c r="C47" s="102" t="s">
        <v>97</v>
      </c>
      <c r="D47" s="134">
        <f>D45*3%</f>
        <v>0</v>
      </c>
      <c r="E47" s="134">
        <f>E45*1.5%</f>
        <v>60.839249999999993</v>
      </c>
      <c r="F47" s="134">
        <f t="shared" ref="F47" si="4">F45*1.5%</f>
        <v>0</v>
      </c>
      <c r="G47" s="134">
        <f>G45*1.5%</f>
        <v>3.6274199999999999</v>
      </c>
      <c r="H47" s="135">
        <f>SUM(D47:G47)</f>
        <v>64.466669999999993</v>
      </c>
      <c r="I47" s="100"/>
      <c r="J47" s="100"/>
      <c r="L47" s="136"/>
      <c r="M47" s="136"/>
      <c r="N47" s="136"/>
      <c r="O47" s="136"/>
      <c r="P47" s="136"/>
      <c r="Q47" s="136"/>
      <c r="R47" s="136"/>
      <c r="S47" s="136"/>
    </row>
    <row r="48" spans="1:19" ht="31.5" x14ac:dyDescent="0.25">
      <c r="A48" s="108"/>
      <c r="B48" s="109"/>
      <c r="C48" s="117" t="s">
        <v>29</v>
      </c>
      <c r="D48" s="110">
        <f>D45+D47</f>
        <v>0</v>
      </c>
      <c r="E48" s="110">
        <f>E45+E47</f>
        <v>4116.7892499999998</v>
      </c>
      <c r="F48" s="110">
        <f>F45+F47</f>
        <v>0</v>
      </c>
      <c r="G48" s="110">
        <f>G45+G47</f>
        <v>245.45542</v>
      </c>
      <c r="H48" s="87">
        <f>H45+H47</f>
        <v>4362.2446699999991</v>
      </c>
      <c r="I48" s="118" t="s">
        <v>90</v>
      </c>
      <c r="J48" s="119" t="s">
        <v>92</v>
      </c>
    </row>
    <row r="49" spans="1:18" s="149" customFormat="1" ht="18.75" x14ac:dyDescent="0.3">
      <c r="A49" s="201" t="s">
        <v>119</v>
      </c>
      <c r="B49" s="202"/>
      <c r="C49" s="202"/>
      <c r="D49" s="202"/>
      <c r="E49" s="202"/>
      <c r="F49" s="202"/>
      <c r="G49" s="202"/>
      <c r="H49" s="203"/>
      <c r="I49" s="155" t="s">
        <v>91</v>
      </c>
      <c r="J49" s="156" t="s">
        <v>93</v>
      </c>
    </row>
    <row r="50" spans="1:18" s="150" customFormat="1" ht="20.25" x14ac:dyDescent="0.3">
      <c r="A50" s="108"/>
      <c r="B50" s="108"/>
      <c r="C50" s="108" t="s">
        <v>120</v>
      </c>
      <c r="D50" s="108"/>
      <c r="E50" s="108">
        <f>E48*1.051</f>
        <v>4326.7455017499997</v>
      </c>
      <c r="F50" s="108"/>
      <c r="G50" s="108">
        <f>G48*1.051</f>
        <v>257.97364641999997</v>
      </c>
      <c r="H50" s="87">
        <f>E50+G50</f>
        <v>4584.7191481699992</v>
      </c>
      <c r="I50" s="152"/>
      <c r="J50" s="152"/>
    </row>
    <row r="51" spans="1:18" ht="18.75" x14ac:dyDescent="0.25">
      <c r="A51" s="204" t="s">
        <v>123</v>
      </c>
      <c r="B51" s="205"/>
      <c r="C51" s="206"/>
      <c r="D51" s="153">
        <f>D48</f>
        <v>0</v>
      </c>
      <c r="E51" s="153">
        <f>E50</f>
        <v>4326.7455017499997</v>
      </c>
      <c r="F51" s="153">
        <f>F48</f>
        <v>0</v>
      </c>
      <c r="G51" s="153">
        <f>G50</f>
        <v>257.97364641999997</v>
      </c>
      <c r="H51" s="154">
        <f>SUM(D51:G51)</f>
        <v>4584.7191481699992</v>
      </c>
    </row>
    <row r="52" spans="1:18" ht="15.75" customHeight="1" x14ac:dyDescent="0.3">
      <c r="A52" s="150"/>
      <c r="B52" s="150"/>
      <c r="C52" s="150"/>
      <c r="D52" s="151"/>
      <c r="E52" s="151"/>
      <c r="F52" s="151"/>
      <c r="G52" s="151"/>
      <c r="H52" s="151"/>
      <c r="I52" s="121"/>
      <c r="J52" s="121"/>
      <c r="K52" s="120"/>
      <c r="L52" s="120"/>
      <c r="M52" s="120"/>
      <c r="N52" s="120"/>
      <c r="O52" s="120"/>
      <c r="P52" s="120"/>
      <c r="Q52" s="120"/>
      <c r="R52" s="120"/>
    </row>
    <row r="53" spans="1:18" x14ac:dyDescent="0.25">
      <c r="B53" s="78"/>
      <c r="C53" s="79"/>
      <c r="I53" s="124"/>
      <c r="J53" s="124"/>
      <c r="K53" s="123"/>
      <c r="L53" s="123"/>
      <c r="M53" s="123"/>
      <c r="N53" s="123"/>
      <c r="O53" s="123"/>
      <c r="P53" s="123"/>
      <c r="Q53" s="123"/>
      <c r="R53" s="123"/>
    </row>
    <row r="54" spans="1:18" x14ac:dyDescent="0.25">
      <c r="B54" s="80"/>
      <c r="C54" s="80"/>
      <c r="D54" s="120"/>
      <c r="E54" s="120"/>
      <c r="F54" s="120"/>
      <c r="G54" s="120"/>
      <c r="H54" s="120"/>
      <c r="I54" s="130"/>
      <c r="J54" s="130"/>
      <c r="K54" s="129"/>
      <c r="L54" s="129"/>
      <c r="M54" s="129"/>
      <c r="N54" s="129"/>
      <c r="O54" s="129"/>
      <c r="P54" s="129"/>
      <c r="Q54" s="129"/>
      <c r="R54" s="131"/>
    </row>
    <row r="55" spans="1:18" ht="15.75" customHeight="1" x14ac:dyDescent="0.25">
      <c r="B55" s="80"/>
      <c r="C55" s="80"/>
      <c r="E55" s="122"/>
      <c r="F55" s="123"/>
      <c r="G55" s="123"/>
      <c r="H55" s="123"/>
      <c r="I55" s="121"/>
      <c r="J55" s="121"/>
      <c r="K55" s="120"/>
      <c r="L55" s="120"/>
      <c r="M55" s="120"/>
      <c r="N55" s="120"/>
      <c r="O55" s="120"/>
      <c r="P55" s="120"/>
      <c r="Q55" s="120"/>
      <c r="R55" s="120"/>
    </row>
    <row r="56" spans="1:18" x14ac:dyDescent="0.25">
      <c r="B56" s="80"/>
      <c r="C56" s="80"/>
      <c r="D56" s="125"/>
      <c r="E56" s="126"/>
      <c r="F56" s="127"/>
      <c r="G56" s="128"/>
      <c r="H56" s="129"/>
      <c r="I56" s="124"/>
      <c r="J56" s="124"/>
      <c r="K56" s="123"/>
      <c r="L56" s="123"/>
      <c r="M56" s="123"/>
      <c r="N56" s="123"/>
      <c r="O56" s="123"/>
      <c r="P56" s="123"/>
      <c r="Q56" s="123"/>
      <c r="R56" s="123"/>
    </row>
    <row r="57" spans="1:18" x14ac:dyDescent="0.25">
      <c r="B57" s="80"/>
      <c r="C57" s="80"/>
      <c r="D57" s="120"/>
      <c r="E57" s="120"/>
      <c r="F57" s="120"/>
      <c r="G57" s="120"/>
      <c r="H57" s="120"/>
    </row>
    <row r="58" spans="1:18" x14ac:dyDescent="0.25">
      <c r="B58" s="80"/>
      <c r="C58" s="80"/>
      <c r="D58" s="132"/>
      <c r="E58" s="133"/>
      <c r="F58" s="123"/>
      <c r="G58" s="123"/>
      <c r="H58" s="123"/>
    </row>
    <row r="59" spans="1:18" x14ac:dyDescent="0.25">
      <c r="B59" s="81"/>
      <c r="C59" s="80"/>
    </row>
    <row r="60" spans="1:18" x14ac:dyDescent="0.25">
      <c r="B60" s="80"/>
      <c r="C60" s="80"/>
    </row>
  </sheetData>
  <mergeCells count="17">
    <mergeCell ref="A11:H11"/>
    <mergeCell ref="A2:H2"/>
    <mergeCell ref="A4:H4"/>
    <mergeCell ref="A5:H5"/>
    <mergeCell ref="A8:A9"/>
    <mergeCell ref="B8:B9"/>
    <mergeCell ref="C8:C9"/>
    <mergeCell ref="D8:G8"/>
    <mergeCell ref="H8:H9"/>
    <mergeCell ref="A46:H46"/>
    <mergeCell ref="A51:C51"/>
    <mergeCell ref="A21:H21"/>
    <mergeCell ref="A25:H25"/>
    <mergeCell ref="A29:H29"/>
    <mergeCell ref="A38:H38"/>
    <mergeCell ref="A42:H42"/>
    <mergeCell ref="A49:H49"/>
  </mergeCells>
  <pageMargins left="0.25" right="0.25" top="0.75" bottom="0.75" header="0.3" footer="0.3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showZeros="0" view="pageBreakPreview" zoomScale="80" zoomScaleNormal="80" zoomScaleSheetLayoutView="80" workbookViewId="0">
      <pane ySplit="8" topLeftCell="A30" activePane="bottomLeft" state="frozen"/>
      <selection pane="bottomLeft" activeCell="H48" sqref="H48"/>
    </sheetView>
  </sheetViews>
  <sheetFormatPr defaultColWidth="8.75" defaultRowHeight="15.75" x14ac:dyDescent="0.25"/>
  <cols>
    <col min="1" max="1" width="6.125" style="2" customWidth="1"/>
    <col min="2" max="2" width="28.125" style="2" customWidth="1"/>
    <col min="3" max="3" width="50" style="2" customWidth="1"/>
    <col min="4" max="7" width="13.25" style="41" customWidth="1"/>
    <col min="8" max="8" width="16.5" style="41" customWidth="1"/>
    <col min="9" max="9" width="9.75" style="2" customWidth="1"/>
    <col min="10" max="10" width="14.375" style="2" hidden="1" customWidth="1"/>
    <col min="11" max="11" width="9.375" style="2" hidden="1" customWidth="1"/>
    <col min="12" max="16384" width="8.75" style="2"/>
  </cols>
  <sheetData>
    <row r="1" spans="1:8" x14ac:dyDescent="0.25">
      <c r="F1" s="191" t="s">
        <v>35</v>
      </c>
      <c r="G1" s="191"/>
      <c r="H1" s="191"/>
    </row>
    <row r="2" spans="1:8" x14ac:dyDescent="0.25">
      <c r="A2" s="165" t="s">
        <v>55</v>
      </c>
      <c r="B2" s="165"/>
      <c r="C2" s="165"/>
      <c r="D2" s="165"/>
      <c r="E2" s="165"/>
      <c r="F2" s="165"/>
      <c r="G2" s="165"/>
      <c r="H2" s="165"/>
    </row>
    <row r="3" spans="1:8" ht="39" customHeight="1" x14ac:dyDescent="0.25">
      <c r="A3" s="40"/>
      <c r="B3" s="192" t="str">
        <f>'Прил Т-1'!B3:G3</f>
        <v>Реконструкция КЛ 6 кВ г. Биробиджан протяженностью 21,568 км.</v>
      </c>
      <c r="C3" s="192"/>
      <c r="D3" s="192"/>
      <c r="E3" s="192"/>
      <c r="F3" s="192"/>
      <c r="G3" s="192"/>
      <c r="H3" s="42"/>
    </row>
    <row r="4" spans="1:8" x14ac:dyDescent="0.25">
      <c r="A4" s="193" t="s">
        <v>43</v>
      </c>
      <c r="B4" s="193"/>
      <c r="C4" s="193"/>
      <c r="D4" s="193"/>
      <c r="E4" s="193"/>
      <c r="F4" s="193"/>
      <c r="G4" s="193"/>
      <c r="H4" s="193"/>
    </row>
    <row r="5" spans="1:8" x14ac:dyDescent="0.25">
      <c r="A5" s="75"/>
      <c r="B5" s="167"/>
      <c r="C5" s="167"/>
      <c r="D5" s="167"/>
      <c r="E5" s="167"/>
      <c r="F5" s="43"/>
      <c r="G5" s="43"/>
      <c r="H5" s="43"/>
    </row>
    <row r="6" spans="1:8" x14ac:dyDescent="0.25">
      <c r="A6" s="61" t="s">
        <v>67</v>
      </c>
      <c r="B6" s="75"/>
      <c r="C6" s="75"/>
      <c r="D6" s="44"/>
      <c r="E6" s="44"/>
      <c r="F6" s="44"/>
      <c r="G6" s="44"/>
      <c r="H6" s="43"/>
    </row>
    <row r="7" spans="1:8" ht="15.75" customHeight="1" x14ac:dyDescent="0.25">
      <c r="A7" s="194" t="s">
        <v>1</v>
      </c>
      <c r="B7" s="194" t="s">
        <v>45</v>
      </c>
      <c r="C7" s="194" t="s">
        <v>46</v>
      </c>
      <c r="D7" s="196" t="s">
        <v>2</v>
      </c>
      <c r="E7" s="197"/>
      <c r="F7" s="197"/>
      <c r="G7" s="198"/>
      <c r="H7" s="199" t="s">
        <v>3</v>
      </c>
    </row>
    <row r="8" spans="1:8" ht="30" x14ac:dyDescent="0.25">
      <c r="A8" s="195"/>
      <c r="B8" s="195"/>
      <c r="C8" s="195"/>
      <c r="D8" s="76" t="s">
        <v>33</v>
      </c>
      <c r="E8" s="76" t="s">
        <v>32</v>
      </c>
      <c r="F8" s="76" t="s">
        <v>34</v>
      </c>
      <c r="G8" s="76" t="s">
        <v>36</v>
      </c>
      <c r="H8" s="200"/>
    </row>
    <row r="9" spans="1:8" x14ac:dyDescent="0.25">
      <c r="A9" s="29">
        <v>1</v>
      </c>
      <c r="B9" s="29">
        <v>2</v>
      </c>
      <c r="C9" s="29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</row>
    <row r="10" spans="1:8" x14ac:dyDescent="0.25">
      <c r="A10" s="160" t="s">
        <v>4</v>
      </c>
      <c r="B10" s="161"/>
      <c r="C10" s="162"/>
      <c r="D10" s="45"/>
      <c r="E10" s="46"/>
      <c r="F10" s="45"/>
      <c r="G10" s="45"/>
      <c r="H10" s="45"/>
    </row>
    <row r="11" spans="1:8" x14ac:dyDescent="0.25">
      <c r="A11" s="1"/>
      <c r="B11" s="1"/>
      <c r="C11" s="32" t="s">
        <v>5</v>
      </c>
      <c r="D11" s="46"/>
      <c r="E11" s="46"/>
      <c r="F11" s="46"/>
      <c r="G11" s="46"/>
      <c r="H11" s="46">
        <f>E11+G11</f>
        <v>0</v>
      </c>
    </row>
    <row r="12" spans="1:8" x14ac:dyDescent="0.25">
      <c r="A12" s="157" t="s">
        <v>6</v>
      </c>
      <c r="B12" s="158"/>
      <c r="C12" s="158"/>
      <c r="D12" s="158"/>
      <c r="E12" s="158"/>
      <c r="F12" s="158"/>
      <c r="G12" s="158"/>
      <c r="H12" s="159"/>
    </row>
    <row r="13" spans="1:8" ht="31.5" x14ac:dyDescent="0.25">
      <c r="A13" s="77">
        <v>1</v>
      </c>
      <c r="B13" s="39" t="s">
        <v>66</v>
      </c>
      <c r="C13" s="19" t="str">
        <f>'Прил Т-1'!C13</f>
        <v>Реконструкция КЛ 6 кВ г. Биробиджан протяженностью 21,568 км. 2025 г.</v>
      </c>
      <c r="D13" s="82"/>
      <c r="E13" s="82">
        <f>'Прил Т-1'!E13</f>
        <v>11382.457</v>
      </c>
      <c r="F13" s="82"/>
      <c r="G13" s="82"/>
      <c r="H13" s="83">
        <f>SUM(E13:F13)</f>
        <v>11382.457</v>
      </c>
    </row>
    <row r="14" spans="1:8" x14ac:dyDescent="0.25">
      <c r="A14" s="77">
        <v>2</v>
      </c>
      <c r="B14" s="39" t="s">
        <v>81</v>
      </c>
      <c r="C14" s="19" t="str">
        <f>'Прил Т-1'!C14</f>
        <v>2026 г.</v>
      </c>
      <c r="D14" s="82"/>
      <c r="E14" s="82">
        <f>'Прил Т-1'!E14</f>
        <v>0</v>
      </c>
      <c r="F14" s="82"/>
      <c r="G14" s="82"/>
      <c r="H14" s="83">
        <f t="shared" ref="H14:H15" si="0">SUM(E14:F14)</f>
        <v>0</v>
      </c>
    </row>
    <row r="15" spans="1:8" x14ac:dyDescent="0.25">
      <c r="A15" s="77"/>
      <c r="B15" s="39"/>
      <c r="C15" s="19"/>
      <c r="D15" s="47"/>
      <c r="E15" s="47"/>
      <c r="F15" s="47"/>
      <c r="G15" s="46"/>
      <c r="H15" s="48">
        <f t="shared" si="0"/>
        <v>0</v>
      </c>
    </row>
    <row r="16" spans="1:8" x14ac:dyDescent="0.25">
      <c r="A16" s="77"/>
      <c r="B16" s="1"/>
      <c r="C16" s="32" t="s">
        <v>7</v>
      </c>
      <c r="D16" s="73">
        <f>SUM(D15:D15)</f>
        <v>0</v>
      </c>
      <c r="E16" s="49">
        <f>SUM(E13:E15)</f>
        <v>11382.457</v>
      </c>
      <c r="F16" s="49">
        <f>SUM(F15:F15)</f>
        <v>0</v>
      </c>
      <c r="G16" s="49">
        <f>SUM(G15:G15)</f>
        <v>0</v>
      </c>
      <c r="H16" s="49">
        <f>SUM(H13:H15)</f>
        <v>11382.457</v>
      </c>
    </row>
    <row r="17" spans="1:20" x14ac:dyDescent="0.25">
      <c r="A17" s="160" t="s">
        <v>8</v>
      </c>
      <c r="B17" s="161"/>
      <c r="C17" s="161"/>
      <c r="D17" s="161"/>
      <c r="E17" s="161"/>
      <c r="F17" s="161"/>
      <c r="G17" s="161"/>
      <c r="H17" s="162"/>
    </row>
    <row r="18" spans="1:20" x14ac:dyDescent="0.25">
      <c r="A18" s="6"/>
      <c r="B18" s="11"/>
      <c r="C18" s="6" t="s">
        <v>9</v>
      </c>
      <c r="D18" s="50"/>
      <c r="E18" s="50"/>
      <c r="F18" s="45"/>
      <c r="G18" s="45"/>
      <c r="H18" s="50"/>
    </row>
    <row r="19" spans="1:20" x14ac:dyDescent="0.25">
      <c r="A19" s="6"/>
      <c r="B19" s="6"/>
      <c r="C19" s="6" t="s">
        <v>10</v>
      </c>
      <c r="D19" s="50"/>
      <c r="E19" s="50"/>
      <c r="F19" s="45"/>
      <c r="G19" s="45"/>
      <c r="H19" s="50"/>
    </row>
    <row r="20" spans="1:20" x14ac:dyDescent="0.25">
      <c r="A20" s="6"/>
      <c r="B20" s="6"/>
      <c r="C20" s="33" t="s">
        <v>11</v>
      </c>
      <c r="D20" s="51"/>
      <c r="E20" s="51">
        <f>E16+E19</f>
        <v>11382.457</v>
      </c>
      <c r="F20" s="51">
        <f t="shared" ref="F20:G20" si="1">F16+F19</f>
        <v>0</v>
      </c>
      <c r="G20" s="51">
        <f t="shared" si="1"/>
        <v>0</v>
      </c>
      <c r="H20" s="51">
        <f>H16+H19</f>
        <v>11382.457</v>
      </c>
    </row>
    <row r="21" spans="1:20" x14ac:dyDescent="0.25">
      <c r="A21" s="160" t="s">
        <v>12</v>
      </c>
      <c r="B21" s="161"/>
      <c r="C21" s="161"/>
      <c r="D21" s="161"/>
      <c r="E21" s="161"/>
      <c r="F21" s="161"/>
      <c r="G21" s="161"/>
      <c r="H21" s="162"/>
    </row>
    <row r="22" spans="1:20" x14ac:dyDescent="0.25">
      <c r="A22" s="6"/>
      <c r="B22" s="11"/>
      <c r="C22" s="11" t="s">
        <v>13</v>
      </c>
      <c r="D22" s="50"/>
      <c r="E22" s="47"/>
      <c r="F22" s="45"/>
      <c r="G22" s="45"/>
      <c r="H22" s="50"/>
    </row>
    <row r="23" spans="1:20" ht="47.25" x14ac:dyDescent="0.25">
      <c r="A23" s="29"/>
      <c r="B23" s="11" t="s">
        <v>70</v>
      </c>
      <c r="C23" s="19" t="s">
        <v>69</v>
      </c>
      <c r="D23" s="45"/>
      <c r="E23" s="46">
        <f>'Прил Т-1'!E23</f>
        <v>0</v>
      </c>
      <c r="F23" s="45"/>
      <c r="G23" s="50"/>
      <c r="H23" s="50">
        <f>SUM(D23:G23)</f>
        <v>0</v>
      </c>
    </row>
    <row r="24" spans="1:20" x14ac:dyDescent="0.25">
      <c r="A24" s="6"/>
      <c r="B24" s="11"/>
      <c r="C24" s="11" t="s">
        <v>15</v>
      </c>
      <c r="D24" s="45"/>
      <c r="E24" s="46"/>
      <c r="F24" s="45"/>
      <c r="G24" s="50"/>
      <c r="H24" s="50"/>
    </row>
    <row r="25" spans="1:20" x14ac:dyDescent="0.25">
      <c r="A25" s="6"/>
      <c r="B25" s="11"/>
      <c r="C25" s="11" t="s">
        <v>16</v>
      </c>
      <c r="D25" s="45"/>
      <c r="E25" s="46"/>
      <c r="F25" s="45"/>
      <c r="G25" s="50"/>
      <c r="H25" s="50"/>
    </row>
    <row r="26" spans="1:20" x14ac:dyDescent="0.25">
      <c r="A26" s="6"/>
      <c r="B26" s="11"/>
      <c r="C26" s="11" t="s">
        <v>17</v>
      </c>
      <c r="D26" s="45"/>
      <c r="E26" s="46"/>
      <c r="F26" s="45"/>
      <c r="G26" s="45"/>
      <c r="H26" s="45"/>
    </row>
    <row r="27" spans="1:20" x14ac:dyDescent="0.25">
      <c r="A27" s="6"/>
      <c r="B27" s="11"/>
      <c r="C27" s="11" t="s">
        <v>18</v>
      </c>
      <c r="D27" s="52"/>
      <c r="E27" s="52">
        <f>SUM(E22:E26)</f>
        <v>0</v>
      </c>
      <c r="F27" s="53"/>
      <c r="G27" s="53"/>
      <c r="H27" s="50">
        <f>SUM(H22:H26)</f>
        <v>0</v>
      </c>
    </row>
    <row r="28" spans="1:20" x14ac:dyDescent="0.25">
      <c r="A28" s="6"/>
      <c r="B28" s="11"/>
      <c r="C28" s="34" t="s">
        <v>19</v>
      </c>
      <c r="D28" s="54">
        <f>D27+D20+D16+D11</f>
        <v>0</v>
      </c>
      <c r="E28" s="54">
        <f>E20+E27</f>
        <v>11382.457</v>
      </c>
      <c r="F28" s="54">
        <f t="shared" ref="F28:G28" si="2">F20+F27</f>
        <v>0</v>
      </c>
      <c r="G28" s="54">
        <f t="shared" si="2"/>
        <v>0</v>
      </c>
      <c r="H28" s="54">
        <f>H20+H27</f>
        <v>11382.457</v>
      </c>
    </row>
    <row r="29" spans="1:20" x14ac:dyDescent="0.25">
      <c r="A29" s="160" t="s">
        <v>20</v>
      </c>
      <c r="B29" s="161"/>
      <c r="C29" s="161"/>
      <c r="D29" s="161"/>
      <c r="E29" s="161"/>
      <c r="F29" s="161"/>
      <c r="G29" s="161"/>
      <c r="H29" s="162"/>
    </row>
    <row r="30" spans="1:20" x14ac:dyDescent="0.25">
      <c r="A30" s="29">
        <v>2</v>
      </c>
      <c r="B30" s="11" t="s">
        <v>60</v>
      </c>
      <c r="C30" s="15" t="s">
        <v>41</v>
      </c>
      <c r="D30" s="45"/>
      <c r="E30" s="52"/>
      <c r="F30" s="52"/>
      <c r="G30" s="53">
        <f>(H28)*0</f>
        <v>0</v>
      </c>
      <c r="H30" s="53">
        <f>SUM(E30:G30)</f>
        <v>0</v>
      </c>
    </row>
    <row r="31" spans="1:20" x14ac:dyDescent="0.25">
      <c r="A31" s="6"/>
      <c r="B31" s="11"/>
      <c r="C31" s="35" t="s">
        <v>21</v>
      </c>
      <c r="D31" s="51"/>
      <c r="E31" s="54">
        <f>E30</f>
        <v>0</v>
      </c>
      <c r="F31" s="53">
        <f>F30</f>
        <v>0</v>
      </c>
      <c r="G31" s="53">
        <f>G30</f>
        <v>0</v>
      </c>
      <c r="H31" s="53">
        <f>H30</f>
        <v>0</v>
      </c>
      <c r="M31" s="16"/>
      <c r="N31" s="16"/>
      <c r="O31" s="16"/>
      <c r="P31" s="16"/>
      <c r="Q31" s="16"/>
      <c r="R31" s="16"/>
      <c r="S31" s="16"/>
      <c r="T31" s="16"/>
    </row>
    <row r="32" spans="1:20" x14ac:dyDescent="0.25">
      <c r="A32" s="6"/>
      <c r="B32" s="11"/>
      <c r="C32" s="34" t="s">
        <v>59</v>
      </c>
      <c r="D32" s="54">
        <f>D28+D31</f>
        <v>0</v>
      </c>
      <c r="E32" s="54">
        <f>E28+E31</f>
        <v>11382.457</v>
      </c>
      <c r="F32" s="54">
        <f>F28+F31</f>
        <v>0</v>
      </c>
      <c r="G32" s="54">
        <f>G28+G31</f>
        <v>0</v>
      </c>
      <c r="H32" s="54">
        <f>H28+H31</f>
        <v>11382.457</v>
      </c>
      <c r="M32" s="16"/>
      <c r="N32" s="16"/>
      <c r="O32" s="16"/>
      <c r="P32" s="16"/>
      <c r="Q32" s="16"/>
      <c r="R32" s="16"/>
      <c r="S32" s="16"/>
      <c r="T32" s="16"/>
    </row>
    <row r="33" spans="1:20" x14ac:dyDescent="0.25">
      <c r="A33" s="160" t="s">
        <v>22</v>
      </c>
      <c r="B33" s="161"/>
      <c r="C33" s="161"/>
      <c r="D33" s="161"/>
      <c r="E33" s="161"/>
      <c r="F33" s="161"/>
      <c r="G33" s="161"/>
      <c r="H33" s="162"/>
      <c r="M33" s="16"/>
      <c r="N33" s="16"/>
      <c r="O33" s="16"/>
      <c r="P33" s="16"/>
      <c r="Q33" s="16"/>
      <c r="R33" s="16"/>
      <c r="S33" s="16"/>
      <c r="T33" s="16"/>
    </row>
    <row r="34" spans="1:20" ht="31.5" x14ac:dyDescent="0.25">
      <c r="A34" s="29">
        <v>3</v>
      </c>
      <c r="B34" s="19" t="s">
        <v>65</v>
      </c>
      <c r="C34" s="6" t="s">
        <v>58</v>
      </c>
      <c r="D34" s="46">
        <f>H32*0.08</f>
        <v>910.59656000000007</v>
      </c>
      <c r="E34" s="45"/>
      <c r="F34" s="45"/>
      <c r="G34" s="50"/>
      <c r="H34" s="50">
        <f>SUM(D34:G34)</f>
        <v>910.59656000000007</v>
      </c>
      <c r="M34" s="16"/>
      <c r="N34" s="16"/>
      <c r="O34" s="16"/>
      <c r="P34" s="16"/>
      <c r="Q34" s="16"/>
      <c r="R34" s="16"/>
      <c r="S34" s="16"/>
      <c r="T34" s="16"/>
    </row>
    <row r="35" spans="1:20" x14ac:dyDescent="0.25">
      <c r="A35" s="6"/>
      <c r="B35" s="11"/>
      <c r="C35" s="11" t="s">
        <v>24</v>
      </c>
      <c r="D35" s="46"/>
      <c r="E35" s="45"/>
      <c r="F35" s="45"/>
      <c r="G35" s="50"/>
      <c r="H35" s="50"/>
      <c r="M35" s="16"/>
      <c r="N35" s="18"/>
      <c r="O35" s="18"/>
      <c r="P35" s="18"/>
      <c r="Q35" s="18"/>
      <c r="R35" s="16"/>
      <c r="S35" s="16"/>
      <c r="T35" s="16"/>
    </row>
    <row r="36" spans="1:20" x14ac:dyDescent="0.25">
      <c r="A36" s="6"/>
      <c r="B36" s="11"/>
      <c r="C36" s="11" t="s">
        <v>25</v>
      </c>
      <c r="D36" s="46"/>
      <c r="E36" s="45"/>
      <c r="F36" s="45"/>
      <c r="G36" s="50"/>
      <c r="H36" s="50"/>
      <c r="M36" s="16"/>
      <c r="N36" s="18"/>
      <c r="O36" s="18"/>
      <c r="P36" s="18"/>
      <c r="Q36" s="18"/>
      <c r="R36" s="16"/>
      <c r="S36" s="16"/>
      <c r="T36" s="16"/>
    </row>
    <row r="37" spans="1:20" x14ac:dyDescent="0.25">
      <c r="A37" s="6"/>
      <c r="B37" s="11"/>
      <c r="C37" s="11" t="s">
        <v>26</v>
      </c>
      <c r="D37" s="45">
        <f>SUM(D34:D36)</f>
        <v>910.59656000000007</v>
      </c>
      <c r="E37" s="45">
        <f t="shared" ref="E37:G37" si="3">SUM(E34:E36)</f>
        <v>0</v>
      </c>
      <c r="F37" s="45">
        <f t="shared" si="3"/>
        <v>0</v>
      </c>
      <c r="G37" s="45">
        <f t="shared" si="3"/>
        <v>0</v>
      </c>
      <c r="H37" s="50">
        <f>SUM(D37:G37)</f>
        <v>910.59656000000007</v>
      </c>
      <c r="M37" s="16"/>
      <c r="N37" s="18"/>
      <c r="O37" s="18"/>
      <c r="P37" s="18"/>
      <c r="Q37" s="18"/>
      <c r="R37" s="16"/>
      <c r="S37" s="16"/>
      <c r="T37" s="16"/>
    </row>
    <row r="38" spans="1:20" x14ac:dyDescent="0.25">
      <c r="A38" s="6"/>
      <c r="B38" s="11"/>
      <c r="C38" s="34" t="s">
        <v>27</v>
      </c>
      <c r="D38" s="51">
        <f>D32+D37</f>
        <v>910.59656000000007</v>
      </c>
      <c r="E38" s="51">
        <f t="shared" ref="E38:G38" si="4">E32+E37</f>
        <v>11382.457</v>
      </c>
      <c r="F38" s="51">
        <f t="shared" si="4"/>
        <v>0</v>
      </c>
      <c r="G38" s="51">
        <f t="shared" si="4"/>
        <v>0</v>
      </c>
      <c r="H38" s="51">
        <f>H37+H31+H28</f>
        <v>12293.05356</v>
      </c>
      <c r="M38" s="16"/>
      <c r="N38" s="16"/>
      <c r="O38" s="16"/>
      <c r="P38" s="16"/>
      <c r="Q38" s="16"/>
      <c r="R38" s="16"/>
      <c r="S38" s="16"/>
      <c r="T38" s="16"/>
    </row>
    <row r="39" spans="1:20" x14ac:dyDescent="0.25">
      <c r="A39" s="160" t="s">
        <v>28</v>
      </c>
      <c r="B39" s="161"/>
      <c r="C39" s="161"/>
      <c r="D39" s="161"/>
      <c r="E39" s="161"/>
      <c r="F39" s="161"/>
      <c r="G39" s="161"/>
      <c r="H39" s="162"/>
      <c r="M39" s="16"/>
      <c r="N39" s="16"/>
      <c r="O39" s="16"/>
      <c r="P39" s="16"/>
      <c r="Q39" s="16"/>
      <c r="R39" s="16"/>
      <c r="S39" s="16"/>
      <c r="T39" s="16"/>
    </row>
    <row r="40" spans="1:20" x14ac:dyDescent="0.25">
      <c r="A40" s="29">
        <v>4</v>
      </c>
      <c r="B40" s="11" t="s">
        <v>51</v>
      </c>
      <c r="C40" s="11" t="s">
        <v>80</v>
      </c>
      <c r="D40" s="50">
        <f>D38*1.5%</f>
        <v>13.6589484</v>
      </c>
      <c r="E40" s="50">
        <f t="shared" ref="E40:G40" si="5">E38*1.5%</f>
        <v>170.73685499999999</v>
      </c>
      <c r="F40" s="50">
        <f t="shared" si="5"/>
        <v>0</v>
      </c>
      <c r="G40" s="50">
        <f t="shared" si="5"/>
        <v>0</v>
      </c>
      <c r="H40" s="53">
        <f>SUM(D40:G40)</f>
        <v>184.39580339999998</v>
      </c>
      <c r="M40" s="16"/>
      <c r="N40" s="16"/>
      <c r="O40" s="16"/>
      <c r="P40" s="16"/>
      <c r="Q40" s="16"/>
      <c r="R40" s="16"/>
      <c r="S40" s="16"/>
      <c r="T40" s="16"/>
    </row>
    <row r="41" spans="1:20" x14ac:dyDescent="0.25">
      <c r="A41" s="6"/>
      <c r="B41" s="11"/>
      <c r="C41" s="34" t="s">
        <v>29</v>
      </c>
      <c r="D41" s="51">
        <f>D38+D40</f>
        <v>924.25550840000005</v>
      </c>
      <c r="E41" s="51">
        <f t="shared" ref="E41:F41" si="6">E38+E40</f>
        <v>11553.193855</v>
      </c>
      <c r="F41" s="51">
        <f t="shared" si="6"/>
        <v>0</v>
      </c>
      <c r="G41" s="51">
        <f>G38+G40</f>
        <v>0</v>
      </c>
      <c r="H41" s="54">
        <f>H38+H40</f>
        <v>12477.449363400001</v>
      </c>
    </row>
    <row r="42" spans="1:20" x14ac:dyDescent="0.25">
      <c r="A42" s="173" t="s">
        <v>40</v>
      </c>
      <c r="B42" s="174"/>
      <c r="C42" s="174"/>
      <c r="D42" s="174"/>
      <c r="E42" s="174"/>
      <c r="F42" s="174"/>
      <c r="G42" s="174"/>
      <c r="H42" s="175"/>
    </row>
    <row r="43" spans="1:20" x14ac:dyDescent="0.25">
      <c r="A43" s="17"/>
      <c r="B43" s="30">
        <v>2020</v>
      </c>
      <c r="C43" s="22">
        <v>1.044</v>
      </c>
      <c r="D43" s="59"/>
      <c r="E43" s="59"/>
      <c r="F43" s="59"/>
      <c r="G43" s="59"/>
      <c r="H43" s="59">
        <f t="shared" ref="H43:H48" si="7">SUM(D43:G43)</f>
        <v>0</v>
      </c>
    </row>
    <row r="44" spans="1:20" x14ac:dyDescent="0.25">
      <c r="A44" s="6"/>
      <c r="B44" s="30">
        <v>2021</v>
      </c>
      <c r="C44" s="22">
        <v>1.042</v>
      </c>
      <c r="D44" s="59"/>
      <c r="E44" s="59"/>
      <c r="F44" s="59"/>
      <c r="G44" s="59"/>
      <c r="H44" s="59">
        <f t="shared" si="7"/>
        <v>0</v>
      </c>
    </row>
    <row r="45" spans="1:20" x14ac:dyDescent="0.25">
      <c r="A45" s="6"/>
      <c r="B45" s="30">
        <v>2022</v>
      </c>
      <c r="C45" s="22">
        <v>1.0429999999999999</v>
      </c>
      <c r="D45" s="59"/>
      <c r="E45" s="59"/>
      <c r="F45" s="59"/>
      <c r="G45" s="59">
        <f t="shared" ref="G45:G47" si="8">G41*PRODUCT($C$43:$C$45)</f>
        <v>0</v>
      </c>
      <c r="H45" s="59">
        <f t="shared" si="7"/>
        <v>0</v>
      </c>
    </row>
    <row r="46" spans="1:20" x14ac:dyDescent="0.25">
      <c r="A46" s="6"/>
      <c r="B46" s="30">
        <v>2023</v>
      </c>
      <c r="C46" s="22">
        <v>1.044</v>
      </c>
      <c r="D46" s="59"/>
      <c r="E46" s="59"/>
      <c r="F46" s="59"/>
      <c r="G46" s="59">
        <f t="shared" si="8"/>
        <v>0</v>
      </c>
      <c r="H46" s="59">
        <f t="shared" si="7"/>
        <v>0</v>
      </c>
    </row>
    <row r="47" spans="1:20" x14ac:dyDescent="0.25">
      <c r="A47" s="6"/>
      <c r="B47" s="30">
        <v>2024</v>
      </c>
      <c r="C47" s="22">
        <v>1.044</v>
      </c>
      <c r="D47" s="59"/>
      <c r="E47" s="59"/>
      <c r="F47" s="59"/>
      <c r="G47" s="59">
        <f t="shared" si="8"/>
        <v>0</v>
      </c>
      <c r="H47" s="59">
        <f t="shared" si="7"/>
        <v>0</v>
      </c>
    </row>
    <row r="48" spans="1:20" x14ac:dyDescent="0.25">
      <c r="A48" s="6"/>
      <c r="B48" s="30">
        <v>2025</v>
      </c>
      <c r="C48" s="22">
        <v>1.0429999999999999</v>
      </c>
      <c r="D48" s="59">
        <f>D41*PRODUCT($C$43:$C$48)</f>
        <v>1192.1471898359757</v>
      </c>
      <c r="E48" s="59">
        <f t="shared" ref="E48:G48" si="9">E41*PRODUCT($C$43:$C$48)</f>
        <v>14901.839872949695</v>
      </c>
      <c r="F48" s="59">
        <f t="shared" si="9"/>
        <v>0</v>
      </c>
      <c r="G48" s="59">
        <f t="shared" si="9"/>
        <v>0</v>
      </c>
      <c r="H48" s="84">
        <f t="shared" si="7"/>
        <v>16093.987062785671</v>
      </c>
    </row>
    <row r="49" spans="1:19" x14ac:dyDescent="0.25">
      <c r="A49" s="160" t="s">
        <v>30</v>
      </c>
      <c r="B49" s="161"/>
      <c r="C49" s="161"/>
      <c r="D49" s="161"/>
      <c r="E49" s="161"/>
      <c r="F49" s="161"/>
      <c r="G49" s="161"/>
      <c r="H49" s="162"/>
    </row>
    <row r="50" spans="1:19" x14ac:dyDescent="0.25">
      <c r="A50" s="29">
        <v>5</v>
      </c>
      <c r="B50" s="11" t="s">
        <v>52</v>
      </c>
      <c r="C50" s="11" t="s">
        <v>57</v>
      </c>
      <c r="D50" s="45">
        <f>SUM(D43:D48)*0.2</f>
        <v>238.42943796719516</v>
      </c>
      <c r="E50" s="45">
        <f>SUM(E43:E48)*0.2</f>
        <v>2980.367974589939</v>
      </c>
      <c r="F50" s="45">
        <f t="shared" ref="F50:G50" si="10">SUM(F43:F48)*0.2</f>
        <v>0</v>
      </c>
      <c r="G50" s="45">
        <f t="shared" si="10"/>
        <v>0</v>
      </c>
      <c r="H50" s="45">
        <f>SUM(D50:G50)</f>
        <v>3218.7974125571341</v>
      </c>
    </row>
    <row r="51" spans="1:19" x14ac:dyDescent="0.25">
      <c r="A51" s="6"/>
      <c r="B51" s="11"/>
      <c r="C51" s="9" t="s">
        <v>68</v>
      </c>
      <c r="D51" s="50">
        <f>SUM(D43:D48)+D50</f>
        <v>1430.5766278031708</v>
      </c>
      <c r="E51" s="50">
        <f t="shared" ref="E51:G51" si="11">SUM(E43:E48)+E50</f>
        <v>17882.207847539634</v>
      </c>
      <c r="F51" s="50">
        <f t="shared" si="11"/>
        <v>0</v>
      </c>
      <c r="G51" s="50">
        <f t="shared" si="11"/>
        <v>0</v>
      </c>
      <c r="H51" s="50">
        <f>H41+H50</f>
        <v>15696.246775957135</v>
      </c>
    </row>
    <row r="52" spans="1:19" x14ac:dyDescent="0.25">
      <c r="A52" s="176" t="s">
        <v>64</v>
      </c>
      <c r="B52" s="177"/>
      <c r="C52" s="178"/>
      <c r="D52" s="55">
        <f>D51</f>
        <v>1430.5766278031708</v>
      </c>
      <c r="E52" s="56">
        <f t="shared" ref="E52:G52" si="12">E51</f>
        <v>17882.207847539634</v>
      </c>
      <c r="F52" s="56">
        <f t="shared" si="12"/>
        <v>0</v>
      </c>
      <c r="G52" s="56">
        <f t="shared" si="12"/>
        <v>0</v>
      </c>
      <c r="H52" s="56">
        <f>SUM(D52:G52)</f>
        <v>19312.784475342803</v>
      </c>
    </row>
    <row r="53" spans="1:19" x14ac:dyDescent="0.25">
      <c r="A53" s="179" t="s">
        <v>71</v>
      </c>
      <c r="B53" s="180"/>
      <c r="C53" s="181"/>
      <c r="D53" s="57">
        <v>0</v>
      </c>
      <c r="E53" s="57">
        <v>0</v>
      </c>
      <c r="F53" s="57">
        <v>0</v>
      </c>
      <c r="G53" s="57">
        <v>0</v>
      </c>
      <c r="H53" s="57">
        <f>SUM(D53:G53)</f>
        <v>0</v>
      </c>
    </row>
    <row r="54" spans="1:19" x14ac:dyDescent="0.25">
      <c r="A54" s="179" t="s">
        <v>72</v>
      </c>
      <c r="B54" s="180"/>
      <c r="C54" s="181"/>
      <c r="D54" s="57">
        <f>D52-D53</f>
        <v>1430.5766278031708</v>
      </c>
      <c r="E54" s="57">
        <f t="shared" ref="E54:G54" si="13">E52-E53</f>
        <v>17882.207847539634</v>
      </c>
      <c r="F54" s="57">
        <f t="shared" si="13"/>
        <v>0</v>
      </c>
      <c r="G54" s="57">
        <f t="shared" si="13"/>
        <v>0</v>
      </c>
      <c r="H54" s="58">
        <f>H52-H53</f>
        <v>19312.784475342803</v>
      </c>
    </row>
    <row r="55" spans="1:19" x14ac:dyDescent="0.25">
      <c r="A55" s="223"/>
      <c r="B55" s="224"/>
      <c r="C55" s="224"/>
      <c r="D55" s="224"/>
      <c r="E55" s="224"/>
      <c r="F55" s="224"/>
      <c r="G55" s="224"/>
      <c r="H55" s="225"/>
    </row>
    <row r="56" spans="1:19" ht="15.75" customHeight="1" x14ac:dyDescent="0.25">
      <c r="A56" s="182" t="s">
        <v>61</v>
      </c>
      <c r="B56" s="183"/>
      <c r="C56" s="184"/>
      <c r="D56" s="36">
        <f>D54</f>
        <v>1430.5766278031708</v>
      </c>
      <c r="E56" s="36">
        <f t="shared" ref="E56:G56" si="14">E54</f>
        <v>17882.207847539634</v>
      </c>
      <c r="F56" s="36">
        <f t="shared" si="14"/>
        <v>0</v>
      </c>
      <c r="G56" s="36">
        <f t="shared" si="14"/>
        <v>0</v>
      </c>
      <c r="H56" s="36">
        <f>SUM(D56:G56)</f>
        <v>19312.784475342803</v>
      </c>
    </row>
    <row r="57" spans="1:19" ht="15.75" customHeight="1" x14ac:dyDescent="0.25">
      <c r="A57" s="185" t="s">
        <v>62</v>
      </c>
      <c r="B57" s="186"/>
      <c r="C57" s="187"/>
      <c r="D57" s="37">
        <f>D56/1000</f>
        <v>1.4305766278031709</v>
      </c>
      <c r="E57" s="37">
        <f>E56/1000</f>
        <v>17.882207847539632</v>
      </c>
      <c r="F57" s="37">
        <f t="shared" ref="F57:G57" si="15">F56/1000</f>
        <v>0</v>
      </c>
      <c r="G57" s="37">
        <f t="shared" si="15"/>
        <v>0</v>
      </c>
      <c r="H57" s="37">
        <f>SUM(D57:G57)</f>
        <v>19.312784475342802</v>
      </c>
    </row>
    <row r="58" spans="1:19" ht="15.75" customHeight="1" x14ac:dyDescent="0.25">
      <c r="A58" s="188" t="s">
        <v>63</v>
      </c>
      <c r="B58" s="189"/>
      <c r="C58" s="190"/>
      <c r="D58" s="38">
        <f>D56/1.2/1000</f>
        <v>1.1921471898359757</v>
      </c>
      <c r="E58" s="38">
        <f>E56/1.2/1000</f>
        <v>14.901839872949695</v>
      </c>
      <c r="F58" s="38">
        <f t="shared" ref="F58:G58" si="16">F56/1.2/1000</f>
        <v>0</v>
      </c>
      <c r="G58" s="38">
        <f t="shared" si="16"/>
        <v>0</v>
      </c>
      <c r="H58" s="38">
        <f>SUM(D58:G58)</f>
        <v>16.093987062785672</v>
      </c>
    </row>
    <row r="61" spans="1:19" x14ac:dyDescent="0.25">
      <c r="B61" s="78" t="s">
        <v>73</v>
      </c>
      <c r="C61" s="79" t="s">
        <v>74</v>
      </c>
    </row>
    <row r="62" spans="1:19" ht="15.75" customHeight="1" x14ac:dyDescent="0.25">
      <c r="B62" s="80"/>
      <c r="C62" s="80" t="s">
        <v>75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x14ac:dyDescent="0.25">
      <c r="B63" s="80"/>
      <c r="C63" s="80"/>
      <c r="E63" s="71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1:19" x14ac:dyDescent="0.25">
      <c r="B64" s="80"/>
      <c r="C64" s="80" t="s">
        <v>76</v>
      </c>
      <c r="D64" s="65"/>
      <c r="E64" s="64"/>
      <c r="F64" s="62"/>
      <c r="G64" s="6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8"/>
    </row>
    <row r="65" spans="1:20" ht="15.75" customHeight="1" x14ac:dyDescent="0.25">
      <c r="B65" s="80"/>
      <c r="C65" s="80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20" x14ac:dyDescent="0.25">
      <c r="B66" s="80"/>
      <c r="C66" s="80" t="s">
        <v>77</v>
      </c>
      <c r="D66" s="72"/>
      <c r="E66" s="70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1:20" x14ac:dyDescent="0.25">
      <c r="B67" s="81"/>
      <c r="C67" s="80" t="s">
        <v>78</v>
      </c>
    </row>
    <row r="68" spans="1:20" s="41" customFormat="1" x14ac:dyDescent="0.25">
      <c r="A68" s="2"/>
      <c r="B68" s="80"/>
      <c r="C68" s="80" t="s">
        <v>79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</sheetData>
  <mergeCells count="26">
    <mergeCell ref="A56:C56"/>
    <mergeCell ref="A57:C57"/>
    <mergeCell ref="A58:C58"/>
    <mergeCell ref="A42:H42"/>
    <mergeCell ref="A55:H55"/>
    <mergeCell ref="A39:H39"/>
    <mergeCell ref="A49:H49"/>
    <mergeCell ref="A52:C52"/>
    <mergeCell ref="A53:C53"/>
    <mergeCell ref="A54:C54"/>
    <mergeCell ref="A33:H33"/>
    <mergeCell ref="F1:H1"/>
    <mergeCell ref="A2:H2"/>
    <mergeCell ref="B3:G3"/>
    <mergeCell ref="A4:H4"/>
    <mergeCell ref="B5:E5"/>
    <mergeCell ref="A7:A8"/>
    <mergeCell ref="B7:B8"/>
    <mergeCell ref="C7:C8"/>
    <mergeCell ref="D7:G7"/>
    <mergeCell ref="H7:H8"/>
    <mergeCell ref="A10:C10"/>
    <mergeCell ref="A12:H12"/>
    <mergeCell ref="A17:H17"/>
    <mergeCell ref="A21:H21"/>
    <mergeCell ref="A29:H29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Т-оригинал</vt:lpstr>
      <vt:lpstr>Прил Т-1</vt:lpstr>
      <vt:lpstr>Т</vt:lpstr>
      <vt:lpstr>ГКПЗ</vt:lpstr>
      <vt:lpstr>ГКПЗ!Область_печати</vt:lpstr>
      <vt:lpstr>'Прил Т-1'!Область_печати</vt:lpstr>
      <vt:lpstr>'Приложение Т-оригинал'!Область_печати</vt:lpstr>
      <vt:lpstr>Т!Область_печати</vt:lpstr>
    </vt:vector>
  </TitlesOfParts>
  <Company>JSC DRSK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Светлана Анатольевна</dc:creator>
  <cp:lastModifiedBy>Коваленко Ольга Викторовна</cp:lastModifiedBy>
  <cp:lastPrinted>2020-12-25T05:52:42Z</cp:lastPrinted>
  <dcterms:created xsi:type="dcterms:W3CDTF">2016-07-15T07:21:49Z</dcterms:created>
  <dcterms:modified xsi:type="dcterms:W3CDTF">2021-01-27T01:01:42Z</dcterms:modified>
</cp:coreProperties>
</file>