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302101 А не МСП\ДоЗ\Приложение 1 Технические требования\Приложение  к ТТ расчет стоимости\"/>
    </mc:Choice>
  </mc:AlternateContent>
  <bookViews>
    <workbookView xWindow="480" yWindow="75" windowWidth="11340" windowHeight="9345"/>
  </bookViews>
  <sheets>
    <sheet name="Т" sheetId="5" r:id="rId1"/>
    <sheet name="расчет 1" sheetId="2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Т!$12:$12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'расчет 1'!$A$1:$N$47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14" i="2" l="1"/>
  <c r="G14" i="2" s="1"/>
  <c r="F12" i="2"/>
  <c r="G12" i="2" s="1"/>
  <c r="F13" i="2"/>
  <c r="G13" i="2" s="1"/>
  <c r="C15" i="5" l="1"/>
  <c r="C16" i="5"/>
  <c r="C17" i="5"/>
  <c r="F11" i="2" l="1"/>
  <c r="G11" i="2" s="1"/>
  <c r="C14" i="5" l="1"/>
  <c r="H48" i="5" l="1"/>
  <c r="B7" i="2" l="1"/>
  <c r="H47" i="5" l="1"/>
  <c r="H46" i="5"/>
  <c r="G41" i="5"/>
  <c r="F41" i="5"/>
  <c r="E41" i="5"/>
  <c r="G32" i="5"/>
  <c r="F32" i="5"/>
  <c r="D32" i="5"/>
  <c r="H20" i="5"/>
  <c r="G18" i="5"/>
  <c r="G22" i="5" s="1"/>
  <c r="G24" i="5" s="1"/>
  <c r="G33" i="5" s="1"/>
  <c r="D18" i="5"/>
  <c r="D22" i="5" s="1"/>
  <c r="D24" i="5" s="1"/>
  <c r="G42" i="5" l="1"/>
  <c r="G44" i="5" s="1"/>
  <c r="G49" i="5" s="1"/>
  <c r="D33" i="5"/>
  <c r="H35" i="5" l="1"/>
  <c r="G50" i="5" l="1"/>
  <c r="G51" i="5" s="1"/>
  <c r="H45" i="5" l="1"/>
  <c r="J12" i="2" l="1"/>
  <c r="J11" i="2"/>
  <c r="K11" i="2"/>
  <c r="J13" i="2"/>
  <c r="E30" i="5" s="1"/>
  <c r="H30" i="5" s="1"/>
  <c r="I13" i="2"/>
  <c r="F16" i="5" s="1"/>
  <c r="H12" i="2"/>
  <c r="I14" i="2"/>
  <c r="F17" i="5" s="1"/>
  <c r="H14" i="2"/>
  <c r="E17" i="5" s="1"/>
  <c r="K13" i="2"/>
  <c r="H13" i="2"/>
  <c r="E16" i="5" s="1"/>
  <c r="K14" i="2"/>
  <c r="J14" i="2"/>
  <c r="E31" i="5" s="1"/>
  <c r="H31" i="5" s="1"/>
  <c r="I12" i="2"/>
  <c r="F15" i="5" s="1"/>
  <c r="K12" i="2"/>
  <c r="I11" i="2"/>
  <c r="F14" i="5" s="1"/>
  <c r="H11" i="2"/>
  <c r="K15" i="2" l="1"/>
  <c r="H16" i="5"/>
  <c r="H15" i="2"/>
  <c r="L12" i="2"/>
  <c r="N12" i="2" s="1"/>
  <c r="J15" i="2"/>
  <c r="I15" i="2"/>
  <c r="E14" i="5"/>
  <c r="H14" i="5" s="1"/>
  <c r="L13" i="2"/>
  <c r="M13" i="2" s="1"/>
  <c r="H17" i="5"/>
  <c r="F18" i="5"/>
  <c r="F22" i="5" s="1"/>
  <c r="F24" i="5" s="1"/>
  <c r="F33" i="5" s="1"/>
  <c r="F42" i="5" s="1"/>
  <c r="F44" i="5" s="1"/>
  <c r="F49" i="5" s="1"/>
  <c r="L14" i="2"/>
  <c r="E15" i="5"/>
  <c r="L11" i="2"/>
  <c r="N13" i="2" l="1"/>
  <c r="M12" i="2"/>
  <c r="E27" i="5" s="1"/>
  <c r="H27" i="5" s="1"/>
  <c r="L15" i="2"/>
  <c r="F50" i="5"/>
  <c r="F51" i="5" s="1"/>
  <c r="M14" i="2"/>
  <c r="N14" i="2"/>
  <c r="N11" i="2"/>
  <c r="M11" i="2"/>
  <c r="D39" i="5"/>
  <c r="H39" i="5" s="1"/>
  <c r="E28" i="5"/>
  <c r="H28" i="5" s="1"/>
  <c r="E18" i="5"/>
  <c r="H15" i="5"/>
  <c r="D38" i="5" l="1"/>
  <c r="H38" i="5" s="1"/>
  <c r="D40" i="5"/>
  <c r="H40" i="5" s="1"/>
  <c r="E29" i="5"/>
  <c r="H29" i="5" s="1"/>
  <c r="M15" i="2"/>
  <c r="D37" i="5"/>
  <c r="E26" i="5"/>
  <c r="E22" i="5"/>
  <c r="H18" i="5"/>
  <c r="N15" i="2"/>
  <c r="H37" i="5" l="1"/>
  <c r="D41" i="5"/>
  <c r="E24" i="5"/>
  <c r="H22" i="5"/>
  <c r="H26" i="5"/>
  <c r="E32" i="5"/>
  <c r="H32" i="5" s="1"/>
  <c r="E33" i="5" l="1"/>
  <c r="H24" i="5"/>
  <c r="D42" i="5"/>
  <c r="H41" i="5"/>
  <c r="D44" i="5" l="1"/>
  <c r="H33" i="5"/>
  <c r="E42" i="5"/>
  <c r="E44" i="5" s="1"/>
  <c r="E49" i="5" s="1"/>
  <c r="E50" i="5" l="1"/>
  <c r="E51" i="5" s="1"/>
  <c r="H42" i="5"/>
  <c r="D49" i="5"/>
  <c r="H44" i="5"/>
  <c r="H49" i="5" l="1"/>
  <c r="D50" i="5"/>
  <c r="H50" i="5" s="1"/>
  <c r="D51" i="5" l="1"/>
  <c r="H51" i="5" s="1"/>
</calcChain>
</file>

<file path=xl/sharedStrings.xml><?xml version="1.0" encoding="utf-8"?>
<sst xmlns="http://schemas.openxmlformats.org/spreadsheetml/2006/main" count="137" uniqueCount="109">
  <si>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</si>
  <si>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</si>
  <si>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</si>
  <si>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</si>
  <si>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</si>
  <si>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</si>
  <si>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</si>
  <si>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</si>
  <si>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</si>
  <si>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</si>
  <si>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</si>
  <si>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</si>
  <si>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</si>
  <si>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</si>
  <si>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</si>
  <si>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</si>
  <si>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</si>
  <si>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</si>
  <si>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</si>
  <si>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</si>
  <si>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</si>
  <si>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ПИР</t>
  </si>
  <si>
    <t>СМР</t>
  </si>
  <si>
    <t>d+1</t>
  </si>
  <si>
    <t>-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</si>
  <si>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</si>
  <si>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</si>
  <si>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</si>
  <si>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</si>
  <si>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</si>
  <si>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</si>
  <si>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</si>
  <si>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Для ВЛ: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</si>
  <si>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</si>
  <si>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</si>
  <si>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</si>
  <si>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</si>
  <si>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</si>
  <si>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</si>
  <si>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</si>
  <si>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</si>
  <si>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</si>
  <si>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</si>
  <si>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</si>
  <si>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</si>
  <si>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</si>
  <si>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</si>
  <si>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</si>
  <si>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</si>
  <si>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</si>
  <si>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</si>
  <si>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</si>
  <si>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</si>
  <si>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</si>
  <si>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d+2</t>
  </si>
  <si>
    <t>d+3</t>
  </si>
  <si>
    <t>d</t>
  </si>
  <si>
    <t>МРСК</t>
  </si>
  <si>
    <t>СМЕТНЫЙ РАСЧЕТ</t>
  </si>
  <si>
    <t>табл. 2</t>
  </si>
  <si>
    <t>1,018 - коэффициент , учитывающий работу вблизи объектов, находящихся под высоким напряжениемпри изменении конструктивных решений, проводав, кабелей более 50%</t>
  </si>
  <si>
    <t>1,013 -коэффициент, учитывающий работу в условиях городской и промышленной застройки</t>
  </si>
  <si>
    <t>1,053 -коэффициент, учитывающий работу в условиях болотистой трассы</t>
  </si>
  <si>
    <t>1,028 -коэффициент, учитывающий работу в условиях распутицы, в пойме реки</t>
  </si>
  <si>
    <t>1.2.</t>
  </si>
  <si>
    <t>по п.1.6.</t>
  </si>
  <si>
    <t>1.3.</t>
  </si>
  <si>
    <t>по таблице  4</t>
  </si>
  <si>
    <t>1,5% - непредвиденные затраты (при согласовании с заказчиком до 10%)</t>
  </si>
  <si>
    <t>К=1,322=((1,5+2,5+7,5+5+1,5)/100+1)*1,12</t>
  </si>
  <si>
    <t>Итого  по сводному расчету в ценах 4 квартала 2020 года без НДС</t>
  </si>
  <si>
    <t>Составлена в ценах по состоянию на 4 кв. 2020 год и прогнозном уровне цен 2021 год</t>
  </si>
  <si>
    <t>Общая сметная стоимость, руб.</t>
  </si>
  <si>
    <t xml:space="preserve">    Проектная документация учтена в стадии рабочей документации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</si>
  <si>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</si>
  <si>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</si>
  <si>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НДС 20%</t>
  </si>
  <si>
    <t>Справочно стоимость объекта в прогнозных ценах без НДС</t>
  </si>
  <si>
    <t>ИТОГО стоимость в прогнозных ценах без НДС</t>
  </si>
  <si>
    <t>ВСЕГО стоимость в прогнозных ценах с НДС</t>
  </si>
  <si>
    <t>СМР , руб.</t>
  </si>
  <si>
    <t>Сметная стоимость, руб.</t>
  </si>
  <si>
    <t>табл. 7</t>
  </si>
  <si>
    <t>1,12 - при изменении конструктивных решений, проводав, кабелей более 50% на ВЛ</t>
  </si>
  <si>
    <t>1,09 - при изменении конструктивных решений, проводав, кабелей более 50% на ТП</t>
  </si>
  <si>
    <t>Коэффициент учитывающий общий объем финансовых потребностей по сборнику УНЦ</t>
  </si>
  <si>
    <t xml:space="preserve">Заместитель директора по развитию и инвестициям </t>
  </si>
  <si>
    <t>Скаредин В.А.</t>
  </si>
  <si>
    <t xml:space="preserve">Начальник ООСТНиУИ     </t>
  </si>
  <si>
    <t>Москалев А.В.</t>
  </si>
  <si>
    <t xml:space="preserve">Начальник ОСДР </t>
  </si>
  <si>
    <t>Стеценко Л.В.</t>
  </si>
  <si>
    <t xml:space="preserve">Ведущий инженер-сметчик ОСДР      </t>
  </si>
  <si>
    <t>Гаврюш Т.П.</t>
  </si>
  <si>
    <t>Реконструкция распределительных сетей 6 кВ ПС Северная, ПС Волчанец, ПС Новицкое</t>
  </si>
  <si>
    <t>ВЛ-6 кВ Ф-17 ПС Северная (свободностоящая)  СИП 70 ж/б без учета стоек опор ж/б СВ 95-3 32 шт. и провода СИП - 12 км.</t>
  </si>
  <si>
    <t>ВЛ-6 кВ Ф-9 ПС Северная (свободностоящая)  СИП 70 ж/б без учета стоек опор ж/б СВ 95-3 2 шт. и 66 шт. ровода СИП - 4,6 км.</t>
  </si>
  <si>
    <t>Ф-9 6кВ ПС Волчанец
Установка реклоузера</t>
  </si>
  <si>
    <t>Ф-8 6кВ ПС Новицкое
Установка реклоузера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</si>
  <si>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ВЛ-6 кВ Ф-17 ПС Северная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</si>
  <si>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ВЛ-6 кВ Ф-9 ПС Северная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</si>
  <si>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Ф-9 6кВ ПС Волчанец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</si>
  <si>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Ф-8 6кВ ПС Новицкое</t>
    </r>
  </si>
  <si>
    <t>ПНР Ф-9 6кВ ПС Волчанец</t>
  </si>
  <si>
    <t>ПНР Ф-8 6кВ ПС Новицкое</t>
  </si>
  <si>
    <t>Разработка рабочей документации
ВЛ-6 кВ Ф-17 ПС Северная</t>
  </si>
  <si>
    <t>Разработка рабочей документации
ВЛ-6 кВ Ф-9 ПС Северная</t>
  </si>
  <si>
    <t>Разработка рабочей документации
Ф-9 6кВ ПС Волчанец</t>
  </si>
  <si>
    <t>Разработка рабочей документации
Ф-8 6кВ ПС Новицкое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</si>
</sst>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#,##0.00000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979">
    <xf numFmtId="0" fontId="0" fillId="0" borderId="0"/>
    <xf numFmtId="0" fontId="7" fillId="0" borderId="0"/>
    <xf numFmtId="0" fontId="14" fillId="0" borderId="0"/>
    <xf numFmtId="0" fontId="9" fillId="0" borderId="0"/>
    <xf numFmtId="0" fontId="13" fillId="0" borderId="0"/>
    <xf numFmtId="0" fontId="15" fillId="0" borderId="0"/>
    <xf numFmtId="38" fontId="16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7" fillId="0" borderId="0"/>
    <xf numFmtId="0" fontId="18" fillId="0" borderId="0">
      <alignment horizontal="left" vertical="top"/>
    </xf>
    <xf numFmtId="166" fontId="7" fillId="0" borderId="0" applyFont="0" applyFill="0" applyBorder="0" applyAlignment="0" applyProtection="0"/>
    <xf numFmtId="0" fontId="10" fillId="0" borderId="0">
      <alignment horizontal="right" vertical="top" wrapText="1"/>
    </xf>
    <xf numFmtId="0" fontId="10" fillId="0" borderId="2">
      <alignment horizontal="center" wrapText="1"/>
    </xf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2" applyBorder="0" applyAlignment="0">
      <alignment horizontal="center" wrapText="1"/>
    </xf>
    <xf numFmtId="9" fontId="7" fillId="0" borderId="0" applyFont="0" applyFill="0" applyBorder="0" applyAlignment="0" applyProtection="0"/>
    <xf numFmtId="0" fontId="19" fillId="0" borderId="0"/>
    <xf numFmtId="0" fontId="10" fillId="0" borderId="0">
      <alignment horizontal="center"/>
    </xf>
    <xf numFmtId="165" fontId="7" fillId="0" borderId="0" applyFont="0" applyFill="0" applyBorder="0" applyAlignment="0" applyProtection="0"/>
    <xf numFmtId="40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>
      <alignment horizontal="left" vertical="top"/>
    </xf>
    <xf numFmtId="0" fontId="6" fillId="0" borderId="0"/>
    <xf numFmtId="0" fontId="29" fillId="0" borderId="0"/>
    <xf numFmtId="0" fontId="8" fillId="0" borderId="0"/>
    <xf numFmtId="0" fontId="8" fillId="0" borderId="0"/>
    <xf numFmtId="0" fontId="9" fillId="0" borderId="0"/>
    <xf numFmtId="0" fontId="14" fillId="0" borderId="0"/>
    <xf numFmtId="173" fontId="8" fillId="0" borderId="0" applyFont="0" applyFill="0" applyBorder="0" applyAlignment="0" applyProtection="0"/>
    <xf numFmtId="0" fontId="30" fillId="0" borderId="0"/>
    <xf numFmtId="0" fontId="30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174" fontId="32" fillId="0" borderId="0">
      <alignment vertical="top"/>
    </xf>
    <xf numFmtId="0" fontId="31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8" borderId="0" applyNumberFormat="0" applyBorder="0" applyAlignment="0" applyProtection="0"/>
    <xf numFmtId="0" fontId="33" fillId="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174" fontId="35" fillId="23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4" borderId="0">
      <alignment horizontal="right" vertical="top"/>
    </xf>
    <xf numFmtId="0" fontId="8" fillId="0" borderId="0"/>
    <xf numFmtId="0" fontId="8" fillId="0" borderId="0"/>
    <xf numFmtId="0" fontId="41" fillId="25" borderId="0"/>
    <xf numFmtId="176" fontId="36" fillId="0" borderId="0">
      <alignment vertical="top"/>
    </xf>
    <xf numFmtId="0" fontId="10" fillId="0" borderId="2">
      <alignment horizontal="center"/>
    </xf>
    <xf numFmtId="0" fontId="7" fillId="0" borderId="0">
      <alignment vertical="top"/>
    </xf>
    <xf numFmtId="0" fontId="34" fillId="2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10" fillId="0" borderId="2">
      <alignment horizontal="center"/>
    </xf>
    <xf numFmtId="0" fontId="10" fillId="0" borderId="0">
      <alignment vertical="top"/>
    </xf>
    <xf numFmtId="0" fontId="43" fillId="14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4" fillId="14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5" fillId="0" borderId="0" applyBorder="0">
      <alignment horizontal="center" vertical="center" wrapText="1"/>
    </xf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  <xf numFmtId="0" fontId="48" fillId="0" borderId="12" applyNumberFormat="0" applyFill="0" applyAlignment="0" applyProtection="0"/>
    <xf numFmtId="0" fontId="49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5" applyBorder="0">
      <alignment horizontal="center" vertical="center" wrapText="1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0" fontId="7" fillId="0" borderId="0"/>
    <xf numFmtId="0" fontId="54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7" fillId="0" borderId="0">
      <alignment vertical="top"/>
    </xf>
    <xf numFmtId="0" fontId="7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7" fillId="0" borderId="0"/>
    <xf numFmtId="0" fontId="6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0" fillId="0" borderId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3" fillId="0" borderId="0"/>
    <xf numFmtId="0" fontId="5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3" fillId="0" borderId="0"/>
    <xf numFmtId="0" fontId="33" fillId="0" borderId="0"/>
    <xf numFmtId="0" fontId="8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2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0" fillId="10" borderId="19" applyNumberFormat="0" applyFont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66" fillId="10" borderId="19" applyNumberFormat="0" applyFont="0" applyAlignment="0" applyProtection="0"/>
    <xf numFmtId="0" fontId="33" fillId="10" borderId="19" applyNumberFormat="0" applyFont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2">
      <alignment horizontal="center"/>
    </xf>
    <xf numFmtId="0" fontId="7" fillId="0" borderId="0"/>
    <xf numFmtId="0" fontId="10" fillId="0" borderId="2">
      <alignment horizontal="center" wrapText="1"/>
    </xf>
    <xf numFmtId="0" fontId="7" fillId="0" borderId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174" fontId="32" fillId="0" borderId="0">
      <alignment vertical="top"/>
    </xf>
    <xf numFmtId="0" fontId="15" fillId="0" borderId="0"/>
    <xf numFmtId="0" fontId="15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3" borderId="0" applyBorder="0">
      <alignment horizontal="right"/>
    </xf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" fillId="0" borderId="0"/>
    <xf numFmtId="0" fontId="10" fillId="0" borderId="0"/>
    <xf numFmtId="167" fontId="9" fillId="0" borderId="0" applyFont="0" applyFill="0" applyBorder="0" applyAlignment="0" applyProtection="0"/>
    <xf numFmtId="0" fontId="9" fillId="0" borderId="0"/>
    <xf numFmtId="0" fontId="29" fillId="0" borderId="0"/>
    <xf numFmtId="0" fontId="5" fillId="0" borderId="0"/>
    <xf numFmtId="0" fontId="4" fillId="0" borderId="0"/>
    <xf numFmtId="0" fontId="3" fillId="0" borderId="0"/>
    <xf numFmtId="0" fontId="9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1"/>
    <xf numFmtId="0" fontId="11" fillId="0" borderId="2" xfId="1" applyFont="1" applyBorder="1" applyAlignment="1">
      <alignment wrapText="1"/>
    </xf>
    <xf numFmtId="0" fontId="20" fillId="0" borderId="0" xfId="33" applyFont="1"/>
    <xf numFmtId="0" fontId="21" fillId="0" borderId="0" xfId="33" applyFont="1"/>
    <xf numFmtId="0" fontId="21" fillId="0" borderId="0" xfId="33" applyFont="1" applyAlignment="1">
      <alignment horizontal="right"/>
    </xf>
    <xf numFmtId="0" fontId="22" fillId="0" borderId="0" xfId="33" applyFont="1"/>
    <xf numFmtId="49" fontId="22" fillId="0" borderId="0" xfId="33" applyNumberFormat="1" applyFont="1" applyAlignment="1">
      <alignment horizontal="right" vertical="center"/>
    </xf>
    <xf numFmtId="0" fontId="22" fillId="0" borderId="0" xfId="33" applyFont="1" applyAlignment="1">
      <alignment horizontal="right"/>
    </xf>
    <xf numFmtId="0" fontId="23" fillId="0" borderId="0" xfId="33" applyFont="1"/>
    <xf numFmtId="0" fontId="23" fillId="0" borderId="0" xfId="33" applyFont="1" applyAlignment="1">
      <alignment horizontal="right"/>
    </xf>
    <xf numFmtId="4" fontId="25" fillId="0" borderId="0" xfId="33" applyNumberFormat="1" applyFont="1" applyBorder="1" applyAlignment="1">
      <alignment horizontal="center" vertical="center"/>
    </xf>
    <xf numFmtId="0" fontId="25" fillId="0" borderId="0" xfId="33" applyFont="1" applyBorder="1" applyAlignment="1">
      <alignment horizontal="left" vertical="center" wrapText="1"/>
    </xf>
    <xf numFmtId="0" fontId="20" fillId="0" borderId="2" xfId="33" applyFont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0" fillId="3" borderId="0" xfId="33" applyFont="1" applyFill="1"/>
    <xf numFmtId="0" fontId="26" fillId="3" borderId="0" xfId="33" applyFont="1" applyFill="1" applyAlignment="1">
      <alignment horizontal="right"/>
    </xf>
    <xf numFmtId="0" fontId="20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0" fontId="24" fillId="0" borderId="0" xfId="33" applyFont="1" applyAlignment="1">
      <alignment vertical="top" wrapText="1"/>
    </xf>
    <xf numFmtId="0" fontId="71" fillId="0" borderId="0" xfId="0" applyFont="1" applyAlignment="1">
      <alignment horizontal="right"/>
    </xf>
    <xf numFmtId="0" fontId="11" fillId="0" borderId="2" xfId="1" applyFont="1" applyBorder="1" applyAlignment="1">
      <alignment horizontal="center" wrapText="1"/>
    </xf>
    <xf numFmtId="0" fontId="7" fillId="0" borderId="0" xfId="1" applyFont="1"/>
    <xf numFmtId="49" fontId="7" fillId="0" borderId="0" xfId="1" applyNumberFormat="1" applyFont="1"/>
    <xf numFmtId="49" fontId="20" fillId="3" borderId="0" xfId="33" applyNumberFormat="1" applyFont="1" applyFill="1"/>
    <xf numFmtId="49" fontId="0" fillId="0" borderId="0" xfId="1" applyNumberFormat="1" applyFont="1"/>
    <xf numFmtId="172" fontId="20" fillId="3" borderId="0" xfId="33" applyNumberFormat="1" applyFont="1" applyFill="1"/>
    <xf numFmtId="4" fontId="25" fillId="0" borderId="0" xfId="971" applyNumberFormat="1" applyFont="1" applyBorder="1" applyAlignment="1">
      <alignment horizontal="right" vertical="center"/>
    </xf>
    <xf numFmtId="4" fontId="25" fillId="0" borderId="0" xfId="971" applyNumberFormat="1" applyFont="1" applyBorder="1" applyAlignment="1">
      <alignment horizontal="right"/>
    </xf>
    <xf numFmtId="0" fontId="20" fillId="0" borderId="0" xfId="971" applyFont="1" applyAlignment="1"/>
    <xf numFmtId="40" fontId="72" fillId="0" borderId="0" xfId="1" applyNumberFormat="1" applyFont="1" applyFill="1" applyBorder="1" applyAlignment="1">
      <alignment horizontal="center" vertical="top" wrapText="1"/>
    </xf>
    <xf numFmtId="178" fontId="25" fillId="0" borderId="0" xfId="33" applyNumberFormat="1" applyFont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top"/>
    </xf>
    <xf numFmtId="168" fontId="10" fillId="3" borderId="2" xfId="1" applyNumberFormat="1" applyFont="1" applyFill="1" applyBorder="1" applyAlignment="1">
      <alignment horizontal="right" vertical="top" wrapText="1"/>
    </xf>
    <xf numFmtId="0" fontId="0" fillId="0" borderId="0" xfId="1" applyFont="1"/>
    <xf numFmtId="0" fontId="23" fillId="0" borderId="0" xfId="973" applyFont="1" applyAlignment="1">
      <alignment horizontal="right"/>
    </xf>
    <xf numFmtId="0" fontId="22" fillId="0" borderId="0" xfId="973" applyFont="1" applyAlignment="1">
      <alignment horizontal="right"/>
    </xf>
    <xf numFmtId="49" fontId="22" fillId="0" borderId="0" xfId="973" applyNumberFormat="1" applyFont="1" applyAlignment="1">
      <alignment horizontal="right" vertical="center"/>
    </xf>
    <xf numFmtId="172" fontId="25" fillId="0" borderId="0" xfId="33" applyNumberFormat="1" applyFont="1" applyBorder="1" applyAlignment="1">
      <alignment horizontal="left" vertical="center" wrapText="1"/>
    </xf>
    <xf numFmtId="168" fontId="11" fillId="3" borderId="2" xfId="1" applyNumberFormat="1" applyFont="1" applyFill="1" applyBorder="1" applyAlignment="1">
      <alignment wrapText="1"/>
    </xf>
    <xf numFmtId="0" fontId="20" fillId="0" borderId="2" xfId="36" applyFont="1" applyBorder="1" applyAlignment="1">
      <alignment horizontal="center" vertical="center" wrapText="1"/>
    </xf>
    <xf numFmtId="0" fontId="20" fillId="3" borderId="2" xfId="975" applyFont="1" applyFill="1" applyBorder="1" applyAlignment="1">
      <alignment horizontal="center" vertical="center"/>
    </xf>
    <xf numFmtId="4" fontId="20" fillId="3" borderId="2" xfId="975" applyNumberFormat="1" applyFont="1" applyFill="1" applyBorder="1" applyAlignment="1">
      <alignment horizontal="center" vertical="center"/>
    </xf>
    <xf numFmtId="4" fontId="20" fillId="3" borderId="2" xfId="976" applyNumberFormat="1" applyFont="1" applyFill="1" applyBorder="1" applyAlignment="1">
      <alignment vertical="center"/>
    </xf>
    <xf numFmtId="0" fontId="23" fillId="0" borderId="0" xfId="978" applyFont="1"/>
    <xf numFmtId="0" fontId="22" fillId="0" borderId="0" xfId="978" applyFont="1"/>
    <xf numFmtId="0" fontId="22" fillId="0" borderId="0" xfId="695" applyFont="1"/>
    <xf numFmtId="0" fontId="20" fillId="0" borderId="0" xfId="695" applyFont="1"/>
    <xf numFmtId="0" fontId="10" fillId="2" borderId="7" xfId="0" applyFont="1" applyFill="1" applyBorder="1" applyAlignment="1">
      <alignment horizontal="center" vertical="top"/>
    </xf>
    <xf numFmtId="172" fontId="10" fillId="0" borderId="2" xfId="373" applyNumberFormat="1" applyFont="1" applyFill="1" applyBorder="1" applyAlignment="1">
      <alignment horizontal="left" vertical="top"/>
    </xf>
    <xf numFmtId="4" fontId="25" fillId="0" borderId="2" xfId="33" applyNumberFormat="1" applyFont="1" applyBorder="1" applyAlignment="1">
      <alignment horizontal="right" vertical="center"/>
    </xf>
    <xf numFmtId="4" fontId="20" fillId="0" borderId="2" xfId="33" applyNumberFormat="1" applyFont="1" applyBorder="1" applyAlignment="1">
      <alignment horizontal="right" vertical="center"/>
    </xf>
    <xf numFmtId="172" fontId="10" fillId="0" borderId="2" xfId="0" applyNumberFormat="1" applyFont="1" applyBorder="1" applyAlignment="1">
      <alignment horizontal="right" vertical="top"/>
    </xf>
    <xf numFmtId="0" fontId="21" fillId="0" borderId="0" xfId="973" applyFont="1" applyAlignment="1">
      <alignment horizontal="right"/>
    </xf>
    <xf numFmtId="0" fontId="21" fillId="0" borderId="0" xfId="973" applyFont="1"/>
    <xf numFmtId="4" fontId="20" fillId="4" borderId="2" xfId="976" applyNumberFormat="1" applyFont="1" applyFill="1" applyBorder="1" applyAlignment="1">
      <alignment vertical="center" wrapText="1"/>
    </xf>
    <xf numFmtId="4" fontId="25" fillId="4" borderId="2" xfId="33" applyNumberFormat="1" applyFont="1" applyFill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wrapText="1"/>
    </xf>
    <xf numFmtId="168" fontId="11" fillId="0" borderId="2" xfId="1" applyNumberFormat="1" applyFont="1" applyFill="1" applyBorder="1" applyAlignment="1">
      <alignment wrapText="1"/>
    </xf>
    <xf numFmtId="0" fontId="74" fillId="0" borderId="0" xfId="33" applyFont="1"/>
    <xf numFmtId="0" fontId="74" fillId="0" borderId="0" xfId="975" applyFont="1" applyAlignment="1">
      <alignment horizontal="left"/>
    </xf>
    <xf numFmtId="0" fontId="74" fillId="0" borderId="0" xfId="975" applyFont="1"/>
    <xf numFmtId="0" fontId="75" fillId="0" borderId="0" xfId="36" applyFont="1" applyAlignment="1">
      <alignment horizontal="left" wrapText="1"/>
    </xf>
    <xf numFmtId="0" fontId="76" fillId="0" borderId="0" xfId="36" applyFont="1"/>
    <xf numFmtId="0" fontId="20" fillId="0" borderId="21" xfId="33" applyFont="1" applyBorder="1"/>
    <xf numFmtId="49" fontId="22" fillId="0" borderId="0" xfId="978" applyNumberFormat="1" applyFont="1"/>
    <xf numFmtId="49" fontId="10" fillId="0" borderId="0" xfId="0" applyNumberFormat="1" applyFont="1"/>
    <xf numFmtId="2" fontId="10" fillId="0" borderId="2" xfId="0" applyNumberFormat="1" applyFont="1" applyBorder="1" applyAlignment="1">
      <alignment horizontal="left" vertical="top" wrapText="1"/>
    </xf>
    <xf numFmtId="4" fontId="20" fillId="0" borderId="0" xfId="971" applyNumberFormat="1" applyFont="1" applyAlignment="1"/>
    <xf numFmtId="4" fontId="20" fillId="0" borderId="0" xfId="33" applyNumberFormat="1" applyFont="1"/>
    <xf numFmtId="4" fontId="10" fillId="0" borderId="0" xfId="0" applyNumberFormat="1" applyFont="1"/>
    <xf numFmtId="0" fontId="20" fillId="0" borderId="2" xfId="33" applyFont="1" applyBorder="1" applyAlignment="1">
      <alignment horizontal="center" vertical="center" wrapText="1"/>
    </xf>
    <xf numFmtId="0" fontId="20" fillId="0" borderId="2" xfId="973" applyFont="1" applyBorder="1" applyAlignment="1">
      <alignment horizontal="center" vertical="center" wrapText="1"/>
    </xf>
    <xf numFmtId="4" fontId="20" fillId="0" borderId="2" xfId="973" applyNumberFormat="1" applyFont="1" applyBorder="1" applyAlignment="1">
      <alignment horizontal="right" vertical="center"/>
    </xf>
    <xf numFmtId="4" fontId="20" fillId="0" borderId="0" xfId="973" applyNumberFormat="1" applyFont="1"/>
    <xf numFmtId="0" fontId="20" fillId="0" borderId="0" xfId="973" applyFont="1"/>
    <xf numFmtId="0" fontId="20" fillId="0" borderId="2" xfId="33" applyFont="1" applyBorder="1" applyAlignment="1">
      <alignment horizontal="center" vertical="center" wrapText="1"/>
    </xf>
    <xf numFmtId="0" fontId="20" fillId="0" borderId="2" xfId="36" applyFont="1" applyFill="1" applyBorder="1" applyAlignment="1">
      <alignment horizontal="center" vertical="center"/>
    </xf>
    <xf numFmtId="0" fontId="74" fillId="0" borderId="0" xfId="0" applyFont="1"/>
    <xf numFmtId="0" fontId="76" fillId="0" borderId="0" xfId="0" applyFont="1" applyBorder="1" applyAlignment="1">
      <alignment horizontal="left" vertical="top"/>
    </xf>
    <xf numFmtId="0" fontId="76" fillId="0" borderId="0" xfId="1" applyFont="1"/>
    <xf numFmtId="0" fontId="74" fillId="0" borderId="0" xfId="0" applyFont="1" applyAlignment="1">
      <alignment horizontal="left" vertical="top"/>
    </xf>
    <xf numFmtId="0" fontId="76" fillId="0" borderId="0" xfId="1" applyFont="1" applyAlignment="1">
      <alignment horizontal="left" vertical="top"/>
    </xf>
    <xf numFmtId="0" fontId="76" fillId="0" borderId="0" xfId="1" applyFont="1" applyAlignment="1">
      <alignment horizontal="right" vertical="top"/>
    </xf>
    <xf numFmtId="0" fontId="74" fillId="0" borderId="0" xfId="0" applyFont="1" applyAlignment="1">
      <alignment vertical="top"/>
    </xf>
    <xf numFmtId="0" fontId="76" fillId="0" borderId="0" xfId="1" applyFont="1" applyAlignment="1">
      <alignment vertical="top" wrapText="1"/>
    </xf>
    <xf numFmtId="0" fontId="74" fillId="0" borderId="0" xfId="0" applyFont="1" applyAlignment="1">
      <alignment wrapText="1"/>
    </xf>
    <xf numFmtId="0" fontId="74" fillId="0" borderId="0" xfId="0" applyFont="1" applyAlignment="1">
      <alignment horizontal="left" vertical="top" wrapText="1"/>
    </xf>
    <xf numFmtId="0" fontId="74" fillId="0" borderId="0" xfId="0" applyFont="1" applyAlignment="1">
      <alignment vertical="top" wrapText="1"/>
    </xf>
    <xf numFmtId="0" fontId="76" fillId="0" borderId="0" xfId="0" applyFont="1" applyAlignment="1">
      <alignment horizontal="left" vertical="top"/>
    </xf>
    <xf numFmtId="4" fontId="20" fillId="0" borderId="2" xfId="977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74" fillId="0" borderId="0" xfId="0" applyFont="1" applyAlignment="1">
      <alignment horizontal="left" vertical="top"/>
    </xf>
    <xf numFmtId="0" fontId="74" fillId="0" borderId="0" xfId="0" applyFont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right" vertical="top"/>
    </xf>
    <xf numFmtId="49" fontId="11" fillId="2" borderId="5" xfId="0" applyNumberFormat="1" applyFont="1" applyFill="1" applyBorder="1" applyAlignment="1">
      <alignment horizontal="right" vertical="top"/>
    </xf>
    <xf numFmtId="0" fontId="11" fillId="0" borderId="3" xfId="1" applyFont="1" applyBorder="1" applyAlignment="1">
      <alignment horizontal="left" wrapText="1"/>
    </xf>
    <xf numFmtId="0" fontId="11" fillId="0" borderId="4" xfId="1" applyFont="1" applyBorder="1" applyAlignment="1">
      <alignment horizontal="left" wrapText="1"/>
    </xf>
    <xf numFmtId="0" fontId="11" fillId="0" borderId="5" xfId="1" applyFont="1" applyBorder="1" applyAlignment="1">
      <alignment horizontal="left" wrapText="1"/>
    </xf>
    <xf numFmtId="0" fontId="11" fillId="0" borderId="3" xfId="1" applyFont="1" applyBorder="1" applyAlignment="1">
      <alignment horizontal="right" wrapText="1"/>
    </xf>
    <xf numFmtId="0" fontId="11" fillId="0" borderId="4" xfId="1" applyFont="1" applyBorder="1" applyAlignment="1">
      <alignment horizontal="right" wrapText="1"/>
    </xf>
    <xf numFmtId="0" fontId="11" fillId="0" borderId="5" xfId="1" applyFont="1" applyBorder="1" applyAlignment="1">
      <alignment horizontal="right" wrapText="1"/>
    </xf>
    <xf numFmtId="0" fontId="28" fillId="0" borderId="0" xfId="33" applyFont="1" applyAlignment="1">
      <alignment horizontal="center" wrapText="1"/>
    </xf>
    <xf numFmtId="0" fontId="20" fillId="0" borderId="2" xfId="33" applyFont="1" applyBorder="1" applyAlignment="1">
      <alignment horizontal="center" vertical="center" wrapText="1"/>
    </xf>
    <xf numFmtId="0" fontId="6" fillId="0" borderId="2" xfId="33" applyBorder="1" applyAlignment="1">
      <alignment horizontal="center" vertical="center" wrapText="1"/>
    </xf>
    <xf numFmtId="0" fontId="20" fillId="0" borderId="6" xfId="33" applyFont="1" applyBorder="1" applyAlignment="1">
      <alignment horizontal="center" vertical="center"/>
    </xf>
    <xf numFmtId="0" fontId="20" fillId="0" borderId="7" xfId="33" applyFont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77" fillId="0" borderId="0" xfId="0" applyFont="1" applyFill="1" applyAlignment="1">
      <alignment horizontal="left"/>
    </xf>
    <xf numFmtId="0" fontId="75" fillId="0" borderId="0" xfId="36" applyFont="1" applyAlignment="1">
      <alignment horizontal="left" wrapText="1"/>
    </xf>
    <xf numFmtId="0" fontId="73" fillId="0" borderId="0" xfId="33" applyFont="1" applyAlignment="1">
      <alignment horizontal="left" wrapText="1"/>
    </xf>
    <xf numFmtId="0" fontId="73" fillId="0" borderId="0" xfId="975" applyFont="1" applyAlignment="1">
      <alignment horizontal="left"/>
    </xf>
    <xf numFmtId="0" fontId="20" fillId="0" borderId="2" xfId="33" applyFont="1" applyBorder="1" applyAlignment="1">
      <alignment horizontal="center"/>
    </xf>
    <xf numFmtId="0" fontId="22" fillId="0" borderId="2" xfId="33" applyFont="1" applyFill="1" applyBorder="1" applyAlignment="1">
      <alignment horizontal="center" vertical="center" wrapText="1"/>
    </xf>
    <xf numFmtId="0" fontId="24" fillId="0" borderId="0" xfId="33" applyFont="1" applyAlignment="1">
      <alignment vertical="top" wrapText="1"/>
    </xf>
    <xf numFmtId="0" fontId="25" fillId="0" borderId="0" xfId="971" applyFont="1" applyBorder="1" applyAlignment="1">
      <alignment horizontal="right" wrapText="1"/>
    </xf>
    <xf numFmtId="0" fontId="25" fillId="0" borderId="2" xfId="33" applyFont="1" applyBorder="1" applyAlignment="1">
      <alignment horizontal="left" vertical="center" wrapText="1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59"/>
  <sheetViews>
    <sheetView showGridLines="0" tabSelected="1" view="pageBreakPreview" zoomScale="85" zoomScaleNormal="85" zoomScaleSheetLayoutView="85" workbookViewId="0">
      <selection activeCell="G52" sqref="G52"/>
    </sheetView>
  </sheetViews>
  <sheetFormatPr defaultRowHeight="12.75" x14ac:dyDescent="0.2"/>
  <cols>
    <col min="1" max="1" width="5" style="1" customWidth="1"/>
    <col min="2" max="2" width="14.85546875" style="2" customWidth="1"/>
    <col min="3" max="3" width="48.7109375" style="2" customWidth="1"/>
    <col min="4" max="4" width="13.42578125" style="5" customWidth="1"/>
    <col min="5" max="5" width="19.140625" style="5" customWidth="1"/>
    <col min="6" max="6" width="13.42578125" style="5" customWidth="1"/>
    <col min="7" max="7" width="12.5703125" style="5" customWidth="1"/>
    <col min="8" max="8" width="13.42578125" style="5" customWidth="1"/>
    <col min="9" max="9" width="21.7109375" style="4" customWidth="1"/>
    <col min="10" max="13" width="9.140625" style="4" customWidth="1"/>
    <col min="14" max="14" width="12" style="4" bestFit="1" customWidth="1"/>
    <col min="15" max="16384" width="9.140625" style="4"/>
  </cols>
  <sheetData>
    <row r="1" spans="1:8" ht="21.75" customHeight="1" x14ac:dyDescent="0.2">
      <c r="D1" s="6" t="s">
        <v>58</v>
      </c>
      <c r="F1" s="3"/>
      <c r="G1" s="3"/>
      <c r="H1" s="3"/>
    </row>
    <row r="2" spans="1:8" ht="21.75" customHeight="1" x14ac:dyDescent="0.2">
      <c r="D2" s="7"/>
      <c r="F2" s="3"/>
      <c r="G2" s="3"/>
      <c r="H2" s="3"/>
    </row>
    <row r="3" spans="1:8" x14ac:dyDescent="0.2">
      <c r="C3" s="8"/>
      <c r="D3" s="9" t="s">
        <v>94</v>
      </c>
      <c r="E3" s="10"/>
      <c r="F3" s="9"/>
      <c r="G3" s="9"/>
      <c r="H3" s="3"/>
    </row>
    <row r="4" spans="1:8" x14ac:dyDescent="0.2">
      <c r="D4" s="11" t="s">
        <v>0</v>
      </c>
      <c r="F4" s="3"/>
      <c r="G4" s="3"/>
      <c r="H4" s="3"/>
    </row>
    <row r="5" spans="1:8" x14ac:dyDescent="0.2">
      <c r="H5" s="3"/>
    </row>
    <row r="6" spans="1:8" x14ac:dyDescent="0.2">
      <c r="B6" s="2" t="s">
        <v>71</v>
      </c>
      <c r="D6" s="7"/>
      <c r="E6" s="3"/>
      <c r="F6" s="3"/>
      <c r="G6" s="3"/>
      <c r="H6" s="3"/>
    </row>
    <row r="7" spans="1:8" x14ac:dyDescent="0.2">
      <c r="D7" s="7"/>
      <c r="E7" s="3"/>
      <c r="F7" s="3"/>
      <c r="G7" s="3"/>
      <c r="H7" s="3"/>
    </row>
    <row r="8" spans="1:8" ht="12.75" customHeight="1" x14ac:dyDescent="0.2">
      <c r="A8" s="113" t="s">
        <v>1</v>
      </c>
      <c r="B8" s="114" t="s">
        <v>4</v>
      </c>
      <c r="C8" s="114" t="s">
        <v>5</v>
      </c>
      <c r="D8" s="115" t="s">
        <v>81</v>
      </c>
      <c r="E8" s="115"/>
      <c r="F8" s="115"/>
      <c r="G8" s="115"/>
      <c r="H8" s="113" t="s">
        <v>72</v>
      </c>
    </row>
    <row r="9" spans="1:8" x14ac:dyDescent="0.2">
      <c r="A9" s="113"/>
      <c r="B9" s="114"/>
      <c r="C9" s="114"/>
      <c r="D9" s="113" t="s">
        <v>21</v>
      </c>
      <c r="E9" s="113" t="s">
        <v>22</v>
      </c>
      <c r="F9" s="113" t="s">
        <v>2</v>
      </c>
      <c r="G9" s="113" t="s">
        <v>3</v>
      </c>
      <c r="H9" s="113"/>
    </row>
    <row r="10" spans="1:8" x14ac:dyDescent="0.2">
      <c r="A10" s="113"/>
      <c r="B10" s="114"/>
      <c r="C10" s="114"/>
      <c r="D10" s="113"/>
      <c r="E10" s="113"/>
      <c r="F10" s="113"/>
      <c r="G10" s="113"/>
      <c r="H10" s="113"/>
    </row>
    <row r="11" spans="1:8" x14ac:dyDescent="0.2">
      <c r="A11" s="113"/>
      <c r="B11" s="114"/>
      <c r="C11" s="114"/>
      <c r="D11" s="113"/>
      <c r="E11" s="113"/>
      <c r="F11" s="113"/>
      <c r="G11" s="113"/>
      <c r="H11" s="113"/>
    </row>
    <row r="12" spans="1:8" x14ac:dyDescent="0.2">
      <c r="A12" s="12">
        <v>1</v>
      </c>
      <c r="B12" s="13">
        <v>2</v>
      </c>
      <c r="C12" s="13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</row>
    <row r="13" spans="1:8" x14ac:dyDescent="0.2">
      <c r="A13" s="109" t="s">
        <v>6</v>
      </c>
      <c r="B13" s="110"/>
      <c r="C13" s="110"/>
      <c r="D13" s="110"/>
      <c r="E13" s="110"/>
      <c r="F13" s="110"/>
      <c r="G13" s="110"/>
      <c r="H13" s="110"/>
    </row>
    <row r="14" spans="1:8" ht="27.75" customHeight="1" x14ac:dyDescent="0.2">
      <c r="A14" s="14">
        <v>1</v>
      </c>
      <c r="B14" s="15" t="s">
        <v>57</v>
      </c>
      <c r="C14" s="85" t="str">
        <f>'расчет 1'!B11</f>
        <v>ВЛ-6 кВ Ф-17 ПС Северная (свободностоящая)  СИП 70 ж/б без учета стоек опор ж/б СВ 95-3 32 шт. и провода СИП - 12 км.</v>
      </c>
      <c r="D14" s="73"/>
      <c r="E14" s="74">
        <f>'расчет 1'!H11</f>
        <v>6185185</v>
      </c>
      <c r="F14" s="74">
        <f>'расчет 1'!I11</f>
        <v>317953</v>
      </c>
      <c r="G14" s="73"/>
      <c r="H14" s="74">
        <f>SUM(D14:G14)</f>
        <v>6503138</v>
      </c>
    </row>
    <row r="15" spans="1:8" ht="39" customHeight="1" x14ac:dyDescent="0.2">
      <c r="A15" s="14">
        <v>2</v>
      </c>
      <c r="B15" s="15" t="s">
        <v>57</v>
      </c>
      <c r="C15" s="85" t="str">
        <f>'расчет 1'!B12</f>
        <v>ВЛ-6 кВ Ф-9 ПС Северная (свободностоящая)  СИП 70 ж/б без учета стоек опор ж/б СВ 95-3 2 шт. и 66 шт. ровода СИП - 4,6 км.</v>
      </c>
      <c r="D15" s="73"/>
      <c r="E15" s="74">
        <f>'расчет 1'!H12</f>
        <v>1833655</v>
      </c>
      <c r="F15" s="74">
        <f>'расчет 1'!I12</f>
        <v>121882</v>
      </c>
      <c r="G15" s="73"/>
      <c r="H15" s="74">
        <f>SUM(D15:G15)</f>
        <v>1955537</v>
      </c>
    </row>
    <row r="16" spans="1:8" ht="28.5" customHeight="1" x14ac:dyDescent="0.2">
      <c r="A16" s="14">
        <v>3</v>
      </c>
      <c r="B16" s="15" t="s">
        <v>57</v>
      </c>
      <c r="C16" s="85" t="str">
        <f>'расчет 1'!B13</f>
        <v>Ф-9 6кВ ПС Волчанец
Установка реклоузера</v>
      </c>
      <c r="D16" s="73"/>
      <c r="E16" s="74">
        <f>'расчет 1'!H13</f>
        <v>1002847</v>
      </c>
      <c r="F16" s="74">
        <f>'расчет 1'!I13</f>
        <v>0</v>
      </c>
      <c r="G16" s="73"/>
      <c r="H16" s="74">
        <f>SUM(D16:G16)</f>
        <v>1002847</v>
      </c>
    </row>
    <row r="17" spans="1:8" ht="30" customHeight="1" x14ac:dyDescent="0.2">
      <c r="A17" s="14">
        <v>4</v>
      </c>
      <c r="B17" s="15" t="s">
        <v>57</v>
      </c>
      <c r="C17" s="85" t="str">
        <f>'расчет 1'!B14</f>
        <v>Ф-8 6кВ ПС Новицкое
Установка реклоузера</v>
      </c>
      <c r="D17" s="73"/>
      <c r="E17" s="74">
        <f>'расчет 1'!H14</f>
        <v>1002847</v>
      </c>
      <c r="F17" s="74">
        <f>'расчет 1'!I14</f>
        <v>0</v>
      </c>
      <c r="G17" s="73"/>
      <c r="H17" s="74">
        <f t="shared" ref="H17" si="0">SUM(D17:G17)</f>
        <v>1002847</v>
      </c>
    </row>
    <row r="18" spans="1:8" x14ac:dyDescent="0.2">
      <c r="A18" s="16"/>
      <c r="B18" s="111" t="s">
        <v>7</v>
      </c>
      <c r="C18" s="112"/>
      <c r="D18" s="73">
        <f>SUM(D14:D14)</f>
        <v>0</v>
      </c>
      <c r="E18" s="73">
        <f>SUM(E14:E17)</f>
        <v>10024534</v>
      </c>
      <c r="F18" s="73">
        <f>SUM(F14:F17)</f>
        <v>439835</v>
      </c>
      <c r="G18" s="73">
        <f>SUM(G14:G14)</f>
        <v>0</v>
      </c>
      <c r="H18" s="74">
        <f>SUM(D18:G18)</f>
        <v>10464369</v>
      </c>
    </row>
    <row r="19" spans="1:8" x14ac:dyDescent="0.2">
      <c r="A19" s="109" t="s">
        <v>8</v>
      </c>
      <c r="B19" s="110"/>
      <c r="C19" s="110"/>
      <c r="D19" s="110"/>
      <c r="E19" s="110"/>
      <c r="F19" s="110"/>
      <c r="G19" s="110"/>
      <c r="H19" s="110"/>
    </row>
    <row r="20" spans="1:8" x14ac:dyDescent="0.2">
      <c r="A20" s="16"/>
      <c r="B20" s="111" t="s">
        <v>9</v>
      </c>
      <c r="C20" s="112"/>
      <c r="D20" s="68"/>
      <c r="E20" s="68"/>
      <c r="F20" s="68"/>
      <c r="G20" s="68"/>
      <c r="H20" s="68">
        <f>SUM(D20:G20)</f>
        <v>0</v>
      </c>
    </row>
    <row r="21" spans="1:8" x14ac:dyDescent="0.2">
      <c r="A21" s="109" t="s">
        <v>10</v>
      </c>
      <c r="B21" s="110"/>
      <c r="C21" s="110"/>
      <c r="D21" s="110"/>
      <c r="E21" s="110"/>
      <c r="F21" s="110"/>
      <c r="G21" s="110"/>
      <c r="H21" s="110"/>
    </row>
    <row r="22" spans="1:8" x14ac:dyDescent="0.2">
      <c r="A22" s="16"/>
      <c r="B22" s="111" t="s">
        <v>11</v>
      </c>
      <c r="C22" s="112"/>
      <c r="D22" s="73">
        <f>D20+D18</f>
        <v>0</v>
      </c>
      <c r="E22" s="73">
        <f t="shared" ref="E22:G22" si="1">E20+E18</f>
        <v>10024534</v>
      </c>
      <c r="F22" s="73">
        <f t="shared" si="1"/>
        <v>439835</v>
      </c>
      <c r="G22" s="73">
        <f t="shared" si="1"/>
        <v>0</v>
      </c>
      <c r="H22" s="74">
        <f>SUM(D22:G22)</f>
        <v>10464369</v>
      </c>
    </row>
    <row r="23" spans="1:8" x14ac:dyDescent="0.2">
      <c r="A23" s="109" t="s">
        <v>12</v>
      </c>
      <c r="B23" s="110"/>
      <c r="C23" s="110"/>
      <c r="D23" s="110"/>
      <c r="E23" s="110"/>
      <c r="F23" s="110"/>
      <c r="G23" s="110"/>
      <c r="H23" s="110"/>
    </row>
    <row r="24" spans="1:8" x14ac:dyDescent="0.2">
      <c r="A24" s="16"/>
      <c r="B24" s="111" t="s">
        <v>13</v>
      </c>
      <c r="C24" s="112"/>
      <c r="D24" s="73">
        <f>D22</f>
        <v>0</v>
      </c>
      <c r="E24" s="73">
        <f t="shared" ref="E24:G24" si="2">E22</f>
        <v>10024534</v>
      </c>
      <c r="F24" s="73">
        <f t="shared" si="2"/>
        <v>439835</v>
      </c>
      <c r="G24" s="73">
        <f t="shared" si="2"/>
        <v>0</v>
      </c>
      <c r="H24" s="74">
        <f>SUM(D24:G24)</f>
        <v>10464369</v>
      </c>
    </row>
    <row r="25" spans="1:8" x14ac:dyDescent="0.2">
      <c r="A25" s="109" t="s">
        <v>14</v>
      </c>
      <c r="B25" s="110"/>
      <c r="C25" s="110"/>
      <c r="D25" s="110"/>
      <c r="E25" s="110"/>
      <c r="F25" s="110"/>
      <c r="G25" s="110"/>
      <c r="H25" s="110"/>
    </row>
    <row r="26" spans="1:8" ht="78.75" customHeight="1" x14ac:dyDescent="0.2">
      <c r="A26" s="14">
        <v>13</v>
      </c>
      <c r="B26" s="15" t="s">
        <v>57</v>
      </c>
      <c r="C26" s="15" t="s">
        <v>99</v>
      </c>
      <c r="D26" s="73"/>
      <c r="E26" s="74">
        <f>'расчет 1'!K11-'расчет 1'!M11-'расчет 1'!N11</f>
        <v>1901456</v>
      </c>
      <c r="F26" s="73"/>
      <c r="G26" s="73"/>
      <c r="H26" s="74">
        <f>SUM(D26:G26)</f>
        <v>1901456</v>
      </c>
    </row>
    <row r="27" spans="1:8" ht="78.75" customHeight="1" x14ac:dyDescent="0.2">
      <c r="A27" s="14">
        <v>14</v>
      </c>
      <c r="B27" s="15" t="s">
        <v>57</v>
      </c>
      <c r="C27" s="15" t="s">
        <v>100</v>
      </c>
      <c r="D27" s="73"/>
      <c r="E27" s="74">
        <f>'расчет 1'!K12-'расчет 1'!M12-'расчет 1'!N12</f>
        <v>765430</v>
      </c>
      <c r="F27" s="73"/>
      <c r="G27" s="73"/>
      <c r="H27" s="74">
        <f>SUM(D27:G27)</f>
        <v>765430</v>
      </c>
    </row>
    <row r="28" spans="1:8" ht="78.75" customHeight="1" x14ac:dyDescent="0.2">
      <c r="A28" s="14">
        <v>15</v>
      </c>
      <c r="B28" s="15" t="s">
        <v>57</v>
      </c>
      <c r="C28" s="15" t="s">
        <v>101</v>
      </c>
      <c r="D28" s="73"/>
      <c r="E28" s="74">
        <f>'расчет 1'!K13-'расчет 1'!M13-'расчет 1'!N13</f>
        <v>385882</v>
      </c>
      <c r="F28" s="73"/>
      <c r="G28" s="73"/>
      <c r="H28" s="74">
        <f>SUM(D28:G28)</f>
        <v>385882</v>
      </c>
    </row>
    <row r="29" spans="1:8" ht="78.75" customHeight="1" x14ac:dyDescent="0.2">
      <c r="A29" s="14">
        <v>16</v>
      </c>
      <c r="B29" s="15" t="s">
        <v>57</v>
      </c>
      <c r="C29" s="15" t="s">
        <v>102</v>
      </c>
      <c r="D29" s="73"/>
      <c r="E29" s="74">
        <f>'расчет 1'!K14-'расчет 1'!M14-'расчет 1'!N14</f>
        <v>385882</v>
      </c>
      <c r="F29" s="73"/>
      <c r="G29" s="73"/>
      <c r="H29" s="74">
        <f t="shared" ref="H29:H32" si="3">SUM(D29:G29)</f>
        <v>385882</v>
      </c>
    </row>
    <row r="30" spans="1:8" x14ac:dyDescent="0.2">
      <c r="A30" s="14">
        <v>26</v>
      </c>
      <c r="B30" s="15" t="s">
        <v>57</v>
      </c>
      <c r="C30" s="15" t="s">
        <v>103</v>
      </c>
      <c r="D30" s="73"/>
      <c r="E30" s="74">
        <f>'расчет 1'!J13</f>
        <v>151828</v>
      </c>
      <c r="F30" s="73"/>
      <c r="G30" s="73"/>
      <c r="H30" s="74">
        <f t="shared" si="3"/>
        <v>151828</v>
      </c>
    </row>
    <row r="31" spans="1:8" x14ac:dyDescent="0.2">
      <c r="A31" s="14">
        <v>27</v>
      </c>
      <c r="B31" s="15" t="s">
        <v>57</v>
      </c>
      <c r="C31" s="15" t="s">
        <v>104</v>
      </c>
      <c r="D31" s="73"/>
      <c r="E31" s="74">
        <f>'расчет 1'!J14</f>
        <v>151828</v>
      </c>
      <c r="F31" s="73"/>
      <c r="G31" s="73"/>
      <c r="H31" s="74">
        <f t="shared" si="3"/>
        <v>151828</v>
      </c>
    </row>
    <row r="32" spans="1:8" x14ac:dyDescent="0.2">
      <c r="A32" s="16"/>
      <c r="B32" s="111" t="s">
        <v>15</v>
      </c>
      <c r="C32" s="112"/>
      <c r="D32" s="73">
        <f>SUM(D26:D26)</f>
        <v>0</v>
      </c>
      <c r="E32" s="73">
        <f>SUM(E26:E31)</f>
        <v>3742306</v>
      </c>
      <c r="F32" s="73">
        <f>SUM(F26:F26)</f>
        <v>0</v>
      </c>
      <c r="G32" s="73">
        <f>SUM(G26:G26)</f>
        <v>0</v>
      </c>
      <c r="H32" s="74">
        <f t="shared" si="3"/>
        <v>3742306</v>
      </c>
    </row>
    <row r="33" spans="1:16" x14ac:dyDescent="0.2">
      <c r="A33" s="16"/>
      <c r="B33" s="111" t="s">
        <v>16</v>
      </c>
      <c r="C33" s="112"/>
      <c r="D33" s="73">
        <f>D24+D32</f>
        <v>0</v>
      </c>
      <c r="E33" s="73">
        <f>E24+E32</f>
        <v>13766840</v>
      </c>
      <c r="F33" s="73">
        <f>F24+F32</f>
        <v>439835</v>
      </c>
      <c r="G33" s="73">
        <f>G24+G32</f>
        <v>0</v>
      </c>
      <c r="H33" s="74">
        <f>SUM(D33:G33)</f>
        <v>14206675</v>
      </c>
    </row>
    <row r="34" spans="1:16" x14ac:dyDescent="0.2">
      <c r="A34" s="109" t="s">
        <v>17</v>
      </c>
      <c r="B34" s="110"/>
      <c r="C34" s="110"/>
      <c r="D34" s="110"/>
      <c r="E34" s="110"/>
      <c r="F34" s="110"/>
      <c r="G34" s="110"/>
      <c r="H34" s="110"/>
    </row>
    <row r="35" spans="1:16" x14ac:dyDescent="0.2">
      <c r="A35" s="16"/>
      <c r="B35" s="111" t="s">
        <v>18</v>
      </c>
      <c r="C35" s="112"/>
      <c r="D35" s="73"/>
      <c r="E35" s="73"/>
      <c r="F35" s="73"/>
      <c r="G35" s="73"/>
      <c r="H35" s="74">
        <f t="shared" ref="H35" si="4">SUM(D35:G35)</f>
        <v>0</v>
      </c>
    </row>
    <row r="36" spans="1:16" x14ac:dyDescent="0.2">
      <c r="A36" s="109" t="s">
        <v>19</v>
      </c>
      <c r="B36" s="110"/>
      <c r="C36" s="110"/>
      <c r="D36" s="110"/>
      <c r="E36" s="110"/>
      <c r="F36" s="110"/>
      <c r="G36" s="110"/>
      <c r="H36" s="110"/>
    </row>
    <row r="37" spans="1:16" ht="25.5" x14ac:dyDescent="0.2">
      <c r="A37" s="14">
        <v>29</v>
      </c>
      <c r="B37" s="15" t="s">
        <v>57</v>
      </c>
      <c r="C37" s="15" t="s">
        <v>105</v>
      </c>
      <c r="D37" s="74">
        <f>'расчет 1'!M11</f>
        <v>378748</v>
      </c>
      <c r="E37" s="73"/>
      <c r="F37" s="73"/>
      <c r="G37" s="73"/>
      <c r="H37" s="74">
        <f>SUM(D37:G37)</f>
        <v>378748</v>
      </c>
    </row>
    <row r="38" spans="1:16" ht="25.5" x14ac:dyDescent="0.2">
      <c r="A38" s="14">
        <v>30</v>
      </c>
      <c r="B38" s="15" t="s">
        <v>57</v>
      </c>
      <c r="C38" s="15" t="s">
        <v>106</v>
      </c>
      <c r="D38" s="74">
        <f>'расчет 1'!M12</f>
        <v>122619</v>
      </c>
      <c r="E38" s="73"/>
      <c r="F38" s="73"/>
      <c r="G38" s="73"/>
      <c r="H38" s="74">
        <f>SUM(D38:G38)</f>
        <v>122619</v>
      </c>
    </row>
    <row r="39" spans="1:16" ht="25.5" x14ac:dyDescent="0.2">
      <c r="A39" s="14">
        <v>31</v>
      </c>
      <c r="B39" s="15" t="s">
        <v>57</v>
      </c>
      <c r="C39" s="15" t="s">
        <v>107</v>
      </c>
      <c r="D39" s="74">
        <f>'расчет 1'!M13</f>
        <v>69424</v>
      </c>
      <c r="E39" s="73"/>
      <c r="F39" s="73"/>
      <c r="G39" s="73"/>
      <c r="H39" s="74">
        <f>SUM(D39:G39)</f>
        <v>69424</v>
      </c>
    </row>
    <row r="40" spans="1:16" ht="25.5" x14ac:dyDescent="0.2">
      <c r="A40" s="14">
        <v>32</v>
      </c>
      <c r="B40" s="15" t="s">
        <v>57</v>
      </c>
      <c r="C40" s="15" t="s">
        <v>108</v>
      </c>
      <c r="D40" s="74">
        <f>'расчет 1'!M14</f>
        <v>69424</v>
      </c>
      <c r="E40" s="73"/>
      <c r="F40" s="73"/>
      <c r="G40" s="73"/>
      <c r="H40" s="74">
        <f t="shared" ref="H40" si="5">SUM(D40:G40)</f>
        <v>69424</v>
      </c>
    </row>
    <row r="41" spans="1:16" ht="27.95" customHeight="1" x14ac:dyDescent="0.2">
      <c r="A41" s="16"/>
      <c r="B41" s="111" t="s">
        <v>20</v>
      </c>
      <c r="C41" s="112"/>
      <c r="D41" s="74">
        <f>SUM(D37:D40)</f>
        <v>640215</v>
      </c>
      <c r="E41" s="74">
        <f>SUM(E37:E37)</f>
        <v>0</v>
      </c>
      <c r="F41" s="74">
        <f>SUM(F37:F37)</f>
        <v>0</v>
      </c>
      <c r="G41" s="74">
        <f>SUM(G37:G37)</f>
        <v>0</v>
      </c>
      <c r="H41" s="74">
        <f t="shared" ref="H41" si="6">SUM(D41:G41)</f>
        <v>640215</v>
      </c>
    </row>
    <row r="42" spans="1:16" s="17" customFormat="1" ht="21.75" customHeight="1" x14ac:dyDescent="0.2">
      <c r="A42" s="64"/>
      <c r="B42" s="118" t="s">
        <v>70</v>
      </c>
      <c r="C42" s="119"/>
      <c r="D42" s="75">
        <f>D41+D33</f>
        <v>640215</v>
      </c>
      <c r="E42" s="75">
        <f>E41+E33</f>
        <v>13766840</v>
      </c>
      <c r="F42" s="75">
        <f>F41+F33</f>
        <v>439835</v>
      </c>
      <c r="G42" s="75">
        <f>G41+G33</f>
        <v>0</v>
      </c>
      <c r="H42" s="75">
        <f>SUM(D42:G42)</f>
        <v>14846890</v>
      </c>
      <c r="I42" s="50"/>
    </row>
    <row r="43" spans="1:16" ht="12.75" customHeight="1" x14ac:dyDescent="0.2">
      <c r="A43" s="120" t="s">
        <v>77</v>
      </c>
      <c r="B43" s="121"/>
      <c r="C43" s="121"/>
      <c r="D43" s="121"/>
      <c r="E43" s="121"/>
      <c r="F43" s="121"/>
      <c r="G43" s="121"/>
      <c r="H43" s="122"/>
    </row>
    <row r="44" spans="1:16" s="38" customFormat="1" x14ac:dyDescent="0.2">
      <c r="A44" s="37" t="s">
        <v>56</v>
      </c>
      <c r="B44" s="18">
        <v>2021</v>
      </c>
      <c r="C44" s="65">
        <v>1.0509999999999999</v>
      </c>
      <c r="D44" s="48">
        <f>ROUND(D42*$C$44,0)</f>
        <v>672866</v>
      </c>
      <c r="E44" s="48">
        <f>ROUND(E42*$C$44,0)</f>
        <v>14468949</v>
      </c>
      <c r="F44" s="48">
        <f>ROUND(F42*$C$44,0)</f>
        <v>462267</v>
      </c>
      <c r="G44" s="48">
        <f>ROUND(G42*$C$44,0)</f>
        <v>0</v>
      </c>
      <c r="H44" s="49">
        <f t="shared" ref="H44:H47" si="7">D44+E44+F44+G44</f>
        <v>15604082</v>
      </c>
      <c r="I44" s="88"/>
    </row>
    <row r="45" spans="1:16" s="38" customFormat="1" x14ac:dyDescent="0.2">
      <c r="A45" s="37" t="s">
        <v>23</v>
      </c>
      <c r="B45" s="18">
        <v>2022</v>
      </c>
      <c r="C45" s="65">
        <v>1.048</v>
      </c>
      <c r="D45" s="48">
        <v>0</v>
      </c>
      <c r="E45" s="48">
        <v>0</v>
      </c>
      <c r="F45" s="48">
        <v>0</v>
      </c>
      <c r="G45" s="48">
        <v>0</v>
      </c>
      <c r="H45" s="49">
        <f>D45+E45+F45+G45</f>
        <v>0</v>
      </c>
      <c r="I45" s="4"/>
      <c r="O45" s="39"/>
      <c r="P45" s="39"/>
    </row>
    <row r="46" spans="1:16" s="38" customFormat="1" x14ac:dyDescent="0.2">
      <c r="A46" s="37" t="s">
        <v>54</v>
      </c>
      <c r="B46" s="18">
        <v>2023</v>
      </c>
      <c r="C46" s="65">
        <v>1.0469999999999999</v>
      </c>
      <c r="D46" s="48">
        <v>0</v>
      </c>
      <c r="E46" s="48">
        <v>0</v>
      </c>
      <c r="F46" s="48">
        <v>0</v>
      </c>
      <c r="G46" s="48">
        <v>0</v>
      </c>
      <c r="H46" s="49">
        <f t="shared" si="7"/>
        <v>0</v>
      </c>
      <c r="I46" s="4"/>
      <c r="O46" s="41"/>
      <c r="P46" s="39"/>
    </row>
    <row r="47" spans="1:16" s="38" customFormat="1" x14ac:dyDescent="0.2">
      <c r="A47" s="37" t="s">
        <v>55</v>
      </c>
      <c r="B47" s="18">
        <v>2024</v>
      </c>
      <c r="C47" s="65">
        <v>1.038</v>
      </c>
      <c r="D47" s="48">
        <v>0</v>
      </c>
      <c r="E47" s="48">
        <v>0</v>
      </c>
      <c r="F47" s="48">
        <v>0</v>
      </c>
      <c r="G47" s="48">
        <v>0</v>
      </c>
      <c r="H47" s="49">
        <f t="shared" si="7"/>
        <v>0</v>
      </c>
      <c r="I47" s="4"/>
      <c r="O47" s="41"/>
      <c r="P47" s="39"/>
    </row>
    <row r="48" spans="1:16" s="38" customFormat="1" x14ac:dyDescent="0.2">
      <c r="A48" s="37" t="s">
        <v>55</v>
      </c>
      <c r="B48" s="18">
        <v>2025</v>
      </c>
      <c r="C48" s="65">
        <v>1.0429999999999999</v>
      </c>
      <c r="D48" s="48">
        <v>0</v>
      </c>
      <c r="E48" s="48">
        <v>0</v>
      </c>
      <c r="F48" s="48">
        <v>0</v>
      </c>
      <c r="G48" s="48">
        <v>0</v>
      </c>
      <c r="H48" s="49">
        <f t="shared" ref="H48" si="8">D48+E48+F48+G48</f>
        <v>0</v>
      </c>
      <c r="I48" s="4"/>
      <c r="O48" s="41"/>
      <c r="P48" s="39"/>
    </row>
    <row r="49" spans="1:17" ht="16.5" customHeight="1" x14ac:dyDescent="0.2">
      <c r="A49" s="123" t="s">
        <v>78</v>
      </c>
      <c r="B49" s="124"/>
      <c r="C49" s="125"/>
      <c r="D49" s="55">
        <f>D48+D44+D45+D46+D47</f>
        <v>672866</v>
      </c>
      <c r="E49" s="55">
        <f t="shared" ref="E49:G49" si="9">E48+E44+E45+E46+E47</f>
        <v>14468949</v>
      </c>
      <c r="F49" s="55">
        <f t="shared" si="9"/>
        <v>462267</v>
      </c>
      <c r="G49" s="55">
        <f t="shared" si="9"/>
        <v>0</v>
      </c>
      <c r="H49" s="55">
        <f>D49+E49+F49+G49</f>
        <v>15604082</v>
      </c>
      <c r="I49" s="84"/>
    </row>
    <row r="50" spans="1:17" s="36" customFormat="1" ht="18" customHeight="1" x14ac:dyDescent="0.2">
      <c r="A50" s="123" t="s">
        <v>76</v>
      </c>
      <c r="B50" s="124"/>
      <c r="C50" s="125"/>
      <c r="D50" s="76">
        <f>ROUND(D49*0.2,2)</f>
        <v>134573.20000000001</v>
      </c>
      <c r="E50" s="76">
        <f t="shared" ref="E50:G50" si="10">ROUND(E49*0.2,2)</f>
        <v>2893789.8</v>
      </c>
      <c r="F50" s="76">
        <f t="shared" si="10"/>
        <v>92453.4</v>
      </c>
      <c r="G50" s="76">
        <f t="shared" si="10"/>
        <v>0</v>
      </c>
      <c r="H50" s="76">
        <f>SUM(D50:G50)</f>
        <v>3120816.4</v>
      </c>
    </row>
    <row r="51" spans="1:17" ht="16.5" customHeight="1" x14ac:dyDescent="0.2">
      <c r="A51" s="123" t="s">
        <v>79</v>
      </c>
      <c r="B51" s="124"/>
      <c r="C51" s="125"/>
      <c r="D51" s="55">
        <f>D49+D50</f>
        <v>807439.2</v>
      </c>
      <c r="E51" s="55">
        <f t="shared" ref="E51:G51" si="11">E49+E50</f>
        <v>17362738.800000001</v>
      </c>
      <c r="F51" s="55">
        <f t="shared" si="11"/>
        <v>554720.4</v>
      </c>
      <c r="G51" s="55">
        <f t="shared" si="11"/>
        <v>0</v>
      </c>
      <c r="H51" s="55">
        <f>D51+E51+F51+G51</f>
        <v>18724898.399999999</v>
      </c>
    </row>
    <row r="53" spans="1:17" s="98" customFormat="1" ht="15" x14ac:dyDescent="0.25">
      <c r="A53" s="96"/>
      <c r="B53" s="97"/>
      <c r="D53" s="99"/>
      <c r="E53" s="100"/>
      <c r="F53" s="101"/>
      <c r="G53" s="116"/>
      <c r="H53" s="116"/>
      <c r="L53" s="102"/>
      <c r="M53" s="102"/>
      <c r="N53" s="96"/>
      <c r="O53" s="96"/>
      <c r="P53" s="96"/>
      <c r="Q53" s="96"/>
    </row>
    <row r="54" spans="1:17" s="98" customFormat="1" ht="15" customHeight="1" x14ac:dyDescent="0.25">
      <c r="A54" s="103"/>
      <c r="B54" s="104"/>
      <c r="D54" s="104"/>
      <c r="E54" s="104"/>
      <c r="F54" s="101"/>
      <c r="G54" s="101"/>
      <c r="H54" s="104"/>
      <c r="L54" s="104"/>
      <c r="M54" s="104"/>
      <c r="N54" s="104"/>
      <c r="O54" s="104"/>
      <c r="P54" s="104"/>
      <c r="Q54" s="104"/>
    </row>
    <row r="55" spans="1:17" s="98" customFormat="1" ht="18.75" customHeight="1" x14ac:dyDescent="0.25">
      <c r="A55" s="96"/>
      <c r="B55" s="97"/>
      <c r="D55" s="105"/>
      <c r="E55" s="100"/>
      <c r="F55" s="101"/>
      <c r="G55" s="117"/>
      <c r="H55" s="117"/>
      <c r="L55" s="106"/>
      <c r="M55" s="106"/>
      <c r="N55" s="96"/>
      <c r="O55" s="96"/>
      <c r="P55" s="96"/>
      <c r="Q55" s="96"/>
    </row>
    <row r="56" spans="1:17" s="98" customFormat="1" ht="15" customHeight="1" x14ac:dyDescent="0.25">
      <c r="A56" s="103"/>
      <c r="B56" s="104"/>
      <c r="D56" s="104"/>
      <c r="E56" s="104"/>
      <c r="F56" s="101"/>
      <c r="G56" s="101"/>
      <c r="H56" s="104"/>
      <c r="L56" s="104"/>
      <c r="M56" s="104"/>
      <c r="N56" s="104"/>
      <c r="O56" s="104"/>
      <c r="P56" s="104"/>
      <c r="Q56" s="104"/>
    </row>
    <row r="57" spans="1:17" s="98" customFormat="1" ht="15.75" customHeight="1" x14ac:dyDescent="0.25">
      <c r="A57" s="96"/>
      <c r="B57" s="97"/>
      <c r="D57" s="105"/>
      <c r="E57" s="100"/>
      <c r="F57" s="101"/>
      <c r="G57" s="117"/>
      <c r="H57" s="117"/>
      <c r="L57" s="106"/>
      <c r="M57" s="106"/>
      <c r="N57" s="96"/>
      <c r="O57" s="96"/>
      <c r="P57" s="96"/>
      <c r="Q57" s="96"/>
    </row>
    <row r="58" spans="1:17" s="98" customFormat="1" ht="15" x14ac:dyDescent="0.25">
      <c r="A58" s="96"/>
      <c r="B58" s="100"/>
      <c r="D58" s="100"/>
      <c r="E58" s="100"/>
      <c r="F58" s="101"/>
      <c r="G58" s="101"/>
      <c r="H58" s="100"/>
      <c r="L58" s="101"/>
      <c r="M58" s="96"/>
      <c r="N58" s="96"/>
      <c r="O58" s="96"/>
      <c r="P58" s="96"/>
      <c r="Q58" s="96"/>
    </row>
    <row r="59" spans="1:17" s="98" customFormat="1" ht="15" customHeight="1" x14ac:dyDescent="0.25">
      <c r="A59" s="96"/>
      <c r="B59" s="97"/>
      <c r="D59" s="107"/>
      <c r="E59" s="100"/>
      <c r="F59" s="101"/>
      <c r="G59" s="117"/>
      <c r="H59" s="117"/>
      <c r="L59" s="106"/>
      <c r="M59" s="106"/>
      <c r="N59" s="96"/>
      <c r="O59" s="96"/>
      <c r="P59" s="96"/>
      <c r="Q59" s="96"/>
    </row>
  </sheetData>
  <mergeCells count="33">
    <mergeCell ref="G53:H53"/>
    <mergeCell ref="G55:H55"/>
    <mergeCell ref="G57:H57"/>
    <mergeCell ref="G59:H59"/>
    <mergeCell ref="B42:C42"/>
    <mergeCell ref="A43:H43"/>
    <mergeCell ref="A49:C49"/>
    <mergeCell ref="A51:C51"/>
    <mergeCell ref="A50:C50"/>
    <mergeCell ref="B22:C22"/>
    <mergeCell ref="A8:A11"/>
    <mergeCell ref="B8:B11"/>
    <mergeCell ref="C8:C11"/>
    <mergeCell ref="A21:H21"/>
    <mergeCell ref="D8:G8"/>
    <mergeCell ref="A13:H13"/>
    <mergeCell ref="B18:C18"/>
    <mergeCell ref="A19:H19"/>
    <mergeCell ref="B20:C20"/>
    <mergeCell ref="H8:H11"/>
    <mergeCell ref="D9:D11"/>
    <mergeCell ref="E9:E11"/>
    <mergeCell ref="F9:F11"/>
    <mergeCell ref="G9:G11"/>
    <mergeCell ref="A34:H34"/>
    <mergeCell ref="B35:C35"/>
    <mergeCell ref="A36:H36"/>
    <mergeCell ref="B41:C41"/>
    <mergeCell ref="A23:H23"/>
    <mergeCell ref="B24:C24"/>
    <mergeCell ref="A25:H25"/>
    <mergeCell ref="B32:C32"/>
    <mergeCell ref="B33:C33"/>
  </mergeCells>
  <pageMargins left="0.78740157480314965" right="0.39370078740157483" top="0.43307086614173229" bottom="0.47244094488188981" header="0.23622047244094491" footer="0.23622047244094491"/>
  <pageSetup paperSize="9" scale="9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view="pageBreakPreview" topLeftCell="D1" zoomScale="85" zoomScaleNormal="85" zoomScaleSheetLayoutView="85" workbookViewId="0">
      <selection activeCell="J17" sqref="J17:L17"/>
    </sheetView>
  </sheetViews>
  <sheetFormatPr defaultRowHeight="12.75" x14ac:dyDescent="0.2"/>
  <cols>
    <col min="1" max="1" width="3.85546875" style="19" customWidth="1"/>
    <col min="2" max="2" width="34.42578125" style="19" customWidth="1"/>
    <col min="3" max="3" width="10.28515625" style="19" customWidth="1"/>
    <col min="4" max="4" width="11" style="19" customWidth="1"/>
    <col min="5" max="5" width="7.85546875" style="19" customWidth="1"/>
    <col min="6" max="6" width="16.85546875" style="19" customWidth="1"/>
    <col min="7" max="7" width="13.42578125" style="19" customWidth="1"/>
    <col min="8" max="12" width="15.7109375" style="19" customWidth="1"/>
    <col min="13" max="14" width="12.85546875" style="19" customWidth="1"/>
    <col min="15" max="15" width="11.42578125" style="19" customWidth="1"/>
    <col min="16" max="16384" width="9.140625" style="19"/>
  </cols>
  <sheetData>
    <row r="1" spans="1:15" ht="18.75" x14ac:dyDescent="0.3">
      <c r="A1" s="126" t="s">
        <v>53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</row>
    <row r="2" spans="1:15" ht="9" customHeight="1" x14ac:dyDescent="0.2">
      <c r="G2" s="33"/>
    </row>
    <row r="3" spans="1:15" s="77" customFormat="1" ht="15" customHeight="1" x14ac:dyDescent="0.25">
      <c r="A3" s="134" t="s">
        <v>52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5" s="79" customFormat="1" ht="15" x14ac:dyDescent="0.25">
      <c r="A4" s="135" t="s">
        <v>74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78"/>
    </row>
    <row r="5" spans="1:15" s="81" customFormat="1" ht="15" customHeight="1" x14ac:dyDescent="0.25">
      <c r="A5" s="80"/>
      <c r="B5" s="133" t="s">
        <v>73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80"/>
      <c r="N5" s="80"/>
      <c r="O5" s="80"/>
    </row>
    <row r="6" spans="1:15" ht="7.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5" s="31" customFormat="1" ht="15.75" x14ac:dyDescent="0.25">
      <c r="A7" s="32"/>
      <c r="B7" s="131" t="str">
        <f>Т!D3</f>
        <v>Реконструкция распределительных сетей 6 кВ ПС Северная, ПС Волчанец, ПС Новицкое</v>
      </c>
      <c r="C7" s="132"/>
      <c r="D7" s="132"/>
      <c r="E7" s="132"/>
      <c r="F7" s="132"/>
      <c r="G7" s="132"/>
      <c r="I7" s="42"/>
      <c r="J7" s="40"/>
      <c r="K7" s="40"/>
    </row>
    <row r="8" spans="1:15" ht="7.5" customHeight="1" x14ac:dyDescent="0.2"/>
    <row r="9" spans="1:15" x14ac:dyDescent="0.2">
      <c r="A9" s="127" t="s">
        <v>51</v>
      </c>
      <c r="B9" s="127" t="s">
        <v>50</v>
      </c>
      <c r="C9" s="127" t="s">
        <v>49</v>
      </c>
      <c r="D9" s="127" t="s">
        <v>48</v>
      </c>
      <c r="E9" s="127" t="s">
        <v>47</v>
      </c>
      <c r="F9" s="137" t="s">
        <v>46</v>
      </c>
      <c r="G9" s="127" t="s">
        <v>45</v>
      </c>
      <c r="H9" s="127" t="s">
        <v>75</v>
      </c>
      <c r="I9" s="127"/>
      <c r="J9" s="127"/>
      <c r="K9" s="127"/>
      <c r="L9" s="129" t="s">
        <v>44</v>
      </c>
      <c r="M9" s="136" t="s">
        <v>43</v>
      </c>
      <c r="N9" s="136"/>
      <c r="O9" s="82"/>
    </row>
    <row r="10" spans="1:15" ht="72" customHeight="1" x14ac:dyDescent="0.2">
      <c r="A10" s="127"/>
      <c r="B10" s="127"/>
      <c r="C10" s="127"/>
      <c r="D10" s="128"/>
      <c r="E10" s="127"/>
      <c r="F10" s="137"/>
      <c r="G10" s="128"/>
      <c r="H10" s="30" t="s">
        <v>80</v>
      </c>
      <c r="I10" s="30" t="s">
        <v>42</v>
      </c>
      <c r="J10" s="30" t="s">
        <v>41</v>
      </c>
      <c r="K10" s="30" t="s">
        <v>40</v>
      </c>
      <c r="L10" s="130"/>
      <c r="M10" s="29" t="s">
        <v>21</v>
      </c>
      <c r="N10" s="29" t="s">
        <v>39</v>
      </c>
    </row>
    <row r="11" spans="1:15" ht="58.5" customHeight="1" x14ac:dyDescent="0.2">
      <c r="A11" s="89">
        <v>1</v>
      </c>
      <c r="B11" s="108" t="s">
        <v>95</v>
      </c>
      <c r="C11" s="56" t="s">
        <v>59</v>
      </c>
      <c r="D11" s="95">
        <v>319.2</v>
      </c>
      <c r="E11" s="57">
        <v>12</v>
      </c>
      <c r="F11" s="57">
        <f>ROUND(((1.5+2.5+7.5+5+1.5)/100+1)*1.12,3)</f>
        <v>1.3220000000000001</v>
      </c>
      <c r="G11" s="58">
        <f t="shared" ref="G11" si="0">ROUND((D11*E11*F11),2)</f>
        <v>5063.79</v>
      </c>
      <c r="H11" s="59">
        <f>ROUND(((0.8*G11*1.09*$H$17*1000*6.49)-(32*10000+12*110500)),0)</f>
        <v>6185185</v>
      </c>
      <c r="I11" s="59">
        <f>ROUND((0.04*G11*1.09*$H$17*1000*5.27),0)</f>
        <v>317953</v>
      </c>
      <c r="J11" s="59">
        <f>ROUND((0*G11*1.09*$H$17*1000*27.94),0)</f>
        <v>0</v>
      </c>
      <c r="K11" s="59">
        <f>ROUND((0.16*G11*1.09*$H$17*1000*10.42),0)</f>
        <v>2514667</v>
      </c>
      <c r="L11" s="71">
        <f t="shared" ref="L11" si="1">SUM(H11:K11)</f>
        <v>9017805</v>
      </c>
      <c r="M11" s="67">
        <f t="shared" ref="M11" si="2">ROUND((L11*0.07)*0.6,0)</f>
        <v>378748</v>
      </c>
      <c r="N11" s="67">
        <f t="shared" ref="N11" si="3">ROUND((L11*0.026),0)</f>
        <v>234463</v>
      </c>
      <c r="O11" s="87"/>
    </row>
    <row r="12" spans="1:15" ht="58.5" customHeight="1" x14ac:dyDescent="0.2">
      <c r="A12" s="94">
        <v>1</v>
      </c>
      <c r="B12" s="108" t="s">
        <v>96</v>
      </c>
      <c r="C12" s="56" t="s">
        <v>59</v>
      </c>
      <c r="D12" s="95">
        <v>319.2</v>
      </c>
      <c r="E12" s="57">
        <v>4.5999999999999996</v>
      </c>
      <c r="F12" s="57">
        <f>ROUND(((1.5+2.5+7.5+5+1.5)/100+1)*1.12,3)</f>
        <v>1.3220000000000001</v>
      </c>
      <c r="G12" s="58">
        <f t="shared" ref="G12" si="4">ROUND((D12*E12*F12),2)</f>
        <v>1941.12</v>
      </c>
      <c r="H12" s="59">
        <f>ROUND(((0.8*G12*1.09*$H$17*1000*6.49)-(66*10000+4.6*110500)),0)</f>
        <v>1833655</v>
      </c>
      <c r="I12" s="59">
        <f>ROUND((0.04*G12*1.09*$H$17*1000*5.27),0)</f>
        <v>121882</v>
      </c>
      <c r="J12" s="59">
        <f>ROUND((0*G12*1.09*$H$17*1000*27.94),0)</f>
        <v>0</v>
      </c>
      <c r="K12" s="59">
        <f>ROUND((0.16*G12*1.09*$H$17*1000*10.42),0)</f>
        <v>963956</v>
      </c>
      <c r="L12" s="71">
        <f t="shared" ref="L12" si="5">SUM(H12:K12)</f>
        <v>2919493</v>
      </c>
      <c r="M12" s="67">
        <f t="shared" ref="M12" si="6">ROUND((L12*0.07)*0.6,0)</f>
        <v>122619</v>
      </c>
      <c r="N12" s="67">
        <f t="shared" ref="N12" si="7">ROUND((L12*0.026),0)</f>
        <v>75907</v>
      </c>
      <c r="O12" s="87"/>
    </row>
    <row r="13" spans="1:15" s="93" customFormat="1" ht="25.5" x14ac:dyDescent="0.2">
      <c r="A13" s="90">
        <v>2</v>
      </c>
      <c r="B13" s="108" t="s">
        <v>97</v>
      </c>
      <c r="C13" s="56" t="s">
        <v>82</v>
      </c>
      <c r="D13" s="95">
        <v>276</v>
      </c>
      <c r="E13" s="57">
        <v>2</v>
      </c>
      <c r="F13" s="57">
        <f>ROUND(((1.5+2.5+7.5+5+1.5)/100+1)*1.12,3)</f>
        <v>1.3220000000000001</v>
      </c>
      <c r="G13" s="58">
        <f t="shared" ref="G13" si="8">ROUND((D13*E13*F13),2)</f>
        <v>729.74</v>
      </c>
      <c r="H13" s="59">
        <f>ROUND((0.455*G13*1.09*$H$17*1000*10.14),0)</f>
        <v>1002847</v>
      </c>
      <c r="I13" s="59">
        <f>ROUND((0.3*G13*1.09*$H$17*1000*5.27),0)*0</f>
        <v>0</v>
      </c>
      <c r="J13" s="59">
        <f>ROUND((0.025*G13*1.09*$H$17*1000*27.94),0)</f>
        <v>151828</v>
      </c>
      <c r="K13" s="59">
        <f>ROUND((0.22*G13*1.09*$H$17*1000*10.42),0)</f>
        <v>498283</v>
      </c>
      <c r="L13" s="71">
        <f>SUM(H13:K13)</f>
        <v>1652958</v>
      </c>
      <c r="M13" s="91">
        <f>ROUND((L13*0.07)*0.6,0)</f>
        <v>69424</v>
      </c>
      <c r="N13" s="91">
        <f>ROUND((L13*0.026),0)</f>
        <v>42977</v>
      </c>
      <c r="O13" s="92"/>
    </row>
    <row r="14" spans="1:15" s="93" customFormat="1" ht="25.5" x14ac:dyDescent="0.2">
      <c r="A14" s="90">
        <v>2</v>
      </c>
      <c r="B14" s="108" t="s">
        <v>98</v>
      </c>
      <c r="C14" s="56" t="s">
        <v>82</v>
      </c>
      <c r="D14" s="95">
        <v>276</v>
      </c>
      <c r="E14" s="57">
        <v>2</v>
      </c>
      <c r="F14" s="57">
        <f>ROUND(((1.5+2.5+7.5+5+1.5)/100+1)*1.12,3)</f>
        <v>1.3220000000000001</v>
      </c>
      <c r="G14" s="58">
        <f t="shared" ref="G14" si="9">ROUND((D14*E14*F14),2)</f>
        <v>729.74</v>
      </c>
      <c r="H14" s="59">
        <f>ROUND((0.455*G14*1.09*$H$17*1000*10.14),0)</f>
        <v>1002847</v>
      </c>
      <c r="I14" s="59">
        <f>ROUND((0.3*G14*1.09*$H$17*1000*5.27),0)*0</f>
        <v>0</v>
      </c>
      <c r="J14" s="59">
        <f>ROUND((0.025*G14*1.09*$H$17*1000*27.94),0)</f>
        <v>151828</v>
      </c>
      <c r="K14" s="59">
        <f>ROUND((0.22*G14*1.09*$H$17*1000*10.42),0)</f>
        <v>498283</v>
      </c>
      <c r="L14" s="71">
        <f>SUM(H14:K14)</f>
        <v>1652958</v>
      </c>
      <c r="M14" s="91">
        <f>ROUND((L14*0.07)*0.6,0)</f>
        <v>69424</v>
      </c>
      <c r="N14" s="91">
        <f>ROUND((L14*0.026),0)</f>
        <v>42977</v>
      </c>
      <c r="O14" s="92"/>
    </row>
    <row r="15" spans="1:15" ht="30.75" customHeight="1" x14ac:dyDescent="0.2">
      <c r="A15" s="140" t="s">
        <v>38</v>
      </c>
      <c r="B15" s="140"/>
      <c r="C15" s="140"/>
      <c r="D15" s="140"/>
      <c r="E15" s="140"/>
      <c r="F15" s="140"/>
      <c r="G15" s="140"/>
      <c r="H15" s="66">
        <f>SUM(H11:H14)</f>
        <v>10024534</v>
      </c>
      <c r="I15" s="66">
        <f>SUM(I11:I14)</f>
        <v>439835</v>
      </c>
      <c r="J15" s="66">
        <f>SUM(J11:J14)</f>
        <v>303656</v>
      </c>
      <c r="K15" s="66">
        <f>SUM(K11:K14)</f>
        <v>4475189</v>
      </c>
      <c r="L15" s="72">
        <f>SUM(H15:K15)</f>
        <v>15243214</v>
      </c>
      <c r="M15" s="66">
        <f>SUM(M11:M14)</f>
        <v>640215</v>
      </c>
      <c r="N15" s="66">
        <f>SUM(N11:N14)</f>
        <v>396324</v>
      </c>
    </row>
    <row r="16" spans="1:15" s="45" customFormat="1" ht="7.5" customHeight="1" x14ac:dyDescent="0.2">
      <c r="A16" s="28"/>
      <c r="B16" s="28"/>
      <c r="C16" s="28"/>
      <c r="D16" s="28"/>
      <c r="E16" s="54"/>
      <c r="F16" s="28"/>
      <c r="G16" s="28"/>
      <c r="H16" s="27"/>
      <c r="I16" s="27"/>
      <c r="J16" s="19"/>
      <c r="K16" s="27"/>
      <c r="L16" s="27"/>
      <c r="M16" s="19"/>
      <c r="N16" s="19"/>
    </row>
    <row r="17" spans="1:14" ht="12.75" customHeight="1" x14ac:dyDescent="0.2">
      <c r="A17" s="139" t="s">
        <v>85</v>
      </c>
      <c r="B17" s="139"/>
      <c r="C17" s="139"/>
      <c r="D17" s="139"/>
      <c r="E17" s="139"/>
      <c r="F17" s="139"/>
      <c r="G17" s="139"/>
      <c r="H17" s="43">
        <v>0.27326915000000002</v>
      </c>
      <c r="I17" s="43"/>
      <c r="J17" s="86"/>
      <c r="K17" s="43"/>
      <c r="L17" s="44"/>
      <c r="M17" s="45"/>
      <c r="N17" s="45"/>
    </row>
    <row r="18" spans="1:14" ht="6.75" customHeight="1" x14ac:dyDescent="0.2">
      <c r="A18" s="28"/>
      <c r="B18" s="28"/>
      <c r="C18" s="28"/>
      <c r="D18" s="28"/>
      <c r="E18" s="54"/>
      <c r="F18" s="28"/>
      <c r="G18" s="28"/>
      <c r="H18" s="27"/>
      <c r="I18" s="47"/>
      <c r="J18" s="27"/>
      <c r="K18" s="27"/>
      <c r="L18" s="27"/>
      <c r="M18" s="27"/>
    </row>
    <row r="19" spans="1:14" x14ac:dyDescent="0.2">
      <c r="A19" s="22"/>
      <c r="B19" s="22" t="s">
        <v>37</v>
      </c>
      <c r="C19" s="22"/>
      <c r="D19" s="22"/>
      <c r="E19" s="22"/>
      <c r="F19" s="22"/>
      <c r="G19" s="22"/>
      <c r="H19" s="22"/>
      <c r="I19" s="22"/>
      <c r="J19" s="22"/>
      <c r="K19" s="27"/>
      <c r="L19" s="22"/>
      <c r="M19" s="22"/>
    </row>
    <row r="20" spans="1:14" ht="27.75" customHeight="1" x14ac:dyDescent="0.2">
      <c r="A20" s="22"/>
      <c r="B20" s="138" t="s">
        <v>36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35"/>
    </row>
    <row r="21" spans="1:14" x14ac:dyDescent="0.2">
      <c r="A21" s="20"/>
      <c r="B21" s="20"/>
      <c r="C21" s="20"/>
      <c r="D21" s="20"/>
      <c r="E21" s="20"/>
      <c r="F21" s="20" t="s">
        <v>35</v>
      </c>
      <c r="G21" s="20"/>
      <c r="H21" s="20"/>
      <c r="I21" s="20"/>
      <c r="J21" s="20"/>
      <c r="K21" s="20"/>
      <c r="L21" s="20"/>
      <c r="M21" s="20"/>
    </row>
    <row r="22" spans="1:14" x14ac:dyDescent="0.2">
      <c r="A22" s="22"/>
      <c r="B22" s="22" t="s">
        <v>34</v>
      </c>
      <c r="C22" s="22"/>
      <c r="D22" s="22"/>
      <c r="E22" s="22"/>
      <c r="F22" s="22"/>
      <c r="G22" s="22"/>
      <c r="H22" s="22"/>
      <c r="I22" s="46"/>
      <c r="J22" s="22"/>
      <c r="K22" s="22"/>
      <c r="L22" s="22"/>
      <c r="M22" s="22"/>
    </row>
    <row r="23" spans="1:14" ht="9.75" customHeight="1" x14ac:dyDescent="0.2">
      <c r="A23" s="21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4" x14ac:dyDescent="0.2">
      <c r="A24" s="26" t="s">
        <v>33</v>
      </c>
      <c r="B24" s="25" t="s">
        <v>32</v>
      </c>
      <c r="C24" s="22"/>
      <c r="D24" s="22" t="s">
        <v>69</v>
      </c>
      <c r="E24" s="22"/>
      <c r="F24" s="22"/>
      <c r="G24" s="22"/>
      <c r="H24" s="22"/>
      <c r="I24" s="22"/>
      <c r="J24" s="22"/>
      <c r="K24" s="22"/>
      <c r="L24" s="22"/>
      <c r="M24" s="22"/>
    </row>
    <row r="25" spans="1:14" x14ac:dyDescent="0.2">
      <c r="A25" s="24" t="s">
        <v>31</v>
      </c>
      <c r="B25" s="22" t="s">
        <v>30</v>
      </c>
      <c r="C25" s="22"/>
      <c r="D25" s="22"/>
      <c r="E25" s="22"/>
      <c r="F25" s="22"/>
      <c r="G25" s="22"/>
      <c r="H25" s="51"/>
      <c r="I25" s="60"/>
      <c r="J25" s="61"/>
      <c r="K25" s="61"/>
      <c r="L25" s="61"/>
      <c r="M25" s="61"/>
    </row>
    <row r="26" spans="1:14" x14ac:dyDescent="0.2">
      <c r="A26" s="23" t="s">
        <v>24</v>
      </c>
      <c r="B26" s="22" t="s">
        <v>29</v>
      </c>
      <c r="C26" s="22"/>
      <c r="D26" s="22"/>
      <c r="E26" s="22"/>
      <c r="F26" s="22"/>
      <c r="G26" s="22"/>
      <c r="H26" s="52"/>
      <c r="I26" s="61"/>
      <c r="J26" s="61"/>
      <c r="K26" s="61"/>
      <c r="L26" s="61"/>
      <c r="M26" s="61"/>
    </row>
    <row r="27" spans="1:14" x14ac:dyDescent="0.2">
      <c r="A27" s="23" t="s">
        <v>24</v>
      </c>
      <c r="B27" s="22" t="s">
        <v>28</v>
      </c>
      <c r="C27" s="22"/>
      <c r="D27" s="22"/>
      <c r="E27" s="22"/>
      <c r="F27" s="22"/>
      <c r="G27" s="22"/>
      <c r="H27" s="53"/>
      <c r="I27" s="61"/>
      <c r="J27" s="61"/>
      <c r="K27" s="61"/>
      <c r="L27" s="61"/>
      <c r="M27" s="61"/>
    </row>
    <row r="28" spans="1:14" x14ac:dyDescent="0.2">
      <c r="A28" s="23" t="s">
        <v>24</v>
      </c>
      <c r="B28" s="22" t="s">
        <v>27</v>
      </c>
      <c r="C28" s="22"/>
      <c r="D28" s="22"/>
      <c r="E28" s="22"/>
      <c r="F28" s="22"/>
      <c r="G28" s="22"/>
      <c r="H28" s="53"/>
      <c r="I28" s="61"/>
      <c r="J28" s="61"/>
      <c r="K28" s="61"/>
      <c r="L28" s="61"/>
      <c r="M28" s="61"/>
    </row>
    <row r="29" spans="1:14" hidden="1" x14ac:dyDescent="0.2">
      <c r="A29" s="23" t="s">
        <v>24</v>
      </c>
      <c r="B29" s="22" t="s">
        <v>26</v>
      </c>
      <c r="C29" s="22"/>
      <c r="D29" s="22"/>
      <c r="E29" s="22"/>
      <c r="F29" s="22"/>
      <c r="G29" s="22"/>
      <c r="H29" s="53"/>
      <c r="I29" s="83"/>
      <c r="J29" s="61"/>
      <c r="K29" s="61"/>
      <c r="L29" s="61"/>
      <c r="M29" s="61"/>
    </row>
    <row r="30" spans="1:14" x14ac:dyDescent="0.2">
      <c r="A30" s="23" t="s">
        <v>24</v>
      </c>
      <c r="B30" s="22" t="s">
        <v>25</v>
      </c>
      <c r="C30" s="22"/>
      <c r="D30" s="22"/>
      <c r="E30" s="22"/>
      <c r="F30" s="22"/>
      <c r="G30" s="22"/>
      <c r="H30" s="53"/>
      <c r="I30" s="83"/>
      <c r="J30" s="61"/>
      <c r="K30" s="61"/>
      <c r="L30" s="61"/>
      <c r="M30" s="61"/>
    </row>
    <row r="31" spans="1:14" x14ac:dyDescent="0.2">
      <c r="A31" s="23" t="s">
        <v>24</v>
      </c>
      <c r="B31" s="22" t="s">
        <v>68</v>
      </c>
      <c r="C31" s="22"/>
      <c r="D31" s="22"/>
      <c r="E31" s="22"/>
      <c r="F31" s="22"/>
      <c r="G31" s="22"/>
      <c r="H31" s="53"/>
      <c r="I31" s="83"/>
      <c r="J31" s="83"/>
      <c r="K31" s="61"/>
      <c r="L31" s="61"/>
      <c r="M31" s="61"/>
    </row>
    <row r="32" spans="1:14" x14ac:dyDescent="0.2">
      <c r="A32" s="23" t="s">
        <v>64</v>
      </c>
      <c r="B32" s="22" t="s">
        <v>65</v>
      </c>
      <c r="C32" s="22"/>
      <c r="D32" s="22"/>
      <c r="E32" s="22"/>
      <c r="F32" s="22"/>
      <c r="G32" s="22"/>
      <c r="H32" s="53"/>
      <c r="I32" s="61"/>
      <c r="J32" s="61"/>
      <c r="K32" s="61"/>
      <c r="L32" s="61"/>
      <c r="M32" s="61"/>
    </row>
    <row r="33" spans="1:17" ht="9.75" customHeight="1" x14ac:dyDescent="0.2">
      <c r="A33" s="21" t="s">
        <v>24</v>
      </c>
      <c r="B33" s="20" t="s">
        <v>83</v>
      </c>
      <c r="C33" s="20"/>
      <c r="D33" s="20"/>
      <c r="E33" s="20"/>
      <c r="F33" s="20"/>
      <c r="G33" s="20"/>
      <c r="H33" s="53"/>
      <c r="I33" s="61"/>
      <c r="J33" s="61"/>
      <c r="K33" s="61"/>
      <c r="L33" s="61"/>
      <c r="M33" s="61"/>
    </row>
    <row r="34" spans="1:17" hidden="1" x14ac:dyDescent="0.2">
      <c r="A34" s="21" t="s">
        <v>66</v>
      </c>
      <c r="B34" s="20" t="s">
        <v>67</v>
      </c>
      <c r="C34" s="20"/>
      <c r="D34" s="20"/>
      <c r="E34" s="20"/>
      <c r="F34" s="20"/>
      <c r="G34" s="20"/>
      <c r="H34" s="53"/>
      <c r="I34" s="61"/>
      <c r="J34" s="61"/>
      <c r="K34" s="61"/>
      <c r="L34" s="61"/>
      <c r="M34" s="61"/>
    </row>
    <row r="35" spans="1:17" hidden="1" x14ac:dyDescent="0.2">
      <c r="A35" s="69" t="s">
        <v>24</v>
      </c>
      <c r="B35" s="70" t="s">
        <v>60</v>
      </c>
      <c r="I35" s="61"/>
      <c r="J35" s="61"/>
      <c r="K35" s="61"/>
      <c r="L35" s="61"/>
      <c r="M35" s="61"/>
    </row>
    <row r="36" spans="1:17" hidden="1" x14ac:dyDescent="0.2">
      <c r="A36" s="69" t="s">
        <v>24</v>
      </c>
      <c r="B36" s="70" t="s">
        <v>61</v>
      </c>
      <c r="C36" s="61"/>
      <c r="D36" s="61"/>
      <c r="E36" s="61"/>
      <c r="F36" s="61"/>
      <c r="I36" s="62"/>
      <c r="J36" s="63"/>
      <c r="K36" s="63"/>
      <c r="L36" s="63"/>
      <c r="M36" s="63"/>
    </row>
    <row r="37" spans="1:17" hidden="1" x14ac:dyDescent="0.2">
      <c r="A37" s="69" t="s">
        <v>24</v>
      </c>
      <c r="B37" s="70" t="s">
        <v>62</v>
      </c>
      <c r="C37" s="61"/>
      <c r="D37" s="61"/>
      <c r="E37" s="61"/>
      <c r="F37" s="61"/>
      <c r="I37" s="62"/>
      <c r="J37" s="63"/>
      <c r="K37" s="63"/>
      <c r="L37" s="63"/>
      <c r="M37" s="63"/>
    </row>
    <row r="38" spans="1:17" hidden="1" x14ac:dyDescent="0.2">
      <c r="A38" s="69" t="s">
        <v>24</v>
      </c>
      <c r="B38" s="70" t="s">
        <v>63</v>
      </c>
      <c r="C38" s="61"/>
      <c r="D38" s="61"/>
      <c r="E38" s="61"/>
      <c r="F38" s="61"/>
    </row>
    <row r="39" spans="1:17" ht="12.75" hidden="1" customHeight="1" x14ac:dyDescent="0.2">
      <c r="A39" s="21" t="s">
        <v>24</v>
      </c>
      <c r="B39" s="20" t="s">
        <v>84</v>
      </c>
      <c r="C39" s="20"/>
      <c r="D39" s="20"/>
      <c r="E39" s="20"/>
      <c r="F39" s="20"/>
      <c r="G39" s="20"/>
      <c r="H39" s="53"/>
      <c r="I39" s="61"/>
      <c r="J39" s="61"/>
      <c r="K39" s="61"/>
      <c r="L39" s="61"/>
      <c r="M39" s="61"/>
    </row>
    <row r="40" spans="1:17" x14ac:dyDescent="0.2">
      <c r="B40" s="61"/>
      <c r="C40" s="61"/>
      <c r="D40" s="61"/>
      <c r="E40" s="61"/>
      <c r="F40" s="61"/>
    </row>
    <row r="41" spans="1:17" s="98" customFormat="1" ht="15" x14ac:dyDescent="0.25">
      <c r="A41" s="96"/>
      <c r="B41" s="97" t="s">
        <v>86</v>
      </c>
      <c r="D41" s="99"/>
      <c r="E41" s="100"/>
      <c r="F41" s="101"/>
      <c r="K41" s="116" t="s">
        <v>87</v>
      </c>
      <c r="L41" s="116"/>
      <c r="M41" s="102"/>
      <c r="N41" s="96"/>
      <c r="O41" s="96"/>
      <c r="P41" s="96"/>
      <c r="Q41" s="96"/>
    </row>
    <row r="42" spans="1:17" s="98" customFormat="1" ht="9.75" customHeight="1" x14ac:dyDescent="0.25">
      <c r="A42" s="103"/>
      <c r="B42" s="104"/>
      <c r="D42" s="104"/>
      <c r="E42" s="104"/>
      <c r="F42" s="101"/>
      <c r="K42" s="101"/>
      <c r="L42" s="104"/>
      <c r="M42" s="104"/>
      <c r="N42" s="104"/>
      <c r="O42" s="104"/>
      <c r="P42" s="104"/>
      <c r="Q42" s="104"/>
    </row>
    <row r="43" spans="1:17" s="98" customFormat="1" ht="15" x14ac:dyDescent="0.25">
      <c r="A43" s="96"/>
      <c r="B43" s="97" t="s">
        <v>88</v>
      </c>
      <c r="D43" s="105"/>
      <c r="E43" s="100"/>
      <c r="F43" s="101"/>
      <c r="K43" s="117" t="s">
        <v>89</v>
      </c>
      <c r="L43" s="117"/>
      <c r="M43" s="106"/>
      <c r="N43" s="96"/>
      <c r="O43" s="96"/>
      <c r="P43" s="96"/>
      <c r="Q43" s="96"/>
    </row>
    <row r="44" spans="1:17" s="98" customFormat="1" ht="9.75" customHeight="1" x14ac:dyDescent="0.25">
      <c r="A44" s="103"/>
      <c r="B44" s="104"/>
      <c r="D44" s="104"/>
      <c r="E44" s="104"/>
      <c r="F44" s="101"/>
      <c r="K44" s="101"/>
      <c r="L44" s="104"/>
      <c r="M44" s="104"/>
      <c r="N44" s="104"/>
      <c r="O44" s="104"/>
      <c r="P44" s="104"/>
      <c r="Q44" s="104"/>
    </row>
    <row r="45" spans="1:17" s="98" customFormat="1" ht="15.75" customHeight="1" x14ac:dyDescent="0.25">
      <c r="A45" s="96"/>
      <c r="B45" s="97" t="s">
        <v>90</v>
      </c>
      <c r="D45" s="105"/>
      <c r="E45" s="100"/>
      <c r="F45" s="101"/>
      <c r="K45" s="117" t="s">
        <v>91</v>
      </c>
      <c r="L45" s="117"/>
      <c r="M45" s="106"/>
      <c r="N45" s="96"/>
      <c r="O45" s="96"/>
      <c r="P45" s="96"/>
      <c r="Q45" s="96"/>
    </row>
    <row r="46" spans="1:17" s="98" customFormat="1" ht="9.75" customHeight="1" x14ac:dyDescent="0.25">
      <c r="A46" s="96"/>
      <c r="B46" s="100"/>
      <c r="D46" s="100"/>
      <c r="E46" s="100"/>
      <c r="F46" s="101"/>
      <c r="K46" s="101"/>
      <c r="L46" s="100"/>
      <c r="M46" s="96"/>
      <c r="N46" s="96"/>
      <c r="O46" s="96"/>
      <c r="P46" s="96"/>
      <c r="Q46" s="96"/>
    </row>
    <row r="47" spans="1:17" s="98" customFormat="1" ht="15" x14ac:dyDescent="0.25">
      <c r="A47" s="96"/>
      <c r="B47" s="97" t="s">
        <v>92</v>
      </c>
      <c r="D47" s="107"/>
      <c r="E47" s="100"/>
      <c r="F47" s="101"/>
      <c r="K47" s="117" t="s">
        <v>93</v>
      </c>
      <c r="L47" s="117"/>
      <c r="M47" s="106"/>
      <c r="N47" s="96"/>
      <c r="O47" s="96"/>
      <c r="P47" s="96"/>
      <c r="Q47" s="96"/>
    </row>
  </sheetData>
  <mergeCells count="22">
    <mergeCell ref="K47:L47"/>
    <mergeCell ref="B20:L20"/>
    <mergeCell ref="A17:G17"/>
    <mergeCell ref="A15:G15"/>
    <mergeCell ref="K41:L41"/>
    <mergeCell ref="K43:L43"/>
    <mergeCell ref="K45:L45"/>
    <mergeCell ref="A1:L1"/>
    <mergeCell ref="G9:G10"/>
    <mergeCell ref="H9:K9"/>
    <mergeCell ref="L9:L10"/>
    <mergeCell ref="B9:B10"/>
    <mergeCell ref="A9:A10"/>
    <mergeCell ref="C9:C10"/>
    <mergeCell ref="B7:G7"/>
    <mergeCell ref="B5:L5"/>
    <mergeCell ref="A3:M3"/>
    <mergeCell ref="A4:M4"/>
    <mergeCell ref="M9:N9"/>
    <mergeCell ref="D9:D10"/>
    <mergeCell ref="E9:E10"/>
    <mergeCell ref="F9:F10"/>
  </mergeCells>
  <pageMargins left="0.23622047244094491" right="0.23622047244094491" top="0.74803149606299213" bottom="0.74803149606299213" header="0" footer="0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Чуясова Елена Геннадьевна</cp:lastModifiedBy>
  <cp:lastPrinted>2020-12-16T03:08:55Z</cp:lastPrinted>
  <dcterms:created xsi:type="dcterms:W3CDTF">2002-03-25T05:35:56Z</dcterms:created>
  <dcterms:modified xsi:type="dcterms:W3CDTF">2021-01-19T06:31:05Z</dcterms:modified>
</cp:coreProperties>
</file>