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3056" firstSheet="9" activeTab="10"/>
  </bookViews>
  <sheets>
    <sheet name="Ср зп" sheetId="1" state="hidden" r:id="rId1"/>
    <sheet name="НВВ " sheetId="2" state="hidden" r:id="rId2"/>
    <sheet name="НВВ ВЛ" sheetId="3" state="hidden" r:id="rId3"/>
    <sheet name="НВВ ТП" sheetId="4" state="hidden" r:id="rId4"/>
    <sheet name="ВЛ" sheetId="5" state="hidden" r:id="rId5"/>
    <sheet name="ТП" sheetId="6" state="hidden" r:id="rId6"/>
    <sheet name="калькуляция" sheetId="7" state="hidden" r:id="rId7"/>
    <sheet name="станд. ставки " sheetId="8" state="hidden" r:id="rId8"/>
    <sheet name="расч инвест составл" sheetId="9" state="hidden" r:id="rId9"/>
    <sheet name="прил 2" sheetId="10" r:id="rId10"/>
    <sheet name="прил 3" sheetId="11" r:id="rId11"/>
    <sheet name="прил 4" sheetId="12" r:id="rId12"/>
    <sheet name="прил 5" sheetId="13" r:id="rId13"/>
    <sheet name="прил 6" sheetId="14" r:id="rId14"/>
    <sheet name="прил 7" sheetId="15" r:id="rId15"/>
    <sheet name="прил 8" sheetId="16" r:id="rId16"/>
    <sheet name="прил 9" sheetId="17" r:id="rId17"/>
  </sheets>
  <externalReferences>
    <externalReference r:id="rId20"/>
    <externalReference r:id="rId21"/>
  </externalReferences>
  <definedNames>
    <definedName name="Z_013AA555_4800_45EA_AC1E_77827F29CA4D_.wvu.Cols" localSheetId="4" hidden="1">'ВЛ'!$K:$N</definedName>
    <definedName name="Z_013AA555_4800_45EA_AC1E_77827F29CA4D_.wvu.Cols" localSheetId="7" hidden="1">'станд. ставки '!$L:$M</definedName>
    <definedName name="Z_013AA555_4800_45EA_AC1E_77827F29CA4D_.wvu.Cols" localSheetId="5" hidden="1">'ТП'!$K:$N</definedName>
    <definedName name="Z_013AA555_4800_45EA_AC1E_77827F29CA4D_.wvu.Rows" localSheetId="8" hidden="1">'расч инвест составл'!#REF!,'расч инвест составл'!#REF!,'расч инвест составл'!#REF!,'расч инвест составл'!#REF!,'расч инвест составл'!#REF!,'расч инвест составл'!#REF!,'расч инвест составл'!#REF!</definedName>
    <definedName name="Z_3EDD9F36_E90A_4B6D_966D_1D335A754AE9_.wvu.Cols" localSheetId="4" hidden="1">'ВЛ'!$K:$N</definedName>
    <definedName name="Z_3EDD9F36_E90A_4B6D_966D_1D335A754AE9_.wvu.Cols" localSheetId="7" hidden="1">'станд. ставки '!$L:$M</definedName>
    <definedName name="Z_3EDD9F36_E90A_4B6D_966D_1D335A754AE9_.wvu.Cols" localSheetId="5" hidden="1">'ТП'!$K:$N</definedName>
    <definedName name="Z_3EDD9F36_E90A_4B6D_966D_1D335A754AE9_.wvu.Rows" localSheetId="8" hidden="1">'расч инвест составл'!#REF!,'расч инвест составл'!#REF!,'расч инвест составл'!#REF!,'расч инвест составл'!#REF!,'расч инвест составл'!#REF!,'расч инвест составл'!#REF!,'расч инвест составл'!#REF!</definedName>
    <definedName name="Z_4C155EE3_E8E2_48CD_A0A6_00BF54665DE1_.wvu.Cols" localSheetId="4" hidden="1">'ВЛ'!$K:$N</definedName>
    <definedName name="Z_4C155EE3_E8E2_48CD_A0A6_00BF54665DE1_.wvu.Cols" localSheetId="7" hidden="1">'станд. ставки '!$L:$M</definedName>
    <definedName name="Z_4C155EE3_E8E2_48CD_A0A6_00BF54665DE1_.wvu.Cols" localSheetId="5" hidden="1">'ТП'!$K:$N</definedName>
    <definedName name="Z_4C155EE3_E8E2_48CD_A0A6_00BF54665DE1_.wvu.Rows" localSheetId="8" hidden="1">'расч инвест составл'!#REF!,'расч инвест составл'!#REF!,'расч инвест составл'!#REF!,'расч инвест составл'!#REF!,'расч инвест составл'!#REF!,'расч инвест составл'!#REF!,'расч инвест составл'!#REF!</definedName>
    <definedName name="Z_FDCA02EC_8F66_431B_9AD3_32D7191A2B9B_.wvu.Cols" localSheetId="4" hidden="1">'ВЛ'!$K:$N</definedName>
    <definedName name="Z_FDCA02EC_8F66_431B_9AD3_32D7191A2B9B_.wvu.Cols" localSheetId="7" hidden="1">'станд. ставки '!$L:$M</definedName>
    <definedName name="Z_FDCA02EC_8F66_431B_9AD3_32D7191A2B9B_.wvu.Cols" localSheetId="5" hidden="1">'ТП'!$K:$N</definedName>
    <definedName name="Z_FDCA02EC_8F66_431B_9AD3_32D7191A2B9B_.wvu.Rows" localSheetId="8" hidden="1">'расч инвест составл'!#REF!,'расч инвест составл'!#REF!,'расч инвест составл'!#REF!,'расч инвест составл'!#REF!,'расч инвест составл'!#REF!,'расч инвест составл'!#REF!,'расч инвест составл'!#REF!</definedName>
  </definedNames>
  <calcPr fullCalcOnLoad="1"/>
</workbook>
</file>

<file path=xl/sharedStrings.xml><?xml version="1.0" encoding="utf-8"?>
<sst xmlns="http://schemas.openxmlformats.org/spreadsheetml/2006/main" count="990" uniqueCount="462">
  <si>
    <t>Приложение 2</t>
  </si>
  <si>
    <t>№</t>
  </si>
  <si>
    <t>Наименование мероприятий</t>
  </si>
  <si>
    <t>Разбивка НВВ,руб.</t>
  </si>
  <si>
    <t>Объем максимальной мощности, кВТ</t>
  </si>
  <si>
    <t>Ставка для расчета платы по каждому мероприятию, руб/кВт</t>
  </si>
  <si>
    <t>Трансформация напряжения требуется</t>
  </si>
  <si>
    <t>Трансформация напряжения не требуется</t>
  </si>
  <si>
    <t>Итого ставка платы за технологическое присоединение</t>
  </si>
  <si>
    <t>Подготовка и выдача  сетевой организацией  ТУ  и их согласование всего, в т.ч.:</t>
  </si>
  <si>
    <t>1.1.</t>
  </si>
  <si>
    <t>Норма времени, час.</t>
  </si>
  <si>
    <t>1.2.</t>
  </si>
  <si>
    <t>Оплата труда, руб</t>
  </si>
  <si>
    <t>1.3.</t>
  </si>
  <si>
    <t>Страховые выплаты, руб</t>
  </si>
  <si>
    <t>1.4.</t>
  </si>
  <si>
    <t>Сырье, вспомогательные материалы, руб</t>
  </si>
  <si>
    <t>1.5.</t>
  </si>
  <si>
    <t>Накладные расходы,%</t>
  </si>
  <si>
    <t>1.6.</t>
  </si>
  <si>
    <t>Рентабельность, %</t>
  </si>
  <si>
    <t>Итого, на 1 присоединение, руб</t>
  </si>
  <si>
    <t>Расходы на единицу мощности, руб</t>
  </si>
  <si>
    <t>Разработка сетевой организацией проектной документации.</t>
  </si>
  <si>
    <t>Выполнение ТУ сетевой организацей (в т.ч.,расходы на строительство объектов электросетевого хозяйства до присоединяемых энергопринимающих устройств и (или) объектов электроэнергетики:</t>
  </si>
  <si>
    <t>3.1.</t>
  </si>
  <si>
    <t>Строительство воздушных и (или) кабельных линий</t>
  </si>
  <si>
    <t>3.2.</t>
  </si>
  <si>
    <t>Строительство пунктов секционирования</t>
  </si>
  <si>
    <t>3.3.</t>
  </si>
  <si>
    <t>Строительство комплектных трансформаторных подстанций (КТП), распределительных трасформаторных подстанций (РТП) с классом напряжения до 35 кВ</t>
  </si>
  <si>
    <t>3.4.</t>
  </si>
  <si>
    <t>Строительство центров питания, подстанций классом напряжения 35 кВ и выше (ПС)</t>
  </si>
  <si>
    <t>3.5.</t>
  </si>
  <si>
    <t>Налог на прибыль</t>
  </si>
  <si>
    <t>Проверка сетевой организацией выполнения заявителем ТУ, всего, в т.ч.:</t>
  </si>
  <si>
    <t>4.1.</t>
  </si>
  <si>
    <t>4.2.</t>
  </si>
  <si>
    <t>4.3.</t>
  </si>
  <si>
    <t>4.4.</t>
  </si>
  <si>
    <t>4.5.</t>
  </si>
  <si>
    <t>Работа автотранспорта,руб/час</t>
  </si>
  <si>
    <t>4.6.</t>
  </si>
  <si>
    <t>4.7.</t>
  </si>
  <si>
    <t>Участие в осмотре должностным лицом Ростехнадзора присоединяемых устройств, всего:</t>
  </si>
  <si>
    <t>Фактические действия по присоединению и обеспечению работы устройств в электрической сети, всего:</t>
  </si>
  <si>
    <t>6.1.</t>
  </si>
  <si>
    <t>6.2.</t>
  </si>
  <si>
    <t>6.3.</t>
  </si>
  <si>
    <t>6.4.</t>
  </si>
  <si>
    <t>6.5.</t>
  </si>
  <si>
    <t>6.6.</t>
  </si>
  <si>
    <t>6.7.</t>
  </si>
  <si>
    <t>Количество присоединений, ед.</t>
  </si>
  <si>
    <t>Присоединяемая мощность, кВт</t>
  </si>
  <si>
    <t>Средняя присоединяемая мощность, кВт</t>
  </si>
  <si>
    <t>Средняя стоимость единицы присоединяемой мощности по расчету, руб</t>
  </si>
  <si>
    <t>НВВ по расчету (с учетом инвестиционной составляющей), тыс. руб</t>
  </si>
  <si>
    <t>Средняя стоимость 1 кВт единицы присоединяемой мощности для утверждения (с учетом инвестиционной составляющей), руб</t>
  </si>
  <si>
    <t>И.В.Шкурко</t>
  </si>
  <si>
    <t>Тел.3-17-67</t>
  </si>
  <si>
    <t>тыс. руб.</t>
  </si>
  <si>
    <t>НДС</t>
  </si>
  <si>
    <t>Всего затрат, руб (с НДС) за штуку в ценах 4 квартал 2012г.</t>
  </si>
  <si>
    <t>Разработка сетевой организацией проектной документации по строительству "последней мили"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</si>
  <si>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</si>
  <si>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 Заявителя</t>
  </si>
  <si>
    <t>Фактическое действие по присоединению и обеспечению работы Устойств в электрической сети</t>
  </si>
  <si>
    <t>Подготовка и выдача сетевой организацией технических условий Заявителю (ТУ)</t>
  </si>
  <si>
    <t>№ п/п</t>
  </si>
  <si>
    <t>мощность, кВА</t>
  </si>
  <si>
    <t>Затраты на строительство, тыс. руб (без НДС) за единицу в ценах 2001г.</t>
  </si>
  <si>
    <t>Единица измерения</t>
  </si>
  <si>
    <t>1 км</t>
  </si>
  <si>
    <t>1 шкаф</t>
  </si>
  <si>
    <t>Разбивка НВВ согласно приложения 1 по каждому мероприятию, (руб.)</t>
  </si>
  <si>
    <t>Объем максимальной мощности, (кВт)</t>
  </si>
  <si>
    <t>3</t>
  </si>
  <si>
    <t>4</t>
  </si>
  <si>
    <t>5</t>
  </si>
  <si>
    <t>Исп. Жданович Ю.А.</t>
  </si>
  <si>
    <t>Ставки для расчета платы по каждому мероприятию, (руб./кВт)</t>
  </si>
  <si>
    <t>Выполнение сетевой организацией, мероприятий, связанных со строительством "последней мили"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</si>
  <si>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</si>
  <si>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</si>
  <si>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</si>
  <si>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</si>
  <si>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</si>
  <si>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И.В. Шкурко</t>
  </si>
  <si>
    <t>Строительство ЛЭП 0,4 кВ проводом СИП-2   3x70+1x70 мм²   на железобетонных опорах с вырубкой просеки.</t>
  </si>
  <si>
    <t>Строительство 2-х цепной ЛЭП 0,4 кВ проводом СИП-2  3x70+1x70 мм²   на железобетонных опорах с вырубкой просеки.</t>
  </si>
  <si>
    <t>Строительство ЛЭП 0,4 кВ проводом СИП-2   70мм²   на деревянных опорах с железобетонными приставками с вырубкой просеки.</t>
  </si>
  <si>
    <t>Строительство 2-х цепной ЛЭП 0,4 кВ проводом СИП-2   70мм²   на деревянных опорах с железобетонными приставками с вырубкой просеки.</t>
  </si>
  <si>
    <t>Строительство ЛЭП 6/10 кВ проводом СИП-3   1x70 мм²   на железобетонных опорах с вырубкой просеки.</t>
  </si>
  <si>
    <t>Строительство 2- цепной ЛЭП 6/10 кВ проводом СИП-3   1x70 мм²   на железобетонных опорах с вырубкой просеки.</t>
  </si>
  <si>
    <t>Строительство ЛЭП 6/10 кВ проводом СИП-3   70мм²   на деревянных опорах с железобетонными приставками с вырубкой просеки.</t>
  </si>
  <si>
    <t>Строительство 2- цепной ЛЭП 6/10 кВ проводом СИП-3   70мм²   на деревянных опорах с железобетонными приставками с вырубкой просеки.</t>
  </si>
  <si>
    <t>Строительство ЛЭП 0,4 кВ проводом СИП-2   3x70+1x70 мм²   на железобетонных опорах в городской местности.</t>
  </si>
  <si>
    <t>Строительство 2-х цепной ЛЭП 0,4 кВ проводом СИП-2   3x70+1x70 мм²   на железобетонных опорах в городской местности.</t>
  </si>
  <si>
    <t>Строительство ЛЭП 0,4 кВ проводом СИП-2   70мм²   на деревянных опорах с железобетонными приставками в городской местности.</t>
  </si>
  <si>
    <t>Строительство 2-х цепной ЛЭП 0,4 кВ проводом СИП-2   70мм²   на деревянных опорах с железобетонными приставками в городской местности.</t>
  </si>
  <si>
    <t>Строительство ЛЭП 6/10 кВ проводом СИП-3   1x70 мм²   на железобетонных опорах в городской местности.</t>
  </si>
  <si>
    <t>Строительство 2- цепной ЛЭП 6/10 кВ проводом СИП-3   1x70 мм²   на железобетонных опорах в городской местности.</t>
  </si>
  <si>
    <t>Строительство ЛЭП 6/10 кВ проводом СИП-3   70мм²   на деревянных опорах с железобетонными приставками в городской местности.</t>
  </si>
  <si>
    <t>Строительство 2- цепной ЛЭП 6/10 кВ проводом СИП-3   70мм²   на деревянных опорах с железобетонными приставками в городской местности.</t>
  </si>
  <si>
    <t>Установка мачтовой ТП – 40/6 кВА</t>
  </si>
  <si>
    <t>Установка мачтовой ТП – 63/6 кВА</t>
  </si>
  <si>
    <t>Установка мачтовой ТП – 100/6 кВА.</t>
  </si>
  <si>
    <t xml:space="preserve">Приложение 1 </t>
  </si>
  <si>
    <t>Показатели</t>
  </si>
  <si>
    <t>Расходы по выполнению мероприятий по ТП, всего</t>
  </si>
  <si>
    <t>Вспомогательные материалы</t>
  </si>
  <si>
    <t>Энергия на хозяйственные нужды</t>
  </si>
  <si>
    <t>Оплата труда ППП (без СВ)</t>
  </si>
  <si>
    <t>Отчисления на социальные нужды</t>
  </si>
  <si>
    <t>Прочие расходы ,всего, в т.ч.</t>
  </si>
  <si>
    <t>1.5.1.</t>
  </si>
  <si>
    <t>работы и услуги производственного характера</t>
  </si>
  <si>
    <t>1.5.2.</t>
  </si>
  <si>
    <t>налоги,всего</t>
  </si>
  <si>
    <t>1.5.3.</t>
  </si>
  <si>
    <t>работы и услуги непроизводственного характера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</si>
  <si>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</si>
  <si>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</si>
  <si>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</si>
  <si>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</si>
  <si>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</si>
  <si>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</si>
  <si>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</si>
  <si>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</si>
  <si>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</si>
  <si>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 связанные с производством и реализацией</t>
  </si>
  <si>
    <t>Внереализационные расходы,всего</t>
  </si>
  <si>
    <t>1.6.1.</t>
  </si>
  <si>
    <t>расходы на услуги банков</t>
  </si>
  <si>
    <t>1.6.2.</t>
  </si>
  <si>
    <t>% за пользование кредитом</t>
  </si>
  <si>
    <t>1.6.3.</t>
  </si>
  <si>
    <t>налог на имущество</t>
  </si>
  <si>
    <t>1.6.4.</t>
  </si>
  <si>
    <t>другие обоснованные расходы</t>
  </si>
  <si>
    <t>1.6.5.</t>
  </si>
  <si>
    <t>денежные выплаты социального характера (по Коллективному договору)</t>
  </si>
  <si>
    <t>1.6.6.</t>
  </si>
  <si>
    <t>другие расходы из прибыли</t>
  </si>
  <si>
    <t>Расходы на строительство объектов электросетевого хозяйства-от существующих объектов электросетевого хозяйства до присоединямых энергопринимающих устройств и (или) объектов энергетики</t>
  </si>
  <si>
    <t>Выпадающие доходы/экономия средств</t>
  </si>
  <si>
    <t>Необходимая валовая выручка</t>
  </si>
  <si>
    <t>2009г.</t>
  </si>
  <si>
    <t>2010г.</t>
  </si>
  <si>
    <t>2011г.</t>
  </si>
  <si>
    <t>Средневзвешенное годовое значение</t>
  </si>
  <si>
    <t>Станд. Ставка (тыс. рублей)</t>
  </si>
  <si>
    <t>Вид работ</t>
  </si>
  <si>
    <t>Объем</t>
  </si>
  <si>
    <t>км</t>
  </si>
  <si>
    <t>кВА</t>
  </si>
  <si>
    <t>Строительство ЛЭП 0,4 кВ проводом СИП-2   на деревянных опорах с железобетонными приставками с вырубкой просеки.</t>
  </si>
  <si>
    <t>Строительство ЛЭП 0,4 кВ проводом СИП-2   на деревянных опорах с железобетонными приставками в городской местности.</t>
  </si>
  <si>
    <t>Строительство 2-х цепной ЛЭП 0,4 кВ проводом СИП-2   на железобетонных опорах в городской местности.</t>
  </si>
  <si>
    <t>Строительство ЛЭП 6/10 кВ проводом СИП-3   на деревянных опорах с железобетонными приставками с вырубкой просеки.</t>
  </si>
  <si>
    <t>Строительство ЛЭП 6/10 кВ проводом СИП-3   на железобетонных опорах в городской местности.</t>
  </si>
  <si>
    <t>Строительство ЛЭП 6/10 кВ проводом СИП-3   на деревянных опорах с железобетонными приставками в городской местности.</t>
  </si>
  <si>
    <t>Прокладка бронированного кабеля в траншеи 4 шт. 0,4 кВ</t>
  </si>
  <si>
    <t>В том числе,</t>
  </si>
  <si>
    <t>1 ед.</t>
  </si>
  <si>
    <t xml:space="preserve">СМР
</t>
  </si>
  <si>
    <t xml:space="preserve">Обрудование
</t>
  </si>
  <si>
    <t xml:space="preserve">ПИР
</t>
  </si>
  <si>
    <t xml:space="preserve">Прочие
</t>
  </si>
  <si>
    <t>Един.</t>
  </si>
  <si>
    <t>Примечание</t>
  </si>
  <si>
    <t>Стандартизированная ставка, утвержденная в 2011 году, тыс. руб</t>
  </si>
  <si>
    <t>Средняя ставка на 2013 год ниже, утвержденной в 2011 году на 40 %</t>
  </si>
  <si>
    <t>Средняя ставка на 2013 год ниже, утвержденной в 2011 году на 53 %</t>
  </si>
  <si>
    <t>Средняя ставка на 2013 год ниже, утвержденной в 2011 году на 50 %</t>
  </si>
  <si>
    <t>(диапазон присоединяемой максимальной мощности)</t>
  </si>
  <si>
    <t>строительство воздушных линий 6/10 кВ</t>
  </si>
  <si>
    <t>строительство воздушных линий 0,4 кВ</t>
  </si>
  <si>
    <t>строительство кабельных линий 6/10 кВ</t>
  </si>
  <si>
    <t>строительство кабельных линий 0,4 кВ</t>
  </si>
  <si>
    <t>класс напряжения, указанный в заявке, соответствует напряжению присоединения к существующему объекту электросетевого хозяйства (трансформация напряжения требуется)</t>
  </si>
  <si>
    <t>класс напряжения, указанный в заявке, соответствует напряжению присоединения к существующему объекту электросетевого хозяйства (трансформация напряжения не требуется)</t>
  </si>
  <si>
    <t>Штатное расписание</t>
  </si>
  <si>
    <t>Категория</t>
  </si>
  <si>
    <t>Среднечасовая
 з/пл.за 2012</t>
  </si>
  <si>
    <t>сумма</t>
  </si>
  <si>
    <t>Руководители</t>
  </si>
  <si>
    <t>Специалисты</t>
  </si>
  <si>
    <t xml:space="preserve">Бухгалтер 1 кат. </t>
  </si>
  <si>
    <t xml:space="preserve">Заместитель директора  - главный инженер </t>
  </si>
  <si>
    <t xml:space="preserve">Заместитель директора по развитию и инвестициям  </t>
  </si>
  <si>
    <t xml:space="preserve">Заместитель главного инженера по эксплуатации и ремонтам  </t>
  </si>
  <si>
    <t xml:space="preserve">Начальник финасового отдела  </t>
  </si>
  <si>
    <t>Старший мастер  АРРС</t>
  </si>
  <si>
    <t xml:space="preserve">Электромонтёр по эксплуатации распределительных сетей 4 р. </t>
  </si>
  <si>
    <t>Рабочие</t>
  </si>
  <si>
    <t xml:space="preserve">Электромонтёр по эксплуатации распределительных сетей 3 р. </t>
  </si>
  <si>
    <t>Старший мастер I гр. Уч."Северный"</t>
  </si>
  <si>
    <t>Мастер I гр. НеРЭС</t>
  </si>
  <si>
    <t xml:space="preserve">Водитель автомобиля 5 р. </t>
  </si>
  <si>
    <t>Начальник службы  ОДС</t>
  </si>
  <si>
    <t>Начальник службы  РЗАИ</t>
  </si>
  <si>
    <t>Гл. бухгалтер</t>
  </si>
  <si>
    <t>п 1.2.</t>
  </si>
  <si>
    <t>п 4.2.</t>
  </si>
  <si>
    <t>п 6.2.</t>
  </si>
  <si>
    <t>2012г.</t>
  </si>
  <si>
    <t>Приложение №3</t>
  </si>
  <si>
    <t>3.1.1.</t>
  </si>
  <si>
    <t>3.1.2.</t>
  </si>
  <si>
    <t>3.2.1.</t>
  </si>
  <si>
    <t>3.2.2.</t>
  </si>
  <si>
    <t>Мероприятия "последней мили"</t>
  </si>
  <si>
    <t>Стандартизированная ставка, тыс. руб (без НДС) за единицу в ценах 2001г.</t>
  </si>
  <si>
    <t>Экономист 2 кат. ПЭО</t>
  </si>
  <si>
    <t>Начальник службы управления инвестициями</t>
  </si>
  <si>
    <t>Ведущий инженер службы управления инвестициями</t>
  </si>
  <si>
    <t xml:space="preserve">Директор </t>
  </si>
  <si>
    <t xml:space="preserve">Начальник ПЭО </t>
  </si>
  <si>
    <t>Начальник сетевого района  II г.  АРРС</t>
  </si>
  <si>
    <t>Главный инженер сетевого района  II г. АРРС</t>
  </si>
  <si>
    <t>Начальник сетевого района I гр.  НеРЭС</t>
  </si>
  <si>
    <t>Старший мастер I г. ТРЭС</t>
  </si>
  <si>
    <t>Начальник СПРиТП</t>
  </si>
  <si>
    <t>Инженер 1 кат. СПРиТП</t>
  </si>
  <si>
    <t>Техник 1 кат. СПРиТП</t>
  </si>
  <si>
    <t>Начальник службы  учета и контроля качества электроэнергии</t>
  </si>
  <si>
    <t>Ведущий инженер  сектора балансов и анализа потерь</t>
  </si>
  <si>
    <t xml:space="preserve">Инженер по расчетам и режимам 1 кат. </t>
  </si>
  <si>
    <t>Начльник службы СДТУ</t>
  </si>
  <si>
    <t>Показатели  2015г.</t>
  </si>
  <si>
    <t>2015г.</t>
  </si>
  <si>
    <t>2013г.</t>
  </si>
  <si>
    <t>2014г.</t>
  </si>
  <si>
    <t>Прокладка  кабеля в траншеи 1 шт 6(10) кВ</t>
  </si>
  <si>
    <t>Прокладка  кабеля в траншеи 2 шт 6(10) кВ</t>
  </si>
  <si>
    <t>Прокладка  кабеля в траншеи 3 шт 6(10) кВ</t>
  </si>
  <si>
    <t>Прокладка  кабеля в траншеи 4 шт 6(10) кВ</t>
  </si>
  <si>
    <t>Прокладка  кабеля в траншеи 1 шт 0,4 кВ</t>
  </si>
  <si>
    <t xml:space="preserve">Прокладка  кабеля в траншеи 2 шт 0,4 кВ </t>
  </si>
  <si>
    <t xml:space="preserve">Прокладка  кабеля в траншеи 3 шт 0,4 кВ </t>
  </si>
  <si>
    <t xml:space="preserve">Прокладка  кабеля в траншеи 4 шт 0,4 кВ </t>
  </si>
  <si>
    <t>Пусконаладочные работы</t>
  </si>
  <si>
    <t>Строительство КТП -100/6-10</t>
  </si>
  <si>
    <t>Строительство КТП -160/6-10</t>
  </si>
  <si>
    <t>Строительство КТП -250/6-10</t>
  </si>
  <si>
    <t>Строительство КТП -400/6-10</t>
  </si>
  <si>
    <t>Строительство КТП -630/6-10</t>
  </si>
  <si>
    <t>Строительство КТП -1000/6-10</t>
  </si>
  <si>
    <t xml:space="preserve">Строительство 2-х трансформаторной подстанции 2КТП-250/6-10 </t>
  </si>
  <si>
    <t xml:space="preserve">Строительство 2-х трансформаторной подстанции 2КТП-400/6-10 </t>
  </si>
  <si>
    <t xml:space="preserve">Строительство 2-х трансформаторной подстанции 2КТП-630/6-10 </t>
  </si>
  <si>
    <t xml:space="preserve">Строительство 2-х трансформаторной подстанции 2КТП-1000/6-10 </t>
  </si>
  <si>
    <t>Установка шкафа учета с одним средством учета электроэнергии</t>
  </si>
  <si>
    <t>Установка шкафа учепта с двумя средствами учета электроэнергии</t>
  </si>
  <si>
    <r>
      <t xml:space="preserve">до 15  кВт </t>
    </r>
    <r>
      <rPr>
        <sz val="16"/>
        <rFont val="Arial"/>
        <family val="2"/>
      </rPr>
      <t xml:space="preserve"> *</t>
    </r>
  </si>
  <si>
    <t xml:space="preserve">до 15 кВт </t>
  </si>
  <si>
    <t xml:space="preserve">от 15-150 </t>
  </si>
  <si>
    <t>от150-8900</t>
  </si>
  <si>
    <t>Среднечасовая
 з/пл. на 2015</t>
  </si>
  <si>
    <t>Итого в 2012-2014гг.</t>
  </si>
  <si>
    <t xml:space="preserve">Начальник юридического сектора </t>
  </si>
  <si>
    <t xml:space="preserve">Начальник службы технической эксплуатации </t>
  </si>
  <si>
    <t xml:space="preserve">Главный инженер сетевого района I г.  НеРЭС </t>
  </si>
  <si>
    <t>Начальник сетевого района II г.  ТРЭС</t>
  </si>
  <si>
    <t>Главный инженер сетевого района II г.   ТРЭС</t>
  </si>
  <si>
    <t>Инженер 2 кат.РЗА</t>
  </si>
  <si>
    <t>Начальник службы экономической безопасности и режима</t>
  </si>
  <si>
    <t>Инженер 1 кат. сектора эксплуатации РС</t>
  </si>
  <si>
    <t>Филиал АО ДРСК Южно-Якутские электрические сети</t>
  </si>
  <si>
    <t xml:space="preserve">Расчет стандартизированных ставок на технологичеаское присоединение к сетям филиала АО "ДРСК" "Южно-Якутские электрические сети" </t>
  </si>
  <si>
    <t>Расчет инвестиционной составляющей платы за технологическое присоединение заявителей с присоединяемой мощностью свыше 15 кВт 
к электрическим сетям филиала АО "ДРСК" "Южно-Якутские электрические сети" на 2016 год</t>
  </si>
  <si>
    <t>Установка шкафа учета с двумя средствами учета электроэнергии</t>
  </si>
  <si>
    <t>Установка мачтовой ТП – 250/6 кВА</t>
  </si>
  <si>
    <t xml:space="preserve">Расчет необходимой валовой выручки по технологическому присоединению по АО "ДРСК" филиал "Южно-Якутские электрические сети" за  2015г.(ожидаемое),2016гг.(прогноз) </t>
  </si>
  <si>
    <t>Ожидаеме данные 2015г</t>
  </si>
  <si>
    <t>2016г.</t>
  </si>
  <si>
    <t>Расчет необходимой валовой выручки по технологическому присоединению по АО "ДРСК" филиал "Южно-Якутские электрические сети" за  2015г.(ожидаемое),2016гг.(прогноз) к ЛЭП</t>
  </si>
  <si>
    <t>Ожидаемые данные 2015г</t>
  </si>
  <si>
    <t>Расчет необходимой валовой выручки по технологическому присоединению по АО "ДРСК" филиал "Южно-Якутские электрические сети" за  2015г.(ожидаемое),2016гг.(прогноз) к ячейке (ТП,РТП,РП,ПС)</t>
  </si>
  <si>
    <t>Калькуляция стоимости мероприятий, осуществляемых при технологическом присоединении на 1 кВт присоединяемой мощности по АО "ДРСК" филиал "Южно-Якутские электрические сети"за  2015г.(ожидаемое),2016гг.(прогноз) к ЛЭП</t>
  </si>
  <si>
    <t>Показатели  2016г.</t>
  </si>
  <si>
    <t>Ожидаемые данные 2015г.</t>
  </si>
  <si>
    <t>2016 г.</t>
  </si>
  <si>
    <t>Калькуляция стоимости мероприятий, осуществляемых при технологическом присоединении на 1 кВт присоединяемой мощности по АО "ДРСК" филиал "Южно-Якутские электрические сети"за  2015г.(ожидаемое),2016гг.(прогноз) к ячейке (ТП,РТП,РП,ПС)</t>
  </si>
  <si>
    <t>Среднечасовая
 з/пл. на 2016</t>
  </si>
  <si>
    <t>Приложение № 3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</si>
  <si>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</si>
  <si>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</si>
  <si>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</si>
  <si>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</si>
  <si>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</si>
  <si>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</si>
  <si>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</si>
  <si>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</si>
  <si>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</si>
  <si>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</si>
  <si>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по постоянной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</si>
  <si>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</si>
  <si>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</si>
  <si>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</si>
  <si>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</si>
  <si>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</si>
  <si>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</si>
  <si>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</si>
  <si>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</si>
  <si>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</si>
  <si>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</si>
  <si>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</si>
  <si>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</si>
  <si>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</si>
  <si>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</si>
  <si>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</si>
  <si>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</si>
  <si>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</si>
  <si>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</si>
  <si>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</si>
  <si>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</t>
  </si>
  <si>
    <t>РАСХОДЫ НА МЕРОПРИЯТИЯ,</t>
  </si>
  <si>
    <t>осуществляемые при технологическом присоединении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</si>
  <si>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</si>
  <si>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</si>
  <si>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</si>
  <si>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</si>
  <si>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</si>
  <si>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</si>
  <si>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</si>
  <si>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</si>
  <si>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</si>
  <si>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</si>
  <si>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</si>
  <si>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</si>
  <si>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</si>
  <si>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</si>
  <si>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</si>
  <si>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</si>
  <si>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</si>
  <si>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</si>
  <si>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</si>
  <si>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</si>
  <si>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</si>
  <si>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</si>
  <si>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</si>
  <si>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</si>
  <si>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</si>
  <si>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</si>
  <si>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</si>
  <si>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</si>
  <si>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</si>
  <si>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</si>
  <si>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</si>
  <si>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</si>
  <si>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</si>
  <si>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</si>
  <si>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</si>
  <si>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</si>
  <si>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</si>
  <si>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</si>
  <si>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другие прочие расходы, связанные с производством и реализацией</t>
  </si>
  <si>
    <t>внереализационные расходы - всего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</si>
  <si>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</si>
  <si>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</si>
  <si>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</si>
  <si>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</si>
  <si>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</si>
  <si>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</si>
  <si>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</si>
  <si>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</si>
  <si>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</si>
  <si>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</si>
  <si>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</si>
  <si>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</si>
  <si>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</si>
  <si>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</si>
  <si>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</si>
  <si>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</si>
  <si>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</si>
  <si>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</si>
  <si>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</si>
  <si>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</si>
  <si>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</si>
  <si>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</si>
  <si>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</si>
  <si>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</si>
  <si>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</si>
  <si>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</si>
  <si>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</si>
  <si>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</si>
  <si>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</si>
  <si>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</si>
  <si>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</si>
  <si>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</si>
  <si>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</si>
  <si>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</si>
  <si>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</si>
  <si>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</si>
  <si>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</si>
  <si>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</si>
  <si>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</si>
  <si>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</si>
  <si>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</si>
  <si>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</si>
  <si>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</si>
  <si>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</si>
  <si>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</si>
  <si>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</si>
  <si>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</si>
  <si>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</si>
  <si>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</si>
  <si>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</si>
  <si>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</si>
  <si>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</si>
  <si>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менее 8900 кВт  филиал АО "ДРСК" "Южно-Якутские электрические сети"</t>
  </si>
  <si>
    <t>2016</t>
  </si>
  <si>
    <t>Утверждено РЭК на 2015</t>
  </si>
  <si>
    <t>рост, %</t>
  </si>
  <si>
    <t>Предложение предприятия</t>
  </si>
  <si>
    <t>Установка мачтовой ТП – 250/6 кВА.</t>
  </si>
  <si>
    <t>Стандартизированная ставка, тыс. руб (без НДС) за штуку в ценах 1 квартал 2015г.</t>
  </si>
  <si>
    <t>до 15  кВт  *</t>
  </si>
  <si>
    <t>0,4 кВ   (уровень напряжения)</t>
  </si>
  <si>
    <t>6 (10)  кВ   (уровень напряжения)</t>
  </si>
  <si>
    <t>6 (10) (35-110) кВ   (уровень напряжения)</t>
  </si>
  <si>
    <t xml:space="preserve">от 15 до 150 кВт </t>
  </si>
  <si>
    <r>
      <t>свыше 670 кВт</t>
    </r>
    <r>
      <rPr>
        <b/>
        <sz val="10"/>
        <rFont val="Arial"/>
        <family val="2"/>
      </rPr>
      <t xml:space="preserve"> </t>
    </r>
  </si>
  <si>
    <t>Инвест. Составляющая на 2015г., тыс. руб</t>
  </si>
  <si>
    <t>линии</t>
  </si>
  <si>
    <t>ктп</t>
  </si>
  <si>
    <t>квт</t>
  </si>
  <si>
    <t>Директор АО"ДРСК"-"ЮЯЭС"</t>
  </si>
  <si>
    <t>свыше 150 кВт  до 8900кВт</t>
  </si>
  <si>
    <t>Стоимость мероприятий, осуществляемых при технологическом присоединении  единицы мощности (1кВт)  филиалом АО "ДРСК" "Южно-Якутские электрические сети" на 2016 год, в том числе по временному технологическому присоединению.</t>
  </si>
  <si>
    <t>Приложение № 2</t>
  </si>
  <si>
    <t>ПРОГНОЗНЫЕ СВЕДЕНИЯ</t>
  </si>
  <si>
    <t>о расходах за технологическое присоединение</t>
  </si>
  <si>
    <t xml:space="preserve">              (наименование сетевой организации)</t>
  </si>
  <si>
    <t>1. Полное наименование:</t>
  </si>
  <si>
    <t>Акционерное общество "Дальневосточная распределительная сетевая компания"          Joint Stock Company "Far-Eastern Distribution Company"</t>
  </si>
  <si>
    <t>2. Сокращенное наименование:</t>
  </si>
  <si>
    <t xml:space="preserve"> АО "ДРСК"  JSC "FEDC" </t>
  </si>
  <si>
    <t>3. Место нахождения:</t>
  </si>
  <si>
    <t>4. Адрес юридического лица:</t>
  </si>
  <si>
    <t>675000, Российская Федерация, Амурская область, г. Благовещенск, ул. Шевченко, 28</t>
  </si>
  <si>
    <t>5. ИНН:</t>
  </si>
  <si>
    <t>2801108200</t>
  </si>
  <si>
    <t>6. КПП:</t>
  </si>
  <si>
    <t>7. Ф.И.О. руководителя:</t>
  </si>
  <si>
    <t>8. Адрес электронной почты:</t>
  </si>
  <si>
    <t>9. Контактный телефон:</t>
  </si>
  <si>
    <t>10. Факс:</t>
  </si>
  <si>
    <r>
      <rPr>
        <u val="single"/>
        <sz val="13"/>
        <color indexed="8"/>
        <rFont val="Times New Roman"/>
        <family val="1"/>
      </rPr>
      <t xml:space="preserve">  АО "ДРСК" (филиал </t>
    </r>
    <r>
      <rPr>
        <b/>
        <u val="single"/>
        <sz val="13"/>
        <color indexed="8"/>
        <rFont val="Times New Roman"/>
        <family val="1"/>
      </rPr>
      <t>"Южно-Якутские электрические сети")</t>
    </r>
    <r>
      <rPr>
        <u val="single"/>
        <sz val="13"/>
        <color indexed="8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 xml:space="preserve"> на </t>
    </r>
    <r>
      <rPr>
        <u val="single"/>
        <sz val="13"/>
        <color indexed="8"/>
        <rFont val="Times New Roman"/>
        <family val="1"/>
      </rPr>
      <t xml:space="preserve"> 2016 </t>
    </r>
    <r>
      <rPr>
        <sz val="13"/>
        <color indexed="8"/>
        <rFont val="Times New Roman"/>
        <family val="1"/>
      </rPr>
      <t xml:space="preserve"> год</t>
    </r>
  </si>
  <si>
    <t>678900, Российская Федерация, республика Саха (Якутия), г.Алдан, ул.Линейная, 4</t>
  </si>
  <si>
    <t>140202001</t>
  </si>
  <si>
    <t>Шкурко Игорь Васильевич</t>
  </si>
  <si>
    <t xml:space="preserve">doc@aldan.drsk.ru </t>
  </si>
  <si>
    <t>(41145) 36-593</t>
  </si>
  <si>
    <t>(4162) 36-584</t>
  </si>
  <si>
    <t xml:space="preserve">до 15  кВт  </t>
  </si>
  <si>
    <t xml:space="preserve">от 15 до 150  кВт  </t>
  </si>
  <si>
    <t xml:space="preserve">до 15  кВт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</si>
</sst>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0.0"/>
    <numFmt numFmtId="190" formatCode="0.0%"/>
    <numFmt numFmtId="191" formatCode="0.00000000"/>
    <numFmt numFmtId="192" formatCode="0.0000000"/>
    <numFmt numFmtId="193" formatCode="[$-FC19]d\ mmmm\ yyyy\ &quot;г.&quot;"/>
  </numFmts>
  <fonts count="87"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b/>
      <i/>
      <sz val="11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color indexed="17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Helv"/>
      <family val="0"/>
    </font>
    <font>
      <sz val="10"/>
      <color indexed="2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9"/>
      <name val="Arial"/>
      <family val="2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6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3" fillId="0" borderId="0">
      <alignment/>
      <protection/>
    </xf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11" xfId="60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/>
    </xf>
    <xf numFmtId="188" fontId="8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vertical="center" wrapText="1"/>
    </xf>
    <xf numFmtId="18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89" fontId="16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189" fontId="16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18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9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0" xfId="60" applyFont="1" applyFill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justify"/>
    </xf>
    <xf numFmtId="0" fontId="19" fillId="0" borderId="0" xfId="0" applyFont="1" applyFill="1" applyBorder="1" applyAlignment="1">
      <alignment horizontal="justify"/>
    </xf>
    <xf numFmtId="187" fontId="18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Border="1" applyAlignment="1">
      <alignment horizontal="justify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 horizontal="justify"/>
    </xf>
    <xf numFmtId="0" fontId="2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2" fontId="0" fillId="0" borderId="10" xfId="0" applyNumberFormat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" fontId="20" fillId="34" borderId="10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189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0" fontId="3" fillId="0" borderId="0" xfId="60" applyAlignment="1">
      <alignment horizontal="center"/>
      <protection/>
    </xf>
    <xf numFmtId="0" fontId="25" fillId="0" borderId="0" xfId="53" applyFont="1" applyAlignment="1">
      <alignment horizontal="centerContinuous" vertical="center"/>
      <protection/>
    </xf>
    <xf numFmtId="0" fontId="26" fillId="0" borderId="0" xfId="53" applyFont="1" applyAlignment="1">
      <alignment horizontal="centerContinuous" vertical="center"/>
      <protection/>
    </xf>
    <xf numFmtId="0" fontId="3" fillId="0" borderId="0" xfId="60">
      <alignment/>
      <protection/>
    </xf>
    <xf numFmtId="0" fontId="27" fillId="0" borderId="0" xfId="53" applyFont="1" applyAlignment="1">
      <alignment horizontal="centerContinuous" vertical="center"/>
      <protection/>
    </xf>
    <xf numFmtId="0" fontId="16" fillId="0" borderId="0" xfId="53" applyAlignment="1">
      <alignment horizontal="centerContinuous"/>
      <protection/>
    </xf>
    <xf numFmtId="0" fontId="28" fillId="0" borderId="0" xfId="53" applyFont="1" applyAlignment="1">
      <alignment horizontal="centerContinuous" vertical="center"/>
      <protection/>
    </xf>
    <xf numFmtId="0" fontId="26" fillId="0" borderId="0" xfId="53" applyFont="1" applyAlignment="1">
      <alignment horizontal="centerContinuous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/>
      <protection/>
    </xf>
    <xf numFmtId="0" fontId="29" fillId="0" borderId="0" xfId="60" applyFont="1">
      <alignment/>
      <protection/>
    </xf>
    <xf numFmtId="0" fontId="29" fillId="0" borderId="10" xfId="60" applyFont="1" applyBorder="1">
      <alignment/>
      <protection/>
    </xf>
    <xf numFmtId="1" fontId="29" fillId="0" borderId="10" xfId="60" applyNumberFormat="1" applyFont="1" applyBorder="1" applyAlignment="1">
      <alignment horizontal="center"/>
      <protection/>
    </xf>
    <xf numFmtId="0" fontId="29" fillId="0" borderId="0" xfId="60" applyFont="1" applyAlignment="1">
      <alignment horizontal="center"/>
      <protection/>
    </xf>
    <xf numFmtId="0" fontId="15" fillId="0" borderId="10" xfId="60" applyFont="1" applyFill="1" applyBorder="1" applyAlignment="1">
      <alignment horizontal="center"/>
      <protection/>
    </xf>
    <xf numFmtId="0" fontId="15" fillId="0" borderId="10" xfId="60" applyFont="1" applyFill="1" applyBorder="1">
      <alignment/>
      <protection/>
    </xf>
    <xf numFmtId="2" fontId="15" fillId="0" borderId="10" xfId="60" applyNumberFormat="1" applyFont="1" applyFill="1" applyBorder="1">
      <alignment/>
      <protection/>
    </xf>
    <xf numFmtId="0" fontId="15" fillId="0" borderId="0" xfId="60" applyFont="1" applyFill="1">
      <alignment/>
      <protection/>
    </xf>
    <xf numFmtId="0" fontId="3" fillId="0" borderId="0" xfId="60" applyFill="1">
      <alignment/>
      <protection/>
    </xf>
    <xf numFmtId="0" fontId="15" fillId="0" borderId="10" xfId="60" applyFont="1" applyBorder="1" applyAlignment="1">
      <alignment horizontal="center"/>
      <protection/>
    </xf>
    <xf numFmtId="0" fontId="15" fillId="0" borderId="10" xfId="60" applyFont="1" applyBorder="1">
      <alignment/>
      <protection/>
    </xf>
    <xf numFmtId="2" fontId="15" fillId="0" borderId="10" xfId="60" applyNumberFormat="1" applyFont="1" applyBorder="1">
      <alignment/>
      <protection/>
    </xf>
    <xf numFmtId="0" fontId="15" fillId="0" borderId="0" xfId="60" applyFont="1">
      <alignment/>
      <protection/>
    </xf>
    <xf numFmtId="0" fontId="15" fillId="0" borderId="10" xfId="60" applyFont="1" applyFill="1" applyBorder="1" applyAlignment="1">
      <alignment wrapText="1"/>
      <protection/>
    </xf>
    <xf numFmtId="189" fontId="15" fillId="0" borderId="10" xfId="60" applyNumberFormat="1" applyFont="1" applyFill="1" applyBorder="1" applyAlignment="1">
      <alignment wrapText="1"/>
      <protection/>
    </xf>
    <xf numFmtId="0" fontId="6" fillId="0" borderId="0" xfId="60" applyFont="1">
      <alignment/>
      <protection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0" fillId="0" borderId="10" xfId="0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/>
    </xf>
    <xf numFmtId="0" fontId="30" fillId="0" borderId="0" xfId="60" applyFont="1" applyAlignment="1">
      <alignment horizontal="center"/>
      <protection/>
    </xf>
    <xf numFmtId="2" fontId="31" fillId="0" borderId="0" xfId="60" applyNumberFormat="1" applyFont="1" applyFill="1">
      <alignment/>
      <protection/>
    </xf>
    <xf numFmtId="2" fontId="21" fillId="0" borderId="0" xfId="60" applyNumberFormat="1" applyFont="1" applyFill="1">
      <alignment/>
      <protection/>
    </xf>
    <xf numFmtId="2" fontId="32" fillId="0" borderId="0" xfId="60" applyNumberFormat="1" applyFont="1" applyFill="1">
      <alignment/>
      <protection/>
    </xf>
    <xf numFmtId="0" fontId="31" fillId="0" borderId="0" xfId="60" applyFont="1" applyBorder="1">
      <alignment/>
      <protection/>
    </xf>
    <xf numFmtId="189" fontId="31" fillId="0" borderId="0" xfId="60" applyNumberFormat="1" applyFont="1" applyFill="1" applyBorder="1" applyAlignment="1">
      <alignment wrapText="1"/>
      <protection/>
    </xf>
    <xf numFmtId="0" fontId="3" fillId="0" borderId="0" xfId="60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87" fontId="0" fillId="0" borderId="11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24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 horizontal="justify"/>
    </xf>
    <xf numFmtId="2" fontId="0" fillId="0" borderId="11" xfId="0" applyNumberFormat="1" applyFont="1" applyBorder="1" applyAlignment="1">
      <alignment/>
    </xf>
    <xf numFmtId="0" fontId="33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3" fillId="36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justify"/>
    </xf>
    <xf numFmtId="0" fontId="19" fillId="0" borderId="11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0" fillId="37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2" fontId="18" fillId="0" borderId="10" xfId="0" applyNumberFormat="1" applyFont="1" applyBorder="1" applyAlignment="1">
      <alignment vertical="center" wrapText="1"/>
    </xf>
    <xf numFmtId="2" fontId="42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2" fontId="42" fillId="37" borderId="10" xfId="0" applyNumberFormat="1" applyFont="1" applyFill="1" applyBorder="1" applyAlignment="1">
      <alignment wrapText="1"/>
    </xf>
    <xf numFmtId="2" fontId="42" fillId="37" borderId="11" xfId="0" applyNumberFormat="1" applyFont="1" applyFill="1" applyBorder="1" applyAlignment="1">
      <alignment wrapText="1"/>
    </xf>
    <xf numFmtId="2" fontId="42" fillId="0" borderId="11" xfId="0" applyNumberFormat="1" applyFont="1" applyFill="1" applyBorder="1" applyAlignment="1">
      <alignment wrapText="1"/>
    </xf>
    <xf numFmtId="2" fontId="42" fillId="34" borderId="10" xfId="0" applyNumberFormat="1" applyFont="1" applyFill="1" applyBorder="1" applyAlignment="1">
      <alignment wrapText="1"/>
    </xf>
    <xf numFmtId="0" fontId="21" fillId="0" borderId="14" xfId="0" applyFont="1" applyBorder="1" applyAlignment="1">
      <alignment/>
    </xf>
    <xf numFmtId="2" fontId="42" fillId="0" borderId="16" xfId="0" applyNumberFormat="1" applyFont="1" applyFill="1" applyBorder="1" applyAlignment="1">
      <alignment wrapText="1"/>
    </xf>
    <xf numFmtId="0" fontId="43" fillId="0" borderId="10" xfId="60" applyFont="1" applyFill="1" applyBorder="1">
      <alignment/>
      <protection/>
    </xf>
    <xf numFmtId="0" fontId="16" fillId="0" borderId="0" xfId="0" applyFont="1" applyFill="1" applyBorder="1" applyAlignment="1">
      <alignment horizontal="left" vertical="top" wrapText="1"/>
    </xf>
    <xf numFmtId="0" fontId="0" fillId="37" borderId="11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38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7" fontId="0" fillId="0" borderId="10" xfId="0" applyNumberFormat="1" applyFont="1" applyBorder="1" applyAlignment="1">
      <alignment/>
    </xf>
    <xf numFmtId="2" fontId="0" fillId="38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4" fontId="0" fillId="39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18" fillId="40" borderId="10" xfId="0" applyNumberFormat="1" applyFont="1" applyFill="1" applyBorder="1" applyAlignment="1">
      <alignment horizontal="center" vertical="center"/>
    </xf>
    <xf numFmtId="4" fontId="0" fillId="4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5" fillId="0" borderId="0" xfId="60" applyFont="1" applyFill="1" applyBorder="1" applyAlignment="1">
      <alignment vertical="center" wrapText="1"/>
      <protection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87" fontId="44" fillId="0" borderId="10" xfId="0" applyNumberFormat="1" applyFont="1" applyBorder="1" applyAlignment="1">
      <alignment horizontal="right" wrapText="1"/>
    </xf>
    <xf numFmtId="18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7" fontId="21" fillId="0" borderId="0" xfId="0" applyNumberFormat="1" applyFont="1" applyAlignment="1">
      <alignment/>
    </xf>
    <xf numFmtId="4" fontId="0" fillId="0" borderId="0" xfId="0" applyNumberForma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6" fillId="0" borderId="0" xfId="0" applyFont="1" applyAlignment="1">
      <alignment vertical="center"/>
    </xf>
    <xf numFmtId="0" fontId="86" fillId="0" borderId="17" xfId="0" applyFont="1" applyBorder="1" applyAlignment="1">
      <alignment/>
    </xf>
    <xf numFmtId="49" fontId="86" fillId="0" borderId="0" xfId="0" applyNumberFormat="1" applyFont="1" applyBorder="1" applyAlignment="1">
      <alignment horizontal="left"/>
    </xf>
    <xf numFmtId="0" fontId="86" fillId="0" borderId="0" xfId="0" applyFont="1" applyBorder="1" applyAlignment="1">
      <alignment/>
    </xf>
    <xf numFmtId="49" fontId="86" fillId="0" borderId="17" xfId="0" applyNumberFormat="1" applyFont="1" applyBorder="1" applyAlignment="1">
      <alignment horizontal="left"/>
    </xf>
    <xf numFmtId="0" fontId="86" fillId="0" borderId="18" xfId="0" applyFont="1" applyBorder="1" applyAlignment="1">
      <alignment/>
    </xf>
    <xf numFmtId="0" fontId="72" fillId="0" borderId="17" xfId="42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9" fillId="0" borderId="11" xfId="60" applyFont="1" applyBorder="1" applyAlignment="1">
      <alignment horizontal="center" vertical="center" wrapText="1"/>
      <protection/>
    </xf>
    <xf numFmtId="0" fontId="29" fillId="0" borderId="16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/>
      <protection/>
    </xf>
    <xf numFmtId="0" fontId="29" fillId="0" borderId="10" xfId="60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1" fillId="37" borderId="11" xfId="0" applyFont="1" applyFill="1" applyBorder="1" applyAlignment="1">
      <alignment horizontal="center" vertical="center" wrapText="1"/>
    </xf>
    <xf numFmtId="0" fontId="41" fillId="37" borderId="13" xfId="0" applyFont="1" applyFill="1" applyBorder="1" applyAlignment="1">
      <alignment horizontal="center" vertical="center" wrapText="1"/>
    </xf>
    <xf numFmtId="0" fontId="41" fillId="37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7" borderId="11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37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6" fillId="0" borderId="18" xfId="0" applyFont="1" applyBorder="1" applyAlignment="1">
      <alignment horizontal="justify" vertical="center" wrapText="1"/>
    </xf>
    <xf numFmtId="0" fontId="86" fillId="0" borderId="0" xfId="0" applyFont="1" applyAlignment="1">
      <alignment horizontal="left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49" fontId="36" fillId="0" borderId="18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6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23" xfId="0" applyFont="1" applyFill="1" applyBorder="1" applyAlignment="1">
      <alignment horizontal="left" vertical="top" wrapText="1" indent="1"/>
    </xf>
    <xf numFmtId="2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 indent="1"/>
    </xf>
    <xf numFmtId="0" fontId="2" fillId="0" borderId="22" xfId="0" applyFont="1" applyFill="1" applyBorder="1" applyAlignment="1">
      <alignment horizontal="left" vertical="top" wrapText="1" indent="1"/>
    </xf>
    <xf numFmtId="4" fontId="2" fillId="0" borderId="13" xfId="0" applyNumberFormat="1" applyFont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2" fontId="2" fillId="0" borderId="24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23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23" xfId="0" applyFont="1" applyFill="1" applyBorder="1" applyAlignment="1">
      <alignment horizontal="left" vertical="top" wrapText="1" indent="3"/>
    </xf>
    <xf numFmtId="0" fontId="2" fillId="0" borderId="13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2"/>
    </xf>
    <xf numFmtId="2" fontId="2" fillId="0" borderId="16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 indent="1"/>
    </xf>
    <xf numFmtId="49" fontId="2" fillId="0" borderId="23" xfId="0" applyNumberFormat="1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 indent="1"/>
    </xf>
    <xf numFmtId="49" fontId="2" fillId="0" borderId="22" xfId="0" applyNumberFormat="1" applyFont="1" applyFill="1" applyBorder="1" applyAlignment="1">
      <alignment horizontal="left" vertical="top" wrapText="1" inden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left" vertical="top" wrapText="1" indent="1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vertical="top"/>
    </xf>
    <xf numFmtId="0" fontId="39" fillId="0" borderId="0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 indent="1"/>
    </xf>
    <xf numFmtId="0" fontId="19" fillId="0" borderId="0" xfId="0" applyFont="1" applyBorder="1" applyAlignment="1">
      <alignment horizontal="center" vertical="top"/>
    </xf>
    <xf numFmtId="0" fontId="36" fillId="0" borderId="0" xfId="0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средней зарплаты для 2011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orov\Local%20Settings\Temporary%20Internet%20Files\Content.IE5\0YG4DPS4\2.%20&#1056;&#1072;&#1089;&#1095;&#1077;&#1090;%20&#1055;&#1058;&#1055;%20&#1085;&#1072;%202013%20-&#1058;&#1055;_&#1070;&#1071;%20&#1069;&#1057;_&#1080;&#1089;&#1087;&#1088;&#1072;&#1074;&#1083;&#1077;&#1085;&#1085;&#1099;&#1081;_&#1085;&#1086;&#1074;&#1099;&#1081;%20&#1086;&#1090;%2029.10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gb\AppData\Local\Microsoft\Windows\Temporary%20Internet%20Files\Content.IE5\J37HRCNR\2.%20&#1056;&#1072;&#1089;&#1095;&#1077;&#1090;%20&#1055;&#1058;&#1055;%20&#1085;&#1072;%202013%20-&#1058;&#1055;_&#1070;&#1071;%20&#1069;&#1057;_&#1080;&#1089;&#1087;&#1088;&#1072;&#1074;&#1083;&#1077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р. ставки"/>
      <sheetName val="Расчет СМР на 2013"/>
      <sheetName val="Расчет.ср.зар.платы"/>
      <sheetName val="НВВ"/>
      <sheetName val="Калькуляция "/>
      <sheetName val="Калькуляция для печати"/>
      <sheetName val="Приложен.3"/>
    </sheetNames>
    <sheetDataSet>
      <sheetData sheetId="6"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р. ставки"/>
      <sheetName val="Расчет СМР на 2013"/>
      <sheetName val="Расчет.ср.зар.платы"/>
      <sheetName val="НВВ"/>
      <sheetName val="Калькуляция "/>
      <sheetName val="Приложен.3"/>
    </sheetNames>
    <sheetDataSet>
      <sheetData sheetId="4">
        <row r="19">
          <cell r="I19">
            <v>3420.25</v>
          </cell>
        </row>
        <row r="55">
          <cell r="I55">
            <v>3686.9098595496966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oc@aldan.drsk.r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U18" sqref="BU18:CI18"/>
    </sheetView>
  </sheetViews>
  <sheetFormatPr defaultColWidth="9.140625" defaultRowHeight="12.75"/>
  <cols>
    <col min="1" max="1" width="4.8515625" style="142" customWidth="1"/>
    <col min="2" max="2" width="48.421875" style="145" customWidth="1"/>
    <col min="3" max="3" width="11.140625" style="145" customWidth="1"/>
    <col min="4" max="5" width="7.421875" style="145" hidden="1" customWidth="1"/>
    <col min="6" max="7" width="9.140625" style="145" customWidth="1"/>
    <col min="8" max="8" width="9.57421875" style="145" bestFit="1" customWidth="1"/>
    <col min="9" max="16384" width="9.140625" style="145" customWidth="1"/>
  </cols>
  <sheetData>
    <row r="1" spans="2:3" ht="20.25">
      <c r="B1" s="143" t="s">
        <v>184</v>
      </c>
      <c r="C1" s="144"/>
    </row>
    <row r="2" spans="2:3" ht="15">
      <c r="B2" s="146" t="s">
        <v>271</v>
      </c>
      <c r="C2" s="147"/>
    </row>
    <row r="3" spans="2:3" ht="17.25">
      <c r="B3" s="148"/>
      <c r="C3" s="149"/>
    </row>
    <row r="5" spans="1:7" s="152" customFormat="1" ht="33.75" customHeight="1">
      <c r="A5" s="301"/>
      <c r="B5" s="302"/>
      <c r="C5" s="303" t="s">
        <v>185</v>
      </c>
      <c r="D5" s="299" t="s">
        <v>186</v>
      </c>
      <c r="E5" s="299" t="s">
        <v>186</v>
      </c>
      <c r="F5" s="299" t="s">
        <v>261</v>
      </c>
      <c r="G5" s="299" t="s">
        <v>287</v>
      </c>
    </row>
    <row r="6" spans="1:7" s="152" customFormat="1" ht="46.5" customHeight="1">
      <c r="A6" s="301"/>
      <c r="B6" s="302"/>
      <c r="C6" s="303"/>
      <c r="D6" s="300"/>
      <c r="E6" s="300"/>
      <c r="F6" s="300"/>
      <c r="G6" s="300"/>
    </row>
    <row r="7" spans="1:7" s="152" customFormat="1" ht="9.75">
      <c r="A7" s="151"/>
      <c r="B7" s="153"/>
      <c r="C7" s="153"/>
      <c r="D7" s="150" t="s">
        <v>187</v>
      </c>
      <c r="E7" s="150" t="s">
        <v>187</v>
      </c>
      <c r="F7" s="150" t="s">
        <v>187</v>
      </c>
      <c r="G7" s="150" t="s">
        <v>187</v>
      </c>
    </row>
    <row r="8" spans="1:9" s="155" customFormat="1" ht="9.75">
      <c r="A8" s="154">
        <v>1</v>
      </c>
      <c r="B8" s="154">
        <v>2</v>
      </c>
      <c r="C8" s="154">
        <v>3</v>
      </c>
      <c r="D8" s="154">
        <v>32</v>
      </c>
      <c r="E8" s="154">
        <v>32</v>
      </c>
      <c r="F8" s="154">
        <v>32</v>
      </c>
      <c r="G8" s="151">
        <v>32</v>
      </c>
      <c r="H8" s="193"/>
      <c r="I8" s="193"/>
    </row>
    <row r="9" spans="1:9" s="159" customFormat="1" ht="9.75">
      <c r="A9" s="156">
        <v>1</v>
      </c>
      <c r="B9" s="162" t="s">
        <v>263</v>
      </c>
      <c r="C9" s="157" t="s">
        <v>188</v>
      </c>
      <c r="D9" s="158">
        <v>426.021812080537</v>
      </c>
      <c r="E9" s="158">
        <v>437.2831413425225</v>
      </c>
      <c r="F9" s="158">
        <v>726.0191954722195</v>
      </c>
      <c r="G9" s="158">
        <v>784.8164367779863</v>
      </c>
      <c r="H9" s="194"/>
      <c r="I9" s="194"/>
    </row>
    <row r="10" spans="1:9" s="159" customFormat="1" ht="9.75">
      <c r="A10" s="156">
        <f aca="true" t="shared" si="0" ref="A10:A43">A9+1</f>
        <v>2</v>
      </c>
      <c r="B10" s="162" t="s">
        <v>216</v>
      </c>
      <c r="C10" s="157" t="s">
        <v>189</v>
      </c>
      <c r="D10" s="158">
        <v>290.41107382550337</v>
      </c>
      <c r="E10" s="158">
        <v>298.0877106336148</v>
      </c>
      <c r="F10" s="158">
        <v>503.32300280353275</v>
      </c>
      <c r="G10" s="158">
        <v>544.0850160328578</v>
      </c>
      <c r="H10" s="194"/>
      <c r="I10" s="194"/>
    </row>
    <row r="11" spans="1:9" s="159" customFormat="1" ht="9.75">
      <c r="A11" s="156">
        <f t="shared" si="0"/>
        <v>3</v>
      </c>
      <c r="B11" s="162" t="s">
        <v>190</v>
      </c>
      <c r="C11" s="157" t="s">
        <v>189</v>
      </c>
      <c r="D11" s="158">
        <v>336.2013422818792</v>
      </c>
      <c r="E11" s="158">
        <v>345.08838493180343</v>
      </c>
      <c r="F11" s="158">
        <v>526.0998090862004</v>
      </c>
      <c r="G11" s="158">
        <v>568.7064200665608</v>
      </c>
      <c r="H11" s="194"/>
      <c r="I11" s="194"/>
    </row>
    <row r="12" spans="1:9" s="159" customFormat="1" ht="9.75">
      <c r="A12" s="156">
        <f t="shared" si="0"/>
        <v>4</v>
      </c>
      <c r="B12" s="162" t="s">
        <v>217</v>
      </c>
      <c r="C12" s="157" t="s">
        <v>188</v>
      </c>
      <c r="D12" s="158">
        <v>521.5512121212121</v>
      </c>
      <c r="E12" s="158">
        <v>535.3377360975344</v>
      </c>
      <c r="F12" s="158">
        <v>879.1937005477786</v>
      </c>
      <c r="G12" s="158">
        <v>933.9569458558601</v>
      </c>
      <c r="H12" s="194"/>
      <c r="I12" s="194"/>
    </row>
    <row r="13" spans="1:9" s="159" customFormat="1" ht="9.75">
      <c r="A13" s="156">
        <f t="shared" si="0"/>
        <v>5</v>
      </c>
      <c r="B13" s="162" t="s">
        <v>218</v>
      </c>
      <c r="C13" s="157" t="s">
        <v>189</v>
      </c>
      <c r="D13" s="158">
        <v>355.0487878787879</v>
      </c>
      <c r="E13" s="158">
        <v>364.4340380960139</v>
      </c>
      <c r="F13" s="158">
        <v>599.3142118076688</v>
      </c>
      <c r="G13" s="158">
        <v>636.6443145795546</v>
      </c>
      <c r="H13" s="194"/>
      <c r="I13" s="194"/>
    </row>
    <row r="14" spans="1:9" s="159" customFormat="1" ht="9.75">
      <c r="A14" s="156">
        <f t="shared" si="0"/>
        <v>6</v>
      </c>
      <c r="B14" s="162" t="s">
        <v>264</v>
      </c>
      <c r="C14" s="157" t="s">
        <v>188</v>
      </c>
      <c r="D14" s="158">
        <v>488.46303030303034</v>
      </c>
      <c r="E14" s="158">
        <v>501.3749114803954</v>
      </c>
      <c r="F14" s="158">
        <v>793.153530127815</v>
      </c>
      <c r="G14" s="158">
        <v>842.557502551978</v>
      </c>
      <c r="H14" s="194"/>
      <c r="I14" s="194"/>
    </row>
    <row r="15" spans="1:9" s="159" customFormat="1" ht="9.75">
      <c r="A15" s="156">
        <f t="shared" si="0"/>
        <v>7</v>
      </c>
      <c r="B15" s="162" t="s">
        <v>219</v>
      </c>
      <c r="C15" s="157" t="s">
        <v>188</v>
      </c>
      <c r="D15" s="158">
        <v>942.630303030303</v>
      </c>
      <c r="E15" s="158">
        <v>967.5475019007278</v>
      </c>
      <c r="F15" s="158">
        <v>1466.2933657942788</v>
      </c>
      <c r="G15" s="158">
        <v>1557.6258938078151</v>
      </c>
      <c r="H15" s="194"/>
      <c r="I15" s="194"/>
    </row>
    <row r="16" spans="1:9" s="159" customFormat="1" ht="12.75">
      <c r="A16" s="156">
        <f t="shared" si="0"/>
        <v>8</v>
      </c>
      <c r="B16" s="162" t="s">
        <v>191</v>
      </c>
      <c r="C16" s="157" t="s">
        <v>188</v>
      </c>
      <c r="D16" s="158">
        <v>942.630303030303</v>
      </c>
      <c r="E16" s="158">
        <v>967.5475019007278</v>
      </c>
      <c r="F16" s="158">
        <v>1466.2933657942788</v>
      </c>
      <c r="G16" s="158">
        <v>1557.6258938078151</v>
      </c>
      <c r="H16" s="195"/>
      <c r="I16" s="194"/>
    </row>
    <row r="17" spans="1:9" s="159" customFormat="1" ht="9.75">
      <c r="A17" s="156">
        <f t="shared" si="0"/>
        <v>9</v>
      </c>
      <c r="B17" s="162" t="s">
        <v>192</v>
      </c>
      <c r="C17" s="157" t="s">
        <v>188</v>
      </c>
      <c r="D17" s="158">
        <v>836.0239393939395</v>
      </c>
      <c r="E17" s="158">
        <v>858.1231385087434</v>
      </c>
      <c r="F17" s="158">
        <v>1300.4432440657333</v>
      </c>
      <c r="G17" s="158">
        <v>1381.4452943984847</v>
      </c>
      <c r="H17" s="194"/>
      <c r="I17" s="194"/>
    </row>
    <row r="18" spans="1:9" s="159" customFormat="1" ht="9.75">
      <c r="A18" s="156">
        <f t="shared" si="0"/>
        <v>10</v>
      </c>
      <c r="B18" s="162" t="s">
        <v>220</v>
      </c>
      <c r="C18" s="157" t="s">
        <v>188</v>
      </c>
      <c r="D18" s="158">
        <v>876.3953030303029</v>
      </c>
      <c r="E18" s="158">
        <v>899.5616663272509</v>
      </c>
      <c r="F18" s="158">
        <v>901.8777063599459</v>
      </c>
      <c r="G18" s="158">
        <v>957.7297410044652</v>
      </c>
      <c r="H18" s="194"/>
      <c r="I18" s="194"/>
    </row>
    <row r="19" spans="1:9" s="159" customFormat="1" ht="9.75">
      <c r="A19" s="156">
        <f t="shared" si="0"/>
        <v>11</v>
      </c>
      <c r="B19" s="162" t="s">
        <v>193</v>
      </c>
      <c r="C19" s="157" t="s">
        <v>188</v>
      </c>
      <c r="D19" s="158">
        <v>669.0436363636363</v>
      </c>
      <c r="E19" s="158">
        <v>686.7289296187683</v>
      </c>
      <c r="F19" s="158">
        <v>992.767498478393</v>
      </c>
      <c r="G19" s="158">
        <v>1054.6050321404173</v>
      </c>
      <c r="H19" s="194"/>
      <c r="I19" s="194"/>
    </row>
    <row r="20" spans="1:9" s="159" customFormat="1" ht="9.75">
      <c r="A20" s="156">
        <f t="shared" si="0"/>
        <v>12</v>
      </c>
      <c r="B20" s="162" t="s">
        <v>194</v>
      </c>
      <c r="C20" s="157" t="s">
        <v>188</v>
      </c>
      <c r="D20" s="158">
        <v>521.0887583892618</v>
      </c>
      <c r="E20" s="158">
        <v>534.8630580061822</v>
      </c>
      <c r="F20" s="158">
        <v>813.6613667117726</v>
      </c>
      <c r="G20" s="158">
        <v>864.0502858767791</v>
      </c>
      <c r="H20" s="194"/>
      <c r="I20" s="194"/>
    </row>
    <row r="21" spans="1:9" s="159" customFormat="1" ht="9.75">
      <c r="A21" s="156">
        <f t="shared" si="0"/>
        <v>13</v>
      </c>
      <c r="B21" s="162" t="s">
        <v>195</v>
      </c>
      <c r="C21" s="157" t="s">
        <v>188</v>
      </c>
      <c r="D21" s="158">
        <v>316.5113636363636</v>
      </c>
      <c r="E21" s="158">
        <v>324.8779274600847</v>
      </c>
      <c r="F21" s="158">
        <v>565.9532866707242</v>
      </c>
      <c r="G21" s="158">
        <v>601.2054030718696</v>
      </c>
      <c r="H21" s="194"/>
      <c r="I21" s="194"/>
    </row>
    <row r="22" spans="1:9" s="159" customFormat="1" ht="9.75">
      <c r="A22" s="156">
        <f t="shared" si="0"/>
        <v>14</v>
      </c>
      <c r="B22" s="162" t="s">
        <v>196</v>
      </c>
      <c r="C22" s="157" t="s">
        <v>197</v>
      </c>
      <c r="D22" s="158">
        <v>197.8682727272727</v>
      </c>
      <c r="E22" s="158">
        <v>203.0986616568915</v>
      </c>
      <c r="F22" s="158">
        <v>317.7618685331711</v>
      </c>
      <c r="G22" s="158">
        <v>337.5546299521785</v>
      </c>
      <c r="H22" s="194"/>
      <c r="I22" s="194"/>
    </row>
    <row r="23" spans="1:9" s="159" customFormat="1" ht="9.75">
      <c r="A23" s="156">
        <f t="shared" si="0"/>
        <v>15</v>
      </c>
      <c r="B23" s="162" t="s">
        <v>198</v>
      </c>
      <c r="C23" s="157" t="s">
        <v>197</v>
      </c>
      <c r="D23" s="158">
        <v>153.931696969697</v>
      </c>
      <c r="E23" s="158">
        <v>158.00067999891388</v>
      </c>
      <c r="F23" s="158">
        <v>239.48350578210588</v>
      </c>
      <c r="G23" s="158">
        <v>254.40046204124843</v>
      </c>
      <c r="H23" s="194"/>
      <c r="I23" s="194"/>
    </row>
    <row r="24" spans="1:9" s="159" customFormat="1" ht="9.75">
      <c r="A24" s="156">
        <f t="shared" si="0"/>
        <v>16</v>
      </c>
      <c r="B24" s="162" t="s">
        <v>199</v>
      </c>
      <c r="C24" s="157" t="s">
        <v>188</v>
      </c>
      <c r="D24" s="158">
        <v>393.1748322147651</v>
      </c>
      <c r="E24" s="158">
        <v>403.56789453585435</v>
      </c>
      <c r="F24" s="158">
        <v>728.3375169147496</v>
      </c>
      <c r="G24" s="158">
        <v>773.4424484822567</v>
      </c>
      <c r="H24" s="194"/>
      <c r="I24" s="194"/>
    </row>
    <row r="25" spans="1:9" s="159" customFormat="1" ht="9.75">
      <c r="A25" s="156">
        <f t="shared" si="0"/>
        <v>17</v>
      </c>
      <c r="B25" s="162" t="s">
        <v>221</v>
      </c>
      <c r="C25" s="157" t="s">
        <v>188</v>
      </c>
      <c r="D25" s="158">
        <v>496.93060606060607</v>
      </c>
      <c r="E25" s="158">
        <v>510.06631652546974</v>
      </c>
      <c r="F25" s="158">
        <v>792.1561168594035</v>
      </c>
      <c r="G25" s="158">
        <v>841.4979623740388</v>
      </c>
      <c r="H25" s="194"/>
      <c r="I25" s="194"/>
    </row>
    <row r="26" spans="1:9" s="159" customFormat="1" ht="9.75">
      <c r="A26" s="156">
        <f t="shared" si="0"/>
        <v>18</v>
      </c>
      <c r="B26" s="162" t="s">
        <v>222</v>
      </c>
      <c r="C26" s="157" t="s">
        <v>188</v>
      </c>
      <c r="D26" s="158">
        <v>434.54651515151517</v>
      </c>
      <c r="E26" s="158">
        <v>446.0331837867927</v>
      </c>
      <c r="F26" s="158">
        <v>695.7058734023128</v>
      </c>
      <c r="G26" s="158">
        <v>739.0400230711134</v>
      </c>
      <c r="H26" s="194"/>
      <c r="I26" s="194"/>
    </row>
    <row r="27" spans="1:9" s="159" customFormat="1" ht="9.75">
      <c r="A27" s="156">
        <f t="shared" si="0"/>
        <v>19</v>
      </c>
      <c r="B27" s="162" t="s">
        <v>200</v>
      </c>
      <c r="C27" s="157" t="s">
        <v>188</v>
      </c>
      <c r="D27" s="158">
        <v>339.0574242424243</v>
      </c>
      <c r="E27" s="158">
        <v>348.01996368252424</v>
      </c>
      <c r="F27" s="158">
        <v>540.4143335362143</v>
      </c>
      <c r="G27" s="158">
        <v>574.0756788086023</v>
      </c>
      <c r="H27" s="194"/>
      <c r="I27" s="194"/>
    </row>
    <row r="28" spans="1:9" s="159" customFormat="1" ht="9.75">
      <c r="A28" s="156">
        <f t="shared" si="0"/>
        <v>20</v>
      </c>
      <c r="B28" s="162" t="s">
        <v>223</v>
      </c>
      <c r="C28" s="157" t="s">
        <v>188</v>
      </c>
      <c r="D28" s="158">
        <v>598.8486363636364</v>
      </c>
      <c r="E28" s="158">
        <v>614.6784166259368</v>
      </c>
      <c r="F28" s="158">
        <v>1074.9426354230065</v>
      </c>
      <c r="G28" s="158">
        <v>1141.898696640357</v>
      </c>
      <c r="H28" s="194"/>
      <c r="I28" s="194"/>
    </row>
    <row r="29" spans="1:9" s="159" customFormat="1" ht="9.75">
      <c r="A29" s="156">
        <f t="shared" si="0"/>
        <v>21</v>
      </c>
      <c r="B29" s="162" t="s">
        <v>265</v>
      </c>
      <c r="C29" s="157" t="s">
        <v>188</v>
      </c>
      <c r="D29" s="158">
        <v>537.4943939393941</v>
      </c>
      <c r="E29" s="158">
        <v>551.7023550695125</v>
      </c>
      <c r="F29" s="158">
        <v>864.3079732197201</v>
      </c>
      <c r="G29" s="158">
        <v>918.1440158684246</v>
      </c>
      <c r="H29" s="194"/>
      <c r="I29" s="194"/>
    </row>
    <row r="30" spans="1:9" s="159" customFormat="1" ht="9.75">
      <c r="A30" s="156">
        <f t="shared" si="0"/>
        <v>22</v>
      </c>
      <c r="B30" s="162" t="s">
        <v>266</v>
      </c>
      <c r="C30" s="157" t="s">
        <v>188</v>
      </c>
      <c r="D30" s="158">
        <v>534.4622727272728</v>
      </c>
      <c r="E30" s="158">
        <v>548.5900836999023</v>
      </c>
      <c r="F30" s="158">
        <v>798.8323189287887</v>
      </c>
      <c r="G30" s="158">
        <v>848.5900119312122</v>
      </c>
      <c r="H30" s="194"/>
      <c r="I30" s="194"/>
    </row>
    <row r="31" spans="1:9" s="159" customFormat="1" ht="9.75">
      <c r="A31" s="156">
        <f t="shared" si="0"/>
        <v>23</v>
      </c>
      <c r="B31" s="162" t="s">
        <v>267</v>
      </c>
      <c r="C31" s="157" t="s">
        <v>188</v>
      </c>
      <c r="D31" s="158">
        <v>452.62303030303025</v>
      </c>
      <c r="E31" s="158">
        <v>464.5875279678505</v>
      </c>
      <c r="F31" s="158">
        <v>743.2866707242848</v>
      </c>
      <c r="G31" s="158">
        <v>789.5845346167813</v>
      </c>
      <c r="H31" s="194"/>
      <c r="I31" s="194"/>
    </row>
    <row r="32" spans="1:9" s="159" customFormat="1" ht="9.75">
      <c r="A32" s="156">
        <f t="shared" si="0"/>
        <v>24</v>
      </c>
      <c r="B32" s="162" t="s">
        <v>224</v>
      </c>
      <c r="C32" s="157" t="s">
        <v>188</v>
      </c>
      <c r="D32" s="158">
        <v>335.81833333333327</v>
      </c>
      <c r="E32" s="158">
        <v>344.6952516427717</v>
      </c>
      <c r="F32" s="158">
        <v>565.9532866707242</v>
      </c>
      <c r="G32" s="158">
        <v>601.2054030718696</v>
      </c>
      <c r="H32" s="194"/>
      <c r="I32" s="194"/>
    </row>
    <row r="33" spans="1:9" s="159" customFormat="1" ht="9.75">
      <c r="A33" s="156">
        <f t="shared" si="0"/>
        <v>25</v>
      </c>
      <c r="B33" s="162" t="s">
        <v>225</v>
      </c>
      <c r="C33" s="157" t="s">
        <v>188</v>
      </c>
      <c r="D33" s="158">
        <v>444.00863636363636</v>
      </c>
      <c r="E33" s="158">
        <v>455.74542379439555</v>
      </c>
      <c r="F33" s="158">
        <v>792.1036214242239</v>
      </c>
      <c r="G33" s="158">
        <v>841.4421971015155</v>
      </c>
      <c r="H33" s="194"/>
      <c r="I33" s="194"/>
    </row>
    <row r="34" spans="1:9" s="159" customFormat="1" ht="9.75">
      <c r="A34" s="156">
        <f t="shared" si="0"/>
        <v>26</v>
      </c>
      <c r="B34" s="162" t="s">
        <v>226</v>
      </c>
      <c r="C34" s="157" t="s">
        <v>189</v>
      </c>
      <c r="D34" s="158">
        <v>267.5427272727273</v>
      </c>
      <c r="E34" s="158">
        <v>274.61486925708704</v>
      </c>
      <c r="F34" s="158">
        <v>512.0667985392574</v>
      </c>
      <c r="G34" s="158">
        <v>543.9624316461116</v>
      </c>
      <c r="H34" s="194"/>
      <c r="I34" s="194"/>
    </row>
    <row r="35" spans="1:9" s="159" customFormat="1" ht="9.75">
      <c r="A35" s="156">
        <f t="shared" si="0"/>
        <v>27</v>
      </c>
      <c r="B35" s="162" t="s">
        <v>226</v>
      </c>
      <c r="C35" s="157" t="s">
        <v>189</v>
      </c>
      <c r="D35" s="158">
        <v>283.25348484848485</v>
      </c>
      <c r="E35" s="158">
        <v>290.74092015585967</v>
      </c>
      <c r="F35" s="158">
        <v>413.35362142422395</v>
      </c>
      <c r="G35" s="158">
        <v>439.10060500126167</v>
      </c>
      <c r="H35" s="194"/>
      <c r="I35" s="194"/>
    </row>
    <row r="36" spans="1:9" s="159" customFormat="1" ht="9.75">
      <c r="A36" s="156">
        <f t="shared" si="0"/>
        <v>28</v>
      </c>
      <c r="B36" s="162" t="s">
        <v>227</v>
      </c>
      <c r="C36" s="157" t="s">
        <v>189</v>
      </c>
      <c r="D36" s="158">
        <v>199.21812080536915</v>
      </c>
      <c r="E36" s="158">
        <v>204.48419120300213</v>
      </c>
      <c r="F36" s="158">
        <v>405.45855886332873</v>
      </c>
      <c r="G36" s="158">
        <v>430.56804468037075</v>
      </c>
      <c r="H36" s="194"/>
      <c r="I36" s="194"/>
    </row>
    <row r="37" spans="1:9" s="159" customFormat="1" ht="9.75">
      <c r="A37" s="156">
        <f t="shared" si="0"/>
        <v>29</v>
      </c>
      <c r="B37" s="162" t="s">
        <v>228</v>
      </c>
      <c r="C37" s="157" t="s">
        <v>188</v>
      </c>
      <c r="D37" s="158">
        <v>496.93060606060607</v>
      </c>
      <c r="E37" s="158">
        <v>510.06631652546974</v>
      </c>
      <c r="F37" s="158">
        <v>865.6314668289714</v>
      </c>
      <c r="G37" s="158">
        <v>919.5499472898915</v>
      </c>
      <c r="H37" s="194"/>
      <c r="I37" s="194"/>
    </row>
    <row r="38" spans="1:9" s="159" customFormat="1" ht="9.75">
      <c r="A38" s="156">
        <f t="shared" si="0"/>
        <v>30</v>
      </c>
      <c r="B38" s="162" t="s">
        <v>229</v>
      </c>
      <c r="C38" s="157" t="s">
        <v>189</v>
      </c>
      <c r="D38" s="158">
        <v>333.1543624161074</v>
      </c>
      <c r="E38" s="158">
        <v>341.9608621394722</v>
      </c>
      <c r="F38" s="158">
        <v>607.8071718538565</v>
      </c>
      <c r="G38" s="158">
        <v>645.4478264350445</v>
      </c>
      <c r="H38" s="194"/>
      <c r="I38" s="194"/>
    </row>
    <row r="39" spans="1:9" s="159" customFormat="1" ht="9.75">
      <c r="A39" s="156">
        <f t="shared" si="0"/>
        <v>31</v>
      </c>
      <c r="B39" s="162" t="s">
        <v>201</v>
      </c>
      <c r="C39" s="157" t="s">
        <v>197</v>
      </c>
      <c r="D39" s="158">
        <v>214.8920909090909</v>
      </c>
      <c r="E39" s="158">
        <v>220.5724822010427</v>
      </c>
      <c r="F39" s="158">
        <v>341.37538040170415</v>
      </c>
      <c r="G39" s="158">
        <v>362.63898100238004</v>
      </c>
      <c r="H39" s="194"/>
      <c r="I39" s="194"/>
    </row>
    <row r="40" spans="1:9" s="159" customFormat="1" ht="9.75">
      <c r="A40" s="156">
        <f t="shared" si="0"/>
        <v>32</v>
      </c>
      <c r="B40" s="162" t="s">
        <v>202</v>
      </c>
      <c r="C40" s="157" t="s">
        <v>188</v>
      </c>
      <c r="D40" s="158">
        <v>521.5512121212121</v>
      </c>
      <c r="E40" s="158">
        <v>535.3377360975344</v>
      </c>
      <c r="F40" s="158">
        <v>838.693396226415</v>
      </c>
      <c r="G40" s="158">
        <v>890.9339572850292</v>
      </c>
      <c r="H40" s="194"/>
      <c r="I40" s="194"/>
    </row>
    <row r="41" spans="1:9" s="159" customFormat="1" ht="9.75">
      <c r="A41" s="156">
        <f t="shared" si="0"/>
        <v>33</v>
      </c>
      <c r="B41" s="162" t="s">
        <v>230</v>
      </c>
      <c r="C41" s="157" t="s">
        <v>189</v>
      </c>
      <c r="D41" s="158">
        <v>347.0498322147651</v>
      </c>
      <c r="E41" s="158">
        <v>356.22364050359624</v>
      </c>
      <c r="F41" s="158">
        <v>547.3572395128552</v>
      </c>
      <c r="G41" s="158">
        <v>581.254313682243</v>
      </c>
      <c r="H41" s="194"/>
      <c r="I41" s="194"/>
    </row>
    <row r="42" spans="1:9" s="159" customFormat="1" ht="9.75">
      <c r="A42" s="156">
        <f t="shared" si="0"/>
        <v>34</v>
      </c>
      <c r="B42" s="162" t="s">
        <v>203</v>
      </c>
      <c r="C42" s="157" t="s">
        <v>188</v>
      </c>
      <c r="D42" s="158">
        <v>509.8943939393939</v>
      </c>
      <c r="E42" s="158">
        <v>523.3727851770392</v>
      </c>
      <c r="F42" s="158">
        <v>793.153530127815</v>
      </c>
      <c r="G42" s="158">
        <v>842.557502551978</v>
      </c>
      <c r="H42" s="194"/>
      <c r="I42" s="194"/>
    </row>
    <row r="43" spans="1:9" s="159" customFormat="1" ht="9.75">
      <c r="A43" s="156">
        <f t="shared" si="0"/>
        <v>35</v>
      </c>
      <c r="B43" s="162" t="s">
        <v>268</v>
      </c>
      <c r="C43" s="157" t="s">
        <v>189</v>
      </c>
      <c r="D43" s="158">
        <v>291.71090604026847</v>
      </c>
      <c r="E43" s="158">
        <v>299.4219022124799</v>
      </c>
      <c r="F43" s="158">
        <v>517.4895128552097</v>
      </c>
      <c r="G43" s="158">
        <v>549.5369201659181</v>
      </c>
      <c r="H43" s="194"/>
      <c r="I43" s="194"/>
    </row>
    <row r="44" spans="1:9" s="160" customFormat="1" ht="12">
      <c r="A44" s="156">
        <v>36</v>
      </c>
      <c r="B44" s="162" t="s">
        <v>204</v>
      </c>
      <c r="C44" s="157" t="s">
        <v>188</v>
      </c>
      <c r="D44" s="158">
        <v>894.455201342282</v>
      </c>
      <c r="E44" s="158">
        <v>918.0989544243585</v>
      </c>
      <c r="F44" s="158">
        <v>1410.6748985115019</v>
      </c>
      <c r="G44" s="158">
        <v>1498.036037109569</v>
      </c>
      <c r="H44" s="196"/>
      <c r="I44" s="194"/>
    </row>
    <row r="45" spans="1:9" s="160" customFormat="1" ht="12">
      <c r="A45" s="156">
        <v>37</v>
      </c>
      <c r="B45" s="162" t="s">
        <v>231</v>
      </c>
      <c r="C45" s="157" t="s">
        <v>188</v>
      </c>
      <c r="D45" s="158">
        <v>509.8943939393939</v>
      </c>
      <c r="E45" s="158">
        <v>523.3727851770392</v>
      </c>
      <c r="F45" s="158">
        <v>793.153530127815</v>
      </c>
      <c r="G45" s="158">
        <v>842.557502551978</v>
      </c>
      <c r="H45" s="196"/>
      <c r="I45" s="194"/>
    </row>
    <row r="46" spans="1:9" s="160" customFormat="1" ht="12">
      <c r="A46" s="156">
        <v>38</v>
      </c>
      <c r="B46" s="162" t="s">
        <v>269</v>
      </c>
      <c r="C46" s="157" t="s">
        <v>188</v>
      </c>
      <c r="D46" s="158">
        <v>396.21318181818185</v>
      </c>
      <c r="E46" s="158">
        <v>406.6865589361356</v>
      </c>
      <c r="F46" s="158">
        <v>766.2758673158855</v>
      </c>
      <c r="G46" s="158">
        <v>814.0056830201355</v>
      </c>
      <c r="H46" s="196"/>
      <c r="I46" s="194"/>
    </row>
    <row r="47" spans="1:9" s="160" customFormat="1" ht="12">
      <c r="A47" s="156">
        <v>39</v>
      </c>
      <c r="B47" s="162" t="s">
        <v>270</v>
      </c>
      <c r="C47" s="157" t="s">
        <v>189</v>
      </c>
      <c r="D47" s="158">
        <v>280.4433333333334</v>
      </c>
      <c r="E47" s="158">
        <v>287.85648596176827</v>
      </c>
      <c r="F47" s="158">
        <v>471.1806147291539</v>
      </c>
      <c r="G47" s="158">
        <v>500.52952791261805</v>
      </c>
      <c r="H47" s="196"/>
      <c r="I47" s="194"/>
    </row>
    <row r="48" spans="1:9" s="164" customFormat="1" ht="9.75">
      <c r="A48" s="161"/>
      <c r="B48" s="162"/>
      <c r="C48" s="162"/>
      <c r="D48" s="163"/>
      <c r="E48" s="163"/>
      <c r="F48" s="163"/>
      <c r="G48" s="163"/>
      <c r="H48" s="197"/>
      <c r="I48" s="197"/>
    </row>
    <row r="49" spans="1:9" s="164" customFormat="1" ht="9.75">
      <c r="A49" s="161"/>
      <c r="B49" s="162"/>
      <c r="C49" s="157"/>
      <c r="D49" s="163"/>
      <c r="E49" s="163"/>
      <c r="F49" s="163"/>
      <c r="G49" s="162"/>
      <c r="H49" s="197"/>
      <c r="I49" s="197"/>
    </row>
    <row r="50" spans="1:9" ht="24.75" customHeight="1">
      <c r="A50" s="157" t="s">
        <v>205</v>
      </c>
      <c r="B50" s="165" t="s">
        <v>9</v>
      </c>
      <c r="E50" s="166">
        <f>(E9+E10+E11+E12+E14+E15+E16+E17+E18+E19+E20+E21+E25+E26+E33+E34+E37+E38+E39+E40+E41+E42+E44+E45+E46)/25</f>
        <v>535.1429409101517</v>
      </c>
      <c r="F50" s="166">
        <f>(F9+F10+F11+F12+F14+F15+F16+F17+F18+F19+F20+F21+F25+F26+F33+F34+F37+F38+F39+F40+F41+F42+F44+F45+F46)/25</f>
        <v>827.6493585217877</v>
      </c>
      <c r="G50" s="166">
        <f>(G9+G10+G11+G12+G14+G15+G16+G17+G18+G19+G20+G21+G25+G26+G33+G34+G37+G38+G39+G40+G41+G42+G44+G45+G46)/25</f>
        <v>880.453369220557</v>
      </c>
      <c r="H50" s="198"/>
      <c r="I50" s="198"/>
    </row>
    <row r="51" spans="1:9" s="167" customFormat="1" ht="21">
      <c r="A51" s="157" t="s">
        <v>206</v>
      </c>
      <c r="B51" s="165" t="s">
        <v>36</v>
      </c>
      <c r="E51" s="166">
        <f>(E13+E47+E21+E33+E34+E38+E39)/7</f>
        <v>324.29458412998065</v>
      </c>
      <c r="F51" s="166">
        <f>(F13+F47+F21+F33+F34+F38+F39)/7</f>
        <v>555.6858693466556</v>
      </c>
      <c r="G51" s="166">
        <f>(G13+G47+G21+G33+G34+G38+G39)/7</f>
        <v>590.2672402498705</v>
      </c>
      <c r="H51" s="198"/>
      <c r="I51" s="198"/>
    </row>
    <row r="52" spans="1:9" s="167" customFormat="1" ht="21">
      <c r="A52" s="157" t="s">
        <v>207</v>
      </c>
      <c r="B52" s="165" t="s">
        <v>46</v>
      </c>
      <c r="E52" s="166">
        <f>(E22+E23+E34+E39)/4</f>
        <v>214.0716732784838</v>
      </c>
      <c r="F52" s="166">
        <f>(F22+F23+F34+F39)/4</f>
        <v>352.67188831405963</v>
      </c>
      <c r="G52" s="166">
        <f>(G22+G23+G34+G39)/4</f>
        <v>374.63912616047963</v>
      </c>
      <c r="H52" s="198"/>
      <c r="I52" s="198"/>
    </row>
    <row r="53" spans="8:9" ht="12">
      <c r="H53" s="199"/>
      <c r="I53" s="199"/>
    </row>
    <row r="54" spans="8:9" ht="12">
      <c r="H54" s="199"/>
      <c r="I54" s="199"/>
    </row>
  </sheetData>
  <sheetProtection/>
  <mergeCells count="7">
    <mergeCell ref="G5:G6"/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F24" sqref="F24"/>
    </sheetView>
  </sheetViews>
  <sheetFormatPr defaultColWidth="9.140625" defaultRowHeight="12.75"/>
  <cols>
    <col min="3" max="3" width="22.7109375" style="0" customWidth="1"/>
    <col min="8" max="8" width="17.7109375" style="0" customWidth="1"/>
  </cols>
  <sheetData>
    <row r="1" spans="7:8" ht="13.5">
      <c r="G1" s="369" t="s">
        <v>434</v>
      </c>
      <c r="H1" s="369"/>
    </row>
    <row r="2" spans="7:8" ht="72" customHeight="1">
      <c r="G2" s="370" t="s">
        <v>289</v>
      </c>
      <c r="H2" s="370"/>
    </row>
    <row r="3" spans="1:8" ht="16.5">
      <c r="A3" s="290"/>
      <c r="B3" s="290"/>
      <c r="C3" s="290"/>
      <c r="D3" s="290"/>
      <c r="E3" s="290"/>
      <c r="F3" s="290"/>
      <c r="G3" s="290"/>
      <c r="H3" s="290"/>
    </row>
    <row r="4" spans="1:8" ht="16.5">
      <c r="A4" s="371" t="s">
        <v>435</v>
      </c>
      <c r="B4" s="371"/>
      <c r="C4" s="371"/>
      <c r="D4" s="371"/>
      <c r="E4" s="371"/>
      <c r="F4" s="371"/>
      <c r="G4" s="371"/>
      <c r="H4" s="371"/>
    </row>
    <row r="5" spans="1:8" ht="16.5">
      <c r="A5" s="371" t="s">
        <v>436</v>
      </c>
      <c r="B5" s="371"/>
      <c r="C5" s="371"/>
      <c r="D5" s="371"/>
      <c r="E5" s="371"/>
      <c r="F5" s="371"/>
      <c r="G5" s="371"/>
      <c r="H5" s="371"/>
    </row>
    <row r="6" spans="1:8" ht="16.5">
      <c r="A6" s="371" t="s">
        <v>452</v>
      </c>
      <c r="B6" s="371"/>
      <c r="C6" s="371"/>
      <c r="D6" s="371"/>
      <c r="E6" s="371"/>
      <c r="F6" s="371"/>
      <c r="G6" s="371"/>
      <c r="H6" s="371"/>
    </row>
    <row r="7" spans="1:8" ht="16.5">
      <c r="A7" s="371" t="s">
        <v>437</v>
      </c>
      <c r="B7" s="371"/>
      <c r="C7" s="371"/>
      <c r="D7" s="371"/>
      <c r="E7" s="371"/>
      <c r="F7" s="371"/>
      <c r="G7" s="290"/>
      <c r="H7" s="290"/>
    </row>
    <row r="8" spans="1:8" ht="16.5">
      <c r="A8" s="290"/>
      <c r="B8" s="290"/>
      <c r="C8" s="290"/>
      <c r="D8" s="290"/>
      <c r="E8" s="290"/>
      <c r="F8" s="290"/>
      <c r="G8" s="290"/>
      <c r="H8" s="290"/>
    </row>
    <row r="9" spans="1:8" ht="57.75" customHeight="1">
      <c r="A9" s="291" t="s">
        <v>438</v>
      </c>
      <c r="B9" s="290"/>
      <c r="C9" s="290"/>
      <c r="D9" s="367" t="s">
        <v>439</v>
      </c>
      <c r="E9" s="367"/>
      <c r="F9" s="367"/>
      <c r="G9" s="367"/>
      <c r="H9" s="367"/>
    </row>
    <row r="10" spans="1:8" ht="25.5" customHeight="1">
      <c r="A10" s="291" t="s">
        <v>440</v>
      </c>
      <c r="B10" s="290"/>
      <c r="C10" s="290"/>
      <c r="D10" s="292" t="s">
        <v>441</v>
      </c>
      <c r="E10" s="292"/>
      <c r="F10" s="292"/>
      <c r="G10" s="292"/>
      <c r="H10" s="292"/>
    </row>
    <row r="11" spans="1:8" ht="43.5" customHeight="1">
      <c r="A11" s="368" t="s">
        <v>442</v>
      </c>
      <c r="B11" s="368"/>
      <c r="C11" s="368"/>
      <c r="D11" s="367" t="s">
        <v>453</v>
      </c>
      <c r="E11" s="367"/>
      <c r="F11" s="367"/>
      <c r="G11" s="367"/>
      <c r="H11" s="367"/>
    </row>
    <row r="12" spans="1:8" ht="39.75" customHeight="1">
      <c r="A12" s="291" t="s">
        <v>443</v>
      </c>
      <c r="B12" s="290"/>
      <c r="C12" s="290"/>
      <c r="D12" s="367" t="s">
        <v>444</v>
      </c>
      <c r="E12" s="367"/>
      <c r="F12" s="367"/>
      <c r="G12" s="367"/>
      <c r="H12" s="367"/>
    </row>
    <row r="13" spans="1:8" ht="21" customHeight="1">
      <c r="A13" s="290" t="s">
        <v>445</v>
      </c>
      <c r="B13" s="293"/>
      <c r="C13" s="294"/>
      <c r="D13" s="295" t="s">
        <v>446</v>
      </c>
      <c r="E13" s="296"/>
      <c r="F13" s="296"/>
      <c r="G13" s="296"/>
      <c r="H13" s="296"/>
    </row>
    <row r="14" spans="1:8" ht="21" customHeight="1">
      <c r="A14" s="290" t="s">
        <v>447</v>
      </c>
      <c r="B14" s="293"/>
      <c r="C14" s="294"/>
      <c r="D14" s="293" t="s">
        <v>454</v>
      </c>
      <c r="E14" s="292"/>
      <c r="F14" s="292"/>
      <c r="G14" s="292"/>
      <c r="H14" s="292"/>
    </row>
    <row r="15" spans="1:8" ht="21" customHeight="1">
      <c r="A15" s="290" t="s">
        <v>448</v>
      </c>
      <c r="B15" s="290"/>
      <c r="C15" s="290"/>
      <c r="D15" s="292" t="s">
        <v>455</v>
      </c>
      <c r="E15" s="292"/>
      <c r="F15" s="292"/>
      <c r="G15" s="292"/>
      <c r="H15" s="292"/>
    </row>
    <row r="16" spans="1:8" ht="21" customHeight="1">
      <c r="A16" s="290" t="s">
        <v>449</v>
      </c>
      <c r="B16" s="290"/>
      <c r="C16" s="290"/>
      <c r="D16" s="297" t="s">
        <v>456</v>
      </c>
      <c r="E16" s="292"/>
      <c r="F16" s="292"/>
      <c r="G16" s="292"/>
      <c r="H16" s="292"/>
    </row>
    <row r="17" spans="1:8" ht="23.25" customHeight="1">
      <c r="A17" s="290" t="s">
        <v>450</v>
      </c>
      <c r="B17" s="290"/>
      <c r="C17" s="290"/>
      <c r="D17" s="292" t="s">
        <v>457</v>
      </c>
      <c r="E17" s="292"/>
      <c r="F17" s="292"/>
      <c r="G17" s="292"/>
      <c r="H17" s="292"/>
    </row>
    <row r="18" spans="1:8" ht="21" customHeight="1">
      <c r="A18" s="290" t="s">
        <v>451</v>
      </c>
      <c r="B18" s="294"/>
      <c r="C18" s="294"/>
      <c r="D18" s="296" t="s">
        <v>458</v>
      </c>
      <c r="E18" s="296"/>
      <c r="F18" s="296"/>
      <c r="G18" s="296"/>
      <c r="H18" s="296"/>
    </row>
  </sheetData>
  <sheetProtection/>
  <mergeCells count="10">
    <mergeCell ref="D9:H9"/>
    <mergeCell ref="A11:C11"/>
    <mergeCell ref="D11:H11"/>
    <mergeCell ref="D12:H12"/>
    <mergeCell ref="G1:H1"/>
    <mergeCell ref="G2:H2"/>
    <mergeCell ref="A4:H4"/>
    <mergeCell ref="A5:H5"/>
    <mergeCell ref="A6:H6"/>
    <mergeCell ref="A7:F7"/>
  </mergeCells>
  <hyperlinks>
    <hyperlink ref="D16" r:id="rId1" display="doc@aldan.drsk.ru 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5"/>
  <sheetViews>
    <sheetView tabSelected="1" view="pageBreakPreview" zoomScaleSheetLayoutView="100" zoomScalePageLayoutView="0" workbookViewId="0" topLeftCell="A10">
      <selection activeCell="Q31" sqref="Q31"/>
    </sheetView>
  </sheetViews>
  <sheetFormatPr defaultColWidth="0" defaultRowHeight="12.75"/>
  <cols>
    <col min="1" max="51" width="0.85546875" style="234" customWidth="1"/>
    <col min="52" max="52" width="45.7109375" style="234" customWidth="1"/>
    <col min="53" max="53" width="4.28125" style="234" customWidth="1"/>
    <col min="54" max="65" width="0.85546875" style="234" customWidth="1"/>
    <col min="66" max="66" width="3.7109375" style="234" customWidth="1"/>
    <col min="67" max="67" width="3.57421875" style="234" customWidth="1"/>
    <col min="68" max="102" width="0.85546875" style="234" customWidth="1"/>
    <col min="103" max="103" width="13.8515625" style="234" customWidth="1"/>
    <col min="104" max="104" width="12.57421875" style="234" customWidth="1"/>
    <col min="105" max="105" width="12.7109375" style="234" customWidth="1"/>
    <col min="106" max="106" width="13.00390625" style="234" hidden="1" customWidth="1"/>
    <col min="107" max="107" width="14.57421875" style="234" customWidth="1"/>
    <col min="108" max="16384" width="0.85546875" style="234" hidden="1" customWidth="1"/>
  </cols>
  <sheetData>
    <row r="1" s="228" customFormat="1" ht="15" customHeight="1">
      <c r="CZ1" s="228" t="s">
        <v>288</v>
      </c>
    </row>
    <row r="2" spans="67:107" s="228" customFormat="1" ht="40.5" customHeight="1"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Z2" s="475" t="s">
        <v>289</v>
      </c>
      <c r="DA2" s="475"/>
      <c r="DB2" s="475"/>
      <c r="DC2" s="475"/>
    </row>
    <row r="3" s="229" customFormat="1" ht="15" customHeight="1">
      <c r="CZ3" s="229" t="s">
        <v>290</v>
      </c>
    </row>
    <row r="4" s="229" customFormat="1" ht="15" customHeight="1">
      <c r="CZ4" s="229" t="s">
        <v>291</v>
      </c>
    </row>
    <row r="5" s="230" customFormat="1" ht="15.75" customHeight="1"/>
    <row r="6" spans="1:106" s="232" customFormat="1" ht="17.25">
      <c r="A6" s="375" t="s">
        <v>293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</row>
    <row r="7" spans="1:106" s="233" customFormat="1" ht="57" customHeight="1">
      <c r="A7" s="376" t="s">
        <v>294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76"/>
      <c r="CV7" s="376"/>
      <c r="CW7" s="376"/>
      <c r="CX7" s="376"/>
      <c r="CY7" s="376"/>
      <c r="CZ7" s="376"/>
      <c r="DA7" s="376"/>
      <c r="DB7" s="376"/>
    </row>
    <row r="8" spans="1:106" s="233" customFormat="1" ht="23.25" customHeight="1">
      <c r="A8" s="376" t="s">
        <v>414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  <c r="CU8" s="376"/>
      <c r="CV8" s="376"/>
      <c r="CW8" s="376"/>
      <c r="CX8" s="376"/>
      <c r="CY8" s="376"/>
      <c r="CZ8" s="376"/>
      <c r="DA8" s="376"/>
      <c r="DB8" s="376"/>
    </row>
    <row r="9" spans="1:106" ht="14.25" customHeight="1">
      <c r="A9" s="470" t="s">
        <v>295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</row>
    <row r="10" spans="53:69" s="233" customFormat="1" ht="17.25">
      <c r="BA10" s="471" t="s">
        <v>296</v>
      </c>
      <c r="BD10" s="377" t="s">
        <v>415</v>
      </c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Q10" s="233" t="s">
        <v>297</v>
      </c>
    </row>
    <row r="12" spans="1:106" s="235" customFormat="1" ht="33" customHeight="1">
      <c r="A12" s="378" t="s">
        <v>298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84" t="s">
        <v>73</v>
      </c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 t="s">
        <v>422</v>
      </c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 t="s">
        <v>423</v>
      </c>
      <c r="DA12" s="384"/>
      <c r="DB12" s="384"/>
    </row>
    <row r="13" spans="1:106" s="235" customFormat="1" ht="50.25" customHeight="1">
      <c r="A13" s="380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 t="s">
        <v>459</v>
      </c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 t="s">
        <v>460</v>
      </c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298" t="s">
        <v>432</v>
      </c>
      <c r="CZ13" s="298" t="s">
        <v>461</v>
      </c>
      <c r="DA13" s="298" t="s">
        <v>460</v>
      </c>
      <c r="DB13" s="298" t="s">
        <v>432</v>
      </c>
    </row>
    <row r="14" spans="1:106" s="236" customFormat="1" ht="130.5" customHeight="1">
      <c r="A14" s="387" t="s">
        <v>300</v>
      </c>
      <c r="B14" s="387"/>
      <c r="C14" s="387"/>
      <c r="D14" s="387"/>
      <c r="E14" s="387"/>
      <c r="F14" s="387"/>
      <c r="G14" s="387"/>
      <c r="H14" s="387"/>
      <c r="I14" s="388" t="s">
        <v>301</v>
      </c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9"/>
      <c r="BB14" s="382" t="s">
        <v>302</v>
      </c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3">
        <f>BU15+BU16+BU17+BU18</f>
        <v>2588.8851958628566</v>
      </c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3">
        <f>CJ15+CJ16+CJ17+CJ18</f>
        <v>489.78909110918914</v>
      </c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472">
        <f>CY15+CY16+CY17+CY18</f>
        <v>98.45056378633399</v>
      </c>
      <c r="CZ14" s="472">
        <f>CZ15+CZ16+CZ17+CZ18</f>
        <v>2588.8851958628566</v>
      </c>
      <c r="DA14" s="472">
        <f>DA15+DA16+DA17+DA18</f>
        <v>489.78909110918914</v>
      </c>
      <c r="DB14" s="472">
        <f>DB15+DB16+DB17+DB18</f>
        <v>98.45056378633399</v>
      </c>
    </row>
    <row r="15" spans="1:106" s="236" customFormat="1" ht="36" customHeight="1">
      <c r="A15" s="387" t="s">
        <v>303</v>
      </c>
      <c r="B15" s="387"/>
      <c r="C15" s="387"/>
      <c r="D15" s="387"/>
      <c r="E15" s="387"/>
      <c r="F15" s="387"/>
      <c r="G15" s="387"/>
      <c r="H15" s="387"/>
      <c r="I15" s="388" t="s">
        <v>304</v>
      </c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9"/>
      <c r="BB15" s="382" t="s">
        <v>302</v>
      </c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473">
        <v>1037.4877372206574</v>
      </c>
      <c r="BV15" s="473"/>
      <c r="BW15" s="473"/>
      <c r="BX15" s="473"/>
      <c r="BY15" s="473"/>
      <c r="BZ15" s="473"/>
      <c r="CA15" s="473"/>
      <c r="CB15" s="473"/>
      <c r="CC15" s="473"/>
      <c r="CD15" s="473"/>
      <c r="CE15" s="473"/>
      <c r="CF15" s="473"/>
      <c r="CG15" s="473"/>
      <c r="CH15" s="473"/>
      <c r="CI15" s="473"/>
      <c r="CJ15" s="473">
        <v>196.28146379850278</v>
      </c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4">
        <v>39.453759021067256</v>
      </c>
      <c r="CZ15" s="474">
        <v>1037.4877372206574</v>
      </c>
      <c r="DA15" s="474">
        <v>196.28146379850278</v>
      </c>
      <c r="DB15" s="474">
        <v>39.453759021067256</v>
      </c>
    </row>
    <row r="16" spans="1:106" s="236" customFormat="1" ht="41.25" customHeight="1">
      <c r="A16" s="391" t="s">
        <v>305</v>
      </c>
      <c r="B16" s="391"/>
      <c r="C16" s="391"/>
      <c r="D16" s="391"/>
      <c r="E16" s="391"/>
      <c r="F16" s="391"/>
      <c r="G16" s="391"/>
      <c r="H16" s="391"/>
      <c r="I16" s="392" t="s">
        <v>306</v>
      </c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3"/>
      <c r="BB16" s="382" t="s">
        <v>307</v>
      </c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473">
        <v>497.8167803161547</v>
      </c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>
        <v>94.18155303278603</v>
      </c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4">
        <v>18.93106065991011</v>
      </c>
      <c r="CZ16" s="474">
        <v>497.8167803161547</v>
      </c>
      <c r="DA16" s="474">
        <v>94.18155303278603</v>
      </c>
      <c r="DB16" s="474">
        <v>18.93106065991011</v>
      </c>
    </row>
    <row r="17" spans="1:106" s="236" customFormat="1" ht="67.5" customHeight="1">
      <c r="A17" s="387" t="s">
        <v>308</v>
      </c>
      <c r="B17" s="387"/>
      <c r="C17" s="387"/>
      <c r="D17" s="387"/>
      <c r="E17" s="387"/>
      <c r="F17" s="387"/>
      <c r="G17" s="387"/>
      <c r="H17" s="387"/>
      <c r="I17" s="388" t="s">
        <v>309</v>
      </c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9"/>
      <c r="BB17" s="382" t="s">
        <v>307</v>
      </c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473">
        <v>49.78167803161547</v>
      </c>
      <c r="BV17" s="473"/>
      <c r="BW17" s="473"/>
      <c r="BX17" s="473"/>
      <c r="BY17" s="473"/>
      <c r="BZ17" s="473"/>
      <c r="CA17" s="473"/>
      <c r="CB17" s="473"/>
      <c r="CC17" s="473"/>
      <c r="CD17" s="473"/>
      <c r="CE17" s="473"/>
      <c r="CF17" s="473"/>
      <c r="CG17" s="473"/>
      <c r="CH17" s="473"/>
      <c r="CI17" s="473"/>
      <c r="CJ17" s="473">
        <v>9.418155303278603</v>
      </c>
      <c r="CK17" s="473"/>
      <c r="CL17" s="473"/>
      <c r="CM17" s="473"/>
      <c r="CN17" s="473"/>
      <c r="CO17" s="473"/>
      <c r="CP17" s="473"/>
      <c r="CQ17" s="473"/>
      <c r="CR17" s="473"/>
      <c r="CS17" s="473"/>
      <c r="CT17" s="473"/>
      <c r="CU17" s="473"/>
      <c r="CV17" s="473"/>
      <c r="CW17" s="473"/>
      <c r="CX17" s="473"/>
      <c r="CY17" s="474">
        <v>1.893106065991011</v>
      </c>
      <c r="CZ17" s="474">
        <v>49.78167803161547</v>
      </c>
      <c r="DA17" s="474">
        <v>9.418155303278603</v>
      </c>
      <c r="DB17" s="474">
        <v>1.893106065991011</v>
      </c>
    </row>
    <row r="18" spans="1:106" s="236" customFormat="1" ht="72" customHeight="1">
      <c r="A18" s="387" t="s">
        <v>310</v>
      </c>
      <c r="B18" s="387"/>
      <c r="C18" s="387"/>
      <c r="D18" s="387"/>
      <c r="E18" s="387"/>
      <c r="F18" s="387"/>
      <c r="G18" s="387"/>
      <c r="H18" s="387"/>
      <c r="I18" s="388" t="s">
        <v>311</v>
      </c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9"/>
      <c r="BB18" s="382" t="s">
        <v>302</v>
      </c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473">
        <v>1003.7990002944291</v>
      </c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>
        <v>189.9079189746217</v>
      </c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4">
        <v>38.172638039365616</v>
      </c>
      <c r="CZ18" s="474">
        <v>1003.7990002944291</v>
      </c>
      <c r="DA18" s="474">
        <v>189.9079189746217</v>
      </c>
      <c r="DB18" s="474">
        <v>38.172638039365616</v>
      </c>
    </row>
    <row r="19" spans="1:106" s="236" customFormat="1" ht="100.5" customHeight="1">
      <c r="A19" s="387" t="s">
        <v>312</v>
      </c>
      <c r="B19" s="387"/>
      <c r="C19" s="387"/>
      <c r="D19" s="387"/>
      <c r="E19" s="387"/>
      <c r="F19" s="387"/>
      <c r="G19" s="387"/>
      <c r="H19" s="387"/>
      <c r="I19" s="388" t="s">
        <v>313</v>
      </c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9"/>
      <c r="BB19" s="382" t="s">
        <v>307</v>
      </c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473"/>
      <c r="BV19" s="473"/>
      <c r="BW19" s="473"/>
      <c r="BX19" s="473"/>
      <c r="BY19" s="473"/>
      <c r="BZ19" s="473"/>
      <c r="CA19" s="473"/>
      <c r="CB19" s="473"/>
      <c r="CC19" s="473"/>
      <c r="CD19" s="473"/>
      <c r="CE19" s="473"/>
      <c r="CF19" s="473"/>
      <c r="CG19" s="473"/>
      <c r="CH19" s="473"/>
      <c r="CI19" s="473"/>
      <c r="CJ19" s="473"/>
      <c r="CK19" s="473"/>
      <c r="CL19" s="473"/>
      <c r="CM19" s="473"/>
      <c r="CN19" s="473"/>
      <c r="CO19" s="473"/>
      <c r="CP19" s="473"/>
      <c r="CQ19" s="473"/>
      <c r="CR19" s="473"/>
      <c r="CS19" s="473"/>
      <c r="CT19" s="473"/>
      <c r="CU19" s="473"/>
      <c r="CV19" s="473"/>
      <c r="CW19" s="473"/>
      <c r="CX19" s="473"/>
      <c r="CY19" s="474"/>
      <c r="CZ19" s="474"/>
      <c r="DA19" s="474"/>
      <c r="DB19" s="474"/>
    </row>
    <row r="20" spans="1:106" s="236" customFormat="1" ht="24" customHeight="1">
      <c r="A20" s="387"/>
      <c r="B20" s="387"/>
      <c r="C20" s="387"/>
      <c r="D20" s="387"/>
      <c r="E20" s="387"/>
      <c r="F20" s="387"/>
      <c r="G20" s="387"/>
      <c r="H20" s="387"/>
      <c r="I20" s="388" t="s">
        <v>178</v>
      </c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9"/>
      <c r="BB20" s="382" t="s">
        <v>307</v>
      </c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473">
        <v>4419.998277777777</v>
      </c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>
        <v>3047.24</v>
      </c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4"/>
      <c r="CZ20" s="474"/>
      <c r="DA20" s="474"/>
      <c r="DB20" s="474">
        <v>4766.188305913739</v>
      </c>
    </row>
    <row r="21" spans="1:106" s="236" customFormat="1" ht="24" customHeight="1">
      <c r="A21" s="387"/>
      <c r="B21" s="387"/>
      <c r="C21" s="387"/>
      <c r="D21" s="387"/>
      <c r="E21" s="387"/>
      <c r="F21" s="387"/>
      <c r="G21" s="387"/>
      <c r="H21" s="387"/>
      <c r="I21" s="388" t="s">
        <v>179</v>
      </c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9"/>
      <c r="BB21" s="382" t="s">
        <v>307</v>
      </c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473"/>
      <c r="BV21" s="473"/>
      <c r="BW21" s="473"/>
      <c r="BX21" s="473"/>
      <c r="BY21" s="473"/>
      <c r="BZ21" s="473"/>
      <c r="CA21" s="473"/>
      <c r="CB21" s="473"/>
      <c r="CC21" s="473"/>
      <c r="CD21" s="473"/>
      <c r="CE21" s="473"/>
      <c r="CF21" s="473"/>
      <c r="CG21" s="473"/>
      <c r="CH21" s="473"/>
      <c r="CI21" s="473"/>
      <c r="CJ21" s="473">
        <v>2522.1980613553114</v>
      </c>
      <c r="CK21" s="473"/>
      <c r="CL21" s="473"/>
      <c r="CM21" s="473"/>
      <c r="CN21" s="473"/>
      <c r="CO21" s="473"/>
      <c r="CP21" s="473"/>
      <c r="CQ21" s="473"/>
      <c r="CR21" s="473"/>
      <c r="CS21" s="473"/>
      <c r="CT21" s="473"/>
      <c r="CU21" s="473"/>
      <c r="CV21" s="473"/>
      <c r="CW21" s="473"/>
      <c r="CX21" s="473"/>
      <c r="CY21" s="474">
        <v>2244.0637096774194</v>
      </c>
      <c r="CZ21" s="474"/>
      <c r="DA21" s="474"/>
      <c r="DB21" s="474"/>
    </row>
    <row r="22" spans="1:106" s="236" customFormat="1" ht="99.75" customHeight="1">
      <c r="A22" s="391" t="s">
        <v>314</v>
      </c>
      <c r="B22" s="391"/>
      <c r="C22" s="391"/>
      <c r="D22" s="391"/>
      <c r="E22" s="391"/>
      <c r="F22" s="391"/>
      <c r="G22" s="391"/>
      <c r="H22" s="391"/>
      <c r="I22" s="392" t="s">
        <v>315</v>
      </c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3"/>
      <c r="BB22" s="382" t="s">
        <v>307</v>
      </c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73"/>
      <c r="CF22" s="473"/>
      <c r="CG22" s="473"/>
      <c r="CH22" s="473"/>
      <c r="CI22" s="473"/>
      <c r="CJ22" s="473"/>
      <c r="CK22" s="473"/>
      <c r="CL22" s="473"/>
      <c r="CM22" s="473"/>
      <c r="CN22" s="473"/>
      <c r="CO22" s="473"/>
      <c r="CP22" s="473"/>
      <c r="CQ22" s="473"/>
      <c r="CR22" s="473"/>
      <c r="CS22" s="473"/>
      <c r="CT22" s="473"/>
      <c r="CU22" s="473"/>
      <c r="CV22" s="473"/>
      <c r="CW22" s="473"/>
      <c r="CX22" s="473"/>
      <c r="CY22" s="474"/>
      <c r="CZ22" s="474"/>
      <c r="DA22" s="474"/>
      <c r="DB22" s="474"/>
    </row>
    <row r="23" spans="1:106" s="236" customFormat="1" ht="99.75" customHeight="1">
      <c r="A23" s="387" t="s">
        <v>316</v>
      </c>
      <c r="B23" s="387"/>
      <c r="C23" s="387"/>
      <c r="D23" s="387"/>
      <c r="E23" s="387"/>
      <c r="F23" s="387"/>
      <c r="G23" s="387"/>
      <c r="H23" s="387"/>
      <c r="I23" s="388" t="s">
        <v>317</v>
      </c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9"/>
      <c r="BB23" s="382" t="s">
        <v>302</v>
      </c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473">
        <v>8133.294117647059</v>
      </c>
      <c r="BV23" s="473"/>
      <c r="BW23" s="473"/>
      <c r="BX23" s="473"/>
      <c r="BY23" s="473"/>
      <c r="BZ23" s="473"/>
      <c r="CA23" s="473"/>
      <c r="CB23" s="473"/>
      <c r="CC23" s="473"/>
      <c r="CD23" s="473"/>
      <c r="CE23" s="473"/>
      <c r="CF23" s="473"/>
      <c r="CG23" s="473"/>
      <c r="CH23" s="473"/>
      <c r="CI23" s="473"/>
      <c r="CJ23" s="473">
        <v>4102.990566037736</v>
      </c>
      <c r="CK23" s="473"/>
      <c r="CL23" s="473"/>
      <c r="CM23" s="473"/>
      <c r="CN23" s="473"/>
      <c r="CO23" s="473"/>
      <c r="CP23" s="473"/>
      <c r="CQ23" s="473"/>
      <c r="CR23" s="473"/>
      <c r="CS23" s="473"/>
      <c r="CT23" s="473"/>
      <c r="CU23" s="473"/>
      <c r="CV23" s="473"/>
      <c r="CW23" s="473"/>
      <c r="CX23" s="473"/>
      <c r="CY23" s="474"/>
      <c r="CZ23" s="474"/>
      <c r="DA23" s="474"/>
      <c r="DB23" s="474"/>
    </row>
    <row r="24" ht="9" customHeight="1"/>
    <row r="25" spans="1:102" ht="44.25" customHeight="1">
      <c r="A25" s="394" t="s">
        <v>318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</row>
    <row r="26" ht="3" customHeight="1"/>
  </sheetData>
  <sheetProtection/>
  <mergeCells count="64">
    <mergeCell ref="CZ2:DC2"/>
    <mergeCell ref="BU15:CI15"/>
    <mergeCell ref="CJ15:CX15"/>
    <mergeCell ref="A16:H16"/>
    <mergeCell ref="I16:BA16"/>
    <mergeCell ref="BB16:BT16"/>
    <mergeCell ref="A25:CX25"/>
    <mergeCell ref="CJ13:CX13"/>
    <mergeCell ref="A14:H14"/>
    <mergeCell ref="I14:BA14"/>
    <mergeCell ref="BB14:BT14"/>
    <mergeCell ref="BU14:CI14"/>
    <mergeCell ref="CJ14:CX14"/>
    <mergeCell ref="A6:DB6"/>
    <mergeCell ref="A7:DB7"/>
    <mergeCell ref="A8:DB8"/>
    <mergeCell ref="A9:DB9"/>
    <mergeCell ref="BD10:BO10"/>
    <mergeCell ref="A12:BA13"/>
    <mergeCell ref="BB12:BT13"/>
    <mergeCell ref="BU12:CY12"/>
    <mergeCell ref="CZ12:DB12"/>
    <mergeCell ref="BU13:CI13"/>
    <mergeCell ref="A23:H23"/>
    <mergeCell ref="I23:BA23"/>
    <mergeCell ref="CJ22:CX22"/>
    <mergeCell ref="BB22:BT22"/>
    <mergeCell ref="CJ20:CX20"/>
    <mergeCell ref="CJ21:CX21"/>
    <mergeCell ref="CJ23:CX23"/>
    <mergeCell ref="A19:H19"/>
    <mergeCell ref="I19:BA19"/>
    <mergeCell ref="BB23:BT23"/>
    <mergeCell ref="BU23:CI23"/>
    <mergeCell ref="A22:H22"/>
    <mergeCell ref="I22:BA22"/>
    <mergeCell ref="BU20:CI20"/>
    <mergeCell ref="BU22:CI22"/>
    <mergeCell ref="BB19:BT19"/>
    <mergeCell ref="BU19:CI19"/>
    <mergeCell ref="BB21:BT21"/>
    <mergeCell ref="BU21:CI21"/>
    <mergeCell ref="A18:H18"/>
    <mergeCell ref="I18:BA18"/>
    <mergeCell ref="A20:H20"/>
    <mergeCell ref="I20:BA20"/>
    <mergeCell ref="BB20:BT20"/>
    <mergeCell ref="A15:H15"/>
    <mergeCell ref="I15:BA15"/>
    <mergeCell ref="BB15:BT15"/>
    <mergeCell ref="BU18:CI18"/>
    <mergeCell ref="BU16:CI16"/>
    <mergeCell ref="A21:H21"/>
    <mergeCell ref="I21:BA21"/>
    <mergeCell ref="CJ16:CX16"/>
    <mergeCell ref="CJ17:CX17"/>
    <mergeCell ref="CJ18:CX18"/>
    <mergeCell ref="A17:H17"/>
    <mergeCell ref="I17:BA17"/>
    <mergeCell ref="CJ19:CX19"/>
    <mergeCell ref="BO2:CX2"/>
    <mergeCell ref="BB17:BT17"/>
    <mergeCell ref="BU17:CI17"/>
    <mergeCell ref="BB18:BT18"/>
  </mergeCells>
  <printOptions/>
  <pageMargins left="0.75" right="0.75" top="1" bottom="1" header="0.5" footer="0.5"/>
  <pageSetup horizontalDpi="600" verticalDpi="60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6">
      <selection activeCell="BN2" sqref="BN2:CX2"/>
    </sheetView>
  </sheetViews>
  <sheetFormatPr defaultColWidth="0" defaultRowHeight="12.75"/>
  <cols>
    <col min="1" max="103" width="0.85546875" style="234" customWidth="1"/>
    <col min="104" max="104" width="0.71875" style="234" customWidth="1"/>
    <col min="105" max="16384" width="0.85546875" style="234" hidden="1" customWidth="1"/>
  </cols>
  <sheetData>
    <row r="1" s="228" customFormat="1" ht="12.75">
      <c r="BN1" s="228" t="s">
        <v>319</v>
      </c>
    </row>
    <row r="2" spans="66:102" s="228" customFormat="1" ht="41.25" customHeight="1">
      <c r="BN2" s="374" t="s">
        <v>289</v>
      </c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</row>
    <row r="3" s="228" customFormat="1" ht="5.25" customHeight="1"/>
    <row r="4" s="229" customFormat="1" ht="12">
      <c r="BN4" s="229" t="s">
        <v>290</v>
      </c>
    </row>
    <row r="5" s="229" customFormat="1" ht="12">
      <c r="BN5" s="229" t="s">
        <v>291</v>
      </c>
    </row>
    <row r="6" s="228" customFormat="1" ht="12.75"/>
    <row r="7" s="230" customFormat="1" ht="16.5">
      <c r="CX7" s="231" t="s">
        <v>292</v>
      </c>
    </row>
    <row r="8" s="230" customFormat="1" ht="20.25" customHeight="1"/>
    <row r="9" spans="1:102" s="232" customFormat="1" ht="17.25">
      <c r="A9" s="375" t="s">
        <v>320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</row>
    <row r="10" spans="1:102" s="233" customFormat="1" ht="18.75" customHeight="1">
      <c r="A10" s="396" t="s">
        <v>321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</row>
    <row r="11" ht="13.5" customHeight="1"/>
    <row r="12" spans="1:102" s="235" customFormat="1" ht="114" customHeight="1">
      <c r="A12" s="386" t="s">
        <v>2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97"/>
      <c r="AS12" s="384" t="s">
        <v>322</v>
      </c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5" t="s">
        <v>323</v>
      </c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5" t="s">
        <v>324</v>
      </c>
      <c r="CH12" s="386"/>
      <c r="CI12" s="386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</row>
    <row r="13" spans="1:102" s="236" customFormat="1" ht="49.5" customHeight="1">
      <c r="A13" s="406" t="s">
        <v>325</v>
      </c>
      <c r="B13" s="406"/>
      <c r="C13" s="406"/>
      <c r="D13" s="406"/>
      <c r="E13" s="406"/>
      <c r="F13" s="406"/>
      <c r="G13" s="406"/>
      <c r="H13" s="406"/>
      <c r="I13" s="407" t="s">
        <v>326</v>
      </c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9"/>
    </row>
    <row r="14" spans="1:102" s="236" customFormat="1" ht="19.5" customHeight="1">
      <c r="A14" s="400"/>
      <c r="B14" s="400"/>
      <c r="C14" s="400"/>
      <c r="D14" s="400"/>
      <c r="E14" s="400"/>
      <c r="F14" s="400"/>
      <c r="G14" s="400"/>
      <c r="H14" s="400"/>
      <c r="I14" s="401" t="s">
        <v>299</v>
      </c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2"/>
      <c r="AS14" s="403">
        <f>калькуляция!F12</f>
        <v>513556.4299242255</v>
      </c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3">
        <f>калькуляция!G12</f>
        <v>4255</v>
      </c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3">
        <f>калькуляция!H12</f>
        <v>120.69481314317873</v>
      </c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5"/>
    </row>
    <row r="15" spans="1:102" s="236" customFormat="1" ht="19.5" customHeight="1">
      <c r="A15" s="391"/>
      <c r="B15" s="391"/>
      <c r="C15" s="391"/>
      <c r="D15" s="391"/>
      <c r="E15" s="391"/>
      <c r="F15" s="391"/>
      <c r="G15" s="391"/>
      <c r="H15" s="391"/>
      <c r="I15" s="409" t="s">
        <v>327</v>
      </c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10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3"/>
    </row>
    <row r="16" spans="1:102" s="236" customFormat="1" ht="81.75" customHeight="1">
      <c r="A16" s="387" t="s">
        <v>328</v>
      </c>
      <c r="B16" s="387"/>
      <c r="C16" s="387"/>
      <c r="D16" s="387"/>
      <c r="E16" s="387"/>
      <c r="F16" s="387"/>
      <c r="G16" s="387"/>
      <c r="H16" s="387"/>
      <c r="I16" s="388" t="s">
        <v>329</v>
      </c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9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90"/>
    </row>
    <row r="17" spans="1:102" s="236" customFormat="1" ht="66" customHeight="1">
      <c r="A17" s="406" t="s">
        <v>330</v>
      </c>
      <c r="B17" s="406"/>
      <c r="C17" s="406"/>
      <c r="D17" s="406"/>
      <c r="E17" s="406"/>
      <c r="F17" s="406"/>
      <c r="G17" s="406"/>
      <c r="H17" s="406"/>
      <c r="I17" s="407" t="s">
        <v>331</v>
      </c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9"/>
    </row>
    <row r="18" spans="1:102" s="236" customFormat="1" ht="35.25" customHeight="1">
      <c r="A18" s="400"/>
      <c r="B18" s="400"/>
      <c r="C18" s="400"/>
      <c r="D18" s="400"/>
      <c r="E18" s="400"/>
      <c r="F18" s="400"/>
      <c r="G18" s="400"/>
      <c r="H18" s="400"/>
      <c r="I18" s="401" t="s">
        <v>84</v>
      </c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2"/>
      <c r="AS18" s="411">
        <f>калькуляция!F15</f>
        <v>13247069.344333334</v>
      </c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11">
        <f>калькуляция!G15</f>
        <v>3373</v>
      </c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11">
        <f>калькуляция!H15</f>
        <v>3927.3849227196365</v>
      </c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5"/>
    </row>
    <row r="19" spans="1:102" s="236" customFormat="1" ht="35.25" customHeight="1">
      <c r="A19" s="400"/>
      <c r="B19" s="400"/>
      <c r="C19" s="400"/>
      <c r="D19" s="400"/>
      <c r="E19" s="400"/>
      <c r="F19" s="400"/>
      <c r="G19" s="400"/>
      <c r="H19" s="400"/>
      <c r="I19" s="401" t="s">
        <v>85</v>
      </c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2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5"/>
    </row>
    <row r="20" spans="1:102" s="236" customFormat="1" ht="35.25" customHeight="1">
      <c r="A20" s="400"/>
      <c r="B20" s="400"/>
      <c r="C20" s="400"/>
      <c r="D20" s="400"/>
      <c r="E20" s="400"/>
      <c r="F20" s="400"/>
      <c r="G20" s="400"/>
      <c r="H20" s="400"/>
      <c r="I20" s="401" t="s">
        <v>86</v>
      </c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2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5"/>
    </row>
    <row r="21" spans="1:102" s="236" customFormat="1" ht="114" customHeight="1">
      <c r="A21" s="400"/>
      <c r="B21" s="400"/>
      <c r="C21" s="400"/>
      <c r="D21" s="400"/>
      <c r="E21" s="400"/>
      <c r="F21" s="400"/>
      <c r="G21" s="400"/>
      <c r="H21" s="400"/>
      <c r="I21" s="401" t="s">
        <v>332</v>
      </c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2"/>
      <c r="AS21" s="411">
        <f>калькуляция!F22</f>
        <v>3479336</v>
      </c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11">
        <f>калькуляция!G22</f>
        <v>882</v>
      </c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11">
        <f>калькуляция!H22</f>
        <v>3944.8253968253966</v>
      </c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5"/>
    </row>
    <row r="22" spans="1:102" s="236" customFormat="1" ht="66" customHeight="1">
      <c r="A22" s="391"/>
      <c r="B22" s="391"/>
      <c r="C22" s="391"/>
      <c r="D22" s="391"/>
      <c r="E22" s="391"/>
      <c r="F22" s="391"/>
      <c r="G22" s="391"/>
      <c r="H22" s="391"/>
      <c r="I22" s="409" t="s">
        <v>333</v>
      </c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10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3"/>
    </row>
    <row r="23" spans="1:102" s="236" customFormat="1" ht="66" customHeight="1">
      <c r="A23" s="406" t="s">
        <v>334</v>
      </c>
      <c r="B23" s="406"/>
      <c r="C23" s="406"/>
      <c r="D23" s="406"/>
      <c r="E23" s="406"/>
      <c r="F23" s="406"/>
      <c r="G23" s="406"/>
      <c r="H23" s="406"/>
      <c r="I23" s="407" t="s">
        <v>335</v>
      </c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9"/>
    </row>
    <row r="24" spans="1:102" s="236" customFormat="1" ht="19.5" customHeight="1">
      <c r="A24" s="400"/>
      <c r="B24" s="400"/>
      <c r="C24" s="400"/>
      <c r="D24" s="400"/>
      <c r="E24" s="400"/>
      <c r="F24" s="400"/>
      <c r="G24" s="400"/>
      <c r="H24" s="400"/>
      <c r="I24" s="401" t="s">
        <v>299</v>
      </c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2"/>
      <c r="AS24" s="403">
        <f>калькуляция!F24</f>
        <v>246419.30625649658</v>
      </c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3">
        <f>калькуляция!G24</f>
        <v>4255</v>
      </c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3">
        <f>калькуляция!H24</f>
        <v>57.91288043630942</v>
      </c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5"/>
    </row>
    <row r="25" spans="1:102" s="236" customFormat="1" ht="19.5" customHeight="1">
      <c r="A25" s="391"/>
      <c r="B25" s="391"/>
      <c r="C25" s="391"/>
      <c r="D25" s="391"/>
      <c r="E25" s="391"/>
      <c r="F25" s="391"/>
      <c r="G25" s="391"/>
      <c r="H25" s="391"/>
      <c r="I25" s="409" t="s">
        <v>327</v>
      </c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10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3"/>
    </row>
    <row r="26" spans="1:102" s="236" customFormat="1" ht="114" customHeight="1">
      <c r="A26" s="406" t="s">
        <v>336</v>
      </c>
      <c r="B26" s="406"/>
      <c r="C26" s="406"/>
      <c r="D26" s="406"/>
      <c r="E26" s="406"/>
      <c r="F26" s="406"/>
      <c r="G26" s="406"/>
      <c r="H26" s="406"/>
      <c r="I26" s="407" t="s">
        <v>337</v>
      </c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9"/>
    </row>
    <row r="27" spans="1:102" s="236" customFormat="1" ht="19.5" customHeight="1">
      <c r="A27" s="400"/>
      <c r="B27" s="400"/>
      <c r="C27" s="400"/>
      <c r="D27" s="400"/>
      <c r="E27" s="400"/>
      <c r="F27" s="400"/>
      <c r="G27" s="400"/>
      <c r="H27" s="400"/>
      <c r="I27" s="401" t="s">
        <v>299</v>
      </c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2"/>
      <c r="AS27" s="403">
        <f>калькуляция!F25</f>
        <v>24641.93062564966</v>
      </c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3">
        <f>калькуляция!G25</f>
        <v>4255</v>
      </c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3">
        <f>калькуляция!H25</f>
        <v>5.791288043630942</v>
      </c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5"/>
    </row>
    <row r="28" spans="1:102" s="236" customFormat="1" ht="19.5" customHeight="1">
      <c r="A28" s="391"/>
      <c r="B28" s="391"/>
      <c r="C28" s="391"/>
      <c r="D28" s="391"/>
      <c r="E28" s="391"/>
      <c r="F28" s="391"/>
      <c r="G28" s="391"/>
      <c r="H28" s="391"/>
      <c r="I28" s="409" t="s">
        <v>327</v>
      </c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10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3"/>
    </row>
    <row r="29" spans="1:102" s="236" customFormat="1" ht="207.75" customHeight="1">
      <c r="A29" s="406" t="s">
        <v>338</v>
      </c>
      <c r="B29" s="406"/>
      <c r="C29" s="406"/>
      <c r="D29" s="406"/>
      <c r="E29" s="406"/>
      <c r="F29" s="406"/>
      <c r="G29" s="406"/>
      <c r="H29" s="406"/>
      <c r="I29" s="407" t="s">
        <v>339</v>
      </c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98"/>
      <c r="CJ29" s="398"/>
      <c r="CK29" s="398"/>
      <c r="CL29" s="398"/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9"/>
    </row>
    <row r="30" spans="1:102" s="236" customFormat="1" ht="19.5" customHeight="1">
      <c r="A30" s="400"/>
      <c r="B30" s="400"/>
      <c r="C30" s="400"/>
      <c r="D30" s="400"/>
      <c r="E30" s="400"/>
      <c r="F30" s="400"/>
      <c r="G30" s="400"/>
      <c r="H30" s="400"/>
      <c r="I30" s="401" t="s">
        <v>299</v>
      </c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2"/>
      <c r="AS30" s="403">
        <f>калькуляция!F26</f>
        <v>496880.5051457424</v>
      </c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3">
        <f>калькуляция!G26</f>
        <v>4255</v>
      </c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3">
        <f>калькуляция!H26</f>
        <v>116.77567688501584</v>
      </c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5"/>
    </row>
    <row r="31" spans="1:102" s="236" customFormat="1" ht="19.5" customHeight="1">
      <c r="A31" s="391"/>
      <c r="B31" s="391"/>
      <c r="C31" s="391"/>
      <c r="D31" s="391"/>
      <c r="E31" s="391"/>
      <c r="F31" s="391"/>
      <c r="G31" s="391"/>
      <c r="H31" s="391"/>
      <c r="I31" s="409" t="s">
        <v>327</v>
      </c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10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3"/>
    </row>
    <row r="32" ht="4.5" customHeight="1"/>
    <row r="33" spans="1:102" ht="27.75" customHeight="1">
      <c r="A33" s="394" t="s">
        <v>340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/>
      <c r="CR33" s="395"/>
      <c r="CS33" s="395"/>
      <c r="CT33" s="395"/>
      <c r="CU33" s="395"/>
      <c r="CV33" s="395"/>
      <c r="CW33" s="395"/>
      <c r="CX33" s="395"/>
    </row>
    <row r="34" ht="3" customHeight="1"/>
  </sheetData>
  <sheetProtection/>
  <mergeCells count="103">
    <mergeCell ref="CG31:CX31"/>
    <mergeCell ref="A33:CX33"/>
    <mergeCell ref="A31:H31"/>
    <mergeCell ref="I31:AR31"/>
    <mergeCell ref="AS31:BL31"/>
    <mergeCell ref="BM31:CF31"/>
    <mergeCell ref="CG29:CX29"/>
    <mergeCell ref="A30:H30"/>
    <mergeCell ref="I30:AR30"/>
    <mergeCell ref="AS30:BL30"/>
    <mergeCell ref="BM30:CF30"/>
    <mergeCell ref="CG30:CX30"/>
    <mergeCell ref="A29:H29"/>
    <mergeCell ref="I29:AR29"/>
    <mergeCell ref="AS29:BL29"/>
    <mergeCell ref="BM29:CF29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CG25:CX25"/>
    <mergeCell ref="A26:H26"/>
    <mergeCell ref="I26:AR26"/>
    <mergeCell ref="AS26:BL26"/>
    <mergeCell ref="BM26:CF26"/>
    <mergeCell ref="CG26:CX26"/>
    <mergeCell ref="A25:H25"/>
    <mergeCell ref="I25:AR25"/>
    <mergeCell ref="AS25:BL25"/>
    <mergeCell ref="BM25:CF25"/>
    <mergeCell ref="CG23:CX23"/>
    <mergeCell ref="A24:H24"/>
    <mergeCell ref="I24:AR24"/>
    <mergeCell ref="AS24:BL24"/>
    <mergeCell ref="BM24:CF24"/>
    <mergeCell ref="CG24:CX24"/>
    <mergeCell ref="A23:H23"/>
    <mergeCell ref="I23:AR23"/>
    <mergeCell ref="AS23:BL23"/>
    <mergeCell ref="BM23:CF23"/>
    <mergeCell ref="CG21:CX21"/>
    <mergeCell ref="A22:H22"/>
    <mergeCell ref="I22:AR22"/>
    <mergeCell ref="AS22:BL22"/>
    <mergeCell ref="BM22:CF22"/>
    <mergeCell ref="CG22:CX22"/>
    <mergeCell ref="A21:H21"/>
    <mergeCell ref="I21:AR21"/>
    <mergeCell ref="AS21:BL21"/>
    <mergeCell ref="BM21:CF21"/>
    <mergeCell ref="CG19:CX19"/>
    <mergeCell ref="A20:H20"/>
    <mergeCell ref="I20:AR20"/>
    <mergeCell ref="AS20:BL20"/>
    <mergeCell ref="BM20:CF20"/>
    <mergeCell ref="CG20:CX20"/>
    <mergeCell ref="A19:H19"/>
    <mergeCell ref="I19:AR19"/>
    <mergeCell ref="AS19:BL19"/>
    <mergeCell ref="BM19:CF19"/>
    <mergeCell ref="CG17:CX17"/>
    <mergeCell ref="A18:H18"/>
    <mergeCell ref="I18:AR18"/>
    <mergeCell ref="AS18:BL18"/>
    <mergeCell ref="BM18:CF18"/>
    <mergeCell ref="CG18:CX18"/>
    <mergeCell ref="A17:H17"/>
    <mergeCell ref="I17:AR17"/>
    <mergeCell ref="AS17:BL17"/>
    <mergeCell ref="BM17:CF17"/>
    <mergeCell ref="CG15:CX15"/>
    <mergeCell ref="A16:H16"/>
    <mergeCell ref="I16:AR16"/>
    <mergeCell ref="AS16:BL16"/>
    <mergeCell ref="BM16:CF16"/>
    <mergeCell ref="CG16:CX16"/>
    <mergeCell ref="A15:H15"/>
    <mergeCell ref="I15:AR15"/>
    <mergeCell ref="AS15:BL15"/>
    <mergeCell ref="BM15:CF15"/>
    <mergeCell ref="CG13:CX13"/>
    <mergeCell ref="A14:H14"/>
    <mergeCell ref="I14:AR14"/>
    <mergeCell ref="AS14:BL14"/>
    <mergeCell ref="BM14:CF14"/>
    <mergeCell ref="CG14:CX14"/>
    <mergeCell ref="A13:H13"/>
    <mergeCell ref="I13:AR13"/>
    <mergeCell ref="AS13:BL13"/>
    <mergeCell ref="BM13:CF13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1">
      <selection activeCell="BJ37" sqref="BJ37:CC37"/>
    </sheetView>
  </sheetViews>
  <sheetFormatPr defaultColWidth="0" defaultRowHeight="12.75"/>
  <cols>
    <col min="1" max="105" width="0.85546875" style="234" customWidth="1"/>
    <col min="106" max="106" width="0.5625" style="234" customWidth="1"/>
    <col min="107" max="16384" width="0.85546875" style="234" hidden="1" customWidth="1"/>
  </cols>
  <sheetData>
    <row r="1" s="228" customFormat="1" ht="12.75">
      <c r="BO1" s="228" t="s">
        <v>341</v>
      </c>
    </row>
    <row r="2" spans="67:102" s="228" customFormat="1" ht="40.5" customHeight="1">
      <c r="BO2" s="374" t="s">
        <v>289</v>
      </c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</row>
    <row r="3" s="228" customFormat="1" ht="5.25" customHeight="1"/>
    <row r="4" s="229" customFormat="1" ht="12">
      <c r="BO4" s="229" t="s">
        <v>290</v>
      </c>
    </row>
    <row r="5" s="229" customFormat="1" ht="12">
      <c r="BO5" s="229" t="s">
        <v>291</v>
      </c>
    </row>
    <row r="6" s="228" customFormat="1" ht="12.75"/>
    <row r="7" s="230" customFormat="1" ht="16.5">
      <c r="CX7" s="231" t="s">
        <v>292</v>
      </c>
    </row>
    <row r="8" s="230" customFormat="1" ht="21" customHeight="1"/>
    <row r="9" spans="1:102" s="232" customFormat="1" ht="17.25">
      <c r="A9" s="375" t="s">
        <v>342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</row>
    <row r="10" spans="1:102" s="233" customFormat="1" ht="39.75" customHeight="1">
      <c r="A10" s="376" t="s">
        <v>343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  <c r="CW10" s="376"/>
      <c r="CX10" s="376"/>
    </row>
    <row r="11" s="237" customFormat="1" ht="15"/>
    <row r="12" s="230" customFormat="1" ht="16.5">
      <c r="CX12" s="231" t="s">
        <v>344</v>
      </c>
    </row>
    <row r="13" s="237" customFormat="1" ht="6" customHeight="1"/>
    <row r="14" spans="1:102" s="235" customFormat="1" ht="64.5" customHeight="1">
      <c r="A14" s="397" t="s">
        <v>110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5" t="s">
        <v>345</v>
      </c>
      <c r="BK14" s="386"/>
      <c r="BL14" s="386"/>
      <c r="BM14" s="386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5" t="s">
        <v>346</v>
      </c>
      <c r="CE14" s="386"/>
      <c r="CF14" s="386"/>
      <c r="CG14" s="386"/>
      <c r="CH14" s="386"/>
      <c r="CI14" s="386"/>
      <c r="CJ14" s="386"/>
      <c r="CK14" s="386"/>
      <c r="CL14" s="386"/>
      <c r="CM14" s="386"/>
      <c r="CN14" s="386"/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</row>
    <row r="15" spans="1:102" s="236" customFormat="1" ht="36" customHeight="1">
      <c r="A15" s="406" t="s">
        <v>325</v>
      </c>
      <c r="B15" s="406"/>
      <c r="C15" s="406"/>
      <c r="D15" s="406"/>
      <c r="E15" s="406"/>
      <c r="F15" s="406"/>
      <c r="G15" s="406"/>
      <c r="H15" s="406"/>
      <c r="I15" s="408" t="s">
        <v>347</v>
      </c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6">
        <f>'НВВ '!C6</f>
        <v>806.2873178832339</v>
      </c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  <c r="CB15" s="416"/>
      <c r="CC15" s="416"/>
      <c r="CD15" s="416">
        <f>'НВВ '!D6</f>
        <v>1248.4691829660953</v>
      </c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7"/>
    </row>
    <row r="16" spans="1:102" s="236" customFormat="1" ht="21.75" customHeight="1">
      <c r="A16" s="400"/>
      <c r="B16" s="400"/>
      <c r="C16" s="400"/>
      <c r="D16" s="400"/>
      <c r="E16" s="400"/>
      <c r="F16" s="400"/>
      <c r="G16" s="400"/>
      <c r="H16" s="400"/>
      <c r="I16" s="412" t="s">
        <v>348</v>
      </c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14"/>
    </row>
    <row r="17" spans="1:102" s="236" customFormat="1" ht="21.75" customHeight="1">
      <c r="A17" s="400"/>
      <c r="B17" s="400"/>
      <c r="C17" s="400"/>
      <c r="D17" s="400"/>
      <c r="E17" s="400"/>
      <c r="F17" s="400"/>
      <c r="G17" s="400"/>
      <c r="H17" s="400"/>
      <c r="I17" s="402" t="s">
        <v>349</v>
      </c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03">
        <f>'НВВ '!C7</f>
        <v>6.6</v>
      </c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>
        <f>'НВВ '!D7</f>
        <v>9.9</v>
      </c>
      <c r="CE17" s="403"/>
      <c r="CF17" s="403"/>
      <c r="CG17" s="403"/>
      <c r="CH17" s="403"/>
      <c r="CI17" s="403"/>
      <c r="CJ17" s="403"/>
      <c r="CK17" s="403"/>
      <c r="CL17" s="403"/>
      <c r="CM17" s="403"/>
      <c r="CN17" s="403"/>
      <c r="CO17" s="403"/>
      <c r="CP17" s="403"/>
      <c r="CQ17" s="403"/>
      <c r="CR17" s="403"/>
      <c r="CS17" s="403"/>
      <c r="CT17" s="403"/>
      <c r="CU17" s="403"/>
      <c r="CV17" s="403"/>
      <c r="CW17" s="403"/>
      <c r="CX17" s="414"/>
    </row>
    <row r="18" spans="1:102" s="236" customFormat="1" ht="21.75" customHeight="1">
      <c r="A18" s="400"/>
      <c r="B18" s="400"/>
      <c r="C18" s="400"/>
      <c r="D18" s="400"/>
      <c r="E18" s="400"/>
      <c r="F18" s="400"/>
      <c r="G18" s="400"/>
      <c r="H18" s="400"/>
      <c r="I18" s="402" t="s">
        <v>350</v>
      </c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F18" s="403"/>
      <c r="CG18" s="403"/>
      <c r="CH18" s="403"/>
      <c r="CI18" s="403"/>
      <c r="CJ18" s="403"/>
      <c r="CK18" s="403"/>
      <c r="CL18" s="403"/>
      <c r="CM18" s="403"/>
      <c r="CN18" s="403"/>
      <c r="CO18" s="403"/>
      <c r="CP18" s="403"/>
      <c r="CQ18" s="403"/>
      <c r="CR18" s="403"/>
      <c r="CS18" s="403"/>
      <c r="CT18" s="403"/>
      <c r="CU18" s="403"/>
      <c r="CV18" s="403"/>
      <c r="CW18" s="403"/>
      <c r="CX18" s="414"/>
    </row>
    <row r="19" spans="1:102" s="236" customFormat="1" ht="21.75" customHeight="1">
      <c r="A19" s="400"/>
      <c r="B19" s="400"/>
      <c r="C19" s="400"/>
      <c r="D19" s="400"/>
      <c r="E19" s="400"/>
      <c r="F19" s="400"/>
      <c r="G19" s="400"/>
      <c r="H19" s="400"/>
      <c r="I19" s="402" t="s">
        <v>351</v>
      </c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03">
        <f>'НВВ '!C9</f>
        <v>240.07451980547364</v>
      </c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3"/>
      <c r="CB19" s="403"/>
      <c r="CC19" s="403"/>
      <c r="CD19" s="403">
        <f>'НВВ '!D9</f>
        <v>383.1802979080953</v>
      </c>
      <c r="CE19" s="403"/>
      <c r="CF19" s="403"/>
      <c r="CG19" s="403"/>
      <c r="CH19" s="403"/>
      <c r="CI19" s="403"/>
      <c r="CJ19" s="403"/>
      <c r="CK19" s="403"/>
      <c r="CL19" s="403"/>
      <c r="CM19" s="403"/>
      <c r="CN19" s="403"/>
      <c r="CO19" s="403"/>
      <c r="CP19" s="403"/>
      <c r="CQ19" s="403"/>
      <c r="CR19" s="403"/>
      <c r="CS19" s="403"/>
      <c r="CT19" s="403"/>
      <c r="CU19" s="403"/>
      <c r="CV19" s="403"/>
      <c r="CW19" s="403"/>
      <c r="CX19" s="414"/>
    </row>
    <row r="20" spans="1:102" s="236" customFormat="1" ht="21.75" customHeight="1">
      <c r="A20" s="400"/>
      <c r="B20" s="400"/>
      <c r="C20" s="400"/>
      <c r="D20" s="400"/>
      <c r="E20" s="400"/>
      <c r="F20" s="400"/>
      <c r="G20" s="400"/>
      <c r="H20" s="400"/>
      <c r="I20" s="402" t="s">
        <v>352</v>
      </c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03">
        <f>'НВВ '!C10</f>
        <v>68.33920670608634</v>
      </c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>
        <f>'НВВ '!D10</f>
        <v>75.96667466784422</v>
      </c>
      <c r="CE20" s="403"/>
      <c r="CF20" s="403"/>
      <c r="CG20" s="403"/>
      <c r="CH20" s="403"/>
      <c r="CI20" s="403"/>
      <c r="CJ20" s="403"/>
      <c r="CK20" s="403"/>
      <c r="CL20" s="403"/>
      <c r="CM20" s="403"/>
      <c r="CN20" s="403"/>
      <c r="CO20" s="403"/>
      <c r="CP20" s="403"/>
      <c r="CQ20" s="403"/>
      <c r="CR20" s="403"/>
      <c r="CS20" s="403"/>
      <c r="CT20" s="403"/>
      <c r="CU20" s="403"/>
      <c r="CV20" s="403"/>
      <c r="CW20" s="403"/>
      <c r="CX20" s="414"/>
    </row>
    <row r="21" spans="1:102" s="236" customFormat="1" ht="21.75" customHeight="1">
      <c r="A21" s="400"/>
      <c r="B21" s="400"/>
      <c r="C21" s="400"/>
      <c r="D21" s="400"/>
      <c r="E21" s="400"/>
      <c r="F21" s="400"/>
      <c r="G21" s="400"/>
      <c r="H21" s="400"/>
      <c r="I21" s="402" t="s">
        <v>353</v>
      </c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03">
        <f>'НВВ '!C11</f>
        <v>468.23438301816157</v>
      </c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>
        <f>'НВВ '!D11</f>
        <v>742.8147470505498</v>
      </c>
      <c r="CE21" s="403"/>
      <c r="CF21" s="403"/>
      <c r="CG21" s="403"/>
      <c r="CH21" s="403"/>
      <c r="CI21" s="403"/>
      <c r="CJ21" s="403"/>
      <c r="CK21" s="403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14"/>
    </row>
    <row r="22" spans="1:102" s="236" customFormat="1" ht="21.75" customHeight="1">
      <c r="A22" s="400"/>
      <c r="B22" s="400"/>
      <c r="C22" s="400"/>
      <c r="D22" s="400"/>
      <c r="E22" s="400"/>
      <c r="F22" s="400"/>
      <c r="G22" s="400"/>
      <c r="H22" s="400"/>
      <c r="I22" s="402" t="s">
        <v>354</v>
      </c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3"/>
      <c r="CI22" s="403"/>
      <c r="CJ22" s="403"/>
      <c r="CK22" s="403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14"/>
    </row>
    <row r="23" spans="1:102" s="236" customFormat="1" ht="36.75" customHeight="1">
      <c r="A23" s="400"/>
      <c r="B23" s="400"/>
      <c r="C23" s="400"/>
      <c r="D23" s="400"/>
      <c r="E23" s="400"/>
      <c r="F23" s="400"/>
      <c r="G23" s="400"/>
      <c r="H23" s="400"/>
      <c r="I23" s="419" t="s">
        <v>355</v>
      </c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03">
        <f>'НВВ '!C12</f>
        <v>183.87135800000001</v>
      </c>
      <c r="BK23" s="403"/>
      <c r="BL23" s="403"/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03"/>
      <c r="BX23" s="403"/>
      <c r="BY23" s="403"/>
      <c r="BZ23" s="403"/>
      <c r="CA23" s="403"/>
      <c r="CB23" s="403"/>
      <c r="CC23" s="403"/>
      <c r="CD23" s="403">
        <f>'НВВ '!D12</f>
        <v>290.984595</v>
      </c>
      <c r="CE23" s="403"/>
      <c r="CF23" s="403"/>
      <c r="CG23" s="403"/>
      <c r="CH23" s="403"/>
      <c r="CI23" s="403"/>
      <c r="CJ23" s="403"/>
      <c r="CK23" s="403"/>
      <c r="CL23" s="403"/>
      <c r="CM23" s="403"/>
      <c r="CN23" s="403"/>
      <c r="CO23" s="403"/>
      <c r="CP23" s="403"/>
      <c r="CQ23" s="403"/>
      <c r="CR23" s="403"/>
      <c r="CS23" s="403"/>
      <c r="CT23" s="403"/>
      <c r="CU23" s="403"/>
      <c r="CV23" s="403"/>
      <c r="CW23" s="403"/>
      <c r="CX23" s="414"/>
    </row>
    <row r="24" spans="1:102" s="236" customFormat="1" ht="54" customHeight="1">
      <c r="A24" s="400"/>
      <c r="B24" s="400"/>
      <c r="C24" s="400"/>
      <c r="D24" s="400"/>
      <c r="E24" s="400"/>
      <c r="F24" s="400"/>
      <c r="G24" s="400"/>
      <c r="H24" s="400"/>
      <c r="I24" s="419" t="s">
        <v>356</v>
      </c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14"/>
    </row>
    <row r="25" spans="1:102" s="236" customFormat="1" ht="36.75" customHeight="1">
      <c r="A25" s="400"/>
      <c r="B25" s="400"/>
      <c r="C25" s="400"/>
      <c r="D25" s="400"/>
      <c r="E25" s="400"/>
      <c r="F25" s="400"/>
      <c r="G25" s="400"/>
      <c r="H25" s="400"/>
      <c r="I25" s="419" t="s">
        <v>357</v>
      </c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03">
        <f>'НВВ '!C14</f>
        <v>284.3630250181616</v>
      </c>
      <c r="BK25" s="403"/>
      <c r="BL25" s="403"/>
      <c r="BM25" s="403"/>
      <c r="BN25" s="403"/>
      <c r="BO25" s="403"/>
      <c r="BP25" s="403"/>
      <c r="BQ25" s="403"/>
      <c r="BR25" s="403"/>
      <c r="BS25" s="403"/>
      <c r="BT25" s="403"/>
      <c r="BU25" s="403"/>
      <c r="BV25" s="403"/>
      <c r="BW25" s="403"/>
      <c r="BX25" s="403"/>
      <c r="BY25" s="403"/>
      <c r="BZ25" s="403"/>
      <c r="CA25" s="403"/>
      <c r="CB25" s="403"/>
      <c r="CC25" s="403"/>
      <c r="CD25" s="403">
        <f>'НВВ '!D14</f>
        <v>451.83015205054977</v>
      </c>
      <c r="CE25" s="403"/>
      <c r="CF25" s="403"/>
      <c r="CG25" s="403"/>
      <c r="CH25" s="403"/>
      <c r="CI25" s="403"/>
      <c r="CJ25" s="403"/>
      <c r="CK25" s="403"/>
      <c r="CL25" s="403"/>
      <c r="CM25" s="40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14"/>
    </row>
    <row r="26" spans="1:102" s="236" customFormat="1" ht="21.75" customHeight="1">
      <c r="A26" s="400"/>
      <c r="B26" s="400"/>
      <c r="C26" s="400"/>
      <c r="D26" s="400"/>
      <c r="E26" s="400"/>
      <c r="F26" s="400"/>
      <c r="G26" s="400"/>
      <c r="H26" s="400"/>
      <c r="I26" s="419" t="s">
        <v>348</v>
      </c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403"/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3"/>
      <c r="CH26" s="403"/>
      <c r="CI26" s="403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14"/>
    </row>
    <row r="27" spans="1:102" s="236" customFormat="1" ht="21.75" customHeight="1">
      <c r="A27" s="400"/>
      <c r="B27" s="400"/>
      <c r="C27" s="400"/>
      <c r="D27" s="400"/>
      <c r="E27" s="400"/>
      <c r="F27" s="400"/>
      <c r="G27" s="400"/>
      <c r="H27" s="400"/>
      <c r="I27" s="421" t="s">
        <v>124</v>
      </c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  <c r="CA27" s="403"/>
      <c r="CB27" s="403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14"/>
    </row>
    <row r="28" spans="1:102" s="236" customFormat="1" ht="36" customHeight="1">
      <c r="A28" s="400"/>
      <c r="B28" s="400"/>
      <c r="C28" s="400"/>
      <c r="D28" s="400"/>
      <c r="E28" s="400"/>
      <c r="F28" s="400"/>
      <c r="G28" s="400"/>
      <c r="H28" s="400"/>
      <c r="I28" s="421" t="s">
        <v>358</v>
      </c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3"/>
      <c r="BU28" s="403"/>
      <c r="BV28" s="403"/>
      <c r="BW28" s="403"/>
      <c r="BX28" s="403"/>
      <c r="BY28" s="403"/>
      <c r="BZ28" s="403"/>
      <c r="CA28" s="403"/>
      <c r="CB28" s="403"/>
      <c r="CC28" s="403"/>
      <c r="CD28" s="403"/>
      <c r="CE28" s="403"/>
      <c r="CF28" s="403"/>
      <c r="CG28" s="403"/>
      <c r="CH28" s="403"/>
      <c r="CI28" s="403"/>
      <c r="CJ28" s="403"/>
      <c r="CK28" s="403"/>
      <c r="CL28" s="403"/>
      <c r="CM28" s="403"/>
      <c r="CN28" s="403"/>
      <c r="CO28" s="403"/>
      <c r="CP28" s="403"/>
      <c r="CQ28" s="403"/>
      <c r="CR28" s="403"/>
      <c r="CS28" s="403"/>
      <c r="CT28" s="403"/>
      <c r="CU28" s="403"/>
      <c r="CV28" s="403"/>
      <c r="CW28" s="403"/>
      <c r="CX28" s="414"/>
    </row>
    <row r="29" spans="1:102" s="236" customFormat="1" ht="54" customHeight="1">
      <c r="A29" s="400"/>
      <c r="B29" s="400"/>
      <c r="C29" s="400"/>
      <c r="D29" s="400"/>
      <c r="E29" s="400"/>
      <c r="F29" s="400"/>
      <c r="G29" s="400"/>
      <c r="H29" s="400"/>
      <c r="I29" s="421" t="s">
        <v>359</v>
      </c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  <c r="BW29" s="403"/>
      <c r="BX29" s="403"/>
      <c r="BY29" s="403"/>
      <c r="BZ29" s="403"/>
      <c r="CA29" s="403"/>
      <c r="CB29" s="403"/>
      <c r="CC29" s="403"/>
      <c r="CD29" s="403"/>
      <c r="CE29" s="403"/>
      <c r="CF29" s="403"/>
      <c r="CG29" s="403"/>
      <c r="CH29" s="403"/>
      <c r="CI29" s="403"/>
      <c r="CJ29" s="403"/>
      <c r="CK29" s="403"/>
      <c r="CL29" s="403"/>
      <c r="CM29" s="403"/>
      <c r="CN29" s="403"/>
      <c r="CO29" s="403"/>
      <c r="CP29" s="403"/>
      <c r="CQ29" s="403"/>
      <c r="CR29" s="403"/>
      <c r="CS29" s="403"/>
      <c r="CT29" s="403"/>
      <c r="CU29" s="403"/>
      <c r="CV29" s="403"/>
      <c r="CW29" s="403"/>
      <c r="CX29" s="414"/>
    </row>
    <row r="30" spans="1:102" s="236" customFormat="1" ht="22.5" customHeight="1">
      <c r="A30" s="400"/>
      <c r="B30" s="400"/>
      <c r="C30" s="400"/>
      <c r="D30" s="400"/>
      <c r="E30" s="400"/>
      <c r="F30" s="400"/>
      <c r="G30" s="400"/>
      <c r="H30" s="400"/>
      <c r="I30" s="421" t="s">
        <v>130</v>
      </c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3"/>
      <c r="CB30" s="403"/>
      <c r="CC30" s="403"/>
      <c r="CD30" s="403"/>
      <c r="CE30" s="403"/>
      <c r="CF30" s="403"/>
      <c r="CG30" s="403"/>
      <c r="CH30" s="403"/>
      <c r="CI30" s="403"/>
      <c r="CJ30" s="403"/>
      <c r="CK30" s="403"/>
      <c r="CL30" s="403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14"/>
    </row>
    <row r="31" spans="1:102" s="236" customFormat="1" ht="36.75" customHeight="1">
      <c r="A31" s="400"/>
      <c r="B31" s="400"/>
      <c r="C31" s="400"/>
      <c r="D31" s="400"/>
      <c r="E31" s="400"/>
      <c r="F31" s="400"/>
      <c r="G31" s="400"/>
      <c r="H31" s="400"/>
      <c r="I31" s="421" t="s">
        <v>360</v>
      </c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03">
        <f>'НВВ '!C19</f>
        <v>284.3630250181616</v>
      </c>
      <c r="BK31" s="403"/>
      <c r="BL31" s="403"/>
      <c r="BM31" s="403"/>
      <c r="BN31" s="403"/>
      <c r="BO31" s="403"/>
      <c r="BP31" s="403"/>
      <c r="BQ31" s="403"/>
      <c r="BR31" s="403"/>
      <c r="BS31" s="403"/>
      <c r="BT31" s="403"/>
      <c r="BU31" s="403"/>
      <c r="BV31" s="403"/>
      <c r="BW31" s="403"/>
      <c r="BX31" s="403"/>
      <c r="BY31" s="403"/>
      <c r="BZ31" s="403"/>
      <c r="CA31" s="403"/>
      <c r="CB31" s="403"/>
      <c r="CC31" s="403"/>
      <c r="CD31" s="403">
        <f>'НВВ '!D19</f>
        <v>451.83015205054977</v>
      </c>
      <c r="CE31" s="403"/>
      <c r="CF31" s="403"/>
      <c r="CG31" s="403"/>
      <c r="CH31" s="403"/>
      <c r="CI31" s="403"/>
      <c r="CJ31" s="403"/>
      <c r="CK31" s="403"/>
      <c r="CL31" s="403"/>
      <c r="CM31" s="403"/>
      <c r="CN31" s="403"/>
      <c r="CO31" s="403"/>
      <c r="CP31" s="403"/>
      <c r="CQ31" s="403"/>
      <c r="CR31" s="403"/>
      <c r="CS31" s="403"/>
      <c r="CT31" s="403"/>
      <c r="CU31" s="403"/>
      <c r="CV31" s="403"/>
      <c r="CW31" s="403"/>
      <c r="CX31" s="414"/>
    </row>
    <row r="32" spans="1:102" s="236" customFormat="1" ht="21.75" customHeight="1">
      <c r="A32" s="400"/>
      <c r="B32" s="400"/>
      <c r="C32" s="400"/>
      <c r="D32" s="400"/>
      <c r="E32" s="400"/>
      <c r="F32" s="400"/>
      <c r="G32" s="400"/>
      <c r="H32" s="400"/>
      <c r="I32" s="402" t="s">
        <v>361</v>
      </c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03">
        <f>'НВВ '!C20</f>
        <v>23.039208353512272</v>
      </c>
      <c r="BK32" s="403"/>
      <c r="BL32" s="403"/>
      <c r="BM32" s="403"/>
      <c r="BN32" s="403"/>
      <c r="BO32" s="403"/>
      <c r="BP32" s="403"/>
      <c r="BQ32" s="403"/>
      <c r="BR32" s="403"/>
      <c r="BS32" s="403"/>
      <c r="BT32" s="403"/>
      <c r="BU32" s="403"/>
      <c r="BV32" s="403"/>
      <c r="BW32" s="403"/>
      <c r="BX32" s="403"/>
      <c r="BY32" s="403"/>
      <c r="BZ32" s="403"/>
      <c r="CA32" s="403"/>
      <c r="CB32" s="403"/>
      <c r="CC32" s="403"/>
      <c r="CD32" s="403">
        <f>'НВВ '!D20</f>
        <v>36.607463339605765</v>
      </c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14"/>
    </row>
    <row r="33" spans="1:102" s="236" customFormat="1" ht="21.75" customHeight="1">
      <c r="A33" s="400"/>
      <c r="B33" s="400"/>
      <c r="C33" s="400"/>
      <c r="D33" s="400"/>
      <c r="E33" s="400"/>
      <c r="F33" s="400"/>
      <c r="G33" s="400"/>
      <c r="H33" s="400"/>
      <c r="I33" s="402" t="s">
        <v>348</v>
      </c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03"/>
      <c r="BX33" s="403"/>
      <c r="BY33" s="403"/>
      <c r="BZ33" s="403"/>
      <c r="CA33" s="403"/>
      <c r="CB33" s="403"/>
      <c r="CC33" s="403"/>
      <c r="CD33" s="403"/>
      <c r="CE33" s="403"/>
      <c r="CF33" s="403"/>
      <c r="CG33" s="403"/>
      <c r="CH33" s="403"/>
      <c r="CI33" s="403"/>
      <c r="CJ33" s="403"/>
      <c r="CK33" s="403"/>
      <c r="CL33" s="403"/>
      <c r="CM33" s="403"/>
      <c r="CN33" s="403"/>
      <c r="CO33" s="403"/>
      <c r="CP33" s="403"/>
      <c r="CQ33" s="403"/>
      <c r="CR33" s="403"/>
      <c r="CS33" s="403"/>
      <c r="CT33" s="403"/>
      <c r="CU33" s="403"/>
      <c r="CV33" s="403"/>
      <c r="CW33" s="403"/>
      <c r="CX33" s="414"/>
    </row>
    <row r="34" spans="1:102" s="236" customFormat="1" ht="21.75" customHeight="1">
      <c r="A34" s="400"/>
      <c r="B34" s="400"/>
      <c r="C34" s="400"/>
      <c r="D34" s="400"/>
      <c r="E34" s="400"/>
      <c r="F34" s="400"/>
      <c r="G34" s="400"/>
      <c r="H34" s="400"/>
      <c r="I34" s="419" t="s">
        <v>135</v>
      </c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0"/>
      <c r="BD34" s="420"/>
      <c r="BE34" s="420"/>
      <c r="BF34" s="420"/>
      <c r="BG34" s="420"/>
      <c r="BH34" s="420"/>
      <c r="BI34" s="420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  <c r="BW34" s="403"/>
      <c r="BX34" s="403"/>
      <c r="BY34" s="403"/>
      <c r="BZ34" s="403"/>
      <c r="CA34" s="403"/>
      <c r="CB34" s="403"/>
      <c r="CC34" s="403"/>
      <c r="CD34" s="403"/>
      <c r="CE34" s="403"/>
      <c r="CF34" s="403"/>
      <c r="CG34" s="403"/>
      <c r="CH34" s="403"/>
      <c r="CI34" s="403"/>
      <c r="CJ34" s="403"/>
      <c r="CK34" s="403"/>
      <c r="CL34" s="403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14"/>
    </row>
    <row r="35" spans="1:102" s="236" customFormat="1" ht="21.75" customHeight="1">
      <c r="A35" s="400"/>
      <c r="B35" s="400"/>
      <c r="C35" s="400"/>
      <c r="D35" s="400"/>
      <c r="E35" s="400"/>
      <c r="F35" s="400"/>
      <c r="G35" s="400"/>
      <c r="H35" s="400"/>
      <c r="I35" s="419" t="s">
        <v>362</v>
      </c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0"/>
      <c r="BF35" s="420"/>
      <c r="BG35" s="420"/>
      <c r="BH35" s="420"/>
      <c r="BI35" s="420"/>
      <c r="BJ35" s="403"/>
      <c r="BK35" s="403"/>
      <c r="BL35" s="403"/>
      <c r="BM35" s="403"/>
      <c r="BN35" s="403"/>
      <c r="BO35" s="403"/>
      <c r="BP35" s="403"/>
      <c r="BQ35" s="403"/>
      <c r="BR35" s="403"/>
      <c r="BS35" s="403"/>
      <c r="BT35" s="403"/>
      <c r="BU35" s="403"/>
      <c r="BV35" s="403"/>
      <c r="BW35" s="403"/>
      <c r="BX35" s="403"/>
      <c r="BY35" s="403"/>
      <c r="BZ35" s="403"/>
      <c r="CA35" s="403"/>
      <c r="CB35" s="403"/>
      <c r="CC35" s="403"/>
      <c r="CD35" s="403"/>
      <c r="CE35" s="403"/>
      <c r="CF35" s="403"/>
      <c r="CG35" s="403"/>
      <c r="CH35" s="403"/>
      <c r="CI35" s="403"/>
      <c r="CJ35" s="403"/>
      <c r="CK35" s="403"/>
      <c r="CL35" s="403"/>
      <c r="CM35" s="403"/>
      <c r="CN35" s="403"/>
      <c r="CO35" s="403"/>
      <c r="CP35" s="403"/>
      <c r="CQ35" s="403"/>
      <c r="CR35" s="403"/>
      <c r="CS35" s="403"/>
      <c r="CT35" s="403"/>
      <c r="CU35" s="403"/>
      <c r="CV35" s="403"/>
      <c r="CW35" s="403"/>
      <c r="CX35" s="414"/>
    </row>
    <row r="36" spans="1:102" s="236" customFormat="1" ht="21.75" customHeight="1">
      <c r="A36" s="400"/>
      <c r="B36" s="400"/>
      <c r="C36" s="400"/>
      <c r="D36" s="400"/>
      <c r="E36" s="400"/>
      <c r="F36" s="400"/>
      <c r="G36" s="400"/>
      <c r="H36" s="400"/>
      <c r="I36" s="419" t="s">
        <v>363</v>
      </c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  <c r="BE36" s="420"/>
      <c r="BF36" s="420"/>
      <c r="BG36" s="420"/>
      <c r="BH36" s="420"/>
      <c r="BI36" s="420"/>
      <c r="BJ36" s="403">
        <f>'НВВ '!C24</f>
        <v>23.039208353512272</v>
      </c>
      <c r="BK36" s="403"/>
      <c r="BL36" s="403"/>
      <c r="BM36" s="403"/>
      <c r="BN36" s="403"/>
      <c r="BO36" s="403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>
        <f>'НВВ '!D24</f>
        <v>36.607463339605765</v>
      </c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14"/>
    </row>
    <row r="37" spans="1:102" s="236" customFormat="1" ht="37.5" customHeight="1">
      <c r="A37" s="391"/>
      <c r="B37" s="391"/>
      <c r="C37" s="391"/>
      <c r="D37" s="391"/>
      <c r="E37" s="391"/>
      <c r="F37" s="391"/>
      <c r="G37" s="391"/>
      <c r="H37" s="391"/>
      <c r="I37" s="426" t="s">
        <v>364</v>
      </c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8"/>
      <c r="BK37" s="428"/>
      <c r="BL37" s="428"/>
      <c r="BM37" s="428"/>
      <c r="BN37" s="428"/>
      <c r="BO37" s="428"/>
      <c r="BP37" s="428"/>
      <c r="BQ37" s="428"/>
      <c r="BR37" s="428"/>
      <c r="BS37" s="428"/>
      <c r="BT37" s="428"/>
      <c r="BU37" s="428"/>
      <c r="BV37" s="428"/>
      <c r="BW37" s="428"/>
      <c r="BX37" s="428"/>
      <c r="BY37" s="428"/>
      <c r="BZ37" s="428"/>
      <c r="CA37" s="428"/>
      <c r="CB37" s="428"/>
      <c r="CC37" s="428"/>
      <c r="CD37" s="428"/>
      <c r="CE37" s="428"/>
      <c r="CF37" s="428"/>
      <c r="CG37" s="428"/>
      <c r="CH37" s="428"/>
      <c r="CI37" s="428"/>
      <c r="CJ37" s="428"/>
      <c r="CK37" s="428"/>
      <c r="CL37" s="428"/>
      <c r="CM37" s="428"/>
      <c r="CN37" s="428"/>
      <c r="CO37" s="428"/>
      <c r="CP37" s="428"/>
      <c r="CQ37" s="428"/>
      <c r="CR37" s="428"/>
      <c r="CS37" s="428"/>
      <c r="CT37" s="428"/>
      <c r="CU37" s="428"/>
      <c r="CV37" s="428"/>
      <c r="CW37" s="428"/>
      <c r="CX37" s="429"/>
    </row>
    <row r="38" spans="1:102" s="236" customFormat="1" ht="101.25" customHeight="1">
      <c r="A38" s="387" t="s">
        <v>328</v>
      </c>
      <c r="B38" s="387"/>
      <c r="C38" s="387"/>
      <c r="D38" s="387"/>
      <c r="E38" s="387"/>
      <c r="F38" s="387"/>
      <c r="G38" s="387"/>
      <c r="H38" s="387"/>
      <c r="I38" s="389" t="s">
        <v>365</v>
      </c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4">
        <f>'НВВ '!C27</f>
        <v>19991.68</v>
      </c>
      <c r="BK38" s="424"/>
      <c r="BL38" s="424"/>
      <c r="BM38" s="424"/>
      <c r="BN38" s="424"/>
      <c r="BO38" s="424"/>
      <c r="BP38" s="424"/>
      <c r="BQ38" s="424"/>
      <c r="BR38" s="424"/>
      <c r="BS38" s="424"/>
      <c r="BT38" s="424"/>
      <c r="BU38" s="424"/>
      <c r="BV38" s="424"/>
      <c r="BW38" s="424"/>
      <c r="BX38" s="424"/>
      <c r="BY38" s="424"/>
      <c r="BZ38" s="424"/>
      <c r="CA38" s="424"/>
      <c r="CB38" s="424"/>
      <c r="CC38" s="424"/>
      <c r="CD38" s="424">
        <f>'НВВ '!D27</f>
        <v>16726.405344333332</v>
      </c>
      <c r="CE38" s="424"/>
      <c r="CF38" s="424"/>
      <c r="CG38" s="424"/>
      <c r="CH38" s="424"/>
      <c r="CI38" s="424"/>
      <c r="CJ38" s="424"/>
      <c r="CK38" s="424"/>
      <c r="CL38" s="424"/>
      <c r="CM38" s="424"/>
      <c r="CN38" s="424"/>
      <c r="CO38" s="424"/>
      <c r="CP38" s="424"/>
      <c r="CQ38" s="424"/>
      <c r="CR38" s="424"/>
      <c r="CS38" s="424"/>
      <c r="CT38" s="424"/>
      <c r="CU38" s="424"/>
      <c r="CV38" s="424"/>
      <c r="CW38" s="424"/>
      <c r="CX38" s="425"/>
    </row>
    <row r="39" spans="1:102" s="236" customFormat="1" ht="24" customHeight="1">
      <c r="A39" s="387" t="s">
        <v>330</v>
      </c>
      <c r="B39" s="387"/>
      <c r="C39" s="387"/>
      <c r="D39" s="387"/>
      <c r="E39" s="387"/>
      <c r="F39" s="387"/>
      <c r="G39" s="387"/>
      <c r="H39" s="387"/>
      <c r="I39" s="389" t="s">
        <v>366</v>
      </c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4">
        <f>21845.58+868.84</f>
        <v>22714.420000000002</v>
      </c>
      <c r="BK39" s="424"/>
      <c r="BL39" s="424"/>
      <c r="BM39" s="424"/>
      <c r="BN39" s="424"/>
      <c r="BO39" s="424"/>
      <c r="BP39" s="424"/>
      <c r="BQ39" s="424"/>
      <c r="BR39" s="424"/>
      <c r="BS39" s="424"/>
      <c r="BT39" s="424"/>
      <c r="BU39" s="424"/>
      <c r="BV39" s="424"/>
      <c r="BW39" s="424"/>
      <c r="BX39" s="424"/>
      <c r="BY39" s="424"/>
      <c r="BZ39" s="424"/>
      <c r="CA39" s="424"/>
      <c r="CB39" s="424"/>
      <c r="CC39" s="424"/>
      <c r="CD39" s="424">
        <f>7979.01+8929.59</f>
        <v>16908.6</v>
      </c>
      <c r="CE39" s="424"/>
      <c r="CF39" s="424"/>
      <c r="CG39" s="424"/>
      <c r="CH39" s="424"/>
      <c r="CI39" s="424"/>
      <c r="CJ39" s="424"/>
      <c r="CK39" s="424"/>
      <c r="CL39" s="424"/>
      <c r="CM39" s="424"/>
      <c r="CN39" s="424"/>
      <c r="CO39" s="424"/>
      <c r="CP39" s="424"/>
      <c r="CQ39" s="424"/>
      <c r="CR39" s="424"/>
      <c r="CS39" s="424"/>
      <c r="CT39" s="424"/>
      <c r="CU39" s="424"/>
      <c r="CV39" s="424"/>
      <c r="CW39" s="424"/>
      <c r="CX39" s="425"/>
    </row>
    <row r="40" spans="1:102" s="236" customFormat="1" ht="39.75" customHeight="1">
      <c r="A40" s="391"/>
      <c r="B40" s="391"/>
      <c r="C40" s="391"/>
      <c r="D40" s="391"/>
      <c r="E40" s="391"/>
      <c r="F40" s="391"/>
      <c r="G40" s="391"/>
      <c r="H40" s="391"/>
      <c r="I40" s="393" t="s">
        <v>367</v>
      </c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430"/>
      <c r="AZ40" s="430"/>
      <c r="BA40" s="430"/>
      <c r="BB40" s="430"/>
      <c r="BC40" s="430"/>
      <c r="BD40" s="430"/>
      <c r="BE40" s="430"/>
      <c r="BF40" s="430"/>
      <c r="BG40" s="430"/>
      <c r="BH40" s="430"/>
      <c r="BI40" s="430"/>
      <c r="BJ40" s="428">
        <f>'НВВ '!C30</f>
        <v>20797.967317883235</v>
      </c>
      <c r="BK40" s="428"/>
      <c r="BL40" s="428"/>
      <c r="BM40" s="428"/>
      <c r="BN40" s="428"/>
      <c r="BO40" s="428"/>
      <c r="BP40" s="428"/>
      <c r="BQ40" s="428"/>
      <c r="BR40" s="428"/>
      <c r="BS40" s="428"/>
      <c r="BT40" s="428"/>
      <c r="BU40" s="428"/>
      <c r="BV40" s="428"/>
      <c r="BW40" s="428"/>
      <c r="BX40" s="428"/>
      <c r="BY40" s="428"/>
      <c r="BZ40" s="428"/>
      <c r="CA40" s="428"/>
      <c r="CB40" s="428"/>
      <c r="CC40" s="428"/>
      <c r="CD40" s="428">
        <f>'НВВ '!D30</f>
        <v>17974.874527299427</v>
      </c>
      <c r="CE40" s="428"/>
      <c r="CF40" s="428"/>
      <c r="CG40" s="428"/>
      <c r="CH40" s="428"/>
      <c r="CI40" s="428"/>
      <c r="CJ40" s="428"/>
      <c r="CK40" s="428"/>
      <c r="CL40" s="428"/>
      <c r="CM40" s="428"/>
      <c r="CN40" s="428"/>
      <c r="CO40" s="428"/>
      <c r="CP40" s="428"/>
      <c r="CQ40" s="428"/>
      <c r="CR40" s="428"/>
      <c r="CS40" s="428"/>
      <c r="CT40" s="428"/>
      <c r="CU40" s="428"/>
      <c r="CV40" s="428"/>
      <c r="CW40" s="428"/>
      <c r="CX40" s="429"/>
    </row>
  </sheetData>
  <sheetProtection/>
  <mergeCells count="110">
    <mergeCell ref="A40:H40"/>
    <mergeCell ref="I40:BI40"/>
    <mergeCell ref="BJ40:CC40"/>
    <mergeCell ref="CD40:CX40"/>
    <mergeCell ref="A39:H39"/>
    <mergeCell ref="I39:BI39"/>
    <mergeCell ref="BJ39:CC39"/>
    <mergeCell ref="CD39:CX39"/>
    <mergeCell ref="A38:H38"/>
    <mergeCell ref="I38:BI38"/>
    <mergeCell ref="BJ38:CC38"/>
    <mergeCell ref="CD38:CX38"/>
    <mergeCell ref="A37:H37"/>
    <mergeCell ref="I37:BI37"/>
    <mergeCell ref="BJ37:CC37"/>
    <mergeCell ref="CD37:CX37"/>
    <mergeCell ref="A36:H36"/>
    <mergeCell ref="I36:BI36"/>
    <mergeCell ref="BJ36:CC36"/>
    <mergeCell ref="CD36:CX36"/>
    <mergeCell ref="A35:H35"/>
    <mergeCell ref="I35:BI35"/>
    <mergeCell ref="BJ35:CC35"/>
    <mergeCell ref="CD35:CX35"/>
    <mergeCell ref="A34:H34"/>
    <mergeCell ref="I34:BI34"/>
    <mergeCell ref="BJ34:CC34"/>
    <mergeCell ref="CD34:CX34"/>
    <mergeCell ref="A33:H33"/>
    <mergeCell ref="I33:BI33"/>
    <mergeCell ref="BJ33:CC33"/>
    <mergeCell ref="CD33:CX33"/>
    <mergeCell ref="A32:H32"/>
    <mergeCell ref="I32:BI32"/>
    <mergeCell ref="BJ32:CC32"/>
    <mergeCell ref="CD32:CX32"/>
    <mergeCell ref="A31:H31"/>
    <mergeCell ref="I31:BI31"/>
    <mergeCell ref="BJ31:CC31"/>
    <mergeCell ref="CD31:CX31"/>
    <mergeCell ref="A30:H30"/>
    <mergeCell ref="I30:BI30"/>
    <mergeCell ref="BJ30:CC30"/>
    <mergeCell ref="CD30:CX30"/>
    <mergeCell ref="A29:H29"/>
    <mergeCell ref="I29:BI29"/>
    <mergeCell ref="BJ29:CC29"/>
    <mergeCell ref="CD29:CX29"/>
    <mergeCell ref="A28:H28"/>
    <mergeCell ref="I28:BI28"/>
    <mergeCell ref="BJ28:CC28"/>
    <mergeCell ref="CD28:CX28"/>
    <mergeCell ref="A27:H27"/>
    <mergeCell ref="I27:BI27"/>
    <mergeCell ref="BJ27:CC27"/>
    <mergeCell ref="CD27:CX27"/>
    <mergeCell ref="A26:H26"/>
    <mergeCell ref="I26:BI26"/>
    <mergeCell ref="BJ26:CC26"/>
    <mergeCell ref="CD26:CX26"/>
    <mergeCell ref="A25:H25"/>
    <mergeCell ref="I25:BI25"/>
    <mergeCell ref="BJ25:CC25"/>
    <mergeCell ref="CD25:CX25"/>
    <mergeCell ref="A24:H24"/>
    <mergeCell ref="I24:BI24"/>
    <mergeCell ref="BJ24:CC24"/>
    <mergeCell ref="CD24:CX24"/>
    <mergeCell ref="A23:H23"/>
    <mergeCell ref="I23:BI23"/>
    <mergeCell ref="BJ23:CC23"/>
    <mergeCell ref="CD23:CX23"/>
    <mergeCell ref="A22:H22"/>
    <mergeCell ref="I22:BI22"/>
    <mergeCell ref="BJ22:CC22"/>
    <mergeCell ref="CD22:CX22"/>
    <mergeCell ref="A21:H21"/>
    <mergeCell ref="I21:BI21"/>
    <mergeCell ref="BJ21:CC21"/>
    <mergeCell ref="CD21:CX21"/>
    <mergeCell ref="A20:H20"/>
    <mergeCell ref="I20:BI20"/>
    <mergeCell ref="BJ20:CC20"/>
    <mergeCell ref="CD20:CX20"/>
    <mergeCell ref="A19:H19"/>
    <mergeCell ref="I19:BI19"/>
    <mergeCell ref="BJ19:CC19"/>
    <mergeCell ref="CD19:CX19"/>
    <mergeCell ref="A18:H18"/>
    <mergeCell ref="I18:BI18"/>
    <mergeCell ref="BJ18:CC18"/>
    <mergeCell ref="CD18:CX18"/>
    <mergeCell ref="A17:H17"/>
    <mergeCell ref="I17:BI17"/>
    <mergeCell ref="BJ17:CC17"/>
    <mergeCell ref="CD17:CX17"/>
    <mergeCell ref="A16:H16"/>
    <mergeCell ref="I16:BI16"/>
    <mergeCell ref="BJ16:CC16"/>
    <mergeCell ref="CD16:CX16"/>
    <mergeCell ref="A15:H15"/>
    <mergeCell ref="I15:BI15"/>
    <mergeCell ref="BJ15:CC15"/>
    <mergeCell ref="CD15:CX15"/>
    <mergeCell ref="BO2:CX2"/>
    <mergeCell ref="A9:CX9"/>
    <mergeCell ref="A10:CX10"/>
    <mergeCell ref="A14:BI14"/>
    <mergeCell ref="BJ14:CC14"/>
    <mergeCell ref="CD14:CX1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AN14" sqref="AN14:BS14"/>
    </sheetView>
  </sheetViews>
  <sheetFormatPr defaultColWidth="0" defaultRowHeight="12.75"/>
  <cols>
    <col min="1" max="103" width="0.85546875" style="234" customWidth="1"/>
    <col min="104" max="104" width="0.5625" style="234" customWidth="1"/>
    <col min="105" max="16384" width="0.85546875" style="234" hidden="1" customWidth="1"/>
  </cols>
  <sheetData>
    <row r="1" s="228" customFormat="1" ht="12.75">
      <c r="BO1" s="228" t="s">
        <v>368</v>
      </c>
    </row>
    <row r="2" spans="67:102" s="228" customFormat="1" ht="41.25" customHeight="1">
      <c r="BO2" s="374" t="s">
        <v>289</v>
      </c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</row>
    <row r="3" s="228" customFormat="1" ht="5.25" customHeight="1"/>
    <row r="4" s="229" customFormat="1" ht="12">
      <c r="BO4" s="229" t="s">
        <v>290</v>
      </c>
    </row>
    <row r="5" s="229" customFormat="1" ht="12">
      <c r="BO5" s="229" t="s">
        <v>291</v>
      </c>
    </row>
    <row r="6" s="228" customFormat="1" ht="12.75"/>
    <row r="7" s="230" customFormat="1" ht="16.5">
      <c r="CX7" s="231" t="s">
        <v>292</v>
      </c>
    </row>
    <row r="8" s="230" customFormat="1" ht="39" customHeight="1"/>
    <row r="9" spans="1:102" s="232" customFormat="1" ht="17.25">
      <c r="A9" s="375" t="s">
        <v>369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</row>
    <row r="10" spans="1:102" s="233" customFormat="1" ht="41.25" customHeight="1">
      <c r="A10" s="376" t="s">
        <v>370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  <c r="CW10" s="376"/>
      <c r="CX10" s="376"/>
    </row>
    <row r="11" s="230" customFormat="1" ht="16.5"/>
    <row r="12" spans="1:102" s="235" customFormat="1" ht="66" customHeight="1">
      <c r="A12" s="397" t="s">
        <v>371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5" t="s">
        <v>372</v>
      </c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5" t="s">
        <v>373</v>
      </c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</row>
    <row r="13" spans="1:102" s="236" customFormat="1" ht="51.75" customHeight="1">
      <c r="A13" s="391" t="s">
        <v>325</v>
      </c>
      <c r="B13" s="391"/>
      <c r="C13" s="391"/>
      <c r="D13" s="391"/>
      <c r="E13" s="391"/>
      <c r="F13" s="391"/>
      <c r="G13" s="391"/>
      <c r="H13" s="392" t="s">
        <v>374</v>
      </c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3"/>
    </row>
    <row r="14" spans="1:102" s="236" customFormat="1" ht="129" customHeight="1">
      <c r="A14" s="387" t="s">
        <v>328</v>
      </c>
      <c r="B14" s="387"/>
      <c r="C14" s="387"/>
      <c r="D14" s="387"/>
      <c r="E14" s="387"/>
      <c r="F14" s="387"/>
      <c r="G14" s="387"/>
      <c r="H14" s="388" t="s">
        <v>375</v>
      </c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9"/>
      <c r="AN14" s="382">
        <f>'расч инвест составл'!V15+'расч инвест составл'!V11</f>
        <v>3755.868</v>
      </c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>
        <f>'расч инвест составл'!N15+'расч инвест составл'!N11</f>
        <v>1040</v>
      </c>
      <c r="BU14" s="382"/>
      <c r="BV14" s="382"/>
      <c r="BW14" s="382"/>
      <c r="BX14" s="382"/>
      <c r="BY14" s="382"/>
      <c r="BZ14" s="382"/>
      <c r="CA14" s="382"/>
      <c r="CB14" s="382"/>
      <c r="CC14" s="382"/>
      <c r="CD14" s="382"/>
      <c r="CE14" s="382"/>
      <c r="CF14" s="382"/>
      <c r="CG14" s="382"/>
      <c r="CH14" s="382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90"/>
    </row>
    <row r="15" spans="1:102" s="236" customFormat="1" ht="65.25" customHeight="1">
      <c r="A15" s="387" t="s">
        <v>330</v>
      </c>
      <c r="B15" s="387"/>
      <c r="C15" s="387"/>
      <c r="D15" s="387"/>
      <c r="E15" s="387"/>
      <c r="F15" s="387"/>
      <c r="G15" s="387"/>
      <c r="H15" s="388" t="s">
        <v>376</v>
      </c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9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90"/>
    </row>
  </sheetData>
  <sheetProtection/>
  <mergeCells count="18">
    <mergeCell ref="A15:G15"/>
    <mergeCell ref="H15:AM15"/>
    <mergeCell ref="AN15:BS15"/>
    <mergeCell ref="BT15:CX15"/>
    <mergeCell ref="A14:G14"/>
    <mergeCell ref="H14:AM14"/>
    <mergeCell ref="AN14:BS14"/>
    <mergeCell ref="BT14:CX14"/>
    <mergeCell ref="A13:G13"/>
    <mergeCell ref="H13:AM13"/>
    <mergeCell ref="AN13:BS13"/>
    <mergeCell ref="BT13:CX13"/>
    <mergeCell ref="BO2:CX2"/>
    <mergeCell ref="A9:CX9"/>
    <mergeCell ref="A10:CX10"/>
    <mergeCell ref="A12:AM12"/>
    <mergeCell ref="AN12:BS12"/>
    <mergeCell ref="BT12:CX12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AH15" sqref="AH15:BD15"/>
    </sheetView>
  </sheetViews>
  <sheetFormatPr defaultColWidth="0" defaultRowHeight="12.75"/>
  <cols>
    <col min="1" max="106" width="0.85546875" style="234" customWidth="1"/>
    <col min="107" max="107" width="0.5625" style="234" customWidth="1"/>
    <col min="108" max="16384" width="0.85546875" style="234" hidden="1" customWidth="1"/>
  </cols>
  <sheetData>
    <row r="1" s="228" customFormat="1" ht="12.75">
      <c r="BO1" s="228" t="s">
        <v>377</v>
      </c>
    </row>
    <row r="2" spans="67:102" s="228" customFormat="1" ht="41.25" customHeight="1">
      <c r="BO2" s="374" t="s">
        <v>289</v>
      </c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</row>
    <row r="3" s="228" customFormat="1" ht="5.25" customHeight="1"/>
    <row r="4" s="229" customFormat="1" ht="12">
      <c r="BO4" s="229" t="s">
        <v>290</v>
      </c>
    </row>
    <row r="5" s="229" customFormat="1" ht="12">
      <c r="BO5" s="229" t="s">
        <v>291</v>
      </c>
    </row>
    <row r="6" s="228" customFormat="1" ht="12.75"/>
    <row r="7" s="230" customFormat="1" ht="16.5">
      <c r="CX7" s="231" t="s">
        <v>292</v>
      </c>
    </row>
    <row r="8" s="230" customFormat="1" ht="36" customHeight="1"/>
    <row r="9" spans="1:102" s="232" customFormat="1" ht="17.25">
      <c r="A9" s="375" t="s">
        <v>369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</row>
    <row r="10" spans="1:102" s="233" customFormat="1" ht="59.25" customHeight="1">
      <c r="A10" s="376" t="s">
        <v>378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  <c r="CW10" s="376"/>
      <c r="CX10" s="376"/>
    </row>
    <row r="11" s="230" customFormat="1" ht="16.5"/>
    <row r="12" spans="1:102" s="235" customFormat="1" ht="176.25" customHeight="1">
      <c r="A12" s="397" t="s">
        <v>371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5" t="s">
        <v>379</v>
      </c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5" t="s">
        <v>380</v>
      </c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5" t="s">
        <v>381</v>
      </c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</row>
    <row r="13" spans="1:102" s="236" customFormat="1" ht="55.5" customHeight="1">
      <c r="A13" s="400" t="s">
        <v>325</v>
      </c>
      <c r="B13" s="400"/>
      <c r="C13" s="400"/>
      <c r="D13" s="400"/>
      <c r="E13" s="400"/>
      <c r="F13" s="400"/>
      <c r="G13" s="400"/>
      <c r="H13" s="433" t="s">
        <v>382</v>
      </c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12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5"/>
    </row>
    <row r="14" spans="1:102" s="236" customFormat="1" ht="23.25" customHeight="1">
      <c r="A14" s="400"/>
      <c r="B14" s="400"/>
      <c r="C14" s="400"/>
      <c r="D14" s="400"/>
      <c r="E14" s="400"/>
      <c r="F14" s="400"/>
      <c r="G14" s="400"/>
      <c r="H14" s="431" t="s">
        <v>383</v>
      </c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2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5"/>
    </row>
    <row r="15" spans="1:102" s="236" customFormat="1" ht="23.25" customHeight="1">
      <c r="A15" s="400"/>
      <c r="B15" s="400"/>
      <c r="C15" s="400"/>
      <c r="D15" s="400"/>
      <c r="E15" s="400"/>
      <c r="F15" s="400"/>
      <c r="G15" s="400"/>
      <c r="H15" s="431" t="s">
        <v>384</v>
      </c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2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5"/>
    </row>
    <row r="16" spans="1:102" s="236" customFormat="1" ht="23.25" customHeight="1">
      <c r="A16" s="391"/>
      <c r="B16" s="391"/>
      <c r="C16" s="391"/>
      <c r="D16" s="391"/>
      <c r="E16" s="391"/>
      <c r="F16" s="391"/>
      <c r="G16" s="391"/>
      <c r="H16" s="434" t="s">
        <v>385</v>
      </c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5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3"/>
    </row>
    <row r="17" spans="1:102" s="236" customFormat="1" ht="55.5" customHeight="1">
      <c r="A17" s="400" t="s">
        <v>328</v>
      </c>
      <c r="B17" s="400"/>
      <c r="C17" s="400"/>
      <c r="D17" s="400"/>
      <c r="E17" s="400"/>
      <c r="F17" s="400"/>
      <c r="G17" s="400"/>
      <c r="H17" s="433" t="s">
        <v>386</v>
      </c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12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5"/>
    </row>
    <row r="18" spans="1:102" s="236" customFormat="1" ht="23.25" customHeight="1">
      <c r="A18" s="400"/>
      <c r="B18" s="400"/>
      <c r="C18" s="400"/>
      <c r="D18" s="400"/>
      <c r="E18" s="400"/>
      <c r="F18" s="400"/>
      <c r="G18" s="400"/>
      <c r="H18" s="431" t="s">
        <v>383</v>
      </c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2"/>
      <c r="AH18" s="404">
        <f>('расч инвест составл'!V17+'расч инвест составл'!V23+'расч инвест составл'!V27+'расч инвест составл'!V31+'расч инвест составл'!V38)*1000</f>
        <v>1613739.8443333334</v>
      </c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>
        <f>'расч инвест составл'!Q17+'расч инвест составл'!Q23+'расч инвест составл'!Q27+'расч инвест составл'!Q31+'расч инвест составл'!Q38</f>
        <v>2.143</v>
      </c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>
        <v>1124</v>
      </c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5"/>
    </row>
    <row r="19" spans="1:102" s="236" customFormat="1" ht="23.25" customHeight="1">
      <c r="A19" s="400"/>
      <c r="B19" s="400"/>
      <c r="C19" s="400"/>
      <c r="D19" s="400"/>
      <c r="E19" s="400"/>
      <c r="F19" s="400"/>
      <c r="G19" s="400"/>
      <c r="H19" s="431" t="s">
        <v>384</v>
      </c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2"/>
      <c r="AH19" s="404">
        <f>'расч инвест составл'!V9+'расч инвест составл'!V21+'расч инвест составл'!V40</f>
        <v>12296.329241666666</v>
      </c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>
        <f>'расч инвест составл'!Q9+'расч инвест составл'!Q21+'расч инвест составл'!Q40</f>
        <v>15.535</v>
      </c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>
        <v>2249</v>
      </c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5"/>
    </row>
    <row r="20" spans="1:102" s="236" customFormat="1" ht="23.25" customHeight="1">
      <c r="A20" s="391"/>
      <c r="B20" s="391"/>
      <c r="C20" s="391"/>
      <c r="D20" s="391"/>
      <c r="E20" s="391"/>
      <c r="F20" s="391"/>
      <c r="G20" s="391"/>
      <c r="H20" s="434" t="s">
        <v>385</v>
      </c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5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3"/>
    </row>
  </sheetData>
  <sheetProtection/>
  <mergeCells count="47">
    <mergeCell ref="CB19:CX19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BE19:CA19"/>
    <mergeCell ref="CB17:CX17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CB15:CX15"/>
    <mergeCell ref="A16:G16"/>
    <mergeCell ref="H16:AG16"/>
    <mergeCell ref="AH16:BD16"/>
    <mergeCell ref="BE16:CA16"/>
    <mergeCell ref="CB16:CX16"/>
    <mergeCell ref="A15:G15"/>
    <mergeCell ref="H15:AG15"/>
    <mergeCell ref="AH15:BD15"/>
    <mergeCell ref="BE15:CA15"/>
    <mergeCell ref="CB13:CX13"/>
    <mergeCell ref="A14:G14"/>
    <mergeCell ref="H14:AG14"/>
    <mergeCell ref="AH14:BD14"/>
    <mergeCell ref="BE14:CA14"/>
    <mergeCell ref="CB14:CX14"/>
    <mergeCell ref="A13:G13"/>
    <mergeCell ref="H13:AG13"/>
    <mergeCell ref="AH13:BD13"/>
    <mergeCell ref="BE13:CA13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W22" sqref="AW22:BE22"/>
    </sheetView>
  </sheetViews>
  <sheetFormatPr defaultColWidth="0" defaultRowHeight="12.75"/>
  <cols>
    <col min="1" max="104" width="0.85546875" style="234" customWidth="1"/>
    <col min="105" max="105" width="0.71875" style="234" customWidth="1"/>
    <col min="106" max="16384" width="0.85546875" style="234" hidden="1" customWidth="1"/>
  </cols>
  <sheetData>
    <row r="1" s="228" customFormat="1" ht="12.75">
      <c r="BN1" s="228" t="s">
        <v>387</v>
      </c>
    </row>
    <row r="2" spans="66:102" s="228" customFormat="1" ht="41.25" customHeight="1">
      <c r="BN2" s="374" t="s">
        <v>289</v>
      </c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</row>
    <row r="3" s="228" customFormat="1" ht="5.25" customHeight="1"/>
    <row r="4" s="229" customFormat="1" ht="12">
      <c r="BN4" s="229" t="s">
        <v>290</v>
      </c>
    </row>
    <row r="5" s="229" customFormat="1" ht="12">
      <c r="BN5" s="229" t="s">
        <v>291</v>
      </c>
    </row>
    <row r="6" s="228" customFormat="1" ht="12.75"/>
    <row r="7" s="230" customFormat="1" ht="16.5">
      <c r="CX7" s="231" t="s">
        <v>292</v>
      </c>
    </row>
    <row r="8" s="230" customFormat="1" ht="26.25" customHeight="1"/>
    <row r="9" spans="1:102" s="232" customFormat="1" ht="17.25">
      <c r="A9" s="375" t="s">
        <v>388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</row>
    <row r="10" spans="1:102" s="233" customFormat="1" ht="39.75" customHeight="1">
      <c r="A10" s="376" t="s">
        <v>389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  <c r="CW10" s="376"/>
      <c r="CX10" s="376"/>
    </row>
    <row r="11" ht="18.75" customHeight="1"/>
    <row r="12" spans="1:102" s="238" customFormat="1" ht="27.75" customHeight="1">
      <c r="A12" s="436" t="s">
        <v>390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7"/>
      <c r="V12" s="440" t="s">
        <v>391</v>
      </c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2"/>
      <c r="AW12" s="440" t="s">
        <v>392</v>
      </c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2"/>
      <c r="BX12" s="440" t="s">
        <v>393</v>
      </c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</row>
    <row r="13" spans="1:102" s="238" customFormat="1" ht="35.25" customHeight="1">
      <c r="A13" s="438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9"/>
      <c r="V13" s="443" t="s">
        <v>383</v>
      </c>
      <c r="W13" s="443"/>
      <c r="X13" s="443"/>
      <c r="Y13" s="443"/>
      <c r="Z13" s="443"/>
      <c r="AA13" s="443"/>
      <c r="AB13" s="443"/>
      <c r="AC13" s="443"/>
      <c r="AD13" s="443"/>
      <c r="AE13" s="443" t="s">
        <v>384</v>
      </c>
      <c r="AF13" s="443"/>
      <c r="AG13" s="443"/>
      <c r="AH13" s="443"/>
      <c r="AI13" s="443"/>
      <c r="AJ13" s="443"/>
      <c r="AK13" s="443"/>
      <c r="AL13" s="443"/>
      <c r="AM13" s="443"/>
      <c r="AN13" s="443" t="s">
        <v>394</v>
      </c>
      <c r="AO13" s="443"/>
      <c r="AP13" s="443"/>
      <c r="AQ13" s="443"/>
      <c r="AR13" s="443"/>
      <c r="AS13" s="443"/>
      <c r="AT13" s="443"/>
      <c r="AU13" s="443"/>
      <c r="AV13" s="443"/>
      <c r="AW13" s="443" t="s">
        <v>383</v>
      </c>
      <c r="AX13" s="443"/>
      <c r="AY13" s="443"/>
      <c r="AZ13" s="443"/>
      <c r="BA13" s="443"/>
      <c r="BB13" s="443"/>
      <c r="BC13" s="443"/>
      <c r="BD13" s="443"/>
      <c r="BE13" s="443"/>
      <c r="BF13" s="443" t="s">
        <v>384</v>
      </c>
      <c r="BG13" s="443"/>
      <c r="BH13" s="443"/>
      <c r="BI13" s="443"/>
      <c r="BJ13" s="443"/>
      <c r="BK13" s="443"/>
      <c r="BL13" s="443"/>
      <c r="BM13" s="443"/>
      <c r="BN13" s="443"/>
      <c r="BO13" s="443" t="s">
        <v>394</v>
      </c>
      <c r="BP13" s="443"/>
      <c r="BQ13" s="443"/>
      <c r="BR13" s="443"/>
      <c r="BS13" s="443"/>
      <c r="BT13" s="443"/>
      <c r="BU13" s="443"/>
      <c r="BV13" s="443"/>
      <c r="BW13" s="443"/>
      <c r="BX13" s="443" t="s">
        <v>383</v>
      </c>
      <c r="BY13" s="443"/>
      <c r="BZ13" s="443"/>
      <c r="CA13" s="443"/>
      <c r="CB13" s="443"/>
      <c r="CC13" s="443"/>
      <c r="CD13" s="443"/>
      <c r="CE13" s="443"/>
      <c r="CF13" s="443"/>
      <c r="CG13" s="443" t="s">
        <v>384</v>
      </c>
      <c r="CH13" s="443"/>
      <c r="CI13" s="443"/>
      <c r="CJ13" s="443"/>
      <c r="CK13" s="443"/>
      <c r="CL13" s="443"/>
      <c r="CM13" s="443"/>
      <c r="CN13" s="443"/>
      <c r="CO13" s="443"/>
      <c r="CP13" s="443" t="s">
        <v>394</v>
      </c>
      <c r="CQ13" s="443"/>
      <c r="CR13" s="443"/>
      <c r="CS13" s="443"/>
      <c r="CT13" s="443"/>
      <c r="CU13" s="443"/>
      <c r="CV13" s="443"/>
      <c r="CW13" s="443"/>
      <c r="CX13" s="440"/>
    </row>
    <row r="14" spans="1:102" s="239" customFormat="1" ht="33" customHeight="1">
      <c r="A14" s="446" t="s">
        <v>325</v>
      </c>
      <c r="B14" s="444"/>
      <c r="C14" s="444"/>
      <c r="D14" s="444"/>
      <c r="E14" s="444"/>
      <c r="F14" s="445"/>
      <c r="G14" s="447" t="s">
        <v>395</v>
      </c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4">
        <v>212</v>
      </c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>
        <v>1677</v>
      </c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4">
        <v>96.67</v>
      </c>
      <c r="BY14" s="444"/>
      <c r="BZ14" s="444"/>
      <c r="CA14" s="444"/>
      <c r="CB14" s="444"/>
      <c r="CC14" s="444"/>
      <c r="CD14" s="444"/>
      <c r="CE14" s="444"/>
      <c r="CF14" s="444"/>
      <c r="CG14" s="444"/>
      <c r="CH14" s="444"/>
      <c r="CI14" s="444"/>
      <c r="CJ14" s="444"/>
      <c r="CK14" s="444"/>
      <c r="CL14" s="444"/>
      <c r="CM14" s="444"/>
      <c r="CN14" s="444"/>
      <c r="CO14" s="444"/>
      <c r="CP14" s="444"/>
      <c r="CQ14" s="444"/>
      <c r="CR14" s="444"/>
      <c r="CS14" s="444"/>
      <c r="CT14" s="444"/>
      <c r="CU14" s="444"/>
      <c r="CV14" s="444"/>
      <c r="CW14" s="444"/>
      <c r="CX14" s="445"/>
    </row>
    <row r="15" spans="1:102" s="239" customFormat="1" ht="19.5" customHeight="1">
      <c r="A15" s="449"/>
      <c r="B15" s="450"/>
      <c r="C15" s="450"/>
      <c r="D15" s="450"/>
      <c r="E15" s="450"/>
      <c r="F15" s="451"/>
      <c r="G15" s="452" t="s">
        <v>396</v>
      </c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  <c r="BQ15" s="450"/>
      <c r="BR15" s="450"/>
      <c r="BS15" s="450"/>
      <c r="BT15" s="450"/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0"/>
      <c r="CH15" s="450"/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1"/>
    </row>
    <row r="16" spans="1:102" s="239" customFormat="1" ht="33" customHeight="1">
      <c r="A16" s="456"/>
      <c r="B16" s="454"/>
      <c r="C16" s="454"/>
      <c r="D16" s="454"/>
      <c r="E16" s="454"/>
      <c r="F16" s="455"/>
      <c r="G16" s="457" t="s">
        <v>397</v>
      </c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4">
        <v>196</v>
      </c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>
        <v>1551</v>
      </c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>
        <v>91.35</v>
      </c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/>
      <c r="CX16" s="455"/>
    </row>
    <row r="17" spans="1:102" s="239" customFormat="1" ht="33" customHeight="1">
      <c r="A17" s="446" t="s">
        <v>328</v>
      </c>
      <c r="B17" s="444"/>
      <c r="C17" s="444"/>
      <c r="D17" s="444"/>
      <c r="E17" s="444"/>
      <c r="F17" s="445"/>
      <c r="G17" s="447" t="s">
        <v>398</v>
      </c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4">
        <v>12</v>
      </c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>
        <v>502</v>
      </c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444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444"/>
      <c r="BT17" s="444"/>
      <c r="BU17" s="444"/>
      <c r="BV17" s="444"/>
      <c r="BW17" s="444"/>
      <c r="BX17" s="444">
        <v>1474.44</v>
      </c>
      <c r="BY17" s="444"/>
      <c r="BZ17" s="444"/>
      <c r="CA17" s="444"/>
      <c r="CB17" s="444"/>
      <c r="CC17" s="444"/>
      <c r="CD17" s="444"/>
      <c r="CE17" s="444"/>
      <c r="CF17" s="444"/>
      <c r="CG17" s="444"/>
      <c r="CH17" s="444"/>
      <c r="CI17" s="444"/>
      <c r="CJ17" s="444"/>
      <c r="CK17" s="444"/>
      <c r="CL17" s="444"/>
      <c r="CM17" s="444"/>
      <c r="CN17" s="444"/>
      <c r="CO17" s="444"/>
      <c r="CP17" s="444"/>
      <c r="CQ17" s="444"/>
      <c r="CR17" s="444"/>
      <c r="CS17" s="444"/>
      <c r="CT17" s="444"/>
      <c r="CU17" s="444"/>
      <c r="CV17" s="444"/>
      <c r="CW17" s="444"/>
      <c r="CX17" s="445"/>
    </row>
    <row r="18" spans="1:102" s="239" customFormat="1" ht="19.5" customHeight="1">
      <c r="A18" s="449"/>
      <c r="B18" s="450"/>
      <c r="C18" s="450"/>
      <c r="D18" s="450"/>
      <c r="E18" s="450"/>
      <c r="F18" s="451"/>
      <c r="G18" s="452" t="s">
        <v>396</v>
      </c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0"/>
      <c r="BZ18" s="450"/>
      <c r="CA18" s="450"/>
      <c r="CB18" s="450"/>
      <c r="CC18" s="450"/>
      <c r="CD18" s="450"/>
      <c r="CE18" s="450"/>
      <c r="CF18" s="450"/>
      <c r="CG18" s="450"/>
      <c r="CH18" s="450"/>
      <c r="CI18" s="450"/>
      <c r="CJ18" s="450"/>
      <c r="CK18" s="450"/>
      <c r="CL18" s="450"/>
      <c r="CM18" s="450"/>
      <c r="CN18" s="450"/>
      <c r="CO18" s="450"/>
      <c r="CP18" s="450"/>
      <c r="CQ18" s="450"/>
      <c r="CR18" s="450"/>
      <c r="CS18" s="450"/>
      <c r="CT18" s="450"/>
      <c r="CU18" s="450"/>
      <c r="CV18" s="450"/>
      <c r="CW18" s="450"/>
      <c r="CX18" s="451"/>
    </row>
    <row r="19" spans="1:102" s="239" customFormat="1" ht="33" customHeight="1">
      <c r="A19" s="456"/>
      <c r="B19" s="454"/>
      <c r="C19" s="454"/>
      <c r="D19" s="454"/>
      <c r="E19" s="454"/>
      <c r="F19" s="455"/>
      <c r="G19" s="457" t="s">
        <v>399</v>
      </c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/>
      <c r="CX19" s="455"/>
    </row>
    <row r="20" spans="1:102" s="239" customFormat="1" ht="45" customHeight="1">
      <c r="A20" s="446" t="s">
        <v>330</v>
      </c>
      <c r="B20" s="444"/>
      <c r="C20" s="444"/>
      <c r="D20" s="444"/>
      <c r="E20" s="444"/>
      <c r="F20" s="445"/>
      <c r="G20" s="447" t="s">
        <v>400</v>
      </c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444"/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5"/>
    </row>
    <row r="21" spans="1:102" s="239" customFormat="1" ht="19.5" customHeight="1">
      <c r="A21" s="449"/>
      <c r="B21" s="450"/>
      <c r="C21" s="450"/>
      <c r="D21" s="450"/>
      <c r="E21" s="450"/>
      <c r="F21" s="451"/>
      <c r="G21" s="452" t="s">
        <v>396</v>
      </c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0"/>
      <c r="BY21" s="450"/>
      <c r="BZ21" s="450"/>
      <c r="CA21" s="450"/>
      <c r="CB21" s="450"/>
      <c r="CC21" s="450"/>
      <c r="CD21" s="450"/>
      <c r="CE21" s="450"/>
      <c r="CF21" s="450"/>
      <c r="CG21" s="450"/>
      <c r="CH21" s="450"/>
      <c r="CI21" s="450"/>
      <c r="CJ21" s="450"/>
      <c r="CK21" s="450"/>
      <c r="CL21" s="450"/>
      <c r="CM21" s="450"/>
      <c r="CN21" s="450"/>
      <c r="CO21" s="450"/>
      <c r="CP21" s="450"/>
      <c r="CQ21" s="450"/>
      <c r="CR21" s="450"/>
      <c r="CS21" s="450"/>
      <c r="CT21" s="450"/>
      <c r="CU21" s="450"/>
      <c r="CV21" s="450"/>
      <c r="CW21" s="450"/>
      <c r="CX21" s="451"/>
    </row>
    <row r="22" spans="1:102" s="239" customFormat="1" ht="45" customHeight="1">
      <c r="A22" s="456"/>
      <c r="B22" s="454"/>
      <c r="C22" s="454"/>
      <c r="D22" s="454"/>
      <c r="E22" s="454"/>
      <c r="F22" s="455"/>
      <c r="G22" s="457" t="s">
        <v>401</v>
      </c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5"/>
    </row>
    <row r="23" spans="1:102" s="239" customFormat="1" ht="45" customHeight="1">
      <c r="A23" s="446" t="s">
        <v>334</v>
      </c>
      <c r="B23" s="444"/>
      <c r="C23" s="444"/>
      <c r="D23" s="444"/>
      <c r="E23" s="444"/>
      <c r="F23" s="445"/>
      <c r="G23" s="447" t="s">
        <v>402</v>
      </c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4"/>
      <c r="BH23" s="444"/>
      <c r="BI23" s="444"/>
      <c r="BJ23" s="444"/>
      <c r="BK23" s="444"/>
      <c r="BL23" s="444"/>
      <c r="BM23" s="444"/>
      <c r="BN23" s="444"/>
      <c r="BO23" s="444"/>
      <c r="BP23" s="444"/>
      <c r="BQ23" s="444"/>
      <c r="BR23" s="444"/>
      <c r="BS23" s="444"/>
      <c r="BT23" s="444"/>
      <c r="BU23" s="444"/>
      <c r="BV23" s="444"/>
      <c r="BW23" s="444"/>
      <c r="BX23" s="444"/>
      <c r="BY23" s="444"/>
      <c r="BZ23" s="444"/>
      <c r="CA23" s="444"/>
      <c r="CB23" s="444"/>
      <c r="CC23" s="444"/>
      <c r="CD23" s="444"/>
      <c r="CE23" s="444"/>
      <c r="CF23" s="444"/>
      <c r="CG23" s="444"/>
      <c r="CH23" s="444"/>
      <c r="CI23" s="444"/>
      <c r="CJ23" s="444"/>
      <c r="CK23" s="444"/>
      <c r="CL23" s="444"/>
      <c r="CM23" s="444"/>
      <c r="CN23" s="444"/>
      <c r="CO23" s="444"/>
      <c r="CP23" s="444"/>
      <c r="CQ23" s="444"/>
      <c r="CR23" s="444"/>
      <c r="CS23" s="444"/>
      <c r="CT23" s="444"/>
      <c r="CU23" s="444"/>
      <c r="CV23" s="444"/>
      <c r="CW23" s="444"/>
      <c r="CX23" s="445"/>
    </row>
    <row r="24" spans="1:102" s="239" customFormat="1" ht="19.5" customHeight="1">
      <c r="A24" s="449"/>
      <c r="B24" s="450"/>
      <c r="C24" s="450"/>
      <c r="D24" s="450"/>
      <c r="E24" s="450"/>
      <c r="F24" s="451"/>
      <c r="G24" s="452" t="s">
        <v>396</v>
      </c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/>
      <c r="BN24" s="450"/>
      <c r="BO24" s="450"/>
      <c r="BP24" s="450"/>
      <c r="BQ24" s="450"/>
      <c r="BR24" s="450"/>
      <c r="BS24" s="450"/>
      <c r="BT24" s="450"/>
      <c r="BU24" s="450"/>
      <c r="BV24" s="450"/>
      <c r="BW24" s="450"/>
      <c r="BX24" s="450"/>
      <c r="BY24" s="450"/>
      <c r="BZ24" s="450"/>
      <c r="CA24" s="450"/>
      <c r="CB24" s="450"/>
      <c r="CC24" s="450"/>
      <c r="CD24" s="450"/>
      <c r="CE24" s="450"/>
      <c r="CF24" s="450"/>
      <c r="CG24" s="450"/>
      <c r="CH24" s="450"/>
      <c r="CI24" s="450"/>
      <c r="CJ24" s="450"/>
      <c r="CK24" s="450"/>
      <c r="CL24" s="450"/>
      <c r="CM24" s="450"/>
      <c r="CN24" s="450"/>
      <c r="CO24" s="450"/>
      <c r="CP24" s="450"/>
      <c r="CQ24" s="450"/>
      <c r="CR24" s="450"/>
      <c r="CS24" s="450"/>
      <c r="CT24" s="450"/>
      <c r="CU24" s="450"/>
      <c r="CV24" s="450"/>
      <c r="CW24" s="450"/>
      <c r="CX24" s="451"/>
    </row>
    <row r="25" spans="1:102" s="239" customFormat="1" ht="45" customHeight="1">
      <c r="A25" s="456"/>
      <c r="B25" s="454"/>
      <c r="C25" s="454"/>
      <c r="D25" s="454"/>
      <c r="E25" s="454"/>
      <c r="F25" s="455"/>
      <c r="G25" s="457" t="s">
        <v>401</v>
      </c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/>
      <c r="CX25" s="455"/>
    </row>
    <row r="26" spans="1:102" s="239" customFormat="1" ht="33" customHeight="1">
      <c r="A26" s="446" t="s">
        <v>336</v>
      </c>
      <c r="B26" s="444"/>
      <c r="C26" s="444"/>
      <c r="D26" s="444"/>
      <c r="E26" s="444"/>
      <c r="F26" s="445"/>
      <c r="G26" s="447" t="s">
        <v>403</v>
      </c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4"/>
      <c r="BK26" s="444"/>
      <c r="BL26" s="444"/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44"/>
      <c r="BX26" s="444"/>
      <c r="BY26" s="444"/>
      <c r="BZ26" s="444"/>
      <c r="CA26" s="444"/>
      <c r="CB26" s="444"/>
      <c r="CC26" s="444"/>
      <c r="CD26" s="444"/>
      <c r="CE26" s="444"/>
      <c r="CF26" s="444"/>
      <c r="CG26" s="444"/>
      <c r="CH26" s="444"/>
      <c r="CI26" s="444"/>
      <c r="CJ26" s="444"/>
      <c r="CK26" s="444"/>
      <c r="CL26" s="444"/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CW26" s="444"/>
      <c r="CX26" s="445"/>
    </row>
    <row r="27" spans="1:102" s="239" customFormat="1" ht="19.5" customHeight="1">
      <c r="A27" s="449"/>
      <c r="B27" s="450"/>
      <c r="C27" s="450"/>
      <c r="D27" s="450"/>
      <c r="E27" s="450"/>
      <c r="F27" s="451"/>
      <c r="G27" s="452" t="s">
        <v>396</v>
      </c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0"/>
      <c r="BK27" s="450"/>
      <c r="BL27" s="450"/>
      <c r="BM27" s="450"/>
      <c r="BN27" s="450"/>
      <c r="BO27" s="450"/>
      <c r="BP27" s="450"/>
      <c r="BQ27" s="450"/>
      <c r="BR27" s="450"/>
      <c r="BS27" s="450"/>
      <c r="BT27" s="450"/>
      <c r="BU27" s="450"/>
      <c r="BV27" s="450"/>
      <c r="BW27" s="450"/>
      <c r="BX27" s="450"/>
      <c r="BY27" s="450"/>
      <c r="BZ27" s="450"/>
      <c r="CA27" s="450"/>
      <c r="CB27" s="450"/>
      <c r="CC27" s="450"/>
      <c r="CD27" s="450"/>
      <c r="CE27" s="450"/>
      <c r="CF27" s="450"/>
      <c r="CG27" s="450"/>
      <c r="CH27" s="450"/>
      <c r="CI27" s="450"/>
      <c r="CJ27" s="450"/>
      <c r="CK27" s="450"/>
      <c r="CL27" s="450"/>
      <c r="CM27" s="450"/>
      <c r="CN27" s="450"/>
      <c r="CO27" s="450"/>
      <c r="CP27" s="450"/>
      <c r="CQ27" s="450"/>
      <c r="CR27" s="450"/>
      <c r="CS27" s="450"/>
      <c r="CT27" s="450"/>
      <c r="CU27" s="450"/>
      <c r="CV27" s="450"/>
      <c r="CW27" s="450"/>
      <c r="CX27" s="451"/>
    </row>
    <row r="28" spans="1:102" s="239" customFormat="1" ht="45" customHeight="1">
      <c r="A28" s="456"/>
      <c r="B28" s="454"/>
      <c r="C28" s="454"/>
      <c r="D28" s="454"/>
      <c r="E28" s="454"/>
      <c r="F28" s="455"/>
      <c r="G28" s="457" t="s">
        <v>401</v>
      </c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/>
      <c r="CX28" s="455"/>
    </row>
    <row r="29" spans="1:102" s="239" customFormat="1" ht="33" customHeight="1">
      <c r="A29" s="462" t="s">
        <v>338</v>
      </c>
      <c r="B29" s="459"/>
      <c r="C29" s="459"/>
      <c r="D29" s="459"/>
      <c r="E29" s="459"/>
      <c r="F29" s="461"/>
      <c r="G29" s="463" t="s">
        <v>404</v>
      </c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61"/>
    </row>
    <row r="30" ht="4.5" customHeight="1"/>
    <row r="31" spans="1:102" ht="30" customHeight="1">
      <c r="A31" s="394" t="s">
        <v>405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4"/>
      <c r="BU31" s="394"/>
      <c r="BV31" s="394"/>
      <c r="BW31" s="394"/>
      <c r="BX31" s="394"/>
      <c r="BY31" s="394"/>
      <c r="BZ31" s="394"/>
      <c r="CA31" s="394"/>
      <c r="CB31" s="394"/>
      <c r="CC31" s="394"/>
      <c r="CD31" s="394"/>
      <c r="CE31" s="394"/>
      <c r="CF31" s="394"/>
      <c r="CG31" s="394"/>
      <c r="CH31" s="394"/>
      <c r="CI31" s="394"/>
      <c r="CJ31" s="394"/>
      <c r="CK31" s="394"/>
      <c r="CL31" s="394"/>
      <c r="CM31" s="394"/>
      <c r="CN31" s="394"/>
      <c r="CO31" s="394"/>
      <c r="CP31" s="394"/>
      <c r="CQ31" s="394"/>
      <c r="CR31" s="394"/>
      <c r="CS31" s="394"/>
      <c r="CT31" s="394"/>
      <c r="CU31" s="394"/>
      <c r="CV31" s="394"/>
      <c r="CW31" s="394"/>
      <c r="CX31" s="394"/>
    </row>
    <row r="32" spans="1:102" ht="106.5" customHeight="1">
      <c r="A32" s="460" t="s">
        <v>406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</row>
    <row r="33" ht="3" customHeight="1"/>
  </sheetData>
  <sheetProtection/>
  <mergeCells count="194">
    <mergeCell ref="AW29:BE29"/>
    <mergeCell ref="BF29:BN29"/>
    <mergeCell ref="A31:CX31"/>
    <mergeCell ref="A32:CX32"/>
    <mergeCell ref="BO29:BW29"/>
    <mergeCell ref="BX29:CF29"/>
    <mergeCell ref="CG29:CO29"/>
    <mergeCell ref="CP29:CX29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CP27:CX27"/>
    <mergeCell ref="AN28:AV28"/>
    <mergeCell ref="AW28:BE28"/>
    <mergeCell ref="AW27:BE27"/>
    <mergeCell ref="BF27:BN27"/>
    <mergeCell ref="CP28:CX28"/>
    <mergeCell ref="BF28:BN28"/>
    <mergeCell ref="BO28:BW28"/>
    <mergeCell ref="BX28:CF28"/>
    <mergeCell ref="CG28:CO28"/>
    <mergeCell ref="CG26:CO26"/>
    <mergeCell ref="BO27:BW27"/>
    <mergeCell ref="BX27:CF27"/>
    <mergeCell ref="CG27:CO27"/>
    <mergeCell ref="AN27:AV27"/>
    <mergeCell ref="AW26:BE26"/>
    <mergeCell ref="A26:F26"/>
    <mergeCell ref="G26:U26"/>
    <mergeCell ref="V26:AD26"/>
    <mergeCell ref="AE26:AM26"/>
    <mergeCell ref="AN26:AV26"/>
    <mergeCell ref="A27:F27"/>
    <mergeCell ref="G27:U27"/>
    <mergeCell ref="V27:AD27"/>
    <mergeCell ref="AE27:AM27"/>
    <mergeCell ref="AW25:BE25"/>
    <mergeCell ref="BF25:BN25"/>
    <mergeCell ref="CP26:CX26"/>
    <mergeCell ref="BF26:BN26"/>
    <mergeCell ref="BO25:BW25"/>
    <mergeCell ref="BX25:CF25"/>
    <mergeCell ref="CG25:CO25"/>
    <mergeCell ref="CP25:CX25"/>
    <mergeCell ref="BO26:BW26"/>
    <mergeCell ref="BX26:CF26"/>
    <mergeCell ref="AN25:AV25"/>
    <mergeCell ref="A24:F24"/>
    <mergeCell ref="G24:U24"/>
    <mergeCell ref="V24:AD24"/>
    <mergeCell ref="AE24:AM24"/>
    <mergeCell ref="A25:F25"/>
    <mergeCell ref="G25:U25"/>
    <mergeCell ref="V25:AD25"/>
    <mergeCell ref="AE25:AM25"/>
    <mergeCell ref="CP23:CX23"/>
    <mergeCell ref="AN24:AV24"/>
    <mergeCell ref="AW24:BE24"/>
    <mergeCell ref="AW23:BE23"/>
    <mergeCell ref="BF23:BN23"/>
    <mergeCell ref="CP24:CX24"/>
    <mergeCell ref="BF24:BN24"/>
    <mergeCell ref="BO24:BW24"/>
    <mergeCell ref="BX24:CF24"/>
    <mergeCell ref="CG24:CO24"/>
    <mergeCell ref="CG22:CO22"/>
    <mergeCell ref="BO23:BW23"/>
    <mergeCell ref="BX23:CF23"/>
    <mergeCell ref="CG23:CO23"/>
    <mergeCell ref="AN23:AV23"/>
    <mergeCell ref="AW22:BE22"/>
    <mergeCell ref="A22:F22"/>
    <mergeCell ref="G22:U22"/>
    <mergeCell ref="V22:AD22"/>
    <mergeCell ref="AE22:AM22"/>
    <mergeCell ref="AN22:AV22"/>
    <mergeCell ref="A23:F23"/>
    <mergeCell ref="G23:U23"/>
    <mergeCell ref="V23:AD23"/>
    <mergeCell ref="AE23:AM23"/>
    <mergeCell ref="AW21:BE21"/>
    <mergeCell ref="BF21:BN21"/>
    <mergeCell ref="CP22:CX22"/>
    <mergeCell ref="BF22:BN22"/>
    <mergeCell ref="BO21:BW21"/>
    <mergeCell ref="BX21:CF21"/>
    <mergeCell ref="CG21:CO21"/>
    <mergeCell ref="CP21:CX21"/>
    <mergeCell ref="BO22:BW22"/>
    <mergeCell ref="BX22:CF22"/>
    <mergeCell ref="AN21:AV21"/>
    <mergeCell ref="A20:F20"/>
    <mergeCell ref="G20:U20"/>
    <mergeCell ref="V20:AD20"/>
    <mergeCell ref="AE20:AM20"/>
    <mergeCell ref="A21:F21"/>
    <mergeCell ref="G21:U21"/>
    <mergeCell ref="V21:AD21"/>
    <mergeCell ref="AE21:AM21"/>
    <mergeCell ref="CP19:CX19"/>
    <mergeCell ref="AN20:AV20"/>
    <mergeCell ref="AW20:BE20"/>
    <mergeCell ref="AW19:BE19"/>
    <mergeCell ref="BF19:BN19"/>
    <mergeCell ref="CP20:CX20"/>
    <mergeCell ref="BF20:BN20"/>
    <mergeCell ref="BO20:BW20"/>
    <mergeCell ref="BX20:CF20"/>
    <mergeCell ref="CG20:CO20"/>
    <mergeCell ref="CG18:CO18"/>
    <mergeCell ref="BO19:BW19"/>
    <mergeCell ref="BX19:CF19"/>
    <mergeCell ref="CG19:CO19"/>
    <mergeCell ref="AN19:AV19"/>
    <mergeCell ref="AW18:BE18"/>
    <mergeCell ref="A18:F18"/>
    <mergeCell ref="G18:U18"/>
    <mergeCell ref="V18:AD18"/>
    <mergeCell ref="AE18:AM18"/>
    <mergeCell ref="AN18:AV18"/>
    <mergeCell ref="A19:F19"/>
    <mergeCell ref="G19:U19"/>
    <mergeCell ref="V19:AD19"/>
    <mergeCell ref="AE19:AM19"/>
    <mergeCell ref="AW17:BE17"/>
    <mergeCell ref="BF17:BN17"/>
    <mergeCell ref="CP18:CX18"/>
    <mergeCell ref="BF18:BN18"/>
    <mergeCell ref="BO17:BW17"/>
    <mergeCell ref="BX17:CF17"/>
    <mergeCell ref="CG17:CO17"/>
    <mergeCell ref="CP17:CX17"/>
    <mergeCell ref="BO18:BW18"/>
    <mergeCell ref="BX18:CF18"/>
    <mergeCell ref="AN17:AV17"/>
    <mergeCell ref="A16:F16"/>
    <mergeCell ref="G16:U16"/>
    <mergeCell ref="V16:AD16"/>
    <mergeCell ref="AE16:AM16"/>
    <mergeCell ref="A17:F17"/>
    <mergeCell ref="G17:U17"/>
    <mergeCell ref="V17:AD17"/>
    <mergeCell ref="AE17:AM17"/>
    <mergeCell ref="CP15:CX15"/>
    <mergeCell ref="AN16:AV16"/>
    <mergeCell ref="AW16:BE16"/>
    <mergeCell ref="AW15:BE15"/>
    <mergeCell ref="BF15:BN15"/>
    <mergeCell ref="CP16:CX16"/>
    <mergeCell ref="BF16:BN16"/>
    <mergeCell ref="BO16:BW16"/>
    <mergeCell ref="BX16:CF16"/>
    <mergeCell ref="CG16:CO16"/>
    <mergeCell ref="CG14:CO14"/>
    <mergeCell ref="BO15:BW15"/>
    <mergeCell ref="BX15:CF15"/>
    <mergeCell ref="CG15:CO15"/>
    <mergeCell ref="AN15:AV15"/>
    <mergeCell ref="AW14:BE14"/>
    <mergeCell ref="A14:F14"/>
    <mergeCell ref="G14:U14"/>
    <mergeCell ref="V14:AD14"/>
    <mergeCell ref="AE14:AM14"/>
    <mergeCell ref="AN14:AV14"/>
    <mergeCell ref="A15:F15"/>
    <mergeCell ref="G15:U15"/>
    <mergeCell ref="V15:AD15"/>
    <mergeCell ref="AE15:AM15"/>
    <mergeCell ref="AW13:BE13"/>
    <mergeCell ref="BF13:BN13"/>
    <mergeCell ref="CP14:CX14"/>
    <mergeCell ref="BF14:BN14"/>
    <mergeCell ref="BO13:BW13"/>
    <mergeCell ref="BX13:CF13"/>
    <mergeCell ref="CG13:CO13"/>
    <mergeCell ref="CP13:CX13"/>
    <mergeCell ref="BO14:BW14"/>
    <mergeCell ref="BX14:CF14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31">
      <selection activeCell="BA44" sqref="BA44"/>
    </sheetView>
  </sheetViews>
  <sheetFormatPr defaultColWidth="0" defaultRowHeight="12.75"/>
  <cols>
    <col min="1" max="106" width="0.85546875" style="234" customWidth="1"/>
    <col min="107" max="107" width="0.5625" style="234" customWidth="1"/>
    <col min="108" max="16384" width="0.85546875" style="234" hidden="1" customWidth="1"/>
  </cols>
  <sheetData>
    <row r="1" s="228" customFormat="1" ht="12.75">
      <c r="BO1" s="228" t="s">
        <v>407</v>
      </c>
    </row>
    <row r="2" spans="67:102" s="228" customFormat="1" ht="39.75" customHeight="1">
      <c r="BO2" s="374" t="s">
        <v>289</v>
      </c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</row>
    <row r="3" s="228" customFormat="1" ht="5.25" customHeight="1"/>
    <row r="4" s="229" customFormat="1" ht="12">
      <c r="BO4" s="229" t="s">
        <v>290</v>
      </c>
    </row>
    <row r="5" s="229" customFormat="1" ht="12">
      <c r="BO5" s="229" t="s">
        <v>291</v>
      </c>
    </row>
    <row r="6" s="228" customFormat="1" ht="12.75"/>
    <row r="7" s="230" customFormat="1" ht="16.5">
      <c r="CX7" s="231" t="s">
        <v>292</v>
      </c>
    </row>
    <row r="8" s="230" customFormat="1" ht="15" customHeight="1"/>
    <row r="9" spans="1:102" s="232" customFormat="1" ht="18.75" customHeight="1">
      <c r="A9" s="465" t="s">
        <v>388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465"/>
      <c r="BC9" s="465"/>
      <c r="BD9" s="465"/>
      <c r="BE9" s="465"/>
      <c r="BF9" s="465"/>
      <c r="BG9" s="465"/>
      <c r="BH9" s="465"/>
      <c r="BI9" s="465"/>
      <c r="BJ9" s="465"/>
      <c r="BK9" s="465"/>
      <c r="BL9" s="465"/>
      <c r="BM9" s="465"/>
      <c r="BN9" s="465"/>
      <c r="BO9" s="465"/>
      <c r="BP9" s="465"/>
      <c r="BQ9" s="465"/>
      <c r="BR9" s="465"/>
      <c r="BS9" s="465"/>
      <c r="BT9" s="465"/>
      <c r="BU9" s="465"/>
      <c r="BV9" s="465"/>
      <c r="BW9" s="465"/>
      <c r="BX9" s="465"/>
      <c r="BY9" s="465"/>
      <c r="BZ9" s="465"/>
      <c r="CA9" s="465"/>
      <c r="CB9" s="465"/>
      <c r="CC9" s="465"/>
      <c r="CD9" s="465"/>
      <c r="CE9" s="465"/>
      <c r="CF9" s="465"/>
      <c r="CG9" s="465"/>
      <c r="CH9" s="465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  <c r="CT9" s="465"/>
      <c r="CU9" s="465"/>
      <c r="CV9" s="465"/>
      <c r="CW9" s="465"/>
      <c r="CX9" s="465"/>
    </row>
    <row r="10" spans="1:102" s="233" customFormat="1" ht="36.75" customHeight="1">
      <c r="A10" s="466" t="s">
        <v>408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</row>
    <row r="11" ht="12" customHeight="1"/>
    <row r="12" spans="1:102" s="235" customFormat="1" ht="33.75" customHeight="1">
      <c r="A12" s="467" t="s">
        <v>409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378"/>
      <c r="AI12" s="385" t="s">
        <v>410</v>
      </c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97"/>
      <c r="BQ12" s="385" t="s">
        <v>392</v>
      </c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</row>
    <row r="13" spans="1:102" s="235" customFormat="1" ht="33.75" customHeight="1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380"/>
      <c r="AI13" s="384" t="s">
        <v>383</v>
      </c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 t="s">
        <v>384</v>
      </c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 t="s">
        <v>394</v>
      </c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 t="s">
        <v>383</v>
      </c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 t="s">
        <v>384</v>
      </c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 t="s">
        <v>394</v>
      </c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5"/>
    </row>
    <row r="14" spans="1:102" s="236" customFormat="1" ht="16.5" customHeight="1">
      <c r="A14" s="406" t="s">
        <v>325</v>
      </c>
      <c r="B14" s="406"/>
      <c r="C14" s="406"/>
      <c r="D14" s="406"/>
      <c r="E14" s="406"/>
      <c r="F14" s="406"/>
      <c r="G14" s="408" t="s">
        <v>395</v>
      </c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398">
        <v>392</v>
      </c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>
        <v>1</v>
      </c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>
        <v>3312</v>
      </c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>
        <v>9</v>
      </c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9"/>
    </row>
    <row r="15" spans="1:102" s="236" customFormat="1" ht="16.5" customHeight="1">
      <c r="A15" s="400"/>
      <c r="B15" s="400"/>
      <c r="C15" s="400"/>
      <c r="D15" s="400"/>
      <c r="E15" s="400"/>
      <c r="F15" s="400"/>
      <c r="G15" s="402" t="s">
        <v>396</v>
      </c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5"/>
    </row>
    <row r="16" spans="1:102" s="236" customFormat="1" ht="16.5" customHeight="1">
      <c r="A16" s="391"/>
      <c r="B16" s="391"/>
      <c r="C16" s="391"/>
      <c r="D16" s="391"/>
      <c r="E16" s="391"/>
      <c r="F16" s="391"/>
      <c r="G16" s="410" t="s">
        <v>397</v>
      </c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372">
        <v>337</v>
      </c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>
        <v>2844</v>
      </c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3"/>
    </row>
    <row r="17" spans="1:102" s="236" customFormat="1" ht="33.75" customHeight="1">
      <c r="A17" s="406" t="s">
        <v>328</v>
      </c>
      <c r="B17" s="406"/>
      <c r="C17" s="406"/>
      <c r="D17" s="406"/>
      <c r="E17" s="406"/>
      <c r="F17" s="406"/>
      <c r="G17" s="408" t="s">
        <v>411</v>
      </c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398">
        <v>40</v>
      </c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>
        <v>1</v>
      </c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>
        <v>2352.332</v>
      </c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>
        <v>36</v>
      </c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9"/>
    </row>
    <row r="18" spans="1:102" s="236" customFormat="1" ht="16.5" customHeight="1">
      <c r="A18" s="400"/>
      <c r="B18" s="400"/>
      <c r="C18" s="400"/>
      <c r="D18" s="400"/>
      <c r="E18" s="400"/>
      <c r="F18" s="400"/>
      <c r="G18" s="402" t="s">
        <v>396</v>
      </c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5"/>
    </row>
    <row r="19" spans="1:102" s="236" customFormat="1" ht="16.5" customHeight="1">
      <c r="A19" s="391"/>
      <c r="B19" s="391"/>
      <c r="C19" s="391"/>
      <c r="D19" s="391"/>
      <c r="E19" s="391"/>
      <c r="F19" s="391"/>
      <c r="G19" s="410" t="s">
        <v>399</v>
      </c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2"/>
      <c r="CO19" s="372"/>
      <c r="CP19" s="372"/>
      <c r="CQ19" s="372"/>
      <c r="CR19" s="372"/>
      <c r="CS19" s="372"/>
      <c r="CT19" s="372"/>
      <c r="CU19" s="372"/>
      <c r="CV19" s="372"/>
      <c r="CW19" s="372"/>
      <c r="CX19" s="373"/>
    </row>
    <row r="20" spans="1:102" s="236" customFormat="1" ht="33.75" customHeight="1">
      <c r="A20" s="406" t="s">
        <v>330</v>
      </c>
      <c r="B20" s="406"/>
      <c r="C20" s="406"/>
      <c r="D20" s="406"/>
      <c r="E20" s="406"/>
      <c r="F20" s="406"/>
      <c r="G20" s="408" t="s">
        <v>400</v>
      </c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398">
        <v>1</v>
      </c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>
        <v>2</v>
      </c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8"/>
      <c r="BK20" s="398"/>
      <c r="BL20" s="398"/>
      <c r="BM20" s="398"/>
      <c r="BN20" s="398"/>
      <c r="BO20" s="398"/>
      <c r="BP20" s="398"/>
      <c r="BQ20" s="398">
        <v>248.92</v>
      </c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>
        <v>665</v>
      </c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9"/>
    </row>
    <row r="21" spans="1:102" s="236" customFormat="1" ht="16.5" customHeight="1">
      <c r="A21" s="400"/>
      <c r="B21" s="400"/>
      <c r="C21" s="400"/>
      <c r="D21" s="400"/>
      <c r="E21" s="400"/>
      <c r="F21" s="400"/>
      <c r="G21" s="402" t="s">
        <v>396</v>
      </c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5"/>
    </row>
    <row r="22" spans="1:102" s="236" customFormat="1" ht="33.75" customHeight="1">
      <c r="A22" s="391"/>
      <c r="B22" s="391"/>
      <c r="C22" s="391"/>
      <c r="D22" s="391"/>
      <c r="E22" s="391"/>
      <c r="F22" s="391"/>
      <c r="G22" s="410" t="s">
        <v>412</v>
      </c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3"/>
    </row>
    <row r="23" spans="1:102" s="236" customFormat="1" ht="33.75" customHeight="1">
      <c r="A23" s="406" t="s">
        <v>334</v>
      </c>
      <c r="B23" s="406"/>
      <c r="C23" s="406"/>
      <c r="D23" s="406"/>
      <c r="E23" s="406"/>
      <c r="F23" s="406"/>
      <c r="G23" s="408" t="s">
        <v>402</v>
      </c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>
        <v>3</v>
      </c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>
        <v>2</v>
      </c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>
        <v>4759</v>
      </c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>
        <v>3240</v>
      </c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9"/>
    </row>
    <row r="24" spans="1:102" s="236" customFormat="1" ht="16.5" customHeight="1">
      <c r="A24" s="400"/>
      <c r="B24" s="400"/>
      <c r="C24" s="400"/>
      <c r="D24" s="400"/>
      <c r="E24" s="400"/>
      <c r="F24" s="400"/>
      <c r="G24" s="402" t="s">
        <v>396</v>
      </c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5"/>
    </row>
    <row r="25" spans="1:102" s="236" customFormat="1" ht="33.75" customHeight="1">
      <c r="A25" s="391"/>
      <c r="B25" s="391"/>
      <c r="C25" s="391"/>
      <c r="D25" s="391"/>
      <c r="E25" s="391"/>
      <c r="F25" s="391"/>
      <c r="G25" s="410" t="s">
        <v>412</v>
      </c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3"/>
    </row>
    <row r="26" spans="1:102" s="236" customFormat="1" ht="16.5" customHeight="1">
      <c r="A26" s="406" t="s">
        <v>336</v>
      </c>
      <c r="B26" s="406"/>
      <c r="C26" s="406"/>
      <c r="D26" s="406"/>
      <c r="E26" s="406"/>
      <c r="F26" s="406"/>
      <c r="G26" s="408" t="s">
        <v>403</v>
      </c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>
        <v>3</v>
      </c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>
        <v>29461</v>
      </c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9"/>
    </row>
    <row r="27" spans="1:102" s="236" customFormat="1" ht="16.5" customHeight="1">
      <c r="A27" s="400"/>
      <c r="B27" s="400"/>
      <c r="C27" s="400"/>
      <c r="D27" s="400"/>
      <c r="E27" s="400"/>
      <c r="F27" s="400"/>
      <c r="G27" s="402" t="s">
        <v>396</v>
      </c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5"/>
    </row>
    <row r="28" spans="1:102" s="236" customFormat="1" ht="33.75" customHeight="1">
      <c r="A28" s="391"/>
      <c r="B28" s="391"/>
      <c r="C28" s="391"/>
      <c r="D28" s="391"/>
      <c r="E28" s="391"/>
      <c r="F28" s="391"/>
      <c r="G28" s="410" t="s">
        <v>412</v>
      </c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>
        <v>3</v>
      </c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>
        <v>29461</v>
      </c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3"/>
    </row>
    <row r="29" spans="1:102" s="236" customFormat="1" ht="18" customHeight="1">
      <c r="A29" s="387" t="s">
        <v>338</v>
      </c>
      <c r="B29" s="387"/>
      <c r="C29" s="387"/>
      <c r="D29" s="387"/>
      <c r="E29" s="387"/>
      <c r="F29" s="387"/>
      <c r="G29" s="389" t="s">
        <v>413</v>
      </c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90"/>
    </row>
    <row r="30" ht="4.5" customHeight="1"/>
    <row r="31" spans="1:102" s="228" customFormat="1" ht="28.5" customHeight="1">
      <c r="A31" s="394" t="s">
        <v>405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4"/>
      <c r="BU31" s="394"/>
      <c r="BV31" s="394"/>
      <c r="BW31" s="394"/>
      <c r="BX31" s="394"/>
      <c r="BY31" s="394"/>
      <c r="BZ31" s="394"/>
      <c r="CA31" s="394"/>
      <c r="CB31" s="394"/>
      <c r="CC31" s="394"/>
      <c r="CD31" s="394"/>
      <c r="CE31" s="394"/>
      <c r="CF31" s="394"/>
      <c r="CG31" s="394"/>
      <c r="CH31" s="394"/>
      <c r="CI31" s="394"/>
      <c r="CJ31" s="394"/>
      <c r="CK31" s="394"/>
      <c r="CL31" s="394"/>
      <c r="CM31" s="394"/>
      <c r="CN31" s="394"/>
      <c r="CO31" s="394"/>
      <c r="CP31" s="394"/>
      <c r="CQ31" s="394"/>
      <c r="CR31" s="394"/>
      <c r="CS31" s="394"/>
      <c r="CT31" s="394"/>
      <c r="CU31" s="394"/>
      <c r="CV31" s="394"/>
      <c r="CW31" s="394"/>
      <c r="CX31" s="394"/>
    </row>
    <row r="32" spans="1:102" s="228" customFormat="1" ht="105.75" customHeight="1">
      <c r="A32" s="460" t="s">
        <v>406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</row>
    <row r="33" ht="3" customHeight="1"/>
  </sheetData>
  <sheetProtection/>
  <mergeCells count="142">
    <mergeCell ref="CB28:CL28"/>
    <mergeCell ref="CM28:CX28"/>
    <mergeCell ref="BE28:BP28"/>
    <mergeCell ref="BQ28:CA28"/>
    <mergeCell ref="A31:CX31"/>
    <mergeCell ref="A32:CX32"/>
    <mergeCell ref="BE29:BP29"/>
    <mergeCell ref="BQ29:CA29"/>
    <mergeCell ref="CB29:CL29"/>
    <mergeCell ref="CM29:CX29"/>
    <mergeCell ref="A29:F29"/>
    <mergeCell ref="G29:AH29"/>
    <mergeCell ref="AI29:AS29"/>
    <mergeCell ref="AT29:BD29"/>
    <mergeCell ref="A28:F28"/>
    <mergeCell ref="G28:AH28"/>
    <mergeCell ref="AI28:AS28"/>
    <mergeCell ref="AT28:BD28"/>
    <mergeCell ref="CB26:CL26"/>
    <mergeCell ref="CM26:CX26"/>
    <mergeCell ref="BE25:BP25"/>
    <mergeCell ref="BQ25:CA25"/>
    <mergeCell ref="A27:F27"/>
    <mergeCell ref="G27:AH27"/>
    <mergeCell ref="AI27:AS27"/>
    <mergeCell ref="AT27:BD27"/>
    <mergeCell ref="CB27:CL27"/>
    <mergeCell ref="CM27:CX27"/>
    <mergeCell ref="A26:F26"/>
    <mergeCell ref="G26:AH26"/>
    <mergeCell ref="AI26:AS26"/>
    <mergeCell ref="AT26:BD26"/>
    <mergeCell ref="BE27:BP27"/>
    <mergeCell ref="BQ27:CA27"/>
    <mergeCell ref="BE26:BP26"/>
    <mergeCell ref="BQ26:CA26"/>
    <mergeCell ref="CB24:CL24"/>
    <mergeCell ref="CM24:CX24"/>
    <mergeCell ref="A25:F25"/>
    <mergeCell ref="G25:AH25"/>
    <mergeCell ref="AI25:AS25"/>
    <mergeCell ref="AT25:BD25"/>
    <mergeCell ref="CB25:CL25"/>
    <mergeCell ref="CM25:CX25"/>
    <mergeCell ref="A24:F24"/>
    <mergeCell ref="G24:AH24"/>
    <mergeCell ref="AI24:AS24"/>
    <mergeCell ref="AT24:BD24"/>
    <mergeCell ref="BE24:BP24"/>
    <mergeCell ref="BQ24:CA24"/>
    <mergeCell ref="CB22:CL22"/>
    <mergeCell ref="CM22:CX22"/>
    <mergeCell ref="CB23:CL23"/>
    <mergeCell ref="CM23:CX23"/>
    <mergeCell ref="BE23:BP23"/>
    <mergeCell ref="BQ23:CA23"/>
    <mergeCell ref="BE21:BP21"/>
    <mergeCell ref="BQ21:CA21"/>
    <mergeCell ref="A23:F23"/>
    <mergeCell ref="G23:AH23"/>
    <mergeCell ref="AI23:AS23"/>
    <mergeCell ref="AT23:BD23"/>
    <mergeCell ref="A22:F22"/>
    <mergeCell ref="G22:AH22"/>
    <mergeCell ref="AI22:AS22"/>
    <mergeCell ref="AT22:BD22"/>
    <mergeCell ref="BE22:BP22"/>
    <mergeCell ref="BQ22:CA22"/>
    <mergeCell ref="CB20:CL20"/>
    <mergeCell ref="CM20:CX20"/>
    <mergeCell ref="A21:F21"/>
    <mergeCell ref="G21:AH21"/>
    <mergeCell ref="AI21:AS21"/>
    <mergeCell ref="AT21:BD21"/>
    <mergeCell ref="CB21:CL21"/>
    <mergeCell ref="CM21:CX21"/>
    <mergeCell ref="A20:F20"/>
    <mergeCell ref="G20:AH20"/>
    <mergeCell ref="AI20:AS20"/>
    <mergeCell ref="AT20:BD20"/>
    <mergeCell ref="BE20:BP20"/>
    <mergeCell ref="BQ20:CA20"/>
    <mergeCell ref="A19:F19"/>
    <mergeCell ref="G19:AH19"/>
    <mergeCell ref="AI19:AS19"/>
    <mergeCell ref="AT19:BD19"/>
    <mergeCell ref="CB19:CL19"/>
    <mergeCell ref="CM19:CX19"/>
    <mergeCell ref="BE19:BP19"/>
    <mergeCell ref="BQ19:CA19"/>
    <mergeCell ref="CB17:CL17"/>
    <mergeCell ref="CM17:CX17"/>
    <mergeCell ref="BE18:BP18"/>
    <mergeCell ref="BQ18:CA18"/>
    <mergeCell ref="CB18:CL18"/>
    <mergeCell ref="CM18:CX18"/>
    <mergeCell ref="BE17:BP17"/>
    <mergeCell ref="BQ17:CA17"/>
    <mergeCell ref="A17:F17"/>
    <mergeCell ref="G17:AH17"/>
    <mergeCell ref="AI17:AS17"/>
    <mergeCell ref="AT17:BD17"/>
    <mergeCell ref="A18:F18"/>
    <mergeCell ref="G18:AH18"/>
    <mergeCell ref="AI18:AS18"/>
    <mergeCell ref="AT18:BD18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CB13:CL13"/>
    <mergeCell ref="CM13:CX13"/>
    <mergeCell ref="BE14:BP14"/>
    <mergeCell ref="BQ14:CA14"/>
    <mergeCell ref="CB14:CL14"/>
    <mergeCell ref="CM14:CX14"/>
    <mergeCell ref="A14:F14"/>
    <mergeCell ref="G14:AH14"/>
    <mergeCell ref="AI14:AS14"/>
    <mergeCell ref="AT14:BD14"/>
    <mergeCell ref="BE15:BP15"/>
    <mergeCell ref="BQ15:CA15"/>
    <mergeCell ref="A15:F15"/>
    <mergeCell ref="G15:AH15"/>
    <mergeCell ref="AI15:AS15"/>
    <mergeCell ref="AT15:BD15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4">
      <selection activeCell="BU18" sqref="BU18:CI18"/>
    </sheetView>
  </sheetViews>
  <sheetFormatPr defaultColWidth="9.140625" defaultRowHeight="12.75"/>
  <cols>
    <col min="1" max="1" width="8.28125" style="0" customWidth="1"/>
    <col min="2" max="2" width="43.00390625" style="0" customWidth="1"/>
    <col min="3" max="4" width="13.8515625" style="8" customWidth="1"/>
  </cols>
  <sheetData>
    <row r="1" spans="1:3" ht="12.75" customHeight="1">
      <c r="A1" s="9"/>
      <c r="C1"/>
    </row>
    <row r="2" spans="1:4" ht="63.75" customHeight="1">
      <c r="A2" s="304" t="s">
        <v>276</v>
      </c>
      <c r="B2" s="304"/>
      <c r="C2" s="304"/>
      <c r="D2" s="69"/>
    </row>
    <row r="3" spans="1:4" ht="21" customHeight="1">
      <c r="A3" s="187"/>
      <c r="B3" s="187"/>
      <c r="C3" s="187"/>
      <c r="D3" s="187"/>
    </row>
    <row r="4" spans="1:4" ht="15.75" customHeight="1">
      <c r="A4" s="188"/>
      <c r="B4" s="188"/>
      <c r="C4" s="189"/>
      <c r="D4" s="189"/>
    </row>
    <row r="5" spans="1:4" ht="36" customHeight="1">
      <c r="A5" s="10" t="s">
        <v>1</v>
      </c>
      <c r="B5" s="10" t="s">
        <v>110</v>
      </c>
      <c r="C5" s="10" t="s">
        <v>277</v>
      </c>
      <c r="D5" s="10" t="s">
        <v>278</v>
      </c>
    </row>
    <row r="6" spans="1:4" s="77" customFormat="1" ht="26.25">
      <c r="A6" s="75">
        <v>1</v>
      </c>
      <c r="B6" s="75" t="s">
        <v>111</v>
      </c>
      <c r="C6" s="74">
        <f>C7+C8+C9+C10+C11+C20</f>
        <v>806.2873178832339</v>
      </c>
      <c r="D6" s="74">
        <f>D7+D8+D9+D10+D11+D20</f>
        <v>1248.4691829660953</v>
      </c>
    </row>
    <row r="7" spans="1:4" s="78" customFormat="1" ht="16.5" customHeight="1">
      <c r="A7" s="70" t="s">
        <v>10</v>
      </c>
      <c r="B7" s="75" t="s">
        <v>112</v>
      </c>
      <c r="C7" s="76">
        <f>((ВЛ!H13+ВЛ!H30+ВЛ!H41+ТП!H13+ТП!H30+ТП!H41)*(ВЛ!H48+ТП!H48+ВЛ!G48+ТП!G48)/1000)/2</f>
        <v>6.6</v>
      </c>
      <c r="D7" s="76">
        <f>((ВЛ!J13+ВЛ!J30+ВЛ!J41+ТП!J13+ТП!J30+ТП!J41)*(ВЛ!J48+ТП!J48+ВЛ!I48+ТП!I48)/1000)/2</f>
        <v>9.9</v>
      </c>
    </row>
    <row r="8" spans="1:4" s="78" customFormat="1" ht="12.75">
      <c r="A8" s="70" t="s">
        <v>12</v>
      </c>
      <c r="B8" s="75" t="s">
        <v>113</v>
      </c>
      <c r="C8" s="79"/>
      <c r="D8" s="79"/>
    </row>
    <row r="9" spans="1:4" s="78" customFormat="1" ht="12.75">
      <c r="A9" s="70" t="s">
        <v>14</v>
      </c>
      <c r="B9" s="75" t="s">
        <v>114</v>
      </c>
      <c r="C9" s="80">
        <f>((ВЛ!H11+ВЛ!H28+ВЛ!H39+ТП!H11+ТП!H28+ТП!H39)*(ВЛ!G48+ВЛ!H48+ТП!G48+ТП!H48)/1000)/2+(ВЛ!H36+ТП!H36+ВЛ!G36+ТП!G36)</f>
        <v>240.07451980547364</v>
      </c>
      <c r="D9" s="80">
        <f>((ВЛ!J11+ВЛ!J28+ВЛ!J39+ТП!J11+ТП!J28+ТП!J39)*(ВЛ!J48+ТП!J48+ВЛ!I48+ТП!I48)/1000)/2+(ТП!J36+ВЛ!J36+ВЛ!I36+ТП!I36)</f>
        <v>383.1802979080953</v>
      </c>
    </row>
    <row r="10" spans="1:4" s="78" customFormat="1" ht="12.75">
      <c r="A10" s="70" t="s">
        <v>16</v>
      </c>
      <c r="B10" s="75" t="s">
        <v>115</v>
      </c>
      <c r="C10" s="80">
        <f>((ВЛ!H12+ВЛ!H29+ВЛ!H40+ТП!H12+ТП!H29+ТП!H40)*(ВЛ!G48+ВЛ!H48+ТП!G48+ТП!H48)/1000)/2</f>
        <v>68.33920670608634</v>
      </c>
      <c r="D10" s="80">
        <f>((ВЛ!J12+ВЛ!J29+ВЛ!J40+ТП!J12+ТП!J29+ТП!J40)*(ВЛ!J48+ТП!J48)/1000)/2</f>
        <v>75.96667466784422</v>
      </c>
    </row>
    <row r="11" spans="1:4" s="78" customFormat="1" ht="12.75">
      <c r="A11" s="70" t="s">
        <v>18</v>
      </c>
      <c r="B11" s="75" t="s">
        <v>116</v>
      </c>
      <c r="C11" s="80">
        <f>C12+C13+C14</f>
        <v>468.23438301816157</v>
      </c>
      <c r="D11" s="80">
        <f>D12+D13+D14</f>
        <v>742.8147470505498</v>
      </c>
    </row>
    <row r="12" spans="1:4" s="78" customFormat="1" ht="12.75">
      <c r="A12" s="70" t="s">
        <v>117</v>
      </c>
      <c r="B12" s="81" t="s">
        <v>118</v>
      </c>
      <c r="C12" s="80">
        <f>((ВЛ!H31+ВЛ!H42+ТП!H31+ТП!H42)*(ВЛ!G48+ВЛ!H48+ТП!G48+ТП!H48)/1000)/2</f>
        <v>183.87135800000001</v>
      </c>
      <c r="D12" s="80">
        <f>((ВЛ!J31+ВЛ!J42+ТП!J31+ТП!J42)*(ВЛ!J48+ТП!J48+ВЛ!I48+ТП!I48)/1000)/2</f>
        <v>290.984595</v>
      </c>
    </row>
    <row r="13" spans="1:4" s="78" customFormat="1" ht="12.75">
      <c r="A13" s="70" t="s">
        <v>119</v>
      </c>
      <c r="B13" s="75" t="s">
        <v>120</v>
      </c>
      <c r="C13" s="76"/>
      <c r="D13" s="76"/>
    </row>
    <row r="14" spans="1:4" s="78" customFormat="1" ht="26.25">
      <c r="A14" s="70" t="s">
        <v>121</v>
      </c>
      <c r="B14" s="75" t="s">
        <v>122</v>
      </c>
      <c r="C14" s="80">
        <f>C15+C16+C17+C18+C19</f>
        <v>284.3630250181616</v>
      </c>
      <c r="D14" s="80">
        <f>D15+D16+D17+D18+D19</f>
        <v>451.83015205054977</v>
      </c>
    </row>
    <row r="15" spans="1:4" s="78" customFormat="1" ht="12.75">
      <c r="A15" s="70" t="s">
        <v>123</v>
      </c>
      <c r="B15" s="75" t="s">
        <v>124</v>
      </c>
      <c r="C15" s="80"/>
      <c r="D15" s="80"/>
    </row>
    <row r="16" spans="1:4" s="78" customFormat="1" ht="12.75">
      <c r="A16" s="70" t="s">
        <v>125</v>
      </c>
      <c r="B16" s="75" t="s">
        <v>126</v>
      </c>
      <c r="C16" s="82"/>
      <c r="D16" s="82"/>
    </row>
    <row r="17" spans="1:4" s="78" customFormat="1" ht="26.25">
      <c r="A17" s="70" t="s">
        <v>127</v>
      </c>
      <c r="B17" s="75" t="s">
        <v>128</v>
      </c>
      <c r="C17" s="79"/>
      <c r="D17" s="79"/>
    </row>
    <row r="18" spans="1:4" s="78" customFormat="1" ht="12.75">
      <c r="A18" s="70" t="s">
        <v>129</v>
      </c>
      <c r="B18" s="75" t="s">
        <v>130</v>
      </c>
      <c r="C18" s="82"/>
      <c r="D18" s="82"/>
    </row>
    <row r="19" spans="1:4" s="78" customFormat="1" ht="26.25">
      <c r="A19" s="70" t="s">
        <v>131</v>
      </c>
      <c r="B19" s="75" t="s">
        <v>132</v>
      </c>
      <c r="C19" s="82">
        <f>((ВЛ!H14+ВЛ!H32+ВЛ!H43+ТП!H14+ТП!H32+ТП!H43)*(ВЛ!G48+ВЛ!H48+ТП!G48+ТП!H48)/1000)/2</f>
        <v>284.3630250181616</v>
      </c>
      <c r="D19" s="82">
        <f>((ВЛ!J14+ВЛ!J32+ВЛ!J43+ТП!J14+ТП!J32+ТП!J43)*(ВЛ!J48+ТП!J48+ВЛ!I48+ТП!I48)/1000)/2</f>
        <v>451.83015205054977</v>
      </c>
    </row>
    <row r="20" spans="1:4" s="78" customFormat="1" ht="12.75">
      <c r="A20" s="70" t="s">
        <v>20</v>
      </c>
      <c r="B20" s="75" t="s">
        <v>133</v>
      </c>
      <c r="C20" s="83">
        <f>C21+C22+C23+C24+C25+C26</f>
        <v>23.039208353512272</v>
      </c>
      <c r="D20" s="83">
        <f>D21+D22+D23+D24+D25+D26</f>
        <v>36.607463339605765</v>
      </c>
    </row>
    <row r="21" spans="1:4" s="78" customFormat="1" ht="12.75">
      <c r="A21" s="70" t="s">
        <v>134</v>
      </c>
      <c r="B21" s="75" t="s">
        <v>135</v>
      </c>
      <c r="C21" s="84"/>
      <c r="D21" s="84"/>
    </row>
    <row r="22" spans="1:4" s="78" customFormat="1" ht="12.75">
      <c r="A22" s="70" t="s">
        <v>136</v>
      </c>
      <c r="B22" s="75" t="s">
        <v>137</v>
      </c>
      <c r="C22" s="79"/>
      <c r="D22" s="79"/>
    </row>
    <row r="23" spans="1:4" s="78" customFormat="1" ht="12.75">
      <c r="A23" s="70" t="s">
        <v>138</v>
      </c>
      <c r="B23" s="75" t="s">
        <v>139</v>
      </c>
      <c r="C23" s="80"/>
      <c r="D23" s="80"/>
    </row>
    <row r="24" spans="1:4" s="78" customFormat="1" ht="12.75">
      <c r="A24" s="70" t="s">
        <v>140</v>
      </c>
      <c r="B24" s="75" t="s">
        <v>141</v>
      </c>
      <c r="C24" s="85">
        <f>((ВЛ!H15+ВЛ!H33+ВЛ!H44+ТП!H15+ТП!H33+ТП!H44)*(ВЛ!G48+ВЛ!H48+ТП!G48+ТП!H48)/1000)/2</f>
        <v>23.039208353512272</v>
      </c>
      <c r="D24" s="85">
        <f>((ВЛ!J15+ВЛ!J33+ВЛ!J44+ТП!J15+ТП!J33+ТП!J44)*(ВЛ!J48+ТП!J48+ВЛ!I48+ТП!I48)/1000)/2</f>
        <v>36.607463339605765</v>
      </c>
    </row>
    <row r="25" spans="1:4" s="78" customFormat="1" ht="26.25">
      <c r="A25" s="70" t="s">
        <v>142</v>
      </c>
      <c r="B25" s="75" t="s">
        <v>143</v>
      </c>
      <c r="C25" s="86"/>
      <c r="D25" s="86"/>
    </row>
    <row r="26" spans="1:4" s="78" customFormat="1" ht="12.75">
      <c r="A26" s="70" t="s">
        <v>144</v>
      </c>
      <c r="B26" s="75" t="s">
        <v>145</v>
      </c>
      <c r="C26" s="74"/>
      <c r="D26" s="74"/>
    </row>
    <row r="27" spans="1:4" ht="66">
      <c r="A27" s="24">
        <v>2</v>
      </c>
      <c r="B27" s="12" t="s">
        <v>146</v>
      </c>
      <c r="C27" s="141">
        <v>19991.68</v>
      </c>
      <c r="D27" s="191">
        <f>(калькуляция!F15+калькуляция!F18+калькуляция!F22)/1000</f>
        <v>16726.405344333332</v>
      </c>
    </row>
    <row r="28" spans="1:4" ht="26.25">
      <c r="A28" s="24">
        <v>3</v>
      </c>
      <c r="B28" s="12" t="s">
        <v>24</v>
      </c>
      <c r="C28" s="87"/>
      <c r="D28" s="87"/>
    </row>
    <row r="29" spans="1:4" s="78" customFormat="1" ht="12.75">
      <c r="A29" s="70">
        <v>4</v>
      </c>
      <c r="B29" s="75" t="s">
        <v>147</v>
      </c>
      <c r="C29" s="88"/>
      <c r="D29" s="88"/>
    </row>
    <row r="30" spans="1:4" ht="12.75">
      <c r="A30" s="19">
        <v>5</v>
      </c>
      <c r="B30" s="20" t="s">
        <v>148</v>
      </c>
      <c r="C30" s="23">
        <f>C6+C27+C29</f>
        <v>20797.967317883235</v>
      </c>
      <c r="D30" s="23">
        <f>D6+D27+D29</f>
        <v>17974.874527299427</v>
      </c>
    </row>
    <row r="31" spans="1:4" ht="12.75">
      <c r="A31" s="24"/>
      <c r="B31" s="20"/>
      <c r="C31" s="89"/>
      <c r="D31" s="89"/>
    </row>
    <row r="32" ht="12.75">
      <c r="A32" s="90"/>
    </row>
    <row r="33" spans="3:4" ht="12.75">
      <c r="C33" s="91"/>
      <c r="D33" s="91"/>
    </row>
    <row r="35" spans="1:4" s="53" customFormat="1" ht="13.5">
      <c r="A35" s="53" t="s">
        <v>431</v>
      </c>
      <c r="C35" s="54"/>
      <c r="D35" s="54" t="s">
        <v>89</v>
      </c>
    </row>
    <row r="40" ht="12.75">
      <c r="A40" s="58" t="s">
        <v>81</v>
      </c>
    </row>
    <row r="41" ht="12.75">
      <c r="A41" s="58" t="s">
        <v>61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BU18" sqref="BU18:CI18"/>
    </sheetView>
  </sheetViews>
  <sheetFormatPr defaultColWidth="9.140625" defaultRowHeight="12.75"/>
  <cols>
    <col min="1" max="1" width="8.28125" style="0" customWidth="1"/>
    <col min="2" max="2" width="43.00390625" style="0" customWidth="1"/>
    <col min="3" max="6" width="13.8515625" style="8" customWidth="1"/>
  </cols>
  <sheetData>
    <row r="1" spans="1:5" ht="12.75" customHeight="1">
      <c r="A1" s="9"/>
      <c r="C1"/>
      <c r="D1"/>
      <c r="E1" s="8" t="s">
        <v>109</v>
      </c>
    </row>
    <row r="2" spans="1:6" ht="54" customHeight="1">
      <c r="A2" s="304" t="s">
        <v>279</v>
      </c>
      <c r="B2" s="304"/>
      <c r="C2" s="304"/>
      <c r="D2" s="304"/>
      <c r="E2" s="304"/>
      <c r="F2" s="69"/>
    </row>
    <row r="3" spans="1:6" ht="21" customHeight="1">
      <c r="A3" s="69"/>
      <c r="B3" s="69"/>
      <c r="C3" s="69"/>
      <c r="D3" s="69"/>
      <c r="E3" s="69"/>
      <c r="F3" s="69"/>
    </row>
    <row r="4" spans="1:6" ht="15.75" customHeight="1">
      <c r="A4" s="10" t="s">
        <v>1</v>
      </c>
      <c r="B4" s="10" t="s">
        <v>110</v>
      </c>
      <c r="C4" s="305" t="s">
        <v>280</v>
      </c>
      <c r="D4" s="306"/>
      <c r="E4" s="307" t="s">
        <v>278</v>
      </c>
      <c r="F4" s="307"/>
    </row>
    <row r="5" spans="1:6" ht="171.75" customHeight="1">
      <c r="A5" s="10"/>
      <c r="B5" s="10"/>
      <c r="C5" s="13" t="s">
        <v>182</v>
      </c>
      <c r="D5" s="13" t="s">
        <v>183</v>
      </c>
      <c r="E5" s="13" t="s">
        <v>182</v>
      </c>
      <c r="F5" s="13" t="s">
        <v>183</v>
      </c>
    </row>
    <row r="6" spans="1:6" s="77" customFormat="1" ht="26.25">
      <c r="A6" s="75">
        <v>1</v>
      </c>
      <c r="B6" s="75" t="s">
        <v>111</v>
      </c>
      <c r="C6" s="74">
        <f>C7+C8+C9+C10+C11+C20</f>
        <v>183.24711770073498</v>
      </c>
      <c r="D6" s="74">
        <f>D7+D8+D9+D10+D11+D20</f>
        <v>256.54596478102894</v>
      </c>
      <c r="E6" s="74">
        <f>E7+E8+E9+E10+E11+E20</f>
        <v>194.1663896897143</v>
      </c>
      <c r="F6" s="74">
        <f>F7+F8+F9+F10+F11+F20</f>
        <v>504.83261319325715</v>
      </c>
    </row>
    <row r="7" spans="1:6" s="78" customFormat="1" ht="16.5" customHeight="1">
      <c r="A7" s="70" t="s">
        <v>10</v>
      </c>
      <c r="B7" s="75" t="s">
        <v>112</v>
      </c>
      <c r="C7" s="76">
        <f>(ВЛ!G13+ВЛ!G30+ВЛ!G41)*(ВЛ!G48)/1000</f>
        <v>1.5</v>
      </c>
      <c r="D7" s="76">
        <f>(ВЛ!H13+ВЛ!H30+ВЛ!H41)*(ВЛ!H48)/1000</f>
        <v>2.1</v>
      </c>
      <c r="E7" s="76">
        <f>(ВЛ!I13+ВЛ!I30+ВЛ!I41)*(ВЛ!I48)/1000</f>
        <v>1.5</v>
      </c>
      <c r="F7" s="76">
        <f>(ВЛ!J13+ВЛ!J30+ВЛ!J41)*(ВЛ!J48)/1000</f>
        <v>3.9</v>
      </c>
    </row>
    <row r="8" spans="1:6" s="78" customFormat="1" ht="12.75">
      <c r="A8" s="70" t="s">
        <v>12</v>
      </c>
      <c r="B8" s="75" t="s">
        <v>113</v>
      </c>
      <c r="C8" s="79"/>
      <c r="D8" s="79"/>
      <c r="E8" s="79"/>
      <c r="F8" s="79"/>
    </row>
    <row r="9" spans="1:6" s="78" customFormat="1" ht="12.75">
      <c r="A9" s="70" t="s">
        <v>14</v>
      </c>
      <c r="B9" s="75" t="s">
        <v>114</v>
      </c>
      <c r="C9" s="80">
        <f>(ВЛ!G11+ВЛ!G28+ВЛ!G39)*(ВЛ!G48)/1000+ВЛ!G36</f>
        <v>54.56239086488038</v>
      </c>
      <c r="D9" s="80">
        <f>(ВЛ!H11+ВЛ!H28+ВЛ!H39)*(ВЛ!H48)/1000+ВЛ!H36</f>
        <v>76.38734721083253</v>
      </c>
      <c r="E9" s="80">
        <f>(ВЛ!I11+ВЛ!I28+ВЛ!I39)*(ВЛ!I48)/1000+ВЛ!I36</f>
        <v>58.057620895165954</v>
      </c>
      <c r="F9" s="80">
        <f>(ВЛ!J11+ВЛ!J28+ВЛ!J39)*(ВЛ!J48)/1000+ВЛ!J36</f>
        <v>150.94981432743148</v>
      </c>
    </row>
    <row r="10" spans="1:6" s="78" customFormat="1" ht="12.75">
      <c r="A10" s="70" t="s">
        <v>16</v>
      </c>
      <c r="B10" s="75" t="s">
        <v>115</v>
      </c>
      <c r="C10" s="80">
        <f>(ВЛ!G12+ВЛ!G29+ВЛ!G40)*(ВЛ!G48)/1000</f>
        <v>15.531637887746896</v>
      </c>
      <c r="D10" s="80">
        <f>(ВЛ!H12+ВЛ!H29+ВЛ!H40)*(ВЛ!H48)/1000</f>
        <v>21.744293042845655</v>
      </c>
      <c r="E10" s="80">
        <f>(ВЛ!I12+ВЛ!I29+ВЛ!I40)*(ВЛ!I48)/1000</f>
        <v>16.514494493009618</v>
      </c>
      <c r="F10" s="80">
        <f>(ВЛ!J12+ВЛ!J29+ВЛ!J40)*(ВЛ!J48)/1000</f>
        <v>42.937685681825</v>
      </c>
    </row>
    <row r="11" spans="1:6" s="78" customFormat="1" ht="12.75">
      <c r="A11" s="70" t="s">
        <v>18</v>
      </c>
      <c r="B11" s="75" t="s">
        <v>116</v>
      </c>
      <c r="C11" s="80">
        <f>C12+C13+C14</f>
        <v>106.41690523140036</v>
      </c>
      <c r="D11" s="80">
        <f>D12+D13+D14</f>
        <v>148.9836673239605</v>
      </c>
      <c r="E11" s="80">
        <f>E12+E13+E14</f>
        <v>112.54768894705299</v>
      </c>
      <c r="F11" s="80">
        <f>F12+F13+F14</f>
        <v>292.62399126233777</v>
      </c>
    </row>
    <row r="12" spans="1:6" s="78" customFormat="1" ht="12.75">
      <c r="A12" s="70" t="s">
        <v>117</v>
      </c>
      <c r="B12" s="81" t="s">
        <v>118</v>
      </c>
      <c r="C12" s="80">
        <f>(ВЛ!G31+ВЛ!G42)*(ВЛ!G48)/1000</f>
        <v>41.788945000000005</v>
      </c>
      <c r="D12" s="80">
        <f>(ВЛ!H31+ВЛ!H42)*(ВЛ!H48)/1000</f>
        <v>58.504523</v>
      </c>
      <c r="E12" s="80">
        <f>(ВЛ!I31+ВЛ!I42)*(ВЛ!I48)/1000</f>
        <v>44.088575</v>
      </c>
      <c r="F12" s="80">
        <f>(ВЛ!J31+ВЛ!J42)*(ВЛ!J48)/1000</f>
        <v>114.630295</v>
      </c>
    </row>
    <row r="13" spans="1:6" s="78" customFormat="1" ht="12.75">
      <c r="A13" s="70" t="s">
        <v>119</v>
      </c>
      <c r="B13" s="75" t="s">
        <v>120</v>
      </c>
      <c r="C13" s="76"/>
      <c r="D13" s="76"/>
      <c r="E13" s="76"/>
      <c r="F13" s="76"/>
    </row>
    <row r="14" spans="1:6" s="78" customFormat="1" ht="26.25">
      <c r="A14" s="70" t="s">
        <v>121</v>
      </c>
      <c r="B14" s="75" t="s">
        <v>122</v>
      </c>
      <c r="C14" s="80">
        <f>C15+C16+C17+C18+C19</f>
        <v>64.62796023140035</v>
      </c>
      <c r="D14" s="80">
        <f>D15+D16+D17+D18+D19</f>
        <v>90.4791443239605</v>
      </c>
      <c r="E14" s="80">
        <f>E15+E16+E17+E18+E19</f>
        <v>68.45911394705298</v>
      </c>
      <c r="F14" s="80">
        <f>F15+F16+F17+F18+F19</f>
        <v>177.99369626233778</v>
      </c>
    </row>
    <row r="15" spans="1:6" s="78" customFormat="1" ht="12.75">
      <c r="A15" s="70" t="s">
        <v>123</v>
      </c>
      <c r="B15" s="75" t="s">
        <v>124</v>
      </c>
      <c r="C15" s="80"/>
      <c r="D15" s="80"/>
      <c r="E15" s="80"/>
      <c r="F15" s="80"/>
    </row>
    <row r="16" spans="1:6" s="78" customFormat="1" ht="12.75">
      <c r="A16" s="70" t="s">
        <v>125</v>
      </c>
      <c r="B16" s="75" t="s">
        <v>126</v>
      </c>
      <c r="C16" s="82"/>
      <c r="D16" s="82"/>
      <c r="E16" s="82"/>
      <c r="F16" s="82"/>
    </row>
    <row r="17" spans="1:6" s="78" customFormat="1" ht="26.25">
      <c r="A17" s="70" t="s">
        <v>127</v>
      </c>
      <c r="B17" s="75" t="s">
        <v>128</v>
      </c>
      <c r="C17" s="79"/>
      <c r="D17" s="79"/>
      <c r="E17" s="79"/>
      <c r="F17" s="79"/>
    </row>
    <row r="18" spans="1:6" s="78" customFormat="1" ht="12.75">
      <c r="A18" s="70" t="s">
        <v>129</v>
      </c>
      <c r="B18" s="75" t="s">
        <v>130</v>
      </c>
      <c r="C18" s="82"/>
      <c r="D18" s="82"/>
      <c r="E18" s="82"/>
      <c r="F18" s="82"/>
    </row>
    <row r="19" spans="1:6" s="78" customFormat="1" ht="26.25">
      <c r="A19" s="70" t="s">
        <v>131</v>
      </c>
      <c r="B19" s="75" t="s">
        <v>132</v>
      </c>
      <c r="C19" s="82">
        <f>(ВЛ!G14+ВЛ!G32+ВЛ!G43)*(ВЛ!G48)/1000</f>
        <v>64.62796023140035</v>
      </c>
      <c r="D19" s="82">
        <f>(ВЛ!H14+ВЛ!H32+ВЛ!H43)*(ВЛ!H48)/1000</f>
        <v>90.4791443239605</v>
      </c>
      <c r="E19" s="82">
        <f>(ВЛ!I14+ВЛ!I32+ВЛ!I43)*(ВЛ!I48)/1000</f>
        <v>68.45911394705298</v>
      </c>
      <c r="F19" s="82">
        <f>(ВЛ!J14+ВЛ!J32+ВЛ!J43)*(ВЛ!J48)/1000</f>
        <v>177.99369626233778</v>
      </c>
    </row>
    <row r="20" spans="1:6" s="78" customFormat="1" ht="12.75">
      <c r="A20" s="70" t="s">
        <v>20</v>
      </c>
      <c r="B20" s="75" t="s">
        <v>133</v>
      </c>
      <c r="C20" s="83">
        <f>C21+C22+C23+C24+C25+C26</f>
        <v>5.236183716707336</v>
      </c>
      <c r="D20" s="83">
        <f>D21+D22+D23+D24+D25+D26</f>
        <v>7.330657203390269</v>
      </c>
      <c r="E20" s="83">
        <f>E21+E22+E23+E24+E25+E26</f>
        <v>5.546585354485722</v>
      </c>
      <c r="F20" s="83">
        <f>F21+F22+F23+F24+F25+F26</f>
        <v>14.421121921662875</v>
      </c>
    </row>
    <row r="21" spans="1:6" s="78" customFormat="1" ht="12.75">
      <c r="A21" s="70" t="s">
        <v>134</v>
      </c>
      <c r="B21" s="75" t="s">
        <v>135</v>
      </c>
      <c r="C21" s="84"/>
      <c r="D21" s="84"/>
      <c r="E21" s="84"/>
      <c r="F21" s="84"/>
    </row>
    <row r="22" spans="1:6" s="78" customFormat="1" ht="12.75">
      <c r="A22" s="70" t="s">
        <v>136</v>
      </c>
      <c r="B22" s="75" t="s">
        <v>137</v>
      </c>
      <c r="C22" s="79"/>
      <c r="D22" s="79"/>
      <c r="E22" s="79"/>
      <c r="F22" s="79"/>
    </row>
    <row r="23" spans="1:6" s="78" customFormat="1" ht="12.75">
      <c r="A23" s="70" t="s">
        <v>138</v>
      </c>
      <c r="B23" s="75" t="s">
        <v>139</v>
      </c>
      <c r="C23" s="80"/>
      <c r="D23" s="80"/>
      <c r="E23" s="80"/>
      <c r="F23" s="80"/>
    </row>
    <row r="24" spans="1:6" s="78" customFormat="1" ht="12.75">
      <c r="A24" s="70" t="s">
        <v>140</v>
      </c>
      <c r="B24" s="75" t="s">
        <v>141</v>
      </c>
      <c r="C24" s="85">
        <f>(ВЛ!G15+ВЛ!G33+ВЛ!G44)*(ВЛ!G48)/1000</f>
        <v>5.236183716707336</v>
      </c>
      <c r="D24" s="85">
        <f>(ВЛ!H15+ВЛ!H33+ВЛ!H44)*(ВЛ!H48)/1000</f>
        <v>7.330657203390269</v>
      </c>
      <c r="E24" s="85">
        <f>(ВЛ!I15+ВЛ!I33+ВЛ!I44)*(ВЛ!I48)/1000</f>
        <v>5.546585354485722</v>
      </c>
      <c r="F24" s="85">
        <f>(ВЛ!J15+ВЛ!J33+ВЛ!J44)*(ВЛ!J48)/1000</f>
        <v>14.421121921662875</v>
      </c>
    </row>
    <row r="25" spans="1:6" s="78" customFormat="1" ht="26.25">
      <c r="A25" s="70" t="s">
        <v>142</v>
      </c>
      <c r="B25" s="75" t="s">
        <v>143</v>
      </c>
      <c r="C25" s="86"/>
      <c r="D25" s="86"/>
      <c r="E25" s="86"/>
      <c r="F25" s="86"/>
    </row>
    <row r="26" spans="1:6" s="78" customFormat="1" ht="12.75">
      <c r="A26" s="70" t="s">
        <v>144</v>
      </c>
      <c r="B26" s="75" t="s">
        <v>145</v>
      </c>
      <c r="C26" s="74"/>
      <c r="D26" s="74"/>
      <c r="E26" s="74"/>
      <c r="F26" s="74"/>
    </row>
    <row r="27" spans="1:6" ht="66">
      <c r="A27" s="24">
        <v>2</v>
      </c>
      <c r="B27" s="12" t="s">
        <v>146</v>
      </c>
      <c r="C27" s="141">
        <f>ВЛ!G19+ВЛ!H19+ТП!G19+ТП!H19</f>
        <v>0</v>
      </c>
      <c r="D27" s="141">
        <f>ВЛ!H19</f>
        <v>0</v>
      </c>
      <c r="E27" s="141">
        <f>ВЛ!I19</f>
        <v>0</v>
      </c>
      <c r="F27" s="141">
        <f>ВЛ!J19</f>
        <v>0</v>
      </c>
    </row>
    <row r="28" spans="1:6" ht="26.25">
      <c r="A28" s="24">
        <v>3</v>
      </c>
      <c r="B28" s="12" t="s">
        <v>24</v>
      </c>
      <c r="C28" s="87"/>
      <c r="D28" s="87"/>
      <c r="E28" s="87"/>
      <c r="F28" s="87"/>
    </row>
    <row r="29" spans="1:6" s="78" customFormat="1" ht="12.75">
      <c r="A29" s="70">
        <v>4</v>
      </c>
      <c r="B29" s="75" t="s">
        <v>147</v>
      </c>
      <c r="C29" s="88"/>
      <c r="D29" s="88"/>
      <c r="E29" s="88"/>
      <c r="F29" s="88"/>
    </row>
    <row r="30" spans="1:6" ht="12.75">
      <c r="A30" s="19">
        <v>5</v>
      </c>
      <c r="B30" s="20" t="s">
        <v>148</v>
      </c>
      <c r="C30" s="23">
        <f>C6+C27+C29</f>
        <v>183.24711770073498</v>
      </c>
      <c r="D30" s="23">
        <f>D6+D27+D29</f>
        <v>256.54596478102894</v>
      </c>
      <c r="E30" s="23">
        <f>E6+E27+E29</f>
        <v>194.1663896897143</v>
      </c>
      <c r="F30" s="23">
        <f>F6+F27+F29</f>
        <v>504.83261319325715</v>
      </c>
    </row>
    <row r="31" spans="1:6" ht="12.75">
      <c r="A31" s="24"/>
      <c r="B31" s="20"/>
      <c r="C31" s="89"/>
      <c r="D31" s="89"/>
      <c r="E31" s="89"/>
      <c r="F31" s="89"/>
    </row>
    <row r="32" ht="12.75">
      <c r="A32" s="90"/>
    </row>
    <row r="33" spans="3:6" ht="12.75">
      <c r="C33" s="91"/>
      <c r="D33" s="91"/>
      <c r="E33" s="91"/>
      <c r="F33" s="91"/>
    </row>
    <row r="35" spans="1:6" s="53" customFormat="1" ht="13.5">
      <c r="A35" s="53" t="s">
        <v>431</v>
      </c>
      <c r="C35" s="54"/>
      <c r="D35" s="54"/>
      <c r="E35" s="54" t="s">
        <v>60</v>
      </c>
      <c r="F35" s="54"/>
    </row>
    <row r="40" ht="12.75">
      <c r="A40" s="58" t="s">
        <v>81</v>
      </c>
    </row>
    <row r="41" ht="12.75">
      <c r="A41" s="58" t="s">
        <v>61</v>
      </c>
    </row>
  </sheetData>
  <sheetProtection/>
  <mergeCells count="3">
    <mergeCell ref="A2:E2"/>
    <mergeCell ref="C4:D4"/>
    <mergeCell ref="E4:F4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4">
      <selection activeCell="BU18" sqref="BU18:CI18"/>
    </sheetView>
  </sheetViews>
  <sheetFormatPr defaultColWidth="9.140625" defaultRowHeight="12.75"/>
  <cols>
    <col min="1" max="1" width="8.28125" style="0" customWidth="1"/>
    <col min="2" max="2" width="43.00390625" style="0" customWidth="1"/>
    <col min="3" max="6" width="13.8515625" style="8" customWidth="1"/>
  </cols>
  <sheetData>
    <row r="1" spans="1:5" ht="12.75" customHeight="1">
      <c r="A1" s="9"/>
      <c r="C1"/>
      <c r="D1"/>
      <c r="E1" s="8" t="s">
        <v>109</v>
      </c>
    </row>
    <row r="2" spans="1:6" ht="54" customHeight="1">
      <c r="A2" s="304" t="s">
        <v>281</v>
      </c>
      <c r="B2" s="304"/>
      <c r="C2" s="304"/>
      <c r="D2" s="304"/>
      <c r="E2" s="304"/>
      <c r="F2" s="69"/>
    </row>
    <row r="3" spans="1:6" ht="21" customHeight="1">
      <c r="A3" s="69"/>
      <c r="B3" s="69"/>
      <c r="C3" s="69"/>
      <c r="D3" s="69"/>
      <c r="E3" s="69"/>
      <c r="F3" s="69"/>
    </row>
    <row r="4" spans="1:6" ht="15.75" customHeight="1">
      <c r="A4" s="10" t="s">
        <v>1</v>
      </c>
      <c r="B4" s="10" t="s">
        <v>110</v>
      </c>
      <c r="C4" s="305" t="s">
        <v>280</v>
      </c>
      <c r="D4" s="306"/>
      <c r="E4" s="307" t="s">
        <v>278</v>
      </c>
      <c r="F4" s="307"/>
    </row>
    <row r="5" spans="1:6" ht="178.5" customHeight="1">
      <c r="A5" s="10"/>
      <c r="B5" s="10"/>
      <c r="C5" s="13" t="s">
        <v>182</v>
      </c>
      <c r="D5" s="13" t="s">
        <v>183</v>
      </c>
      <c r="E5" s="13" t="s">
        <v>182</v>
      </c>
      <c r="F5" s="13" t="s">
        <v>183</v>
      </c>
    </row>
    <row r="6" spans="1:6" s="77" customFormat="1" ht="26.25">
      <c r="A6" s="75">
        <v>1</v>
      </c>
      <c r="B6" s="75" t="s">
        <v>111</v>
      </c>
      <c r="C6" s="74">
        <f>C7+C8+C9+C10+C11+C20</f>
        <v>146.59769416058796</v>
      </c>
      <c r="D6" s="74">
        <f>D7+D8+D9+D10+D11+D20</f>
        <v>219.89654124088193</v>
      </c>
      <c r="E6" s="74">
        <f>E7+E8+E9+E10+E11+E20</f>
        <v>194.1663896897143</v>
      </c>
      <c r="F6" s="74">
        <f>F7+F8+F9+F10+F11+F20</f>
        <v>388.3327793794286</v>
      </c>
    </row>
    <row r="7" spans="1:6" s="78" customFormat="1" ht="16.5" customHeight="1">
      <c r="A7" s="70" t="s">
        <v>10</v>
      </c>
      <c r="B7" s="75" t="s">
        <v>112</v>
      </c>
      <c r="C7" s="76">
        <f>(ТП!G13+ТП!G30+ТП!G41)*(ТП!G48)/1000</f>
        <v>1.2</v>
      </c>
      <c r="D7" s="76">
        <f>(ТП!H13+ТП!H30+ТП!H41)*(ТП!H48)/1000</f>
        <v>1.8</v>
      </c>
      <c r="E7" s="76">
        <f>(ТП!I13+ТП!I30+ТП!I41)*(ТП!I48)/1000</f>
        <v>1.5</v>
      </c>
      <c r="F7" s="76">
        <f>(ТП!J13+ТП!J30+ТП!J41)*(ТП!J48)/1000</f>
        <v>3</v>
      </c>
    </row>
    <row r="8" spans="1:6" s="78" customFormat="1" ht="12.75">
      <c r="A8" s="70" t="s">
        <v>12</v>
      </c>
      <c r="B8" s="75" t="s">
        <v>113</v>
      </c>
      <c r="C8" s="79"/>
      <c r="D8" s="79"/>
      <c r="E8" s="79"/>
      <c r="F8" s="79"/>
    </row>
    <row r="9" spans="1:6" s="78" customFormat="1" ht="12.75">
      <c r="A9" s="70" t="s">
        <v>14</v>
      </c>
      <c r="B9" s="75" t="s">
        <v>114</v>
      </c>
      <c r="C9" s="80">
        <f>(ТП!G11+ТП!G28+ТП!G39)*(ТП!G48)/1000+(ТП!G36)</f>
        <v>43.6499126919043</v>
      </c>
      <c r="D9" s="80">
        <f>(ТП!H11+ТП!H28+ТП!H39)*(ТП!H48)/1000+(ТП!H36)</f>
        <v>65.47486903785645</v>
      </c>
      <c r="E9" s="80">
        <f>(ТП!I11+ТП!I28+ТП!I39)*(ТП!I48)/1000+(ТП!I36)</f>
        <v>58.057620895165954</v>
      </c>
      <c r="F9" s="80">
        <f>(ТП!J11+ТП!J28+ТП!J39)*(ТП!J48)/1000+(ТП!J36)</f>
        <v>116.11524179033191</v>
      </c>
    </row>
    <row r="10" spans="1:6" s="78" customFormat="1" ht="12.75">
      <c r="A10" s="70" t="s">
        <v>16</v>
      </c>
      <c r="B10" s="75" t="s">
        <v>115</v>
      </c>
      <c r="C10" s="80">
        <f>(ТП!G12+ТП!G29+ТП!G40)*(ТП!G48)/1000</f>
        <v>12.425310310197517</v>
      </c>
      <c r="D10" s="80">
        <f>(ТП!H12+ТП!H29+ТП!H40)*(ТП!H48)/1000</f>
        <v>18.63796546529628</v>
      </c>
      <c r="E10" s="80">
        <f>(ТП!I12+ТП!I29+ТП!I40)*(ТП!I48)/1000</f>
        <v>16.514494493009618</v>
      </c>
      <c r="F10" s="80">
        <f>(ТП!J12+ТП!J29+ТП!J40)*(ТП!J48)/1000</f>
        <v>33.028988986019236</v>
      </c>
    </row>
    <row r="11" spans="1:6" s="78" customFormat="1" ht="12.75">
      <c r="A11" s="70" t="s">
        <v>18</v>
      </c>
      <c r="B11" s="75" t="s">
        <v>116</v>
      </c>
      <c r="C11" s="80">
        <f>C12+C13+C14</f>
        <v>85.13352418512028</v>
      </c>
      <c r="D11" s="80">
        <f>D12+D13+D14</f>
        <v>127.70028627768042</v>
      </c>
      <c r="E11" s="80">
        <f>E12+E13+E14</f>
        <v>112.54768894705299</v>
      </c>
      <c r="F11" s="80">
        <f>F12+F13+F14</f>
        <v>225.09537789410598</v>
      </c>
    </row>
    <row r="12" spans="1:6" s="78" customFormat="1" ht="12.75">
      <c r="A12" s="70" t="s">
        <v>117</v>
      </c>
      <c r="B12" s="81" t="s">
        <v>118</v>
      </c>
      <c r="C12" s="80">
        <f>(ТП!G31+ТП!G42)*(ТП!G48)/1000</f>
        <v>33.431156</v>
      </c>
      <c r="D12" s="80">
        <f>(ТП!H31+ТП!H42)*(ТП!H48)/1000</f>
        <v>50.146734</v>
      </c>
      <c r="E12" s="80">
        <f>(ТП!I31+ТП!I42)*(ТП!I48)/1000</f>
        <v>44.088575</v>
      </c>
      <c r="F12" s="80">
        <f>(ТП!J31+ТП!J42)*(ТП!J48)/1000</f>
        <v>88.17715</v>
      </c>
    </row>
    <row r="13" spans="1:6" s="78" customFormat="1" ht="12.75">
      <c r="A13" s="70" t="s">
        <v>119</v>
      </c>
      <c r="B13" s="75" t="s">
        <v>120</v>
      </c>
      <c r="C13" s="76"/>
      <c r="D13" s="76"/>
      <c r="E13" s="76"/>
      <c r="F13" s="76"/>
    </row>
    <row r="14" spans="1:6" s="78" customFormat="1" ht="26.25">
      <c r="A14" s="70" t="s">
        <v>121</v>
      </c>
      <c r="B14" s="75" t="s">
        <v>122</v>
      </c>
      <c r="C14" s="80">
        <f>C15+C16+C17+C18+C19</f>
        <v>51.702368185120285</v>
      </c>
      <c r="D14" s="80">
        <f>D15+D16+D17+D18+D19</f>
        <v>77.55355227768042</v>
      </c>
      <c r="E14" s="80">
        <f>E15+E16+E17+E18+E19</f>
        <v>68.45911394705298</v>
      </c>
      <c r="F14" s="80">
        <f>F15+F16+F17+F18+F19</f>
        <v>136.91822789410597</v>
      </c>
    </row>
    <row r="15" spans="1:6" s="78" customFormat="1" ht="12.75">
      <c r="A15" s="70" t="s">
        <v>123</v>
      </c>
      <c r="B15" s="75" t="s">
        <v>124</v>
      </c>
      <c r="C15" s="80"/>
      <c r="D15" s="80"/>
      <c r="E15" s="80"/>
      <c r="F15" s="80"/>
    </row>
    <row r="16" spans="1:6" s="78" customFormat="1" ht="12.75">
      <c r="A16" s="70" t="s">
        <v>125</v>
      </c>
      <c r="B16" s="75" t="s">
        <v>126</v>
      </c>
      <c r="C16" s="82"/>
      <c r="D16" s="82"/>
      <c r="E16" s="82"/>
      <c r="F16" s="82"/>
    </row>
    <row r="17" spans="1:6" s="78" customFormat="1" ht="26.25">
      <c r="A17" s="70" t="s">
        <v>127</v>
      </c>
      <c r="B17" s="75" t="s">
        <v>128</v>
      </c>
      <c r="C17" s="79"/>
      <c r="D17" s="79"/>
      <c r="E17" s="79"/>
      <c r="F17" s="79"/>
    </row>
    <row r="18" spans="1:6" s="78" customFormat="1" ht="12.75">
      <c r="A18" s="70" t="s">
        <v>129</v>
      </c>
      <c r="B18" s="75" t="s">
        <v>130</v>
      </c>
      <c r="C18" s="82"/>
      <c r="D18" s="82"/>
      <c r="E18" s="82"/>
      <c r="F18" s="82"/>
    </row>
    <row r="19" spans="1:6" s="78" customFormat="1" ht="26.25">
      <c r="A19" s="70" t="s">
        <v>131</v>
      </c>
      <c r="B19" s="75" t="s">
        <v>132</v>
      </c>
      <c r="C19" s="82">
        <f>(ТП!G14+ТП!G32+ТП!G43)*(ТП!G48)/1000</f>
        <v>51.702368185120285</v>
      </c>
      <c r="D19" s="82">
        <f>(ТП!H14+ТП!H32+ТП!H43)*(ТП!H48)/1000</f>
        <v>77.55355227768042</v>
      </c>
      <c r="E19" s="82">
        <f>(ТП!I14+ТП!I32+ТП!I43)*(ТП!I48)/1000</f>
        <v>68.45911394705298</v>
      </c>
      <c r="F19" s="82">
        <f>(ТП!J14+ТП!J32+ТП!J43)*(ТП!J48)/1000</f>
        <v>136.91822789410597</v>
      </c>
    </row>
    <row r="20" spans="1:6" s="78" customFormat="1" ht="12.75">
      <c r="A20" s="70" t="s">
        <v>20</v>
      </c>
      <c r="B20" s="75" t="s">
        <v>133</v>
      </c>
      <c r="C20" s="83">
        <f>C21+C22+C23+C24+C25+C26</f>
        <v>4.1889469733658675</v>
      </c>
      <c r="D20" s="83">
        <f>D21+D22+D23+D24+D25+D26</f>
        <v>6.283420460048802</v>
      </c>
      <c r="E20" s="83">
        <f>E21+E22+E23+E24+E25+E26</f>
        <v>5.546585354485722</v>
      </c>
      <c r="F20" s="83">
        <f>F21+F22+F23+F24+F25+F26</f>
        <v>11.093170708971444</v>
      </c>
    </row>
    <row r="21" spans="1:6" s="78" customFormat="1" ht="12.75">
      <c r="A21" s="70" t="s">
        <v>134</v>
      </c>
      <c r="B21" s="75" t="s">
        <v>135</v>
      </c>
      <c r="C21" s="84"/>
      <c r="D21" s="84"/>
      <c r="E21" s="84"/>
      <c r="F21" s="84"/>
    </row>
    <row r="22" spans="1:6" s="78" customFormat="1" ht="12.75">
      <c r="A22" s="70" t="s">
        <v>136</v>
      </c>
      <c r="B22" s="75" t="s">
        <v>137</v>
      </c>
      <c r="C22" s="79"/>
      <c r="D22" s="79"/>
      <c r="E22" s="79"/>
      <c r="F22" s="79"/>
    </row>
    <row r="23" spans="1:6" s="78" customFormat="1" ht="12.75">
      <c r="A23" s="70" t="s">
        <v>138</v>
      </c>
      <c r="B23" s="75" t="s">
        <v>139</v>
      </c>
      <c r="C23" s="80"/>
      <c r="D23" s="80"/>
      <c r="E23" s="80"/>
      <c r="F23" s="80"/>
    </row>
    <row r="24" spans="1:6" s="78" customFormat="1" ht="12.75">
      <c r="A24" s="70" t="s">
        <v>140</v>
      </c>
      <c r="B24" s="75" t="s">
        <v>141</v>
      </c>
      <c r="C24" s="85">
        <f>(ТП!G15+ТП!G33+ТП!G44)*(ТП!G48)/1000</f>
        <v>4.1889469733658675</v>
      </c>
      <c r="D24" s="85">
        <f>(ТП!H15+ТП!H33+ТП!H44)*(ТП!H48)/1000</f>
        <v>6.283420460048802</v>
      </c>
      <c r="E24" s="85">
        <f>(ТП!I15+ТП!I33+ТП!I44)*(ТП!I48)/1000</f>
        <v>5.546585354485722</v>
      </c>
      <c r="F24" s="85">
        <f>(ТП!J15+ТП!J33+ТП!J44)*(ТП!J48)/1000</f>
        <v>11.093170708971444</v>
      </c>
    </row>
    <row r="25" spans="1:6" s="78" customFormat="1" ht="26.25">
      <c r="A25" s="70" t="s">
        <v>142</v>
      </c>
      <c r="B25" s="75" t="s">
        <v>143</v>
      </c>
      <c r="C25" s="86"/>
      <c r="D25" s="86"/>
      <c r="E25" s="86"/>
      <c r="F25" s="86"/>
    </row>
    <row r="26" spans="1:6" s="78" customFormat="1" ht="12.75">
      <c r="A26" s="70" t="s">
        <v>144</v>
      </c>
      <c r="B26" s="75" t="s">
        <v>145</v>
      </c>
      <c r="C26" s="74"/>
      <c r="D26" s="74"/>
      <c r="E26" s="74"/>
      <c r="F26" s="74"/>
    </row>
    <row r="27" spans="1:6" ht="66">
      <c r="A27" s="24">
        <v>2</v>
      </c>
      <c r="B27" s="12" t="s">
        <v>146</v>
      </c>
      <c r="C27" s="141">
        <f>ТП!G19</f>
        <v>0</v>
      </c>
      <c r="D27" s="141">
        <f>ТП!H19</f>
        <v>0</v>
      </c>
      <c r="E27" s="141">
        <f>ТП!I19</f>
        <v>0</v>
      </c>
      <c r="F27" s="141">
        <f>ТП!J19</f>
        <v>0</v>
      </c>
    </row>
    <row r="28" spans="1:6" ht="26.25">
      <c r="A28" s="24">
        <v>3</v>
      </c>
      <c r="B28" s="12" t="s">
        <v>24</v>
      </c>
      <c r="C28" s="87"/>
      <c r="D28" s="87"/>
      <c r="E28" s="87"/>
      <c r="F28" s="87"/>
    </row>
    <row r="29" spans="1:6" s="78" customFormat="1" ht="12.75">
      <c r="A29" s="70">
        <v>4</v>
      </c>
      <c r="B29" s="75" t="s">
        <v>147</v>
      </c>
      <c r="C29" s="88"/>
      <c r="D29" s="88"/>
      <c r="E29" s="88"/>
      <c r="F29" s="88"/>
    </row>
    <row r="30" spans="1:6" ht="12.75">
      <c r="A30" s="19">
        <v>5</v>
      </c>
      <c r="B30" s="20" t="s">
        <v>148</v>
      </c>
      <c r="C30" s="23">
        <f>C6+C27+C29</f>
        <v>146.59769416058796</v>
      </c>
      <c r="D30" s="23">
        <f>D6+D27+D29</f>
        <v>219.89654124088193</v>
      </c>
      <c r="E30" s="23">
        <f>E6+E27+E29</f>
        <v>194.1663896897143</v>
      </c>
      <c r="F30" s="23">
        <f>F6+F27+F29</f>
        <v>388.3327793794286</v>
      </c>
    </row>
    <row r="31" spans="1:6" ht="12.75">
      <c r="A31" s="24"/>
      <c r="B31" s="20"/>
      <c r="C31" s="89"/>
      <c r="D31" s="89"/>
      <c r="E31" s="89"/>
      <c r="F31" s="89"/>
    </row>
    <row r="32" ht="12.75">
      <c r="A32" s="90"/>
    </row>
    <row r="33" spans="3:6" ht="12.75">
      <c r="C33" s="91"/>
      <c r="D33" s="91"/>
      <c r="E33" s="91"/>
      <c r="F33" s="91"/>
    </row>
    <row r="35" spans="1:6" s="53" customFormat="1" ht="13.5">
      <c r="A35" s="53" t="s">
        <v>431</v>
      </c>
      <c r="C35" s="54"/>
      <c r="D35" s="54"/>
      <c r="E35" s="54" t="s">
        <v>60</v>
      </c>
      <c r="F35" s="54"/>
    </row>
    <row r="40" ht="12.75">
      <c r="A40" s="58" t="s">
        <v>81</v>
      </c>
    </row>
    <row r="41" ht="12.75">
      <c r="A41" s="58" t="s">
        <v>61</v>
      </c>
    </row>
  </sheetData>
  <sheetProtection/>
  <mergeCells count="3">
    <mergeCell ref="A2:E2"/>
    <mergeCell ref="C4:D4"/>
    <mergeCell ref="E4:F4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1">
      <selection activeCell="BU18" sqref="BU18:CI18"/>
    </sheetView>
  </sheetViews>
  <sheetFormatPr defaultColWidth="9.140625" defaultRowHeight="12.75"/>
  <cols>
    <col min="1" max="1" width="5.7109375" style="0" customWidth="1"/>
    <col min="2" max="2" width="43.00390625" style="0" customWidth="1"/>
    <col min="3" max="6" width="10.28125" style="8" customWidth="1"/>
    <col min="7" max="8" width="10.28125" style="104" customWidth="1"/>
    <col min="9" max="9" width="14.421875" style="8" customWidth="1"/>
    <col min="10" max="10" width="13.7109375" style="0" customWidth="1"/>
    <col min="11" max="11" width="10.28125" style="8" hidden="1" customWidth="1"/>
    <col min="12" max="12" width="10.28125" style="0" hidden="1" customWidth="1"/>
    <col min="13" max="13" width="10.28125" style="8" hidden="1" customWidth="1"/>
    <col min="14" max="14" width="9.8515625" style="0" hidden="1" customWidth="1"/>
  </cols>
  <sheetData>
    <row r="1" spans="7:14" ht="12.75">
      <c r="G1" s="101"/>
      <c r="H1" s="101"/>
      <c r="I1" s="309"/>
      <c r="J1" s="309"/>
      <c r="K1" s="309"/>
      <c r="L1" s="309"/>
      <c r="M1" s="309"/>
      <c r="N1" s="309"/>
    </row>
    <row r="2" spans="1:13" ht="12.75" customHeight="1">
      <c r="A2" s="304" t="s">
        <v>282</v>
      </c>
      <c r="B2" s="304"/>
      <c r="C2" s="304"/>
      <c r="D2" s="304"/>
      <c r="E2" s="304"/>
      <c r="F2" s="304"/>
      <c r="G2" s="304"/>
      <c r="H2" s="304"/>
      <c r="I2" s="304"/>
      <c r="J2" s="304"/>
      <c r="K2"/>
      <c r="M2"/>
    </row>
    <row r="3" spans="1:13" ht="40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/>
      <c r="M3"/>
    </row>
    <row r="4" spans="2:8" ht="40.5" customHeight="1">
      <c r="B4" s="9"/>
      <c r="C4" s="9"/>
      <c r="D4" s="9"/>
      <c r="E4" s="9"/>
      <c r="F4" s="9"/>
      <c r="G4" s="101"/>
      <c r="H4" s="101"/>
    </row>
    <row r="5" spans="1:14" ht="19.5" customHeight="1">
      <c r="A5" s="308" t="s">
        <v>1</v>
      </c>
      <c r="B5" s="308" t="s">
        <v>2</v>
      </c>
      <c r="C5" s="310" t="s">
        <v>232</v>
      </c>
      <c r="D5" s="311"/>
      <c r="E5" s="310" t="s">
        <v>283</v>
      </c>
      <c r="F5" s="311"/>
      <c r="G5" s="308" t="s">
        <v>284</v>
      </c>
      <c r="H5" s="308"/>
      <c r="I5" s="308" t="s">
        <v>285</v>
      </c>
      <c r="J5" s="308"/>
      <c r="K5" s="308"/>
      <c r="L5" s="308"/>
      <c r="M5" s="308"/>
      <c r="N5" s="308"/>
    </row>
    <row r="6" spans="1:14" s="11" customFormat="1" ht="48.75" customHeight="1">
      <c r="A6" s="308"/>
      <c r="B6" s="308"/>
      <c r="C6" s="312"/>
      <c r="D6" s="313"/>
      <c r="E6" s="312"/>
      <c r="F6" s="313"/>
      <c r="G6" s="308"/>
      <c r="H6" s="308"/>
      <c r="I6" s="308" t="s">
        <v>3</v>
      </c>
      <c r="J6" s="308"/>
      <c r="K6" s="308" t="s">
        <v>4</v>
      </c>
      <c r="L6" s="308"/>
      <c r="M6" s="308" t="s">
        <v>5</v>
      </c>
      <c r="N6" s="308"/>
    </row>
    <row r="7" spans="1:14" ht="73.5" customHeight="1">
      <c r="A7" s="5"/>
      <c r="B7" s="12"/>
      <c r="C7" s="13" t="s">
        <v>6</v>
      </c>
      <c r="D7" s="13" t="s">
        <v>7</v>
      </c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  <c r="K7" s="13" t="s">
        <v>6</v>
      </c>
      <c r="L7" s="13" t="s">
        <v>7</v>
      </c>
      <c r="M7" s="13" t="s">
        <v>6</v>
      </c>
      <c r="N7" s="13" t="s">
        <v>7</v>
      </c>
    </row>
    <row r="8" spans="1:14" s="18" customFormat="1" ht="27">
      <c r="A8" s="14"/>
      <c r="B8" s="15" t="s">
        <v>8</v>
      </c>
      <c r="C8" s="16"/>
      <c r="D8" s="16"/>
      <c r="E8" s="16"/>
      <c r="F8" s="16"/>
      <c r="G8" s="17">
        <f>G57</f>
        <v>166.58828881884995</v>
      </c>
      <c r="H8" s="17">
        <f>H57</f>
        <v>168.00652572431497</v>
      </c>
      <c r="I8" s="17">
        <f>I57</f>
        <v>215.74043298857137</v>
      </c>
      <c r="J8" s="17">
        <f>J57</f>
        <v>45.89387392665974</v>
      </c>
      <c r="K8" s="17"/>
      <c r="L8" s="17"/>
      <c r="M8" s="17"/>
      <c r="N8" s="17"/>
    </row>
    <row r="9" spans="1:14" ht="45.75" customHeight="1">
      <c r="A9" s="19">
        <v>1</v>
      </c>
      <c r="B9" s="20" t="s">
        <v>9</v>
      </c>
      <c r="C9" s="21"/>
      <c r="D9" s="21"/>
      <c r="E9" s="21"/>
      <c r="F9" s="21"/>
      <c r="G9" s="22">
        <f>G16*G48/1000</f>
        <v>73.19398271704902</v>
      </c>
      <c r="H9" s="22">
        <f>H16*H48/1000</f>
        <v>102.47157580386865</v>
      </c>
      <c r="I9" s="22">
        <f>I16*I48/1000</f>
        <v>77.8115802915493</v>
      </c>
      <c r="J9" s="22">
        <f>J16*J48/1000</f>
        <v>202.3101087580282</v>
      </c>
      <c r="K9" s="22"/>
      <c r="L9" s="22"/>
      <c r="M9" s="23" t="e">
        <f>I9/K9*1000</f>
        <v>#DIV/0!</v>
      </c>
      <c r="N9" s="23" t="e">
        <f>J9/L9*1000</f>
        <v>#DIV/0!</v>
      </c>
    </row>
    <row r="10" spans="1:15" ht="12.75">
      <c r="A10" s="24" t="s">
        <v>10</v>
      </c>
      <c r="B10" s="20" t="s">
        <v>11</v>
      </c>
      <c r="C10" s="21"/>
      <c r="D10" s="21"/>
      <c r="E10" s="21"/>
      <c r="F10" s="21"/>
      <c r="G10" s="102">
        <v>8.2</v>
      </c>
      <c r="H10" s="102">
        <v>8.2</v>
      </c>
      <c r="I10" s="25">
        <v>8.2</v>
      </c>
      <c r="J10" s="25">
        <v>8.2</v>
      </c>
      <c r="K10" s="25"/>
      <c r="L10" s="25"/>
      <c r="M10" s="25"/>
      <c r="N10" s="25"/>
      <c r="O10" s="31"/>
    </row>
    <row r="11" spans="1:15" ht="12.75">
      <c r="A11" s="24" t="s">
        <v>12</v>
      </c>
      <c r="B11" s="12" t="s">
        <v>13</v>
      </c>
      <c r="C11" s="26">
        <f>'Ср зп'!F50</f>
        <v>827.6493585217877</v>
      </c>
      <c r="D11" s="26">
        <f>C11</f>
        <v>827.6493585217877</v>
      </c>
      <c r="E11" s="26">
        <f>'Ср зп'!G50</f>
        <v>880.453369220557</v>
      </c>
      <c r="F11" s="26">
        <f>E11</f>
        <v>880.453369220557</v>
      </c>
      <c r="G11" s="102">
        <f>C11*G10</f>
        <v>6786.7247398786585</v>
      </c>
      <c r="H11" s="102">
        <f>D11*H10</f>
        <v>6786.7247398786585</v>
      </c>
      <c r="I11" s="25">
        <f>E11*I10</f>
        <v>7219.7176276085665</v>
      </c>
      <c r="J11" s="25">
        <f>F11*J10</f>
        <v>7219.7176276085665</v>
      </c>
      <c r="K11" s="25"/>
      <c r="L11" s="25"/>
      <c r="M11" s="25"/>
      <c r="N11" s="25"/>
      <c r="O11" s="31"/>
    </row>
    <row r="12" spans="1:15" ht="12.75">
      <c r="A12" s="24" t="s">
        <v>14</v>
      </c>
      <c r="B12" s="12" t="s">
        <v>15</v>
      </c>
      <c r="C12" s="27">
        <v>0.304</v>
      </c>
      <c r="D12" s="27">
        <f>C12</f>
        <v>0.304</v>
      </c>
      <c r="E12" s="61">
        <f>C12</f>
        <v>0.304</v>
      </c>
      <c r="F12" s="61">
        <f>C12</f>
        <v>0.304</v>
      </c>
      <c r="G12" s="102">
        <f>G11*C12</f>
        <v>2063.164320923112</v>
      </c>
      <c r="H12" s="102">
        <f>H11*D12</f>
        <v>2063.164320923112</v>
      </c>
      <c r="I12" s="25">
        <f>I11*E12</f>
        <v>2194.794158793004</v>
      </c>
      <c r="J12" s="25">
        <f>J11*F12</f>
        <v>2194.794158793004</v>
      </c>
      <c r="K12" s="25"/>
      <c r="L12" s="25"/>
      <c r="M12" s="25"/>
      <c r="N12" s="25"/>
      <c r="O12" s="31"/>
    </row>
    <row r="13" spans="1:15" ht="12.75">
      <c r="A13" s="24" t="s">
        <v>16</v>
      </c>
      <c r="B13" s="12" t="s">
        <v>17</v>
      </c>
      <c r="C13" s="21"/>
      <c r="D13" s="21"/>
      <c r="E13" s="21"/>
      <c r="F13" s="21"/>
      <c r="G13" s="72">
        <v>100</v>
      </c>
      <c r="H13" s="72">
        <v>100</v>
      </c>
      <c r="I13" s="3">
        <v>100</v>
      </c>
      <c r="J13" s="3">
        <v>100</v>
      </c>
      <c r="K13" s="3"/>
      <c r="L13" s="3"/>
      <c r="M13" s="3"/>
      <c r="N13" s="3"/>
      <c r="O13" s="31"/>
    </row>
    <row r="14" spans="1:15" ht="12.75">
      <c r="A14" s="24" t="s">
        <v>18</v>
      </c>
      <c r="B14" s="12" t="s">
        <v>19</v>
      </c>
      <c r="C14" s="27">
        <v>0.588</v>
      </c>
      <c r="D14" s="27">
        <f>C14</f>
        <v>0.588</v>
      </c>
      <c r="E14" s="27">
        <f>C14</f>
        <v>0.588</v>
      </c>
      <c r="F14" s="27">
        <f>C14</f>
        <v>0.588</v>
      </c>
      <c r="G14" s="102">
        <f>(G11+G12+G13)*C14</f>
        <v>5262.53476775144</v>
      </c>
      <c r="H14" s="102">
        <f>(H11+H12+H13)*D14</f>
        <v>5262.53476775144</v>
      </c>
      <c r="I14" s="25">
        <f>(I11+I12+I13)*E14</f>
        <v>5594.532930404123</v>
      </c>
      <c r="J14" s="25">
        <f>(J11+J12+J13)*F14</f>
        <v>5594.532930404123</v>
      </c>
      <c r="K14" s="3"/>
      <c r="L14" s="3"/>
      <c r="M14" s="3"/>
      <c r="N14" s="3"/>
      <c r="O14" s="31"/>
    </row>
    <row r="15" spans="1:15" ht="12.75">
      <c r="A15" s="24" t="s">
        <v>20</v>
      </c>
      <c r="B15" s="12" t="s">
        <v>21</v>
      </c>
      <c r="C15" s="28">
        <v>0.03</v>
      </c>
      <c r="D15" s="28">
        <v>0.03</v>
      </c>
      <c r="E15" s="28">
        <v>0.03</v>
      </c>
      <c r="F15" s="28">
        <v>0.03</v>
      </c>
      <c r="G15" s="102">
        <f>(G11+G12+G13+G14)*C15</f>
        <v>426.3727148565963</v>
      </c>
      <c r="H15" s="102">
        <f>(H11+H12+H13+H14)*D15</f>
        <v>426.3727148565963</v>
      </c>
      <c r="I15" s="25">
        <f>(I11+I12+I13+I14)*E15</f>
        <v>453.2713415041708</v>
      </c>
      <c r="J15" s="25">
        <f>(J11+J12+J13+J14)*F15</f>
        <v>453.2713415041708</v>
      </c>
      <c r="K15" s="25"/>
      <c r="L15" s="25"/>
      <c r="M15" s="25"/>
      <c r="N15" s="25"/>
      <c r="O15" s="31"/>
    </row>
    <row r="16" spans="1:15" ht="12.75">
      <c r="A16" s="24"/>
      <c r="B16" s="20" t="s">
        <v>22</v>
      </c>
      <c r="C16" s="21"/>
      <c r="D16" s="21"/>
      <c r="E16" s="21"/>
      <c r="F16" s="21"/>
      <c r="G16" s="23">
        <f>SUM(G11:G15)</f>
        <v>14638.796543409806</v>
      </c>
      <c r="H16" s="23">
        <f>SUM(H11:H15)</f>
        <v>14638.796543409806</v>
      </c>
      <c r="I16" s="23">
        <f>SUM(I11:I15)</f>
        <v>15562.316058309863</v>
      </c>
      <c r="J16" s="23">
        <f>SUM(J11:J15)</f>
        <v>15562.316058309863</v>
      </c>
      <c r="K16" s="23"/>
      <c r="L16" s="23"/>
      <c r="M16" s="23"/>
      <c r="N16" s="23"/>
      <c r="O16" s="31"/>
    </row>
    <row r="17" spans="1:14" ht="12.75">
      <c r="A17" s="24"/>
      <c r="B17" s="12" t="s">
        <v>23</v>
      </c>
      <c r="C17" s="21"/>
      <c r="D17" s="21"/>
      <c r="E17" s="21"/>
      <c r="F17" s="21"/>
      <c r="G17" s="102">
        <f>G16*G48/G50</f>
        <v>66.53998428822639</v>
      </c>
      <c r="H17" s="102">
        <f>H16*H48/H50</f>
        <v>67.10646745505478</v>
      </c>
      <c r="I17" s="25">
        <f>I16*I48/I50</f>
        <v>86.45731143505479</v>
      </c>
      <c r="J17" s="25">
        <f>J16*J48/J50</f>
        <v>18.391828068911657</v>
      </c>
      <c r="K17" s="25"/>
      <c r="L17" s="25"/>
      <c r="M17" s="25"/>
      <c r="N17" s="25"/>
    </row>
    <row r="18" spans="1:14" ht="26.25">
      <c r="A18" s="19">
        <v>2</v>
      </c>
      <c r="B18" s="20" t="s">
        <v>24</v>
      </c>
      <c r="C18" s="21"/>
      <c r="D18" s="21"/>
      <c r="E18" s="21"/>
      <c r="F18" s="21"/>
      <c r="G18" s="29">
        <f>G20*0.001</f>
        <v>0</v>
      </c>
      <c r="H18" s="29">
        <f>H20*0.001</f>
        <v>0</v>
      </c>
      <c r="I18" s="29">
        <f>I19*0.001</f>
        <v>0</v>
      </c>
      <c r="J18" s="29">
        <f>J19*0.001</f>
        <v>0</v>
      </c>
      <c r="K18" s="29"/>
      <c r="L18" s="29"/>
      <c r="M18" s="23" t="e">
        <f>I18/K18*1000</f>
        <v>#DIV/0!</v>
      </c>
      <c r="N18" s="23" t="e">
        <f>J18/L18*1000</f>
        <v>#DIV/0!</v>
      </c>
    </row>
    <row r="19" spans="1:14" ht="78.75">
      <c r="A19" s="19">
        <v>3</v>
      </c>
      <c r="B19" s="20" t="s">
        <v>25</v>
      </c>
      <c r="C19" s="21"/>
      <c r="D19" s="21"/>
      <c r="E19" s="21"/>
      <c r="F19" s="21"/>
      <c r="G19" s="23">
        <f>(G20+G21+G22+G23)+G25+G24</f>
        <v>0</v>
      </c>
      <c r="H19" s="23">
        <f>(H20+H21+H22+H23)+H25+H24</f>
        <v>0</v>
      </c>
      <c r="I19" s="23">
        <f>(I20+I21+I22+I23)+I25+I24</f>
        <v>0</v>
      </c>
      <c r="J19" s="23">
        <f>(J20+J21+J22+J23)+J25+J24</f>
        <v>0</v>
      </c>
      <c r="K19" s="23"/>
      <c r="L19" s="23"/>
      <c r="M19" s="23" t="e">
        <f>(M20+M21+M22+M23)+M25+M24</f>
        <v>#DIV/0!</v>
      </c>
      <c r="N19" s="23" t="e">
        <f>(N20+N21+N22+N23)+N25+N24</f>
        <v>#DIV/0!</v>
      </c>
    </row>
    <row r="20" spans="1:14" ht="26.25">
      <c r="A20" s="19" t="s">
        <v>26</v>
      </c>
      <c r="B20" s="20" t="s">
        <v>27</v>
      </c>
      <c r="C20" s="21"/>
      <c r="D20" s="21"/>
      <c r="E20" s="21"/>
      <c r="F20" s="21"/>
      <c r="G20" s="30">
        <f>'[1]Приложен.3'!B9</f>
        <v>0</v>
      </c>
      <c r="H20" s="30">
        <f>'[1]Приложен.3'!C9</f>
        <v>0</v>
      </c>
      <c r="I20" s="30"/>
      <c r="J20" s="30"/>
      <c r="K20" s="23"/>
      <c r="L20" s="23"/>
      <c r="M20" s="23" t="e">
        <f aca="true" t="shared" si="0" ref="M20:N26">I20/K20*1000</f>
        <v>#DIV/0!</v>
      </c>
      <c r="N20" s="23" t="e">
        <f t="shared" si="0"/>
        <v>#DIV/0!</v>
      </c>
    </row>
    <row r="21" spans="1:14" ht="12.75">
      <c r="A21" s="19" t="s">
        <v>28</v>
      </c>
      <c r="B21" s="20" t="s">
        <v>29</v>
      </c>
      <c r="C21" s="21"/>
      <c r="D21" s="21"/>
      <c r="E21" s="21"/>
      <c r="F21" s="21"/>
      <c r="G21" s="30">
        <f>'[1]Приложен.3'!B10</f>
        <v>0</v>
      </c>
      <c r="H21" s="30">
        <f>'[1]Приложен.3'!C10</f>
        <v>0</v>
      </c>
      <c r="I21" s="30">
        <v>0</v>
      </c>
      <c r="J21" s="30">
        <v>0</v>
      </c>
      <c r="K21" s="23"/>
      <c r="L21" s="23"/>
      <c r="M21" s="23" t="e">
        <f t="shared" si="0"/>
        <v>#DIV/0!</v>
      </c>
      <c r="N21" s="23" t="e">
        <f t="shared" si="0"/>
        <v>#DIV/0!</v>
      </c>
    </row>
    <row r="22" spans="1:14" ht="66">
      <c r="A22" s="19" t="s">
        <v>30</v>
      </c>
      <c r="B22" s="20" t="s">
        <v>31</v>
      </c>
      <c r="C22" s="21"/>
      <c r="D22" s="21"/>
      <c r="E22" s="21"/>
      <c r="F22" s="21"/>
      <c r="G22" s="30">
        <f>'[1]Приложен.3'!B11</f>
        <v>0</v>
      </c>
      <c r="H22" s="30">
        <f>'[1]Приложен.3'!C11</f>
        <v>0</v>
      </c>
      <c r="I22" s="30"/>
      <c r="J22" s="30">
        <v>0</v>
      </c>
      <c r="K22" s="23"/>
      <c r="L22" s="23"/>
      <c r="M22" s="23" t="e">
        <f t="shared" si="0"/>
        <v>#DIV/0!</v>
      </c>
      <c r="N22" s="23" t="e">
        <f t="shared" si="0"/>
        <v>#DIV/0!</v>
      </c>
    </row>
    <row r="23" spans="1:14" ht="39">
      <c r="A23" s="19" t="s">
        <v>32</v>
      </c>
      <c r="B23" s="20" t="s">
        <v>33</v>
      </c>
      <c r="C23" s="21"/>
      <c r="D23" s="21"/>
      <c r="E23" s="21"/>
      <c r="F23" s="21"/>
      <c r="G23" s="30">
        <f>'[1]Приложен.3'!B12</f>
        <v>0</v>
      </c>
      <c r="H23" s="30">
        <f>'[1]Приложен.3'!C12</f>
        <v>0</v>
      </c>
      <c r="I23" s="30">
        <v>0</v>
      </c>
      <c r="J23" s="30">
        <v>0</v>
      </c>
      <c r="K23" s="23"/>
      <c r="L23" s="23"/>
      <c r="M23" s="23" t="e">
        <f t="shared" si="0"/>
        <v>#DIV/0!</v>
      </c>
      <c r="N23" s="23" t="e">
        <f t="shared" si="0"/>
        <v>#DIV/0!</v>
      </c>
    </row>
    <row r="24" spans="1:14" s="36" customFormat="1" ht="12.75">
      <c r="A24" s="32"/>
      <c r="B24" s="33" t="s">
        <v>21</v>
      </c>
      <c r="C24" s="34">
        <v>0.03</v>
      </c>
      <c r="D24" s="34">
        <v>0.03</v>
      </c>
      <c r="E24" s="34">
        <v>0.03</v>
      </c>
      <c r="F24" s="34">
        <v>0.03</v>
      </c>
      <c r="G24" s="35">
        <f>(G20+G21+G22+G23)*C24</f>
        <v>0</v>
      </c>
      <c r="H24" s="35">
        <f>(H20+H21+H22+H23)*D24</f>
        <v>0</v>
      </c>
      <c r="I24" s="35">
        <f>(I20+I21+I22+I23)*0.03</f>
        <v>0</v>
      </c>
      <c r="J24" s="35">
        <f>(J20+J21+J22+J23)*F24</f>
        <v>0</v>
      </c>
      <c r="K24" s="35"/>
      <c r="L24" s="35"/>
      <c r="M24" s="35" t="e">
        <f>I24/K24*1000</f>
        <v>#DIV/0!</v>
      </c>
      <c r="N24" s="35" t="e">
        <f>J24/L24*1000</f>
        <v>#DIV/0!</v>
      </c>
    </row>
    <row r="25" spans="1:14" s="1" customFormat="1" ht="12.75">
      <c r="A25" s="19"/>
      <c r="B25" s="20" t="s">
        <v>35</v>
      </c>
      <c r="C25" s="10"/>
      <c r="D25" s="10"/>
      <c r="E25" s="10"/>
      <c r="F25" s="10"/>
      <c r="G25" s="23">
        <f>(G20+G21+G22+G23)/0.8*0.2</f>
        <v>0</v>
      </c>
      <c r="H25" s="23">
        <f>(H20+H21+H22+H23)/0.8*0.2</f>
        <v>0</v>
      </c>
      <c r="I25" s="23">
        <f>(I20+I21+I22+I23+I24)/0.8*0.2</f>
        <v>0</v>
      </c>
      <c r="J25" s="23">
        <f>(J20+J21+J22+J23+J24)/0.8*0.2</f>
        <v>0</v>
      </c>
      <c r="K25" s="23"/>
      <c r="L25" s="23"/>
      <c r="M25" s="23" t="e">
        <f t="shared" si="0"/>
        <v>#DIV/0!</v>
      </c>
      <c r="N25" s="23" t="e">
        <f t="shared" si="0"/>
        <v>#DIV/0!</v>
      </c>
    </row>
    <row r="26" spans="1:14" ht="26.25">
      <c r="A26" s="19">
        <v>4</v>
      </c>
      <c r="B26" s="20" t="s">
        <v>36</v>
      </c>
      <c r="C26" s="21"/>
      <c r="D26" s="21"/>
      <c r="E26" s="21"/>
      <c r="F26" s="21"/>
      <c r="G26" s="37">
        <f>G34*G48/1000</f>
        <v>34.71476760449786</v>
      </c>
      <c r="H26" s="37">
        <f>H34*H48/1000</f>
        <v>48.600674646297</v>
      </c>
      <c r="I26" s="37">
        <f>I34*I48/1000</f>
        <v>37.3362585237116</v>
      </c>
      <c r="J26" s="37">
        <f>J34*J48/1000</f>
        <v>97.07427216165017</v>
      </c>
      <c r="K26" s="37">
        <f>I50</f>
        <v>900</v>
      </c>
      <c r="L26" s="37">
        <f>J50</f>
        <v>11000</v>
      </c>
      <c r="M26" s="23">
        <f t="shared" si="0"/>
        <v>41.48473169301289</v>
      </c>
      <c r="N26" s="23">
        <f t="shared" si="0"/>
        <v>8.824933832877289</v>
      </c>
    </row>
    <row r="27" spans="1:15" ht="12.75">
      <c r="A27" s="24" t="s">
        <v>37</v>
      </c>
      <c r="B27" s="20" t="s">
        <v>11</v>
      </c>
      <c r="C27" s="21"/>
      <c r="D27" s="21"/>
      <c r="E27" s="21"/>
      <c r="F27" s="21"/>
      <c r="G27" s="102">
        <v>3.7</v>
      </c>
      <c r="H27" s="102">
        <v>3.7</v>
      </c>
      <c r="I27" s="25">
        <v>3.7</v>
      </c>
      <c r="J27" s="25">
        <v>3.7</v>
      </c>
      <c r="K27" s="25"/>
      <c r="L27" s="25"/>
      <c r="M27" s="25"/>
      <c r="N27" s="25"/>
      <c r="O27" s="31"/>
    </row>
    <row r="28" spans="1:15" ht="12.75">
      <c r="A28" s="24" t="s">
        <v>38</v>
      </c>
      <c r="B28" s="12" t="s">
        <v>13</v>
      </c>
      <c r="C28" s="26">
        <f>'Ср зп'!F51</f>
        <v>555.6858693466556</v>
      </c>
      <c r="D28" s="26">
        <f>C28</f>
        <v>555.6858693466556</v>
      </c>
      <c r="E28" s="26">
        <f>'Ср зп'!G51</f>
        <v>590.2672402498705</v>
      </c>
      <c r="F28" s="26">
        <f>E28</f>
        <v>590.2672402498705</v>
      </c>
      <c r="G28" s="102">
        <f>C28*G27</f>
        <v>2056.0377165826258</v>
      </c>
      <c r="H28" s="102">
        <f>D28*H27</f>
        <v>2056.0377165826258</v>
      </c>
      <c r="I28" s="25">
        <f>E28*I27</f>
        <v>2183.988788924521</v>
      </c>
      <c r="J28" s="25">
        <f>F28*J27</f>
        <v>2183.988788924521</v>
      </c>
      <c r="K28" s="25"/>
      <c r="L28" s="25"/>
      <c r="M28" s="25"/>
      <c r="N28" s="25"/>
      <c r="O28" s="31"/>
    </row>
    <row r="29" spans="1:15" ht="12.75">
      <c r="A29" s="24" t="s">
        <v>39</v>
      </c>
      <c r="B29" s="12" t="s">
        <v>15</v>
      </c>
      <c r="C29" s="27">
        <f>C12</f>
        <v>0.304</v>
      </c>
      <c r="D29" s="27">
        <f>D12</f>
        <v>0.304</v>
      </c>
      <c r="E29" s="61">
        <f>C29</f>
        <v>0.304</v>
      </c>
      <c r="F29" s="61">
        <f>C29</f>
        <v>0.304</v>
      </c>
      <c r="G29" s="102">
        <f>G28*C29</f>
        <v>625.0354658411183</v>
      </c>
      <c r="H29" s="102">
        <f>H28*D29</f>
        <v>625.0354658411183</v>
      </c>
      <c r="I29" s="25">
        <f>I28*E29</f>
        <v>663.9325918330544</v>
      </c>
      <c r="J29" s="25">
        <f>J28*F29</f>
        <v>663.9325918330544</v>
      </c>
      <c r="K29" s="25"/>
      <c r="L29" s="25"/>
      <c r="M29" s="25"/>
      <c r="N29" s="25"/>
      <c r="O29" s="31"/>
    </row>
    <row r="30" spans="1:15" ht="12.75">
      <c r="A30" s="24" t="s">
        <v>40</v>
      </c>
      <c r="B30" s="12" t="s">
        <v>17</v>
      </c>
      <c r="C30" s="21"/>
      <c r="D30" s="21"/>
      <c r="E30" s="21"/>
      <c r="F30" s="21"/>
      <c r="G30" s="72">
        <v>100</v>
      </c>
      <c r="H30" s="72">
        <v>100</v>
      </c>
      <c r="I30" s="3">
        <v>100</v>
      </c>
      <c r="J30" s="3">
        <v>100</v>
      </c>
      <c r="K30" s="3"/>
      <c r="L30" s="3"/>
      <c r="M30" s="3"/>
      <c r="N30" s="3"/>
      <c r="O30" s="31"/>
    </row>
    <row r="31" spans="1:15" ht="12.75">
      <c r="A31" s="24" t="s">
        <v>41</v>
      </c>
      <c r="B31" s="12" t="s">
        <v>42</v>
      </c>
      <c r="C31" s="21">
        <v>395.6</v>
      </c>
      <c r="D31" s="21">
        <f>C31</f>
        <v>395.6</v>
      </c>
      <c r="E31" s="134">
        <v>437.14</v>
      </c>
      <c r="F31" s="134">
        <f>E31</f>
        <v>437.14</v>
      </c>
      <c r="G31" s="102">
        <f>C31*G27</f>
        <v>1463.7200000000003</v>
      </c>
      <c r="H31" s="102">
        <f>D31*H27</f>
        <v>1463.7200000000003</v>
      </c>
      <c r="I31" s="25">
        <f>E31*I27</f>
        <v>1617.4180000000001</v>
      </c>
      <c r="J31" s="25">
        <f>F31*J27</f>
        <v>1617.4180000000001</v>
      </c>
      <c r="K31" s="3"/>
      <c r="L31" s="3"/>
      <c r="M31" s="3"/>
      <c r="N31" s="3"/>
      <c r="O31" s="31"/>
    </row>
    <row r="32" spans="1:15" ht="12.75">
      <c r="A32" s="24" t="s">
        <v>43</v>
      </c>
      <c r="B32" s="12" t="s">
        <v>19</v>
      </c>
      <c r="C32" s="27">
        <f>C14</f>
        <v>0.588</v>
      </c>
      <c r="D32" s="27">
        <f>C32</f>
        <v>0.588</v>
      </c>
      <c r="E32" s="27">
        <f>C32</f>
        <v>0.588</v>
      </c>
      <c r="F32" s="27">
        <f>C32</f>
        <v>0.588</v>
      </c>
      <c r="G32" s="102">
        <f>(G28+G29+G30+G31)*C32</f>
        <v>2495.9383912651615</v>
      </c>
      <c r="H32" s="102">
        <f>(H28+H29+H30+H31)*D32</f>
        <v>2495.9383912651615</v>
      </c>
      <c r="I32" s="25">
        <f>(I28+I29+I30+I31)*E32</f>
        <v>2684.4195558854544</v>
      </c>
      <c r="J32" s="25">
        <f>(J28+J29+J30+J31)*F32</f>
        <v>2684.4195558854544</v>
      </c>
      <c r="K32" s="25"/>
      <c r="L32" s="25"/>
      <c r="M32" s="25"/>
      <c r="N32" s="25"/>
      <c r="O32" s="31"/>
    </row>
    <row r="33" spans="1:15" ht="12.75">
      <c r="A33" s="24" t="s">
        <v>44</v>
      </c>
      <c r="B33" s="12" t="s">
        <v>21</v>
      </c>
      <c r="C33" s="28">
        <v>0.03</v>
      </c>
      <c r="D33" s="28">
        <v>0.03</v>
      </c>
      <c r="E33" s="28">
        <v>0.03</v>
      </c>
      <c r="F33" s="28">
        <v>0.03</v>
      </c>
      <c r="G33" s="102">
        <f>(G28+G29+G30+G31+G32)*C33</f>
        <v>202.22194721066714</v>
      </c>
      <c r="H33" s="102">
        <f>(H28+H29+H30+H31+H32)*D33</f>
        <v>202.22194721066714</v>
      </c>
      <c r="I33" s="25">
        <f>(I28+I29+I30+I31+I32)*E33</f>
        <v>217.49276809929088</v>
      </c>
      <c r="J33" s="25">
        <f>(J28+J29+J30+J31+J32)*F33</f>
        <v>217.49276809929088</v>
      </c>
      <c r="K33" s="25"/>
      <c r="L33" s="25"/>
      <c r="M33" s="25"/>
      <c r="N33" s="25"/>
      <c r="O33" s="31"/>
    </row>
    <row r="34" spans="1:15" ht="12.75">
      <c r="A34" s="24"/>
      <c r="B34" s="20" t="s">
        <v>22</v>
      </c>
      <c r="C34" s="21"/>
      <c r="D34" s="21"/>
      <c r="E34" s="21"/>
      <c r="F34" s="21"/>
      <c r="G34" s="38">
        <f>SUM(G28:G33)</f>
        <v>6942.953520899572</v>
      </c>
      <c r="H34" s="38">
        <f>SUM(H28:H33)</f>
        <v>6942.953520899572</v>
      </c>
      <c r="I34" s="38">
        <f>SUM(I28:I33)</f>
        <v>7467.251704742321</v>
      </c>
      <c r="J34" s="38">
        <f>SUM(J28:J33)</f>
        <v>7467.251704742321</v>
      </c>
      <c r="K34" s="23"/>
      <c r="L34" s="23"/>
      <c r="M34" s="23"/>
      <c r="N34" s="23"/>
      <c r="O34" s="31"/>
    </row>
    <row r="35" spans="1:15" ht="12.75">
      <c r="A35" s="24"/>
      <c r="B35" s="12" t="s">
        <v>23</v>
      </c>
      <c r="C35" s="21"/>
      <c r="D35" s="21"/>
      <c r="E35" s="21"/>
      <c r="F35" s="21"/>
      <c r="G35" s="102">
        <f>G34*G48/G50</f>
        <v>31.5588796404526</v>
      </c>
      <c r="H35" s="102">
        <f>H34*H48/H50</f>
        <v>31.8275537958723</v>
      </c>
      <c r="I35" s="25">
        <f>I34*I48/I50</f>
        <v>41.48473169301289</v>
      </c>
      <c r="J35" s="25">
        <f>J34*J48/J50</f>
        <v>8.824933832877289</v>
      </c>
      <c r="K35" s="25"/>
      <c r="L35" s="25"/>
      <c r="M35" s="25"/>
      <c r="N35" s="25"/>
      <c r="O35" s="31"/>
    </row>
    <row r="36" spans="1:14" s="1" customFormat="1" ht="39">
      <c r="A36" s="19">
        <v>5</v>
      </c>
      <c r="B36" s="20" t="s">
        <v>45</v>
      </c>
      <c r="C36" s="10"/>
      <c r="D36" s="10"/>
      <c r="E36" s="10"/>
      <c r="F36" s="10"/>
      <c r="G36" s="29">
        <f>G34*10%*G48/1000</f>
        <v>3.4714767604497867</v>
      </c>
      <c r="H36" s="29">
        <f>H34*10%*H48/1000</f>
        <v>4.860067464629701</v>
      </c>
      <c r="I36" s="29">
        <f>I34*10%*I48/1000</f>
        <v>3.7336258523711603</v>
      </c>
      <c r="J36" s="29">
        <f>J34*10%*J48/1000</f>
        <v>9.707427216165017</v>
      </c>
      <c r="K36" s="29">
        <v>1650</v>
      </c>
      <c r="L36" s="29">
        <v>430</v>
      </c>
      <c r="M36" s="23">
        <f>I36/K36*1000</f>
        <v>2.2628035468916123</v>
      </c>
      <c r="N36" s="23">
        <f>J36/L36*1000</f>
        <v>22.575412130616318</v>
      </c>
    </row>
    <row r="37" spans="1:14" ht="39">
      <c r="A37" s="19">
        <v>6</v>
      </c>
      <c r="B37" s="20" t="s">
        <v>46</v>
      </c>
      <c r="C37" s="21"/>
      <c r="D37" s="21"/>
      <c r="E37" s="21"/>
      <c r="F37" s="21"/>
      <c r="G37" s="22">
        <f>G45*G48/1000</f>
        <v>71.86689061873827</v>
      </c>
      <c r="H37" s="22">
        <f>H45*H48/1000</f>
        <v>100.61364686623358</v>
      </c>
      <c r="I37" s="22">
        <f>I45*I48/1000</f>
        <v>75.28492502208219</v>
      </c>
      <c r="J37" s="22">
        <f>J45*J48/1000</f>
        <v>195.74080505741367</v>
      </c>
      <c r="K37" s="22">
        <f>I50</f>
        <v>900</v>
      </c>
      <c r="L37" s="22">
        <f>J50</f>
        <v>11000</v>
      </c>
      <c r="M37" s="23">
        <f>I37/K37*1000</f>
        <v>83.64991669120244</v>
      </c>
      <c r="N37" s="23">
        <f>J37/L37*1000</f>
        <v>17.79461864158306</v>
      </c>
    </row>
    <row r="38" spans="1:16" ht="12.75">
      <c r="A38" s="24" t="s">
        <v>47</v>
      </c>
      <c r="B38" s="20" t="s">
        <v>11</v>
      </c>
      <c r="C38" s="21"/>
      <c r="D38" s="21"/>
      <c r="E38" s="21"/>
      <c r="F38" s="21"/>
      <c r="G38" s="102">
        <v>3.9</v>
      </c>
      <c r="H38" s="102">
        <v>3.9</v>
      </c>
      <c r="I38" s="25">
        <v>3.9</v>
      </c>
      <c r="J38" s="25">
        <v>3.9</v>
      </c>
      <c r="K38" s="25"/>
      <c r="L38" s="25"/>
      <c r="M38" s="25"/>
      <c r="N38" s="25"/>
      <c r="O38" s="31"/>
      <c r="P38" s="31"/>
    </row>
    <row r="39" spans="1:16" ht="12.75">
      <c r="A39" s="24" t="s">
        <v>48</v>
      </c>
      <c r="B39" s="12" t="s">
        <v>13</v>
      </c>
      <c r="C39" s="26">
        <f>'Ср зп'!F52</f>
        <v>352.67188831405963</v>
      </c>
      <c r="D39" s="26">
        <f>C39</f>
        <v>352.67188831405963</v>
      </c>
      <c r="E39" s="26">
        <f>'Ср зп'!G52</f>
        <v>374.63912616047963</v>
      </c>
      <c r="F39" s="26">
        <f>E39</f>
        <v>374.63912616047963</v>
      </c>
      <c r="G39" s="102">
        <f>C39*G38</f>
        <v>1375.4203644248325</v>
      </c>
      <c r="H39" s="102">
        <f>D39*H38</f>
        <v>1375.4203644248325</v>
      </c>
      <c r="I39" s="25">
        <f>E39*I38</f>
        <v>1461.0925920258705</v>
      </c>
      <c r="J39" s="25">
        <f>F39*J38</f>
        <v>1461.0925920258705</v>
      </c>
      <c r="K39" s="25"/>
      <c r="L39" s="25"/>
      <c r="M39" s="25"/>
      <c r="N39" s="25"/>
      <c r="O39" s="31"/>
      <c r="P39" s="31"/>
    </row>
    <row r="40" spans="1:16" ht="12.75">
      <c r="A40" s="24" t="s">
        <v>49</v>
      </c>
      <c r="B40" s="12" t="s">
        <v>15</v>
      </c>
      <c r="C40" s="27">
        <f>C29</f>
        <v>0.304</v>
      </c>
      <c r="D40" s="27">
        <f>C40</f>
        <v>0.304</v>
      </c>
      <c r="E40" s="61">
        <f>C40</f>
        <v>0.304</v>
      </c>
      <c r="F40" s="61">
        <f>C40</f>
        <v>0.304</v>
      </c>
      <c r="G40" s="102">
        <f>G39*C40</f>
        <v>418.1277907851491</v>
      </c>
      <c r="H40" s="102">
        <f>H39*D40</f>
        <v>418.1277907851491</v>
      </c>
      <c r="I40" s="25">
        <f>I39*E40</f>
        <v>444.1721479758646</v>
      </c>
      <c r="J40" s="25">
        <f>J39*F40</f>
        <v>444.1721479758646</v>
      </c>
      <c r="K40" s="25"/>
      <c r="L40" s="25"/>
      <c r="M40" s="25"/>
      <c r="N40" s="25"/>
      <c r="O40" s="31"/>
      <c r="P40" s="31"/>
    </row>
    <row r="41" spans="1:16" ht="12.75">
      <c r="A41" s="24" t="s">
        <v>50</v>
      </c>
      <c r="B41" s="12" t="s">
        <v>17</v>
      </c>
      <c r="C41" s="21"/>
      <c r="D41" s="21"/>
      <c r="E41" s="21"/>
      <c r="F41" s="21"/>
      <c r="G41" s="72">
        <v>100</v>
      </c>
      <c r="H41" s="72">
        <v>100</v>
      </c>
      <c r="I41" s="3">
        <v>100</v>
      </c>
      <c r="J41" s="3">
        <v>100</v>
      </c>
      <c r="K41" s="3"/>
      <c r="L41" s="3"/>
      <c r="M41" s="3"/>
      <c r="N41" s="3"/>
      <c r="O41" s="31"/>
      <c r="P41" s="31"/>
    </row>
    <row r="42" spans="1:16" ht="12.75">
      <c r="A42" s="24" t="s">
        <v>51</v>
      </c>
      <c r="B42" s="12" t="s">
        <v>42</v>
      </c>
      <c r="C42" s="21">
        <v>1767.71</v>
      </c>
      <c r="D42" s="21">
        <f>C42</f>
        <v>1767.71</v>
      </c>
      <c r="E42" s="21">
        <v>1846.23</v>
      </c>
      <c r="F42" s="21">
        <f>E42</f>
        <v>1846.23</v>
      </c>
      <c r="G42" s="102">
        <f>C42*G38</f>
        <v>6894.069</v>
      </c>
      <c r="H42" s="102">
        <f>D42*H38</f>
        <v>6894.069</v>
      </c>
      <c r="I42" s="25">
        <f>E42*I38</f>
        <v>7200.297</v>
      </c>
      <c r="J42" s="25">
        <f>F42*J38</f>
        <v>7200.297</v>
      </c>
      <c r="K42" s="3"/>
      <c r="L42" s="3"/>
      <c r="M42" s="3"/>
      <c r="N42" s="3"/>
      <c r="O42" s="31"/>
      <c r="P42" s="31"/>
    </row>
    <row r="43" spans="1:16" ht="12.75">
      <c r="A43" s="24" t="s">
        <v>52</v>
      </c>
      <c r="B43" s="12" t="s">
        <v>19</v>
      </c>
      <c r="C43" s="27">
        <f>C32</f>
        <v>0.588</v>
      </c>
      <c r="D43" s="27">
        <f>D32</f>
        <v>0.588</v>
      </c>
      <c r="E43" s="27">
        <f>E32</f>
        <v>0.588</v>
      </c>
      <c r="F43" s="27">
        <f>F32</f>
        <v>0.588</v>
      </c>
      <c r="G43" s="102">
        <f>(G39+G40+G41+G42)*C43</f>
        <v>5167.118887263469</v>
      </c>
      <c r="H43" s="102">
        <f>(H39+H40+H41+H42)*D43</f>
        <v>5167.118887263469</v>
      </c>
      <c r="I43" s="25">
        <f>(I39+I40+I41+I42)*E43</f>
        <v>5412.87030312102</v>
      </c>
      <c r="J43" s="25">
        <f>(J39+J40+J41+J42)*F43</f>
        <v>5412.87030312102</v>
      </c>
      <c r="K43" s="25"/>
      <c r="L43" s="25"/>
      <c r="M43" s="25"/>
      <c r="N43" s="25"/>
      <c r="O43" s="31"/>
      <c r="P43" s="31"/>
    </row>
    <row r="44" spans="1:16" ht="12.75">
      <c r="A44" s="24" t="s">
        <v>53</v>
      </c>
      <c r="B44" s="12" t="s">
        <v>21</v>
      </c>
      <c r="C44" s="28">
        <v>0.03</v>
      </c>
      <c r="D44" s="28">
        <v>0.03</v>
      </c>
      <c r="E44" s="28">
        <v>0.03</v>
      </c>
      <c r="F44" s="28">
        <v>0.03</v>
      </c>
      <c r="G44" s="102">
        <f>(G39+G40+G41+G42+G43)*C44</f>
        <v>418.6420812742035</v>
      </c>
      <c r="H44" s="102">
        <f>(H39+H40+H41+H42+H43)*D44</f>
        <v>418.6420812742035</v>
      </c>
      <c r="I44" s="25">
        <f>(I39+I40+I41+I42+I43)*E44</f>
        <v>438.5529612936826</v>
      </c>
      <c r="J44" s="25">
        <f>(J39+J40+J41+J42+J43)*F44</f>
        <v>438.5529612936826</v>
      </c>
      <c r="K44" s="25"/>
      <c r="L44" s="25"/>
      <c r="M44" s="25"/>
      <c r="N44" s="25"/>
      <c r="O44" s="31"/>
      <c r="P44" s="31"/>
    </row>
    <row r="45" spans="1:16" ht="12.75">
      <c r="A45" s="24"/>
      <c r="B45" s="20" t="s">
        <v>22</v>
      </c>
      <c r="C45" s="21"/>
      <c r="D45" s="21"/>
      <c r="E45" s="21"/>
      <c r="F45" s="21"/>
      <c r="G45" s="38">
        <f>SUM(G39:G44)</f>
        <v>14373.378123747654</v>
      </c>
      <c r="H45" s="38">
        <f>SUM(H39:H44)</f>
        <v>14373.378123747654</v>
      </c>
      <c r="I45" s="38">
        <f>SUM(I39:I44)</f>
        <v>15056.985004416436</v>
      </c>
      <c r="J45" s="38">
        <f>SUM(J39:J44)</f>
        <v>15056.985004416436</v>
      </c>
      <c r="K45" s="23"/>
      <c r="L45" s="23"/>
      <c r="M45" s="23"/>
      <c r="N45" s="23"/>
      <c r="O45" s="31"/>
      <c r="P45" s="31"/>
    </row>
    <row r="46" spans="1:14" ht="12.75">
      <c r="A46" s="24"/>
      <c r="B46" s="12" t="s">
        <v>23</v>
      </c>
      <c r="C46" s="21"/>
      <c r="D46" s="21"/>
      <c r="E46" s="21"/>
      <c r="F46" s="21"/>
      <c r="G46" s="102">
        <f>G45*G48/G50</f>
        <v>65.3335369261257</v>
      </c>
      <c r="H46" s="102">
        <f>H45*H48/H50</f>
        <v>65.88974909380065</v>
      </c>
      <c r="I46" s="25">
        <f>I45*I48/I50</f>
        <v>83.64991669120242</v>
      </c>
      <c r="J46" s="25">
        <f>J45*J48/J50</f>
        <v>17.79461864158306</v>
      </c>
      <c r="K46" s="25"/>
      <c r="L46" s="25"/>
      <c r="M46" s="25"/>
      <c r="N46" s="25"/>
    </row>
    <row r="47" spans="1:14" ht="12.75">
      <c r="A47" s="24"/>
      <c r="B47" s="20"/>
      <c r="C47" s="21"/>
      <c r="D47" s="21"/>
      <c r="E47" s="21"/>
      <c r="F47" s="21"/>
      <c r="G47" s="72"/>
      <c r="H47" s="72"/>
      <c r="I47" s="3"/>
      <c r="J47" s="3"/>
      <c r="K47" s="3"/>
      <c r="L47" s="3"/>
      <c r="M47" s="3"/>
      <c r="N47" s="3"/>
    </row>
    <row r="48" spans="1:14" ht="12.75">
      <c r="A48" s="39"/>
      <c r="B48" s="40" t="s">
        <v>54</v>
      </c>
      <c r="C48" s="41"/>
      <c r="D48" s="41"/>
      <c r="E48" s="41"/>
      <c r="F48" s="41"/>
      <c r="G48" s="136">
        <v>5</v>
      </c>
      <c r="H48" s="136">
        <v>7</v>
      </c>
      <c r="I48" s="136">
        <v>5</v>
      </c>
      <c r="J48" s="136">
        <v>13</v>
      </c>
      <c r="K48" s="42"/>
      <c r="L48" s="42"/>
      <c r="M48" s="42"/>
      <c r="N48" s="42"/>
    </row>
    <row r="49" spans="1:14" ht="12.75">
      <c r="A49" s="24"/>
      <c r="B49" s="12"/>
      <c r="C49" s="21"/>
      <c r="D49" s="21"/>
      <c r="E49" s="21"/>
      <c r="F49" s="21"/>
      <c r="G49" s="72"/>
      <c r="H49" s="72"/>
      <c r="I49" s="3"/>
      <c r="J49" s="3"/>
      <c r="K49" s="3"/>
      <c r="L49" s="3"/>
      <c r="M49" s="3"/>
      <c r="N49" s="3"/>
    </row>
    <row r="50" spans="1:14" ht="12.75">
      <c r="A50" s="39"/>
      <c r="B50" s="43" t="s">
        <v>55</v>
      </c>
      <c r="C50" s="41"/>
      <c r="D50" s="41"/>
      <c r="E50" s="41"/>
      <c r="F50" s="41"/>
      <c r="G50" s="137">
        <v>1100</v>
      </c>
      <c r="H50" s="138">
        <v>1527</v>
      </c>
      <c r="I50" s="139">
        <v>900</v>
      </c>
      <c r="J50" s="140">
        <v>11000</v>
      </c>
      <c r="K50" s="44"/>
      <c r="L50" s="45"/>
      <c r="M50" s="44"/>
      <c r="N50" s="45"/>
    </row>
    <row r="51" spans="1:14" ht="12.75">
      <c r="A51" s="39"/>
      <c r="B51" s="43" t="s">
        <v>56</v>
      </c>
      <c r="C51" s="41"/>
      <c r="D51" s="41"/>
      <c r="E51" s="41"/>
      <c r="F51" s="41"/>
      <c r="G51" s="46">
        <f>G50/G48</f>
        <v>220</v>
      </c>
      <c r="H51" s="46">
        <f>H50/H48</f>
        <v>218.14285714285714</v>
      </c>
      <c r="I51" s="46">
        <f>I50/I48</f>
        <v>180</v>
      </c>
      <c r="J51" s="46">
        <f>J50/J48</f>
        <v>846.1538461538462</v>
      </c>
      <c r="K51" s="46"/>
      <c r="L51" s="46"/>
      <c r="M51" s="46"/>
      <c r="N51" s="46"/>
    </row>
    <row r="52" spans="1:14" ht="12.75">
      <c r="A52" s="24"/>
      <c r="B52" s="12"/>
      <c r="C52" s="21"/>
      <c r="D52" s="21"/>
      <c r="E52" s="21"/>
      <c r="F52" s="21"/>
      <c r="G52" s="72"/>
      <c r="H52" s="72"/>
      <c r="I52" s="3"/>
      <c r="J52" s="3"/>
      <c r="K52" s="3"/>
      <c r="L52" s="3"/>
      <c r="M52" s="3"/>
      <c r="N52" s="3"/>
    </row>
    <row r="53" spans="1:14" ht="26.25">
      <c r="A53" s="24"/>
      <c r="B53" s="20" t="s">
        <v>57</v>
      </c>
      <c r="C53" s="21"/>
      <c r="D53" s="21"/>
      <c r="E53" s="21"/>
      <c r="F53" s="21"/>
      <c r="G53" s="38">
        <f>G55/G50*1000</f>
        <v>166.58828881884995</v>
      </c>
      <c r="H53" s="38">
        <f>H55/H50*1000</f>
        <v>168.00652572431497</v>
      </c>
      <c r="I53" s="38">
        <f>I55/I50*1000</f>
        <v>215.74043298857137</v>
      </c>
      <c r="J53" s="38">
        <f>J55/J50*1000</f>
        <v>45.89387392665974</v>
      </c>
      <c r="K53" s="38"/>
      <c r="L53" s="38"/>
      <c r="M53" s="38"/>
      <c r="N53" s="38"/>
    </row>
    <row r="54" spans="1:14" ht="12.75">
      <c r="A54" s="24"/>
      <c r="B54" s="12"/>
      <c r="C54" s="21"/>
      <c r="D54" s="21"/>
      <c r="E54" s="21"/>
      <c r="F54" s="21"/>
      <c r="G54" s="72"/>
      <c r="H54" s="72"/>
      <c r="I54" s="3"/>
      <c r="J54" s="3"/>
      <c r="K54" s="3"/>
      <c r="L54" s="3"/>
      <c r="M54" s="3"/>
      <c r="N54" s="3"/>
    </row>
    <row r="55" spans="1:14" ht="31.5" customHeight="1">
      <c r="A55" s="24"/>
      <c r="B55" s="20" t="s">
        <v>58</v>
      </c>
      <c r="C55" s="3"/>
      <c r="D55" s="3"/>
      <c r="E55" s="3"/>
      <c r="F55" s="3"/>
      <c r="G55" s="38">
        <f>G9+G26+G19+G37+G36+G18</f>
        <v>183.24711770073492</v>
      </c>
      <c r="H55" s="38">
        <f>H9+H26+H19+H37+H36+H18</f>
        <v>256.54596478102894</v>
      </c>
      <c r="I55" s="38">
        <f>I9+I26+I19+I37+I36+I18</f>
        <v>194.16638968971424</v>
      </c>
      <c r="J55" s="38">
        <f>J9+J26+J19+J37+J36+J18</f>
        <v>504.8326131932571</v>
      </c>
      <c r="K55" s="38"/>
      <c r="L55" s="38"/>
      <c r="M55" s="38"/>
      <c r="N55" s="38"/>
    </row>
    <row r="56" spans="1:14" ht="12.75">
      <c r="A56" s="24"/>
      <c r="B56" s="5"/>
      <c r="C56" s="3"/>
      <c r="D56" s="3"/>
      <c r="E56" s="3"/>
      <c r="F56" s="3"/>
      <c r="G56" s="72"/>
      <c r="H56" s="72"/>
      <c r="I56" s="3"/>
      <c r="J56" s="3"/>
      <c r="K56" s="3"/>
      <c r="L56" s="3"/>
      <c r="M56" s="3"/>
      <c r="N56" s="3"/>
    </row>
    <row r="57" spans="1:14" ht="52.5">
      <c r="A57" s="24"/>
      <c r="B57" s="20" t="s">
        <v>59</v>
      </c>
      <c r="C57" s="3"/>
      <c r="D57" s="3"/>
      <c r="E57" s="3"/>
      <c r="F57" s="3"/>
      <c r="G57" s="38">
        <f>G55/G50*1000</f>
        <v>166.58828881884995</v>
      </c>
      <c r="H57" s="38">
        <f>H55/H50*1000</f>
        <v>168.00652572431497</v>
      </c>
      <c r="I57" s="38">
        <f>I55/I50*1000</f>
        <v>215.74043298857137</v>
      </c>
      <c r="J57" s="38">
        <f>J55/J50*1000</f>
        <v>45.89387392665974</v>
      </c>
      <c r="K57" s="38"/>
      <c r="L57" s="38"/>
      <c r="M57" s="38" t="e">
        <f>M9+M18+M19+M26+M37+M36</f>
        <v>#DIV/0!</v>
      </c>
      <c r="N57" s="38" t="e">
        <f>N9+N18+N19+N26+N37+N36</f>
        <v>#DIV/0!</v>
      </c>
    </row>
    <row r="58" spans="1:14" s="51" customFormat="1" ht="11.25">
      <c r="A58" s="47"/>
      <c r="B58" s="48"/>
      <c r="C58" s="49"/>
      <c r="D58" s="49"/>
      <c r="E58" s="49"/>
      <c r="F58" s="49"/>
      <c r="G58" s="49"/>
      <c r="H58" s="49"/>
      <c r="I58" s="50"/>
      <c r="J58" s="50"/>
      <c r="K58" s="50"/>
      <c r="L58" s="50"/>
      <c r="M58" s="50"/>
      <c r="N58" s="50"/>
    </row>
    <row r="59" ht="12.75">
      <c r="G59" s="103"/>
    </row>
    <row r="60" spans="2:14" ht="13.5">
      <c r="B60" s="53" t="s">
        <v>431</v>
      </c>
      <c r="C60" s="54"/>
      <c r="D60" s="54"/>
      <c r="E60" s="54"/>
      <c r="F60" s="54"/>
      <c r="G60" s="55"/>
      <c r="H60" s="103"/>
      <c r="I60" s="54" t="s">
        <v>60</v>
      </c>
      <c r="J60" s="52"/>
      <c r="K60" s="62">
        <f>J24*J48/1000</f>
        <v>0</v>
      </c>
      <c r="L60" s="52"/>
      <c r="M60" s="54"/>
      <c r="N60" s="52"/>
    </row>
    <row r="61" spans="1:14" ht="13.5">
      <c r="A61" s="53"/>
      <c r="B61" s="53"/>
      <c r="I61" s="56"/>
      <c r="J61" s="56"/>
      <c r="K61" s="56"/>
      <c r="L61" s="56"/>
      <c r="M61" s="56"/>
      <c r="N61" s="56"/>
    </row>
    <row r="62" spans="9:14" ht="12.75">
      <c r="I62" s="63">
        <f>I55-'[2]Калькуляция '!$I$55</f>
        <v>-3492.7434698599823</v>
      </c>
      <c r="J62" s="63"/>
      <c r="K62" s="63"/>
      <c r="L62" s="57"/>
      <c r="M62" s="57"/>
      <c r="N62" s="57"/>
    </row>
    <row r="63" spans="9:11" ht="12.75">
      <c r="I63" s="64">
        <f>I19-'[2]Калькуляция '!$I$19</f>
        <v>-3420.25</v>
      </c>
      <c r="J63" s="65">
        <f>I63*0.2*I48/1000</f>
        <v>-3.4202500000000002</v>
      </c>
      <c r="K63" s="66">
        <f>I63*I48/1000</f>
        <v>-17.10125</v>
      </c>
    </row>
    <row r="64" spans="9:14" ht="12.75">
      <c r="I64" s="64"/>
      <c r="J64" s="64">
        <f>I63*I48*0.8/1000</f>
        <v>-13.681</v>
      </c>
      <c r="K64" s="64"/>
      <c r="L64" s="52"/>
      <c r="M64" s="52"/>
      <c r="N64" s="52"/>
    </row>
    <row r="65" spans="1:11" ht="12.75">
      <c r="A65" s="58"/>
      <c r="B65" s="58" t="s">
        <v>81</v>
      </c>
      <c r="I65" s="66"/>
      <c r="J65" s="65"/>
      <c r="K65" s="66"/>
    </row>
    <row r="66" spans="1:14" ht="12.75">
      <c r="A66" s="58"/>
      <c r="B66" s="58" t="s">
        <v>61</v>
      </c>
      <c r="I66" s="67"/>
      <c r="J66" s="67"/>
      <c r="K66" s="67"/>
      <c r="L66" s="60"/>
      <c r="M66" s="59"/>
      <c r="N66" s="60"/>
    </row>
    <row r="67" spans="9:11" ht="12.75">
      <c r="I67" s="66"/>
      <c r="J67" s="65"/>
      <c r="K67" s="66"/>
    </row>
    <row r="68" spans="9:11" ht="12.75">
      <c r="I68" s="66"/>
      <c r="J68" s="68">
        <f>(J15+J33+J44+J24)/1000*J48</f>
        <v>14.421121921662875</v>
      </c>
      <c r="K68" s="66"/>
    </row>
    <row r="69" spans="9:11" ht="12.75">
      <c r="I69" s="66"/>
      <c r="J69" s="65">
        <f>(J15+J33+J44+J24)/1000*J48*0.8</f>
        <v>11.5368975373303</v>
      </c>
      <c r="K69" s="66"/>
    </row>
    <row r="70" spans="9:11" ht="12.75">
      <c r="I70" s="66"/>
      <c r="J70" s="65">
        <f>(J15+J33+J44+J24)/1000*J48*0.2</f>
        <v>2.884224384332575</v>
      </c>
      <c r="K70" s="66"/>
    </row>
    <row r="71" spans="9:11" ht="12.75">
      <c r="I71" s="66"/>
      <c r="J71" s="65"/>
      <c r="K71" s="66"/>
    </row>
  </sheetData>
  <sheetProtection/>
  <mergeCells count="13">
    <mergeCell ref="G5:H6"/>
    <mergeCell ref="K1:L1"/>
    <mergeCell ref="M1:N1"/>
    <mergeCell ref="A2:J3"/>
    <mergeCell ref="I5:N5"/>
    <mergeCell ref="A5:A6"/>
    <mergeCell ref="B5:B6"/>
    <mergeCell ref="I1:J1"/>
    <mergeCell ref="I6:J6"/>
    <mergeCell ref="K6:L6"/>
    <mergeCell ref="M6:N6"/>
    <mergeCell ref="C5:D6"/>
    <mergeCell ref="E5:F6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25">
      <selection activeCell="BU18" sqref="BU18:CI18"/>
    </sheetView>
  </sheetViews>
  <sheetFormatPr defaultColWidth="9.140625" defaultRowHeight="12.75"/>
  <cols>
    <col min="1" max="1" width="5.7109375" style="0" customWidth="1"/>
    <col min="2" max="2" width="43.00390625" style="0" customWidth="1"/>
    <col min="3" max="6" width="10.28125" style="8" customWidth="1"/>
    <col min="7" max="8" width="10.28125" style="104" customWidth="1"/>
    <col min="9" max="9" width="14.421875" style="8" customWidth="1"/>
    <col min="10" max="10" width="13.7109375" style="0" customWidth="1"/>
    <col min="11" max="11" width="10.28125" style="8" hidden="1" customWidth="1"/>
    <col min="12" max="12" width="10.28125" style="0" hidden="1" customWidth="1"/>
    <col min="13" max="13" width="10.28125" style="8" hidden="1" customWidth="1"/>
    <col min="14" max="14" width="9.8515625" style="0" hidden="1" customWidth="1"/>
  </cols>
  <sheetData>
    <row r="1" spans="7:14" ht="12.75">
      <c r="G1" s="101"/>
      <c r="H1" s="101"/>
      <c r="I1" s="309"/>
      <c r="J1" s="309"/>
      <c r="K1" s="309"/>
      <c r="L1" s="309"/>
      <c r="M1" s="309"/>
      <c r="N1" s="309"/>
    </row>
    <row r="2" spans="1:13" ht="12.75" customHeight="1">
      <c r="A2" s="304" t="s">
        <v>286</v>
      </c>
      <c r="B2" s="304"/>
      <c r="C2" s="304"/>
      <c r="D2" s="304"/>
      <c r="E2" s="304"/>
      <c r="F2" s="304"/>
      <c r="G2" s="304"/>
      <c r="H2" s="304"/>
      <c r="I2" s="304"/>
      <c r="J2" s="304"/>
      <c r="K2"/>
      <c r="M2"/>
    </row>
    <row r="3" spans="1:13" ht="40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/>
      <c r="M3"/>
    </row>
    <row r="4" spans="2:8" ht="40.5" customHeight="1">
      <c r="B4" s="9"/>
      <c r="C4" s="9"/>
      <c r="D4" s="9"/>
      <c r="E4" s="9"/>
      <c r="F4" s="9"/>
      <c r="G4" s="101"/>
      <c r="H4" s="101"/>
    </row>
    <row r="5" spans="1:14" ht="19.5" customHeight="1">
      <c r="A5" s="308" t="s">
        <v>1</v>
      </c>
      <c r="B5" s="308" t="s">
        <v>2</v>
      </c>
      <c r="C5" s="310" t="s">
        <v>232</v>
      </c>
      <c r="D5" s="311"/>
      <c r="E5" s="310" t="s">
        <v>283</v>
      </c>
      <c r="F5" s="311"/>
      <c r="G5" s="308" t="s">
        <v>284</v>
      </c>
      <c r="H5" s="308"/>
      <c r="I5" s="308" t="s">
        <v>285</v>
      </c>
      <c r="J5" s="308"/>
      <c r="K5" s="308"/>
      <c r="L5" s="308"/>
      <c r="M5" s="308"/>
      <c r="N5" s="308"/>
    </row>
    <row r="6" spans="1:14" s="11" customFormat="1" ht="48.75" customHeight="1">
      <c r="A6" s="308"/>
      <c r="B6" s="308"/>
      <c r="C6" s="312"/>
      <c r="D6" s="313"/>
      <c r="E6" s="312"/>
      <c r="F6" s="313"/>
      <c r="G6" s="308"/>
      <c r="H6" s="308"/>
      <c r="I6" s="308" t="s">
        <v>3</v>
      </c>
      <c r="J6" s="308"/>
      <c r="K6" s="308" t="s">
        <v>4</v>
      </c>
      <c r="L6" s="308"/>
      <c r="M6" s="308" t="s">
        <v>5</v>
      </c>
      <c r="N6" s="308"/>
    </row>
    <row r="7" spans="1:14" ht="73.5" customHeight="1">
      <c r="A7" s="5"/>
      <c r="B7" s="12"/>
      <c r="C7" s="13" t="s">
        <v>6</v>
      </c>
      <c r="D7" s="13" t="s">
        <v>7</v>
      </c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  <c r="K7" s="13" t="s">
        <v>6</v>
      </c>
      <c r="L7" s="13" t="s">
        <v>7</v>
      </c>
      <c r="M7" s="13" t="s">
        <v>6</v>
      </c>
      <c r="N7" s="13" t="s">
        <v>7</v>
      </c>
    </row>
    <row r="8" spans="1:14" s="18" customFormat="1" ht="27">
      <c r="A8" s="14"/>
      <c r="B8" s="15" t="s">
        <v>8</v>
      </c>
      <c r="C8" s="16"/>
      <c r="D8" s="16"/>
      <c r="E8" s="16"/>
      <c r="F8" s="16"/>
      <c r="G8" s="17">
        <f>G57</f>
        <v>219.45762598890414</v>
      </c>
      <c r="H8" s="17">
        <f>H57</f>
        <v>250.73721920283003</v>
      </c>
      <c r="I8" s="17">
        <f>I57</f>
        <v>258.88851958628567</v>
      </c>
      <c r="J8" s="17">
        <f>J57</f>
        <v>241.95188746381837</v>
      </c>
      <c r="K8" s="17"/>
      <c r="L8" s="17"/>
      <c r="M8" s="17"/>
      <c r="N8" s="17"/>
    </row>
    <row r="9" spans="1:14" ht="45.75" customHeight="1">
      <c r="A9" s="19">
        <v>1</v>
      </c>
      <c r="B9" s="20" t="s">
        <v>9</v>
      </c>
      <c r="C9" s="21"/>
      <c r="D9" s="21"/>
      <c r="E9" s="21"/>
      <c r="F9" s="21"/>
      <c r="G9" s="22">
        <f>G16*G48/1000</f>
        <v>58.55518617363922</v>
      </c>
      <c r="H9" s="22">
        <f>H16*H48/1000</f>
        <v>87.83277926045884</v>
      </c>
      <c r="I9" s="22">
        <f>I16*I48/1000</f>
        <v>77.8115802915493</v>
      </c>
      <c r="J9" s="22">
        <f>J16*J48/1000</f>
        <v>155.6231605830986</v>
      </c>
      <c r="K9" s="22"/>
      <c r="L9" s="22"/>
      <c r="M9" s="23" t="e">
        <f>I9/K9*1000</f>
        <v>#DIV/0!</v>
      </c>
      <c r="N9" s="23" t="e">
        <f>J9/L9*1000</f>
        <v>#DIV/0!</v>
      </c>
    </row>
    <row r="10" spans="1:14" ht="12.75">
      <c r="A10" s="24" t="s">
        <v>10</v>
      </c>
      <c r="B10" s="20" t="s">
        <v>11</v>
      </c>
      <c r="C10" s="21"/>
      <c r="D10" s="21"/>
      <c r="E10" s="21"/>
      <c r="F10" s="21"/>
      <c r="G10" s="102">
        <v>8.2</v>
      </c>
      <c r="H10" s="102">
        <v>8.2</v>
      </c>
      <c r="I10" s="25">
        <v>8.2</v>
      </c>
      <c r="J10" s="25">
        <v>8.2</v>
      </c>
      <c r="K10" s="25"/>
      <c r="L10" s="25"/>
      <c r="M10" s="25"/>
      <c r="N10" s="25"/>
    </row>
    <row r="11" spans="1:14" ht="12.75">
      <c r="A11" s="24" t="s">
        <v>12</v>
      </c>
      <c r="B11" s="12" t="s">
        <v>13</v>
      </c>
      <c r="C11" s="26">
        <f>ВЛ!C11</f>
        <v>827.6493585217877</v>
      </c>
      <c r="D11" s="26">
        <f>C11</f>
        <v>827.6493585217877</v>
      </c>
      <c r="E11" s="26">
        <f>ВЛ!E11</f>
        <v>880.453369220557</v>
      </c>
      <c r="F11" s="26">
        <f>E11</f>
        <v>880.453369220557</v>
      </c>
      <c r="G11" s="102">
        <f>C11*G10</f>
        <v>6786.7247398786585</v>
      </c>
      <c r="H11" s="102">
        <f>D11*H10</f>
        <v>6786.7247398786585</v>
      </c>
      <c r="I11" s="25">
        <f>E11*I10</f>
        <v>7219.7176276085665</v>
      </c>
      <c r="J11" s="25">
        <f>F11*J10</f>
        <v>7219.7176276085665</v>
      </c>
      <c r="K11" s="25"/>
      <c r="L11" s="25"/>
      <c r="M11" s="25"/>
      <c r="N11" s="25"/>
    </row>
    <row r="12" spans="1:14" ht="12.75">
      <c r="A12" s="24" t="s">
        <v>14</v>
      </c>
      <c r="B12" s="12" t="s">
        <v>15</v>
      </c>
      <c r="C12" s="27">
        <f>ВЛ!C12</f>
        <v>0.304</v>
      </c>
      <c r="D12" s="27">
        <f>C12</f>
        <v>0.304</v>
      </c>
      <c r="E12" s="61">
        <f>D12</f>
        <v>0.304</v>
      </c>
      <c r="F12" s="61">
        <f>E12</f>
        <v>0.304</v>
      </c>
      <c r="G12" s="102">
        <f>G11*C12</f>
        <v>2063.164320923112</v>
      </c>
      <c r="H12" s="102">
        <f>H11*D12</f>
        <v>2063.164320923112</v>
      </c>
      <c r="I12" s="25">
        <f>I11*E12</f>
        <v>2194.794158793004</v>
      </c>
      <c r="J12" s="25">
        <f>J11*F12</f>
        <v>2194.794158793004</v>
      </c>
      <c r="K12" s="25"/>
      <c r="L12" s="25"/>
      <c r="M12" s="25"/>
      <c r="N12" s="25"/>
    </row>
    <row r="13" spans="1:14" ht="12.75">
      <c r="A13" s="24" t="s">
        <v>16</v>
      </c>
      <c r="B13" s="12" t="s">
        <v>17</v>
      </c>
      <c r="C13" s="21"/>
      <c r="D13" s="21"/>
      <c r="E13" s="21"/>
      <c r="F13" s="21"/>
      <c r="G13" s="72">
        <v>100</v>
      </c>
      <c r="H13" s="72">
        <v>100</v>
      </c>
      <c r="I13" s="3">
        <v>100</v>
      </c>
      <c r="J13" s="3">
        <v>100</v>
      </c>
      <c r="K13" s="3"/>
      <c r="L13" s="3"/>
      <c r="M13" s="3"/>
      <c r="N13" s="3"/>
    </row>
    <row r="14" spans="1:14" ht="12.75">
      <c r="A14" s="24" t="s">
        <v>18</v>
      </c>
      <c r="B14" s="12" t="s">
        <v>19</v>
      </c>
      <c r="C14" s="27">
        <f>ВЛ!C14</f>
        <v>0.588</v>
      </c>
      <c r="D14" s="27">
        <f>C14</f>
        <v>0.588</v>
      </c>
      <c r="E14" s="27">
        <f>D14</f>
        <v>0.588</v>
      </c>
      <c r="F14" s="27">
        <f>D14</f>
        <v>0.588</v>
      </c>
      <c r="G14" s="102">
        <f>(G11+G12+G13)*C14</f>
        <v>5262.53476775144</v>
      </c>
      <c r="H14" s="102">
        <f>(H11+H12+H13)*D14</f>
        <v>5262.53476775144</v>
      </c>
      <c r="I14" s="25">
        <f>(I11+I12+I13)*E14</f>
        <v>5594.532930404123</v>
      </c>
      <c r="J14" s="25">
        <f>(J11+J12+J13)*F14</f>
        <v>5594.532930404123</v>
      </c>
      <c r="K14" s="3"/>
      <c r="L14" s="3"/>
      <c r="M14" s="3"/>
      <c r="N14" s="3"/>
    </row>
    <row r="15" spans="1:14" ht="12.75">
      <c r="A15" s="24" t="s">
        <v>20</v>
      </c>
      <c r="B15" s="12" t="s">
        <v>21</v>
      </c>
      <c r="C15" s="28">
        <v>0.03</v>
      </c>
      <c r="D15" s="28">
        <v>0.03</v>
      </c>
      <c r="E15" s="28">
        <v>0.03</v>
      </c>
      <c r="F15" s="28">
        <v>0.03</v>
      </c>
      <c r="G15" s="102">
        <f>(G11+G12+G13+G14)*C15</f>
        <v>426.3727148565963</v>
      </c>
      <c r="H15" s="102">
        <f>(H11+H12+H13+H14)*D15</f>
        <v>426.3727148565963</v>
      </c>
      <c r="I15" s="25">
        <f>(I11+I12+I13+I14)*E15</f>
        <v>453.2713415041708</v>
      </c>
      <c r="J15" s="25">
        <f>(J11+J12+J13+J14)*F15</f>
        <v>453.2713415041708</v>
      </c>
      <c r="K15" s="25"/>
      <c r="L15" s="25"/>
      <c r="M15" s="25"/>
      <c r="N15" s="25"/>
    </row>
    <row r="16" spans="1:14" ht="12.75">
      <c r="A16" s="24"/>
      <c r="B16" s="20" t="s">
        <v>22</v>
      </c>
      <c r="C16" s="21"/>
      <c r="D16" s="21"/>
      <c r="E16" s="21"/>
      <c r="F16" s="21"/>
      <c r="G16" s="23">
        <f>SUM(G11:G15)</f>
        <v>14638.796543409806</v>
      </c>
      <c r="H16" s="23">
        <f>SUM(H11:H15)</f>
        <v>14638.796543409806</v>
      </c>
      <c r="I16" s="23">
        <f>SUM(I11:I15)</f>
        <v>15562.316058309863</v>
      </c>
      <c r="J16" s="23">
        <f>SUM(J11:J15)</f>
        <v>15562.316058309863</v>
      </c>
      <c r="K16" s="23"/>
      <c r="L16" s="23"/>
      <c r="M16" s="23"/>
      <c r="N16" s="23"/>
    </row>
    <row r="17" spans="1:14" ht="12.75">
      <c r="A17" s="24"/>
      <c r="B17" s="12" t="s">
        <v>23</v>
      </c>
      <c r="C17" s="21"/>
      <c r="D17" s="21"/>
      <c r="E17" s="21"/>
      <c r="F17" s="21"/>
      <c r="G17" s="102">
        <f>G16*G48/G50</f>
        <v>87.65746433179524</v>
      </c>
      <c r="H17" s="102">
        <f>H16*H48/H50</f>
        <v>100.15140166528943</v>
      </c>
      <c r="I17" s="25">
        <f>I16*I48/I50</f>
        <v>103.74877372206575</v>
      </c>
      <c r="J17" s="25">
        <f>J16*J48/J50</f>
        <v>96.96147076828575</v>
      </c>
      <c r="K17" s="25"/>
      <c r="L17" s="25"/>
      <c r="M17" s="25"/>
      <c r="N17" s="25"/>
    </row>
    <row r="18" spans="1:14" ht="26.25">
      <c r="A18" s="19">
        <v>2</v>
      </c>
      <c r="B18" s="20" t="s">
        <v>24</v>
      </c>
      <c r="C18" s="21"/>
      <c r="D18" s="21"/>
      <c r="E18" s="21"/>
      <c r="F18" s="21"/>
      <c r="G18" s="29">
        <f>G20*0.001</f>
        <v>0</v>
      </c>
      <c r="H18" s="29">
        <f>H20*0.001</f>
        <v>0</v>
      </c>
      <c r="I18" s="29">
        <f>I19*0.001</f>
        <v>0</v>
      </c>
      <c r="J18" s="29">
        <f>J19*0.001</f>
        <v>0</v>
      </c>
      <c r="K18" s="29"/>
      <c r="L18" s="29"/>
      <c r="M18" s="23" t="e">
        <f>I18/K18*1000</f>
        <v>#DIV/0!</v>
      </c>
      <c r="N18" s="23" t="e">
        <f>J18/L18*1000</f>
        <v>#DIV/0!</v>
      </c>
    </row>
    <row r="19" spans="1:14" ht="78.75">
      <c r="A19" s="19">
        <v>3</v>
      </c>
      <c r="B19" s="20" t="s">
        <v>25</v>
      </c>
      <c r="C19" s="21"/>
      <c r="D19" s="21"/>
      <c r="E19" s="21"/>
      <c r="F19" s="21"/>
      <c r="G19" s="23">
        <f>(G20+G21+G22+G23)+G25+G24</f>
        <v>0</v>
      </c>
      <c r="H19" s="23">
        <f>(H20+H21+H22+H23)+H25+H24</f>
        <v>0</v>
      </c>
      <c r="I19" s="23">
        <f>(I20+I21+I22+I23)+I25+I24</f>
        <v>0</v>
      </c>
      <c r="J19" s="23">
        <f>(J20+J21+J22+J23)+J25+J24</f>
        <v>0</v>
      </c>
      <c r="K19" s="23"/>
      <c r="L19" s="23"/>
      <c r="M19" s="23" t="e">
        <f>(M20+M21+M22+M23)+M25+M24</f>
        <v>#DIV/0!</v>
      </c>
      <c r="N19" s="23" t="e">
        <f>(N20+N21+N22+N23)+N25+N24</f>
        <v>#DIV/0!</v>
      </c>
    </row>
    <row r="20" spans="1:14" ht="26.25">
      <c r="A20" s="19" t="s">
        <v>26</v>
      </c>
      <c r="B20" s="20" t="s">
        <v>27</v>
      </c>
      <c r="C20" s="21"/>
      <c r="D20" s="21"/>
      <c r="E20" s="21"/>
      <c r="F20" s="21"/>
      <c r="G20" s="30">
        <f>'[1]Приложен.3'!B9</f>
        <v>0</v>
      </c>
      <c r="H20" s="30">
        <f>'[1]Приложен.3'!C9</f>
        <v>0</v>
      </c>
      <c r="I20" s="30"/>
      <c r="J20" s="30"/>
      <c r="K20" s="23"/>
      <c r="L20" s="23"/>
      <c r="M20" s="23" t="e">
        <f aca="true" t="shared" si="0" ref="M20:N26">I20/K20*1000</f>
        <v>#DIV/0!</v>
      </c>
      <c r="N20" s="23" t="e">
        <f t="shared" si="0"/>
        <v>#DIV/0!</v>
      </c>
    </row>
    <row r="21" spans="1:14" ht="12.75">
      <c r="A21" s="19" t="s">
        <v>28</v>
      </c>
      <c r="B21" s="20" t="s">
        <v>29</v>
      </c>
      <c r="C21" s="21"/>
      <c r="D21" s="21"/>
      <c r="E21" s="21"/>
      <c r="F21" s="21"/>
      <c r="G21" s="30">
        <f>'[1]Приложен.3'!B10</f>
        <v>0</v>
      </c>
      <c r="H21" s="30">
        <f>'[1]Приложен.3'!C10</f>
        <v>0</v>
      </c>
      <c r="I21" s="30">
        <v>0</v>
      </c>
      <c r="J21" s="30">
        <v>0</v>
      </c>
      <c r="K21" s="23"/>
      <c r="L21" s="23"/>
      <c r="M21" s="23" t="e">
        <f t="shared" si="0"/>
        <v>#DIV/0!</v>
      </c>
      <c r="N21" s="23" t="e">
        <f t="shared" si="0"/>
        <v>#DIV/0!</v>
      </c>
    </row>
    <row r="22" spans="1:14" ht="66">
      <c r="A22" s="19" t="s">
        <v>30</v>
      </c>
      <c r="B22" s="20" t="s">
        <v>31</v>
      </c>
      <c r="C22" s="21"/>
      <c r="D22" s="21"/>
      <c r="E22" s="21"/>
      <c r="F22" s="21"/>
      <c r="G22" s="30">
        <f>'[1]Приложен.3'!B11</f>
        <v>0</v>
      </c>
      <c r="H22" s="30">
        <f>'[1]Приложен.3'!C11</f>
        <v>0</v>
      </c>
      <c r="I22" s="30"/>
      <c r="J22" s="30">
        <v>0</v>
      </c>
      <c r="K22" s="23"/>
      <c r="L22" s="23"/>
      <c r="M22" s="23" t="e">
        <f t="shared" si="0"/>
        <v>#DIV/0!</v>
      </c>
      <c r="N22" s="23" t="e">
        <f t="shared" si="0"/>
        <v>#DIV/0!</v>
      </c>
    </row>
    <row r="23" spans="1:14" ht="39">
      <c r="A23" s="19" t="s">
        <v>32</v>
      </c>
      <c r="B23" s="20" t="s">
        <v>33</v>
      </c>
      <c r="C23" s="21"/>
      <c r="D23" s="21"/>
      <c r="E23" s="21"/>
      <c r="F23" s="21"/>
      <c r="G23" s="30">
        <f>'[1]Приложен.3'!B12</f>
        <v>0</v>
      </c>
      <c r="H23" s="30">
        <f>'[1]Приложен.3'!C12</f>
        <v>0</v>
      </c>
      <c r="I23" s="30">
        <v>0</v>
      </c>
      <c r="J23" s="30">
        <v>0</v>
      </c>
      <c r="K23" s="23"/>
      <c r="L23" s="23"/>
      <c r="M23" s="23" t="e">
        <f t="shared" si="0"/>
        <v>#DIV/0!</v>
      </c>
      <c r="N23" s="23" t="e">
        <f t="shared" si="0"/>
        <v>#DIV/0!</v>
      </c>
    </row>
    <row r="24" spans="1:14" s="36" customFormat="1" ht="12.75">
      <c r="A24" s="32"/>
      <c r="B24" s="33" t="s">
        <v>21</v>
      </c>
      <c r="C24" s="34">
        <v>0.03</v>
      </c>
      <c r="D24" s="34">
        <v>0.03</v>
      </c>
      <c r="E24" s="34">
        <v>0.03</v>
      </c>
      <c r="F24" s="34">
        <v>0.03</v>
      </c>
      <c r="G24" s="35">
        <f>(G20+G21+G22+G23)*C24</f>
        <v>0</v>
      </c>
      <c r="H24" s="35">
        <f>(H20+H21+H22+H23)*D24</f>
        <v>0</v>
      </c>
      <c r="I24" s="35">
        <f>(I20+I21+I22+I23)*0.03</f>
        <v>0</v>
      </c>
      <c r="J24" s="35">
        <f>(J20+J21+J22+J23)*F24</f>
        <v>0</v>
      </c>
      <c r="K24" s="35"/>
      <c r="L24" s="35"/>
      <c r="M24" s="35" t="e">
        <f>I24/K24*1000</f>
        <v>#DIV/0!</v>
      </c>
      <c r="N24" s="35" t="e">
        <f>J24/L24*1000</f>
        <v>#DIV/0!</v>
      </c>
    </row>
    <row r="25" spans="1:14" s="1" customFormat="1" ht="12.75">
      <c r="A25" s="19"/>
      <c r="B25" s="20" t="s">
        <v>35</v>
      </c>
      <c r="C25" s="10"/>
      <c r="D25" s="10"/>
      <c r="E25" s="10"/>
      <c r="F25" s="10"/>
      <c r="G25" s="23">
        <f>(G20+G21+G22+G23)/0.8*0.2</f>
        <v>0</v>
      </c>
      <c r="H25" s="23">
        <f>(H20+H21+H22+H23)/0.8*0.2</f>
        <v>0</v>
      </c>
      <c r="I25" s="23">
        <f>(I20+I21+I22+I23+I24)/0.8*0.2</f>
        <v>0</v>
      </c>
      <c r="J25" s="23">
        <f>(J20+J21+J22+J23+J24)/0.8*0.2</f>
        <v>0</v>
      </c>
      <c r="K25" s="23"/>
      <c r="L25" s="23"/>
      <c r="M25" s="23" t="e">
        <f t="shared" si="0"/>
        <v>#DIV/0!</v>
      </c>
      <c r="N25" s="23" t="e">
        <f t="shared" si="0"/>
        <v>#DIV/0!</v>
      </c>
    </row>
    <row r="26" spans="1:14" ht="26.25">
      <c r="A26" s="19">
        <v>4</v>
      </c>
      <c r="B26" s="20" t="s">
        <v>36</v>
      </c>
      <c r="C26" s="21"/>
      <c r="D26" s="21"/>
      <c r="E26" s="21"/>
      <c r="F26" s="21"/>
      <c r="G26" s="37">
        <f>G34*G48/1000</f>
        <v>27.77181408359829</v>
      </c>
      <c r="H26" s="37">
        <f>H34*H48/1000</f>
        <v>41.65772112539743</v>
      </c>
      <c r="I26" s="37">
        <f>I34*I48/1000</f>
        <v>37.3362585237116</v>
      </c>
      <c r="J26" s="37">
        <f>J34*J48/1000</f>
        <v>74.6725170474232</v>
      </c>
      <c r="K26" s="37">
        <f>I50</f>
        <v>750</v>
      </c>
      <c r="L26" s="37">
        <f>J50</f>
        <v>1605</v>
      </c>
      <c r="M26" s="23">
        <f t="shared" si="0"/>
        <v>49.78167803161546</v>
      </c>
      <c r="N26" s="23">
        <f t="shared" si="0"/>
        <v>46.524932739827534</v>
      </c>
    </row>
    <row r="27" spans="1:14" ht="12.75">
      <c r="A27" s="24" t="s">
        <v>37</v>
      </c>
      <c r="B27" s="20" t="s">
        <v>11</v>
      </c>
      <c r="C27" s="21"/>
      <c r="D27" s="21"/>
      <c r="E27" s="21"/>
      <c r="F27" s="21"/>
      <c r="G27" s="102">
        <v>3.7</v>
      </c>
      <c r="H27" s="102">
        <v>3.7</v>
      </c>
      <c r="I27" s="25">
        <v>3.7</v>
      </c>
      <c r="J27" s="25">
        <v>3.7</v>
      </c>
      <c r="K27" s="25"/>
      <c r="L27" s="25"/>
      <c r="M27" s="25"/>
      <c r="N27" s="25"/>
    </row>
    <row r="28" spans="1:14" ht="12.75">
      <c r="A28" s="24" t="s">
        <v>38</v>
      </c>
      <c r="B28" s="12" t="s">
        <v>13</v>
      </c>
      <c r="C28" s="26">
        <f>ВЛ!C28</f>
        <v>555.6858693466556</v>
      </c>
      <c r="D28" s="26">
        <f>C28</f>
        <v>555.6858693466556</v>
      </c>
      <c r="E28" s="26">
        <f>ВЛ!E28</f>
        <v>590.2672402498705</v>
      </c>
      <c r="F28" s="26">
        <f>E28</f>
        <v>590.2672402498705</v>
      </c>
      <c r="G28" s="102">
        <f>C28*G27</f>
        <v>2056.0377165826258</v>
      </c>
      <c r="H28" s="102">
        <f>D28*H27</f>
        <v>2056.0377165826258</v>
      </c>
      <c r="I28" s="25">
        <f>E28*I27</f>
        <v>2183.988788924521</v>
      </c>
      <c r="J28" s="25">
        <f>F28*J27</f>
        <v>2183.988788924521</v>
      </c>
      <c r="K28" s="25"/>
      <c r="L28" s="25"/>
      <c r="M28" s="25"/>
      <c r="N28" s="25"/>
    </row>
    <row r="29" spans="1:14" ht="12.75">
      <c r="A29" s="24" t="s">
        <v>39</v>
      </c>
      <c r="B29" s="12" t="s">
        <v>15</v>
      </c>
      <c r="C29" s="27">
        <f>C12</f>
        <v>0.304</v>
      </c>
      <c r="D29" s="27">
        <f>D12</f>
        <v>0.304</v>
      </c>
      <c r="E29" s="61">
        <f>C29</f>
        <v>0.304</v>
      </c>
      <c r="F29" s="61">
        <f>C29</f>
        <v>0.304</v>
      </c>
      <c r="G29" s="102">
        <f>G28*C29</f>
        <v>625.0354658411183</v>
      </c>
      <c r="H29" s="102">
        <f>H28*D29</f>
        <v>625.0354658411183</v>
      </c>
      <c r="I29" s="25">
        <f>I28*E29</f>
        <v>663.9325918330544</v>
      </c>
      <c r="J29" s="25">
        <f>J28*F29</f>
        <v>663.9325918330544</v>
      </c>
      <c r="K29" s="25"/>
      <c r="L29" s="25"/>
      <c r="M29" s="25"/>
      <c r="N29" s="25"/>
    </row>
    <row r="30" spans="1:14" ht="12.75">
      <c r="A30" s="24" t="s">
        <v>40</v>
      </c>
      <c r="B30" s="12" t="s">
        <v>17</v>
      </c>
      <c r="C30" s="21"/>
      <c r="D30" s="21"/>
      <c r="E30" s="21"/>
      <c r="F30" s="21"/>
      <c r="G30" s="72">
        <v>100</v>
      </c>
      <c r="H30" s="72">
        <v>100</v>
      </c>
      <c r="I30" s="3">
        <v>100</v>
      </c>
      <c r="J30" s="3">
        <v>100</v>
      </c>
      <c r="K30" s="3"/>
      <c r="L30" s="3"/>
      <c r="M30" s="3"/>
      <c r="N30" s="3"/>
    </row>
    <row r="31" spans="1:14" ht="12.75">
      <c r="A31" s="24" t="s">
        <v>41</v>
      </c>
      <c r="B31" s="12" t="s">
        <v>42</v>
      </c>
      <c r="C31" s="21">
        <f>ВЛ!C31</f>
        <v>395.6</v>
      </c>
      <c r="D31" s="21">
        <f>C31</f>
        <v>395.6</v>
      </c>
      <c r="E31" s="134">
        <f>ВЛ!E31</f>
        <v>437.14</v>
      </c>
      <c r="F31" s="134">
        <f>E31</f>
        <v>437.14</v>
      </c>
      <c r="G31" s="102">
        <f>C31*G27</f>
        <v>1463.7200000000003</v>
      </c>
      <c r="H31" s="102">
        <f>D31*H27</f>
        <v>1463.7200000000003</v>
      </c>
      <c r="I31" s="25">
        <f>E31*I27</f>
        <v>1617.4180000000001</v>
      </c>
      <c r="J31" s="25">
        <f>F31*J27</f>
        <v>1617.4180000000001</v>
      </c>
      <c r="K31" s="3"/>
      <c r="L31" s="3"/>
      <c r="M31" s="3"/>
      <c r="N31" s="3"/>
    </row>
    <row r="32" spans="1:14" ht="12.75">
      <c r="A32" s="24" t="s">
        <v>43</v>
      </c>
      <c r="B32" s="12" t="s">
        <v>19</v>
      </c>
      <c r="C32" s="27">
        <f>C14</f>
        <v>0.588</v>
      </c>
      <c r="D32" s="27">
        <f>C32</f>
        <v>0.588</v>
      </c>
      <c r="E32" s="27">
        <f>C32</f>
        <v>0.588</v>
      </c>
      <c r="F32" s="27">
        <f>C32</f>
        <v>0.588</v>
      </c>
      <c r="G32" s="102">
        <f>(G28+G29+G30+G31)*C32</f>
        <v>2495.9383912651615</v>
      </c>
      <c r="H32" s="102">
        <f>(H28+H29+H30+H31)*D32</f>
        <v>2495.9383912651615</v>
      </c>
      <c r="I32" s="25">
        <f>(I28+I29+I30+I31)*E32</f>
        <v>2684.4195558854544</v>
      </c>
      <c r="J32" s="25">
        <f>(J28+J29+J30+J31)*F32</f>
        <v>2684.4195558854544</v>
      </c>
      <c r="K32" s="25"/>
      <c r="L32" s="25"/>
      <c r="M32" s="25"/>
      <c r="N32" s="25"/>
    </row>
    <row r="33" spans="1:14" ht="12.75">
      <c r="A33" s="24" t="s">
        <v>44</v>
      </c>
      <c r="B33" s="12" t="s">
        <v>21</v>
      </c>
      <c r="C33" s="28">
        <v>0.03</v>
      </c>
      <c r="D33" s="28">
        <v>0.03</v>
      </c>
      <c r="E33" s="28">
        <v>0.03</v>
      </c>
      <c r="F33" s="28">
        <v>0.03</v>
      </c>
      <c r="G33" s="102">
        <f>(G28+G29+G30+G31+G32)*C33</f>
        <v>202.22194721066714</v>
      </c>
      <c r="H33" s="102">
        <f>(H28+H29+H30+H31+H32)*D33</f>
        <v>202.22194721066714</v>
      </c>
      <c r="I33" s="25">
        <f>(I28+I29+I30+I31+I32)*E33</f>
        <v>217.49276809929088</v>
      </c>
      <c r="J33" s="25">
        <f>(J28+J29+J30+J31+J32)*F33</f>
        <v>217.49276809929088</v>
      </c>
      <c r="K33" s="25"/>
      <c r="L33" s="25"/>
      <c r="M33" s="25"/>
      <c r="N33" s="25"/>
    </row>
    <row r="34" spans="1:14" ht="12.75">
      <c r="A34" s="24"/>
      <c r="B34" s="20" t="s">
        <v>22</v>
      </c>
      <c r="C34" s="21"/>
      <c r="D34" s="21"/>
      <c r="E34" s="21"/>
      <c r="F34" s="21"/>
      <c r="G34" s="38">
        <f>SUM(G28:G33)</f>
        <v>6942.953520899572</v>
      </c>
      <c r="H34" s="38">
        <f>SUM(H28:H33)</f>
        <v>6942.953520899572</v>
      </c>
      <c r="I34" s="38">
        <f>SUM(I28:I33)</f>
        <v>7467.251704742321</v>
      </c>
      <c r="J34" s="38">
        <f>SUM(J28:J33)</f>
        <v>7467.251704742321</v>
      </c>
      <c r="K34" s="23"/>
      <c r="L34" s="23"/>
      <c r="M34" s="23"/>
      <c r="N34" s="23"/>
    </row>
    <row r="35" spans="1:14" ht="12.75">
      <c r="A35" s="24"/>
      <c r="B35" s="12" t="s">
        <v>23</v>
      </c>
      <c r="C35" s="21"/>
      <c r="D35" s="21"/>
      <c r="E35" s="21"/>
      <c r="F35" s="21"/>
      <c r="G35" s="102">
        <f>G34*G48/G50</f>
        <v>41.574571981434566</v>
      </c>
      <c r="H35" s="102">
        <f>H34*H48/H50</f>
        <v>47.50025213842353</v>
      </c>
      <c r="I35" s="25">
        <f>I34*I48/I50</f>
        <v>49.78167803161546</v>
      </c>
      <c r="J35" s="25">
        <f>J34*J48/J50</f>
        <v>46.52493273982754</v>
      </c>
      <c r="K35" s="25"/>
      <c r="L35" s="25"/>
      <c r="M35" s="25"/>
      <c r="N35" s="25"/>
    </row>
    <row r="36" spans="1:14" s="1" customFormat="1" ht="39">
      <c r="A36" s="19">
        <v>5</v>
      </c>
      <c r="B36" s="20" t="s">
        <v>45</v>
      </c>
      <c r="C36" s="10"/>
      <c r="D36" s="10"/>
      <c r="E36" s="10"/>
      <c r="F36" s="10"/>
      <c r="G36" s="29">
        <f>G34*10%*G48/1000</f>
        <v>2.777181408359829</v>
      </c>
      <c r="H36" s="29">
        <f>H34*10%*H48/1000</f>
        <v>4.165772112539744</v>
      </c>
      <c r="I36" s="29">
        <f>I34*10%*I48/1000</f>
        <v>3.7336258523711603</v>
      </c>
      <c r="J36" s="29">
        <f>J34*10%*J48/1000</f>
        <v>7.467251704742321</v>
      </c>
      <c r="K36" s="29">
        <v>1650</v>
      </c>
      <c r="L36" s="29">
        <v>430</v>
      </c>
      <c r="M36" s="23">
        <f>I36/K36*1000</f>
        <v>2.2628035468916123</v>
      </c>
      <c r="N36" s="23">
        <f>J36/L36*1000</f>
        <v>17.36570163893563</v>
      </c>
    </row>
    <row r="37" spans="1:14" ht="39">
      <c r="A37" s="19">
        <v>6</v>
      </c>
      <c r="B37" s="20" t="s">
        <v>46</v>
      </c>
      <c r="C37" s="21"/>
      <c r="D37" s="21"/>
      <c r="E37" s="21"/>
      <c r="F37" s="21"/>
      <c r="G37" s="22">
        <f>G45*G48/1000</f>
        <v>57.49351249499062</v>
      </c>
      <c r="H37" s="22">
        <f>H45*H48/1000</f>
        <v>86.24026874248594</v>
      </c>
      <c r="I37" s="22">
        <f>I45*I48/1000</f>
        <v>75.28492502208219</v>
      </c>
      <c r="J37" s="22">
        <f>J45*J48/1000</f>
        <v>150.56985004416438</v>
      </c>
      <c r="K37" s="22">
        <f>I50</f>
        <v>750</v>
      </c>
      <c r="L37" s="22">
        <f>J50</f>
        <v>1605</v>
      </c>
      <c r="M37" s="23">
        <f>I37/K37*1000</f>
        <v>100.37990002944292</v>
      </c>
      <c r="N37" s="23">
        <f>J37/L37*1000</f>
        <v>93.81299068172235</v>
      </c>
    </row>
    <row r="38" spans="1:14" ht="12.75">
      <c r="A38" s="24" t="s">
        <v>47</v>
      </c>
      <c r="B38" s="20" t="s">
        <v>11</v>
      </c>
      <c r="C38" s="21"/>
      <c r="D38" s="21"/>
      <c r="E38" s="21"/>
      <c r="F38" s="21"/>
      <c r="G38" s="102">
        <v>3.9</v>
      </c>
      <c r="H38" s="102">
        <v>3.9</v>
      </c>
      <c r="I38" s="25">
        <v>3.9</v>
      </c>
      <c r="J38" s="25">
        <v>3.9</v>
      </c>
      <c r="K38" s="25"/>
      <c r="L38" s="25"/>
      <c r="M38" s="25"/>
      <c r="N38" s="25"/>
    </row>
    <row r="39" spans="1:14" ht="12.75">
      <c r="A39" s="24" t="s">
        <v>48</v>
      </c>
      <c r="B39" s="12" t="s">
        <v>13</v>
      </c>
      <c r="C39" s="26">
        <f>ВЛ!C39</f>
        <v>352.67188831405963</v>
      </c>
      <c r="D39" s="26">
        <f>C39</f>
        <v>352.67188831405963</v>
      </c>
      <c r="E39" s="26">
        <f>ВЛ!E39</f>
        <v>374.63912616047963</v>
      </c>
      <c r="F39" s="26">
        <f>E39</f>
        <v>374.63912616047963</v>
      </c>
      <c r="G39" s="102">
        <f>C39*G38</f>
        <v>1375.4203644248325</v>
      </c>
      <c r="H39" s="102">
        <f>D39*H38</f>
        <v>1375.4203644248325</v>
      </c>
      <c r="I39" s="25">
        <f>E39*I38</f>
        <v>1461.0925920258705</v>
      </c>
      <c r="J39" s="25">
        <f>F39*J38</f>
        <v>1461.0925920258705</v>
      </c>
      <c r="K39" s="25"/>
      <c r="L39" s="25"/>
      <c r="M39" s="25"/>
      <c r="N39" s="25"/>
    </row>
    <row r="40" spans="1:14" ht="12.75">
      <c r="A40" s="24" t="s">
        <v>49</v>
      </c>
      <c r="B40" s="12" t="s">
        <v>15</v>
      </c>
      <c r="C40" s="27">
        <f>C29</f>
        <v>0.304</v>
      </c>
      <c r="D40" s="27">
        <f>C40</f>
        <v>0.304</v>
      </c>
      <c r="E40" s="61">
        <f>C40</f>
        <v>0.304</v>
      </c>
      <c r="F40" s="61">
        <f>C40</f>
        <v>0.304</v>
      </c>
      <c r="G40" s="102">
        <f>G39*C40</f>
        <v>418.1277907851491</v>
      </c>
      <c r="H40" s="102">
        <f>H39*D40</f>
        <v>418.1277907851491</v>
      </c>
      <c r="I40" s="25">
        <f>I39*E40</f>
        <v>444.1721479758646</v>
      </c>
      <c r="J40" s="25">
        <f>J39*F40</f>
        <v>444.1721479758646</v>
      </c>
      <c r="K40" s="25"/>
      <c r="L40" s="25"/>
      <c r="M40" s="25"/>
      <c r="N40" s="25"/>
    </row>
    <row r="41" spans="1:14" ht="12.75">
      <c r="A41" s="24" t="s">
        <v>50</v>
      </c>
      <c r="B41" s="12" t="s">
        <v>17</v>
      </c>
      <c r="C41" s="21"/>
      <c r="D41" s="21"/>
      <c r="E41" s="21"/>
      <c r="F41" s="21"/>
      <c r="G41" s="72">
        <v>100</v>
      </c>
      <c r="H41" s="72">
        <v>100</v>
      </c>
      <c r="I41" s="3">
        <v>100</v>
      </c>
      <c r="J41" s="3">
        <v>100</v>
      </c>
      <c r="K41" s="3"/>
      <c r="L41" s="3"/>
      <c r="M41" s="3"/>
      <c r="N41" s="3"/>
    </row>
    <row r="42" spans="1:14" ht="12.75">
      <c r="A42" s="24" t="s">
        <v>51</v>
      </c>
      <c r="B42" s="12" t="s">
        <v>42</v>
      </c>
      <c r="C42" s="21">
        <f>ВЛ!C42</f>
        <v>1767.71</v>
      </c>
      <c r="D42" s="21">
        <f>C42</f>
        <v>1767.71</v>
      </c>
      <c r="E42" s="21">
        <f>ВЛ!E42</f>
        <v>1846.23</v>
      </c>
      <c r="F42" s="21">
        <f>E42</f>
        <v>1846.23</v>
      </c>
      <c r="G42" s="102">
        <f>C42*G38</f>
        <v>6894.069</v>
      </c>
      <c r="H42" s="102">
        <f>D42*H38</f>
        <v>6894.069</v>
      </c>
      <c r="I42" s="25">
        <f>E42*I38</f>
        <v>7200.297</v>
      </c>
      <c r="J42" s="25">
        <f>F42*J38</f>
        <v>7200.297</v>
      </c>
      <c r="K42" s="3"/>
      <c r="L42" s="3"/>
      <c r="M42" s="3"/>
      <c r="N42" s="3"/>
    </row>
    <row r="43" spans="1:14" ht="12.75">
      <c r="A43" s="24" t="s">
        <v>52</v>
      </c>
      <c r="B43" s="12" t="s">
        <v>19</v>
      </c>
      <c r="C43" s="27">
        <f>C32</f>
        <v>0.588</v>
      </c>
      <c r="D43" s="27">
        <f>D32</f>
        <v>0.588</v>
      </c>
      <c r="E43" s="27">
        <f>E32</f>
        <v>0.588</v>
      </c>
      <c r="F43" s="27">
        <f>F32</f>
        <v>0.588</v>
      </c>
      <c r="G43" s="102">
        <f>(G39+G40+G41+G42)*C43</f>
        <v>5167.118887263469</v>
      </c>
      <c r="H43" s="102">
        <f>(H39+H40+H41+H42)*D43</f>
        <v>5167.118887263469</v>
      </c>
      <c r="I43" s="25">
        <f>(I39+I40+I41+I42)*E43</f>
        <v>5412.87030312102</v>
      </c>
      <c r="J43" s="25">
        <f>(J39+J40+J41+J42)*F43</f>
        <v>5412.87030312102</v>
      </c>
      <c r="K43" s="25"/>
      <c r="L43" s="25"/>
      <c r="M43" s="25"/>
      <c r="N43" s="25"/>
    </row>
    <row r="44" spans="1:14" ht="12.75">
      <c r="A44" s="24" t="s">
        <v>53</v>
      </c>
      <c r="B44" s="12" t="s">
        <v>21</v>
      </c>
      <c r="C44" s="28">
        <v>0.03</v>
      </c>
      <c r="D44" s="28">
        <v>0.03</v>
      </c>
      <c r="E44" s="28">
        <v>0.03</v>
      </c>
      <c r="F44" s="28">
        <v>0.03</v>
      </c>
      <c r="G44" s="102">
        <f>(G39+G40+G41+G42+G43)*C44</f>
        <v>418.6420812742035</v>
      </c>
      <c r="H44" s="102">
        <f>(H39+H40+H41+H42+H43)*D44</f>
        <v>418.6420812742035</v>
      </c>
      <c r="I44" s="25">
        <f>(I39+I40+I41+I42+I43)*E44</f>
        <v>438.5529612936826</v>
      </c>
      <c r="J44" s="25">
        <f>(J39+J40+J41+J42+J43)*F44</f>
        <v>438.5529612936826</v>
      </c>
      <c r="K44" s="25"/>
      <c r="L44" s="25"/>
      <c r="M44" s="25"/>
      <c r="N44" s="25"/>
    </row>
    <row r="45" spans="1:14" ht="12.75">
      <c r="A45" s="24"/>
      <c r="B45" s="20" t="s">
        <v>22</v>
      </c>
      <c r="C45" s="21"/>
      <c r="D45" s="21"/>
      <c r="E45" s="21"/>
      <c r="F45" s="21"/>
      <c r="G45" s="38">
        <f>SUM(G39:G44)</f>
        <v>14373.378123747654</v>
      </c>
      <c r="H45" s="38">
        <f>SUM(H39:H44)</f>
        <v>14373.378123747654</v>
      </c>
      <c r="I45" s="38">
        <f>SUM(I39:I44)</f>
        <v>15056.985004416436</v>
      </c>
      <c r="J45" s="38">
        <f>SUM(J39:J44)</f>
        <v>15056.985004416436</v>
      </c>
      <c r="K45" s="23"/>
      <c r="L45" s="23"/>
      <c r="M45" s="23"/>
      <c r="N45" s="23"/>
    </row>
    <row r="46" spans="1:14" ht="12.75">
      <c r="A46" s="24"/>
      <c r="B46" s="12" t="s">
        <v>23</v>
      </c>
      <c r="C46" s="21"/>
      <c r="D46" s="21"/>
      <c r="E46" s="21"/>
      <c r="F46" s="21"/>
      <c r="G46" s="102">
        <f>G45*G48/G50</f>
        <v>86.06813247753087</v>
      </c>
      <c r="H46" s="102">
        <f>H45*H48/H50</f>
        <v>98.33554018527472</v>
      </c>
      <c r="I46" s="25">
        <f>I45*I48/I50</f>
        <v>100.37990002944291</v>
      </c>
      <c r="J46" s="25">
        <f>J45*J48/J50</f>
        <v>93.81299068172235</v>
      </c>
      <c r="K46" s="25"/>
      <c r="L46" s="25"/>
      <c r="M46" s="25"/>
      <c r="N46" s="25"/>
    </row>
    <row r="47" spans="1:14" ht="12.75">
      <c r="A47" s="24"/>
      <c r="B47" s="20"/>
      <c r="C47" s="21"/>
      <c r="D47" s="21"/>
      <c r="E47" s="21"/>
      <c r="F47" s="21"/>
      <c r="G47" s="72"/>
      <c r="H47" s="72"/>
      <c r="I47" s="3"/>
      <c r="J47" s="3"/>
      <c r="K47" s="3"/>
      <c r="L47" s="3"/>
      <c r="M47" s="3"/>
      <c r="N47" s="3"/>
    </row>
    <row r="48" spans="1:14" ht="12.75">
      <c r="A48" s="39"/>
      <c r="B48" s="40" t="s">
        <v>54</v>
      </c>
      <c r="C48" s="41"/>
      <c r="D48" s="41"/>
      <c r="E48" s="41"/>
      <c r="F48" s="41"/>
      <c r="G48" s="136">
        <v>4</v>
      </c>
      <c r="H48" s="136">
        <v>6</v>
      </c>
      <c r="I48" s="136">
        <v>5</v>
      </c>
      <c r="J48" s="136">
        <v>10</v>
      </c>
      <c r="K48" s="42"/>
      <c r="L48" s="42"/>
      <c r="M48" s="42"/>
      <c r="N48" s="42"/>
    </row>
    <row r="49" spans="1:14" ht="12.75">
      <c r="A49" s="24"/>
      <c r="B49" s="12"/>
      <c r="C49" s="21"/>
      <c r="D49" s="21"/>
      <c r="E49" s="21"/>
      <c r="F49" s="21"/>
      <c r="G49" s="72"/>
      <c r="H49" s="72"/>
      <c r="I49" s="3"/>
      <c r="J49" s="3"/>
      <c r="K49" s="3"/>
      <c r="L49" s="3"/>
      <c r="M49" s="3"/>
      <c r="N49" s="3"/>
    </row>
    <row r="50" spans="1:14" ht="12.75">
      <c r="A50" s="39"/>
      <c r="B50" s="43" t="s">
        <v>55</v>
      </c>
      <c r="C50" s="41"/>
      <c r="D50" s="41"/>
      <c r="E50" s="41"/>
      <c r="F50" s="41"/>
      <c r="G50" s="137">
        <v>668</v>
      </c>
      <c r="H50" s="138">
        <v>877</v>
      </c>
      <c r="I50" s="139">
        <v>750</v>
      </c>
      <c r="J50" s="140">
        <v>1605</v>
      </c>
      <c r="K50" s="44"/>
      <c r="L50" s="45"/>
      <c r="M50" s="44"/>
      <c r="N50" s="45"/>
    </row>
    <row r="51" spans="1:14" ht="12.75">
      <c r="A51" s="39"/>
      <c r="B51" s="43" t="s">
        <v>56</v>
      </c>
      <c r="C51" s="41"/>
      <c r="D51" s="41"/>
      <c r="E51" s="41"/>
      <c r="F51" s="41"/>
      <c r="G51" s="46">
        <f>G50/G48</f>
        <v>167</v>
      </c>
      <c r="H51" s="46">
        <f>H50/H48</f>
        <v>146.16666666666666</v>
      </c>
      <c r="I51" s="46">
        <f>I50/I48</f>
        <v>150</v>
      </c>
      <c r="J51" s="46">
        <f>J50/J48</f>
        <v>160.5</v>
      </c>
      <c r="K51" s="46"/>
      <c r="L51" s="46"/>
      <c r="M51" s="46"/>
      <c r="N51" s="46"/>
    </row>
    <row r="52" spans="1:14" ht="12.75">
      <c r="A52" s="24"/>
      <c r="B52" s="12"/>
      <c r="C52" s="21"/>
      <c r="D52" s="21"/>
      <c r="E52" s="21"/>
      <c r="F52" s="21"/>
      <c r="G52" s="72"/>
      <c r="H52" s="72"/>
      <c r="I52" s="3"/>
      <c r="J52" s="3"/>
      <c r="K52" s="3"/>
      <c r="L52" s="3"/>
      <c r="M52" s="3"/>
      <c r="N52" s="3"/>
    </row>
    <row r="53" spans="1:14" ht="26.25">
      <c r="A53" s="24"/>
      <c r="B53" s="20" t="s">
        <v>57</v>
      </c>
      <c r="C53" s="21"/>
      <c r="D53" s="21"/>
      <c r="E53" s="21"/>
      <c r="F53" s="21"/>
      <c r="G53" s="38">
        <f>G55/G50*1000</f>
        <v>219.45762598890414</v>
      </c>
      <c r="H53" s="38">
        <f>H55/H50*1000</f>
        <v>250.73721920283003</v>
      </c>
      <c r="I53" s="38">
        <f>I55/I50*1000</f>
        <v>258.88851958628567</v>
      </c>
      <c r="J53" s="38">
        <f>J55/J50*1000</f>
        <v>241.95188746381837</v>
      </c>
      <c r="K53" s="38"/>
      <c r="L53" s="38"/>
      <c r="M53" s="38"/>
      <c r="N53" s="38"/>
    </row>
    <row r="54" spans="1:14" ht="12.75">
      <c r="A54" s="24"/>
      <c r="B54" s="12"/>
      <c r="C54" s="21"/>
      <c r="D54" s="21"/>
      <c r="E54" s="21"/>
      <c r="F54" s="21"/>
      <c r="G54" s="72"/>
      <c r="H54" s="72"/>
      <c r="I54" s="3"/>
      <c r="J54" s="3"/>
      <c r="K54" s="3"/>
      <c r="L54" s="3"/>
      <c r="M54" s="3"/>
      <c r="N54" s="3"/>
    </row>
    <row r="55" spans="1:14" ht="31.5" customHeight="1">
      <c r="A55" s="24"/>
      <c r="B55" s="20" t="s">
        <v>58</v>
      </c>
      <c r="C55" s="3"/>
      <c r="D55" s="3"/>
      <c r="E55" s="3"/>
      <c r="F55" s="3"/>
      <c r="G55" s="38">
        <f>G9+G26+G19+G37+G36+G18</f>
        <v>146.59769416058796</v>
      </c>
      <c r="H55" s="38">
        <f>H9+H26+H19+H37+H36+H18</f>
        <v>219.89654124088193</v>
      </c>
      <c r="I55" s="38">
        <f>I9+I26+I19+I37+I36+I18</f>
        <v>194.16638968971424</v>
      </c>
      <c r="J55" s="38">
        <f>J9+J26+J19+J37+J36+J18</f>
        <v>388.3327793794285</v>
      </c>
      <c r="K55" s="38"/>
      <c r="L55" s="38"/>
      <c r="M55" s="38"/>
      <c r="N55" s="38"/>
    </row>
    <row r="56" spans="1:14" ht="12.75">
      <c r="A56" s="24"/>
      <c r="B56" s="5"/>
      <c r="C56" s="3"/>
      <c r="D56" s="3"/>
      <c r="E56" s="3"/>
      <c r="F56" s="3"/>
      <c r="G56" s="72"/>
      <c r="H56" s="72"/>
      <c r="I56" s="3"/>
      <c r="J56" s="3"/>
      <c r="K56" s="3"/>
      <c r="L56" s="3"/>
      <c r="M56" s="3"/>
      <c r="N56" s="3"/>
    </row>
    <row r="57" spans="1:14" ht="52.5">
      <c r="A57" s="24"/>
      <c r="B57" s="20" t="s">
        <v>59</v>
      </c>
      <c r="C57" s="3"/>
      <c r="D57" s="3"/>
      <c r="E57" s="3"/>
      <c r="F57" s="3"/>
      <c r="G57" s="38">
        <f>G55/G50*1000</f>
        <v>219.45762598890414</v>
      </c>
      <c r="H57" s="38">
        <f>H55/H50*1000</f>
        <v>250.73721920283003</v>
      </c>
      <c r="I57" s="38">
        <f>I55/I50*1000</f>
        <v>258.88851958628567</v>
      </c>
      <c r="J57" s="38">
        <f>J55/J50*1000</f>
        <v>241.95188746381837</v>
      </c>
      <c r="K57" s="38"/>
      <c r="L57" s="38"/>
      <c r="M57" s="38" t="e">
        <f>M9+M18+M19+M26+M37+M36</f>
        <v>#DIV/0!</v>
      </c>
      <c r="N57" s="38" t="e">
        <f>N9+N18+N19+N26+N37+N36</f>
        <v>#DIV/0!</v>
      </c>
    </row>
    <row r="58" spans="1:14" s="51" customFormat="1" ht="11.25">
      <c r="A58" s="47"/>
      <c r="B58" s="48"/>
      <c r="C58" s="49"/>
      <c r="D58" s="49"/>
      <c r="E58" s="49"/>
      <c r="F58" s="49"/>
      <c r="G58" s="49"/>
      <c r="H58" s="49"/>
      <c r="I58" s="50"/>
      <c r="J58" s="50"/>
      <c r="K58" s="50"/>
      <c r="L58" s="50"/>
      <c r="M58" s="50"/>
      <c r="N58" s="50"/>
    </row>
    <row r="59" ht="12.75">
      <c r="G59" s="103"/>
    </row>
    <row r="60" spans="2:14" ht="13.5">
      <c r="B60" s="53" t="s">
        <v>431</v>
      </c>
      <c r="C60" s="54"/>
      <c r="D60" s="54"/>
      <c r="E60" s="54"/>
      <c r="F60" s="54"/>
      <c r="G60" s="55"/>
      <c r="H60" s="103"/>
      <c r="I60" s="54" t="s">
        <v>60</v>
      </c>
      <c r="J60" s="52"/>
      <c r="K60" s="62">
        <f>J24*J48/1000</f>
        <v>0</v>
      </c>
      <c r="L60" s="52"/>
      <c r="M60" s="54"/>
      <c r="N60" s="52"/>
    </row>
    <row r="61" spans="1:14" ht="13.5">
      <c r="A61" s="53"/>
      <c r="B61" s="53"/>
      <c r="I61" s="56"/>
      <c r="J61" s="56"/>
      <c r="K61" s="56"/>
      <c r="L61" s="56"/>
      <c r="M61" s="56"/>
      <c r="N61" s="56"/>
    </row>
    <row r="62" spans="9:14" ht="12.75">
      <c r="I62" s="63">
        <f>I55-'[2]Калькуляция '!$I$55</f>
        <v>-3492.7434698599823</v>
      </c>
      <c r="J62" s="63"/>
      <c r="K62" s="63"/>
      <c r="L62" s="57"/>
      <c r="M62" s="57"/>
      <c r="N62" s="57"/>
    </row>
    <row r="63" spans="9:11" ht="12.75">
      <c r="I63" s="64">
        <f>I19-'[2]Калькуляция '!$I$19</f>
        <v>-3420.25</v>
      </c>
      <c r="J63" s="65">
        <f>I63*0.2*I48/1000</f>
        <v>-3.4202500000000002</v>
      </c>
      <c r="K63" s="66">
        <f>I63*I48/1000</f>
        <v>-17.10125</v>
      </c>
    </row>
    <row r="64" spans="9:14" ht="12.75">
      <c r="I64" s="64"/>
      <c r="J64" s="64">
        <f>I63*I48*0.8/1000</f>
        <v>-13.681</v>
      </c>
      <c r="K64" s="64"/>
      <c r="L64" s="52"/>
      <c r="M64" s="52"/>
      <c r="N64" s="52"/>
    </row>
    <row r="65" spans="1:11" ht="12.75">
      <c r="A65" s="58"/>
      <c r="B65" s="58" t="s">
        <v>81</v>
      </c>
      <c r="I65" s="66"/>
      <c r="J65" s="65"/>
      <c r="K65" s="66"/>
    </row>
    <row r="66" spans="1:14" ht="12.75">
      <c r="A66" s="58"/>
      <c r="B66" s="58" t="s">
        <v>61</v>
      </c>
      <c r="I66" s="67"/>
      <c r="J66" s="67"/>
      <c r="K66" s="67"/>
      <c r="L66" s="60"/>
      <c r="M66" s="59"/>
      <c r="N66" s="60"/>
    </row>
    <row r="67" spans="9:11" ht="12.75">
      <c r="I67" s="66"/>
      <c r="J67" s="65"/>
      <c r="K67" s="66"/>
    </row>
    <row r="68" spans="9:11" ht="12.75">
      <c r="I68" s="66"/>
      <c r="J68" s="68">
        <f>(J15+J33+J44+J24)/1000*J48</f>
        <v>11.093170708971442</v>
      </c>
      <c r="K68" s="66"/>
    </row>
    <row r="69" spans="9:11" ht="12.75">
      <c r="I69" s="66"/>
      <c r="J69" s="65">
        <f>(J15+J33+J44+J24)/1000*J48*0.8</f>
        <v>8.874536567177154</v>
      </c>
      <c r="K69" s="66"/>
    </row>
    <row r="70" spans="9:11" ht="12.75">
      <c r="I70" s="66"/>
      <c r="J70" s="65">
        <f>(J15+J33+J44+J24)/1000*J48*0.2</f>
        <v>2.2186341417942885</v>
      </c>
      <c r="K70" s="66"/>
    </row>
    <row r="71" spans="9:11" ht="12.75">
      <c r="I71" s="66"/>
      <c r="J71" s="65"/>
      <c r="K71" s="66"/>
    </row>
  </sheetData>
  <sheetProtection/>
  <mergeCells count="13">
    <mergeCell ref="G5:H6"/>
    <mergeCell ref="K1:L1"/>
    <mergeCell ref="M1:N1"/>
    <mergeCell ref="A2:J3"/>
    <mergeCell ref="I5:N5"/>
    <mergeCell ref="A5:A6"/>
    <mergeCell ref="B5:B6"/>
    <mergeCell ref="I1:J1"/>
    <mergeCell ref="I6:J6"/>
    <mergeCell ref="K6:L6"/>
    <mergeCell ref="M6:N6"/>
    <mergeCell ref="C5:D6"/>
    <mergeCell ref="E5:F6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9" topLeftCell="A10" activePane="bottomLeft" state="frozen"/>
      <selection pane="topLeft" activeCell="BU18" sqref="BU18:CI18"/>
      <selection pane="bottomLeft" activeCell="BU18" sqref="BU18:CI18"/>
    </sheetView>
  </sheetViews>
  <sheetFormatPr defaultColWidth="9.140625" defaultRowHeight="12.75"/>
  <cols>
    <col min="1" max="1" width="5.7109375" style="0" customWidth="1"/>
    <col min="2" max="2" width="43.00390625" style="0" customWidth="1"/>
    <col min="3" max="3" width="13.421875" style="8" hidden="1" customWidth="1"/>
    <col min="4" max="4" width="12.8515625" style="8" hidden="1" customWidth="1"/>
    <col min="5" max="5" width="12.7109375" style="8" hidden="1" customWidth="1"/>
    <col min="6" max="6" width="13.421875" style="8" customWidth="1"/>
    <col min="7" max="7" width="12.8515625" style="8" customWidth="1"/>
    <col min="8" max="8" width="12.7109375" style="8" customWidth="1"/>
    <col min="9" max="9" width="12.7109375" style="8" hidden="1" customWidth="1"/>
    <col min="10" max="11" width="15.7109375" style="124" customWidth="1"/>
    <col min="12" max="12" width="14.00390625" style="124" customWidth="1"/>
    <col min="13" max="13" width="12.140625" style="125" customWidth="1"/>
    <col min="14" max="14" width="14.7109375" style="125" customWidth="1"/>
    <col min="15" max="15" width="13.421875" style="124" customWidth="1"/>
    <col min="16" max="16" width="28.140625" style="124" hidden="1" customWidth="1"/>
    <col min="18" max="18" width="12.421875" style="0" customWidth="1"/>
  </cols>
  <sheetData>
    <row r="1" spans="5:16" ht="12.75">
      <c r="E1" s="8" t="s">
        <v>0</v>
      </c>
      <c r="H1" s="8" t="s">
        <v>0</v>
      </c>
      <c r="J1" s="31"/>
      <c r="K1" s="31"/>
      <c r="L1" s="31"/>
      <c r="M1" s="31"/>
      <c r="N1" s="31"/>
      <c r="O1" s="31"/>
      <c r="P1" s="31"/>
    </row>
    <row r="2" spans="1:16" ht="12.75" customHeight="1">
      <c r="A2" s="304" t="s">
        <v>433</v>
      </c>
      <c r="B2" s="304"/>
      <c r="C2" s="304"/>
      <c r="D2" s="304"/>
      <c r="E2" s="304"/>
      <c r="F2" s="304"/>
      <c r="G2" s="304"/>
      <c r="H2" s="304"/>
      <c r="I2" s="69"/>
      <c r="J2" s="31"/>
      <c r="K2" s="31"/>
      <c r="L2" s="31"/>
      <c r="M2" s="31"/>
      <c r="N2" s="31"/>
      <c r="O2" s="31"/>
      <c r="P2" s="31"/>
    </row>
    <row r="3" spans="1:16" ht="40.5" customHeight="1">
      <c r="A3" s="304"/>
      <c r="B3" s="304"/>
      <c r="C3" s="304"/>
      <c r="D3" s="304"/>
      <c r="E3" s="304"/>
      <c r="F3" s="304"/>
      <c r="G3" s="304"/>
      <c r="H3" s="304"/>
      <c r="I3" s="69"/>
      <c r="J3" s="31"/>
      <c r="K3" s="31"/>
      <c r="L3" s="31"/>
      <c r="M3" s="31"/>
      <c r="N3" s="31"/>
      <c r="O3" s="31"/>
      <c r="P3" s="31"/>
    </row>
    <row r="4" spans="1:16" ht="41.25" customHeight="1" hidden="1">
      <c r="A4" s="69"/>
      <c r="B4" s="69"/>
      <c r="C4" s="69"/>
      <c r="D4" s="69"/>
      <c r="E4" s="69"/>
      <c r="F4" s="69"/>
      <c r="G4" s="69"/>
      <c r="H4" s="69"/>
      <c r="I4" s="69"/>
      <c r="J4" s="126"/>
      <c r="K4" s="126"/>
      <c r="L4" s="126"/>
      <c r="M4" s="126"/>
      <c r="N4" s="126"/>
      <c r="O4" s="126"/>
      <c r="P4" s="126"/>
    </row>
    <row r="5" spans="1:16" ht="39.75" customHeight="1">
      <c r="A5" s="315" t="s">
        <v>70</v>
      </c>
      <c r="B5" s="333" t="s">
        <v>2</v>
      </c>
      <c r="C5" s="339" t="s">
        <v>416</v>
      </c>
      <c r="D5" s="340"/>
      <c r="E5" s="341"/>
      <c r="F5" s="336" t="s">
        <v>418</v>
      </c>
      <c r="G5" s="337"/>
      <c r="H5" s="338"/>
      <c r="I5" s="227"/>
      <c r="J5" s="319" t="s">
        <v>396</v>
      </c>
      <c r="K5" s="319"/>
      <c r="L5" s="319"/>
      <c r="M5" s="319"/>
      <c r="N5" s="319"/>
      <c r="O5" s="319"/>
      <c r="P5" s="319"/>
    </row>
    <row r="6" spans="1:16" s="11" customFormat="1" ht="45" customHeight="1">
      <c r="A6" s="316"/>
      <c r="B6" s="334"/>
      <c r="C6" s="323" t="s">
        <v>76</v>
      </c>
      <c r="D6" s="323" t="s">
        <v>77</v>
      </c>
      <c r="E6" s="323" t="s">
        <v>82</v>
      </c>
      <c r="F6" s="330" t="s">
        <v>76</v>
      </c>
      <c r="G6" s="330" t="s">
        <v>77</v>
      </c>
      <c r="H6" s="330" t="s">
        <v>82</v>
      </c>
      <c r="I6" s="326" t="s">
        <v>417</v>
      </c>
      <c r="J6" s="322" t="s">
        <v>422</v>
      </c>
      <c r="K6" s="322"/>
      <c r="L6" s="322"/>
      <c r="M6" s="322" t="s">
        <v>423</v>
      </c>
      <c r="N6" s="322"/>
      <c r="O6" s="322"/>
      <c r="P6" s="252" t="s">
        <v>424</v>
      </c>
    </row>
    <row r="7" spans="1:16" s="11" customFormat="1" ht="30.75" customHeight="1">
      <c r="A7" s="316"/>
      <c r="B7" s="334"/>
      <c r="C7" s="324"/>
      <c r="D7" s="324"/>
      <c r="E7" s="324"/>
      <c r="F7" s="331"/>
      <c r="G7" s="331"/>
      <c r="H7" s="331"/>
      <c r="I7" s="327"/>
      <c r="J7" s="318" t="s">
        <v>257</v>
      </c>
      <c r="K7" s="320" t="s">
        <v>425</v>
      </c>
      <c r="L7" s="318" t="s">
        <v>432</v>
      </c>
      <c r="M7" s="322" t="s">
        <v>421</v>
      </c>
      <c r="N7" s="320" t="s">
        <v>425</v>
      </c>
      <c r="O7" s="318" t="s">
        <v>432</v>
      </c>
      <c r="P7" s="322" t="s">
        <v>426</v>
      </c>
    </row>
    <row r="8" spans="1:18" s="11" customFormat="1" ht="30.75" customHeight="1">
      <c r="A8" s="316"/>
      <c r="B8" s="334"/>
      <c r="C8" s="324"/>
      <c r="D8" s="324"/>
      <c r="E8" s="324"/>
      <c r="F8" s="331"/>
      <c r="G8" s="331"/>
      <c r="H8" s="331"/>
      <c r="I8" s="327"/>
      <c r="J8" s="322"/>
      <c r="K8" s="321"/>
      <c r="L8" s="318"/>
      <c r="M8" s="322"/>
      <c r="N8" s="321"/>
      <c r="O8" s="318"/>
      <c r="P8" s="322"/>
      <c r="Q8" s="129"/>
      <c r="R8" s="129"/>
    </row>
    <row r="9" spans="1:18" s="11" customFormat="1" ht="42.75" customHeight="1">
      <c r="A9" s="317"/>
      <c r="B9" s="335"/>
      <c r="C9" s="325"/>
      <c r="D9" s="325"/>
      <c r="E9" s="325"/>
      <c r="F9" s="332"/>
      <c r="G9" s="332"/>
      <c r="H9" s="332"/>
      <c r="I9" s="328"/>
      <c r="J9" s="342" t="s">
        <v>177</v>
      </c>
      <c r="K9" s="342"/>
      <c r="L9" s="342"/>
      <c r="M9" s="322" t="s">
        <v>177</v>
      </c>
      <c r="N9" s="322"/>
      <c r="O9" s="322"/>
      <c r="P9" s="253" t="s">
        <v>177</v>
      </c>
      <c r="Q9" s="255"/>
      <c r="R9" s="255"/>
    </row>
    <row r="10" spans="1:18" s="11" customFormat="1" ht="23.25" customHeight="1">
      <c r="A10" s="213"/>
      <c r="B10" s="212"/>
      <c r="C10" s="212"/>
      <c r="D10" s="212"/>
      <c r="E10" s="212"/>
      <c r="F10" s="212"/>
      <c r="G10" s="212"/>
      <c r="H10" s="21"/>
      <c r="I10" s="21"/>
      <c r="J10" s="21"/>
      <c r="K10" s="21"/>
      <c r="L10" s="21"/>
      <c r="M10" s="21"/>
      <c r="N10" s="21"/>
      <c r="O10" s="21"/>
      <c r="P10" s="21"/>
      <c r="Q10" s="256"/>
      <c r="R10" s="256"/>
    </row>
    <row r="11" spans="1:16" ht="17.25" customHeight="1">
      <c r="A11" s="72">
        <v>1</v>
      </c>
      <c r="B11" s="21">
        <v>2</v>
      </c>
      <c r="C11" s="21" t="s">
        <v>78</v>
      </c>
      <c r="D11" s="21" t="s">
        <v>79</v>
      </c>
      <c r="E11" s="21" t="s">
        <v>80</v>
      </c>
      <c r="F11" s="21" t="s">
        <v>78</v>
      </c>
      <c r="G11" s="21" t="s">
        <v>79</v>
      </c>
      <c r="H11" s="21" t="s">
        <v>80</v>
      </c>
      <c r="I11" s="211"/>
      <c r="J11" s="254">
        <v>3</v>
      </c>
      <c r="K11" s="254"/>
      <c r="L11" s="254">
        <v>4</v>
      </c>
      <c r="M11" s="254"/>
      <c r="N11" s="254"/>
      <c r="O11" s="254">
        <v>4</v>
      </c>
      <c r="P11" s="254">
        <v>4</v>
      </c>
    </row>
    <row r="12" spans="1:16" ht="45.75" customHeight="1">
      <c r="A12" s="70">
        <v>1</v>
      </c>
      <c r="B12" s="12" t="s">
        <v>69</v>
      </c>
      <c r="C12" s="73">
        <v>269946.2079228302</v>
      </c>
      <c r="D12" s="190">
        <v>4172</v>
      </c>
      <c r="E12" s="240">
        <v>64.70426843787877</v>
      </c>
      <c r="F12" s="264">
        <f>ВЛ!I16*(ВЛ!I48+ВЛ!J48+ТП!I48+ТП!J48)</f>
        <v>513556.4299242255</v>
      </c>
      <c r="G12" s="265">
        <f>4105+150</f>
        <v>4255</v>
      </c>
      <c r="H12" s="266">
        <f>F12/G12</f>
        <v>120.69481314317873</v>
      </c>
      <c r="I12" s="267">
        <f>+H12/E12%</f>
        <v>186.53300015138157</v>
      </c>
      <c r="J12" s="268">
        <f>ВЛ!I16*10/150</f>
        <v>1037.4877372206574</v>
      </c>
      <c r="K12" s="268">
        <f>ВЛ!I16*7/555</f>
        <v>196.28146379850278</v>
      </c>
      <c r="L12" s="268">
        <f>ВЛ!I16*9/3550</f>
        <v>39.453759021067256</v>
      </c>
      <c r="M12" s="268">
        <f>J12</f>
        <v>1037.4877372206574</v>
      </c>
      <c r="N12" s="268">
        <f>K12</f>
        <v>196.28146379850278</v>
      </c>
      <c r="O12" s="268">
        <f>L12</f>
        <v>39.453759021067256</v>
      </c>
      <c r="P12" s="268"/>
    </row>
    <row r="13" spans="1:16" ht="39">
      <c r="A13" s="70">
        <v>2</v>
      </c>
      <c r="B13" s="12" t="s">
        <v>65</v>
      </c>
      <c r="C13" s="73"/>
      <c r="D13" s="190"/>
      <c r="E13" s="73"/>
      <c r="F13" s="264"/>
      <c r="G13" s="265"/>
      <c r="H13" s="266"/>
      <c r="I13" s="267"/>
      <c r="J13" s="269"/>
      <c r="K13" s="269"/>
      <c r="L13" s="269"/>
      <c r="M13" s="269"/>
      <c r="N13" s="269"/>
      <c r="O13" s="269"/>
      <c r="P13" s="269"/>
    </row>
    <row r="14" spans="1:16" ht="39">
      <c r="A14" s="70">
        <v>3</v>
      </c>
      <c r="B14" s="12" t="s">
        <v>83</v>
      </c>
      <c r="C14" s="73"/>
      <c r="D14" s="190"/>
      <c r="E14" s="73"/>
      <c r="F14" s="264"/>
      <c r="G14" s="265"/>
      <c r="H14" s="266"/>
      <c r="I14" s="267"/>
      <c r="J14" s="269"/>
      <c r="K14" s="269"/>
      <c r="L14" s="269"/>
      <c r="M14" s="269"/>
      <c r="N14" s="269"/>
      <c r="O14" s="269"/>
      <c r="P14" s="269"/>
    </row>
    <row r="15" spans="1:16" ht="12.75">
      <c r="A15" s="70" t="s">
        <v>26</v>
      </c>
      <c r="B15" s="12" t="s">
        <v>84</v>
      </c>
      <c r="C15" s="73"/>
      <c r="D15" s="190"/>
      <c r="E15" s="73"/>
      <c r="F15" s="264">
        <f>('расч инвест составл'!V17+'расч инвест составл'!V21+'расч инвест составл'!V23+'расч инвест составл'!V27+'расч инвест составл'!V31+'расч инвест составл'!V38+'расч инвест составл'!V40)*1000</f>
        <v>13247069.344333334</v>
      </c>
      <c r="G15" s="265">
        <f>4255-G22</f>
        <v>3373</v>
      </c>
      <c r="H15" s="266">
        <f>F15/G15</f>
        <v>3927.3849227196365</v>
      </c>
      <c r="I15" s="267"/>
      <c r="J15" s="270"/>
      <c r="K15" s="270"/>
      <c r="L15" s="270"/>
      <c r="M15" s="270"/>
      <c r="N15" s="270"/>
      <c r="O15" s="270"/>
      <c r="P15" s="270"/>
    </row>
    <row r="16" spans="1:18" ht="12.75" customHeight="1">
      <c r="A16" s="192" t="s">
        <v>210</v>
      </c>
      <c r="B16" s="12" t="s">
        <v>178</v>
      </c>
      <c r="C16" s="73"/>
      <c r="D16" s="190"/>
      <c r="E16" s="73"/>
      <c r="F16" s="264"/>
      <c r="G16" s="265"/>
      <c r="H16" s="266"/>
      <c r="I16" s="267"/>
      <c r="J16" s="271">
        <f>'расч инвест составл'!V9*1000/150</f>
        <v>4419.998277777777</v>
      </c>
      <c r="K16" s="271">
        <f>'расч инвест составл'!V21*1000/300</f>
        <v>3047.24</v>
      </c>
      <c r="L16" s="271"/>
      <c r="M16" s="271"/>
      <c r="N16" s="271"/>
      <c r="O16" s="271">
        <f>'расч инвест составл'!V40*1000/2249</f>
        <v>4766.188305913739</v>
      </c>
      <c r="P16" s="271"/>
      <c r="R16" s="216"/>
    </row>
    <row r="17" spans="1:16" ht="12.75" customHeight="1">
      <c r="A17" s="192" t="s">
        <v>211</v>
      </c>
      <c r="B17" s="12" t="s">
        <v>179</v>
      </c>
      <c r="C17" s="73"/>
      <c r="D17" s="190"/>
      <c r="E17" s="73"/>
      <c r="F17" s="264"/>
      <c r="G17" s="265"/>
      <c r="H17" s="266"/>
      <c r="I17" s="267"/>
      <c r="J17" s="271"/>
      <c r="K17" s="271">
        <f>('расч инвест составл'!V17+'расч инвест составл'!V23+'расч инвест составл'!V27+'расч инвест составл'!V31)*1000/364</f>
        <v>2522.1980613553114</v>
      </c>
      <c r="L17" s="271">
        <f>'расч инвест составл'!V38*1000/310</f>
        <v>2244.0637096774194</v>
      </c>
      <c r="M17" s="271"/>
      <c r="N17" s="271"/>
      <c r="O17" s="271"/>
      <c r="P17" s="271"/>
    </row>
    <row r="18" spans="1:18" ht="12.75">
      <c r="A18" s="70" t="s">
        <v>28</v>
      </c>
      <c r="B18" s="12" t="s">
        <v>85</v>
      </c>
      <c r="C18" s="73"/>
      <c r="D18" s="190"/>
      <c r="E18" s="73"/>
      <c r="F18" s="264"/>
      <c r="G18" s="265"/>
      <c r="H18" s="266"/>
      <c r="I18" s="267"/>
      <c r="J18" s="272"/>
      <c r="K18" s="272"/>
      <c r="L18" s="273"/>
      <c r="M18" s="273"/>
      <c r="N18" s="273"/>
      <c r="O18" s="273"/>
      <c r="P18" s="273"/>
      <c r="R18" s="216"/>
    </row>
    <row r="19" spans="1:16" ht="12.75" customHeight="1">
      <c r="A19" s="192" t="s">
        <v>212</v>
      </c>
      <c r="B19" s="12" t="s">
        <v>180</v>
      </c>
      <c r="C19" s="73"/>
      <c r="D19" s="190"/>
      <c r="E19" s="73"/>
      <c r="F19" s="264"/>
      <c r="G19" s="265"/>
      <c r="H19" s="266"/>
      <c r="I19" s="267"/>
      <c r="J19" s="272"/>
      <c r="K19" s="272"/>
      <c r="L19" s="272"/>
      <c r="M19" s="272"/>
      <c r="N19" s="272"/>
      <c r="O19" s="272"/>
      <c r="P19" s="272"/>
    </row>
    <row r="20" spans="1:18" ht="12.75" customHeight="1">
      <c r="A20" s="192" t="s">
        <v>213</v>
      </c>
      <c r="B20" s="12" t="s">
        <v>181</v>
      </c>
      <c r="C20" s="73"/>
      <c r="D20" s="190"/>
      <c r="E20" s="73"/>
      <c r="F20" s="264"/>
      <c r="G20" s="265"/>
      <c r="H20" s="266"/>
      <c r="I20" s="267"/>
      <c r="J20" s="272"/>
      <c r="K20" s="272"/>
      <c r="L20" s="272"/>
      <c r="M20" s="272"/>
      <c r="N20" s="272"/>
      <c r="O20" s="272"/>
      <c r="P20" s="272"/>
      <c r="R20" s="216"/>
    </row>
    <row r="21" spans="1:16" ht="12.75">
      <c r="A21" s="70" t="s">
        <v>30</v>
      </c>
      <c r="B21" s="12" t="s">
        <v>86</v>
      </c>
      <c r="C21" s="73"/>
      <c r="D21" s="190"/>
      <c r="E21" s="73"/>
      <c r="F21" s="264"/>
      <c r="G21" s="265"/>
      <c r="H21" s="266"/>
      <c r="I21" s="267"/>
      <c r="J21" s="274"/>
      <c r="K21" s="274"/>
      <c r="L21" s="274"/>
      <c r="M21" s="274"/>
      <c r="N21" s="274"/>
      <c r="O21" s="274"/>
      <c r="P21" s="274"/>
    </row>
    <row r="22" spans="1:16" s="31" customFormat="1" ht="72" customHeight="1">
      <c r="A22" s="71" t="s">
        <v>32</v>
      </c>
      <c r="B22" s="186" t="s">
        <v>87</v>
      </c>
      <c r="C22" s="184"/>
      <c r="D22" s="217"/>
      <c r="E22" s="184"/>
      <c r="F22" s="275">
        <f>'расч инвест составл'!V15*1000</f>
        <v>3479336</v>
      </c>
      <c r="G22" s="279">
        <v>882</v>
      </c>
      <c r="H22" s="276">
        <f>F22/G22</f>
        <v>3944.8253968253966</v>
      </c>
      <c r="I22" s="267"/>
      <c r="J22" s="277">
        <f>'расч инвест составл'!V11*1000/34</f>
        <v>8133.294117647059</v>
      </c>
      <c r="K22" s="277">
        <f>('расч инвест составл'!V15)*1000/848</f>
        <v>4102.990566037736</v>
      </c>
      <c r="L22" s="278"/>
      <c r="M22" s="278"/>
      <c r="N22" s="278"/>
      <c r="O22" s="278"/>
      <c r="P22" s="278"/>
    </row>
    <row r="23" spans="1:16" ht="26.25">
      <c r="A23" s="70" t="s">
        <v>34</v>
      </c>
      <c r="B23" s="12" t="s">
        <v>88</v>
      </c>
      <c r="C23" s="73"/>
      <c r="D23" s="73"/>
      <c r="E23" s="73"/>
      <c r="F23" s="264"/>
      <c r="G23" s="264"/>
      <c r="H23" s="266"/>
      <c r="I23" s="267"/>
      <c r="J23" s="269"/>
      <c r="K23" s="269"/>
      <c r="L23" s="269"/>
      <c r="M23" s="269"/>
      <c r="N23" s="269"/>
      <c r="O23" s="269"/>
      <c r="P23" s="269"/>
    </row>
    <row r="24" spans="1:16" s="31" customFormat="1" ht="44.25" customHeight="1">
      <c r="A24" s="71">
        <v>4</v>
      </c>
      <c r="B24" s="12" t="s">
        <v>66</v>
      </c>
      <c r="C24" s="73">
        <v>131316.7277880977</v>
      </c>
      <c r="D24" s="73">
        <v>4172</v>
      </c>
      <c r="E24" s="240">
        <v>31.475725740195994</v>
      </c>
      <c r="F24" s="264">
        <f>ВЛ!I34*(ВЛ!I48+ВЛ!J48+ТП!I48+ТП!J48)</f>
        <v>246419.30625649658</v>
      </c>
      <c r="G24" s="264">
        <f>G12</f>
        <v>4255</v>
      </c>
      <c r="H24" s="266">
        <f>F24/G24</f>
        <v>57.91288043630942</v>
      </c>
      <c r="I24" s="267">
        <f>+H24/E24%</f>
        <v>183.9922005749082</v>
      </c>
      <c r="J24" s="268">
        <f>ВЛ!I34*10/150</f>
        <v>497.8167803161547</v>
      </c>
      <c r="K24" s="268">
        <f>ВЛ!I34*7/555</f>
        <v>94.18155303278603</v>
      </c>
      <c r="L24" s="268">
        <f>ВЛ!I34*9/3550</f>
        <v>18.93106065991011</v>
      </c>
      <c r="M24" s="268">
        <f aca="true" t="shared" si="0" ref="M24:O26">J24</f>
        <v>497.8167803161547</v>
      </c>
      <c r="N24" s="268">
        <f t="shared" si="0"/>
        <v>94.18155303278603</v>
      </c>
      <c r="O24" s="268">
        <f t="shared" si="0"/>
        <v>18.93106065991011</v>
      </c>
      <c r="P24" s="268"/>
    </row>
    <row r="25" spans="1:16" ht="39">
      <c r="A25" s="70">
        <v>5</v>
      </c>
      <c r="B25" s="12" t="s">
        <v>67</v>
      </c>
      <c r="C25" s="190">
        <v>13131.67277880977</v>
      </c>
      <c r="D25" s="73">
        <v>4172</v>
      </c>
      <c r="E25" s="240">
        <v>3.1475725740195997</v>
      </c>
      <c r="F25" s="265">
        <f>(F24*10%)</f>
        <v>24641.93062564966</v>
      </c>
      <c r="G25" s="264">
        <f>G12</f>
        <v>4255</v>
      </c>
      <c r="H25" s="266">
        <f>F25/G25</f>
        <v>5.791288043630942</v>
      </c>
      <c r="I25" s="267">
        <f>+H25/E25%</f>
        <v>183.99220057490817</v>
      </c>
      <c r="J25" s="268">
        <f>J24*10%</f>
        <v>49.78167803161547</v>
      </c>
      <c r="K25" s="268">
        <f>K24*10%</f>
        <v>9.418155303278603</v>
      </c>
      <c r="L25" s="268">
        <f>L24*10%</f>
        <v>1.893106065991011</v>
      </c>
      <c r="M25" s="268">
        <f t="shared" si="0"/>
        <v>49.78167803161547</v>
      </c>
      <c r="N25" s="268">
        <f t="shared" si="0"/>
        <v>9.418155303278603</v>
      </c>
      <c r="O25" s="268">
        <f t="shared" si="0"/>
        <v>1.893106065991011</v>
      </c>
      <c r="P25" s="268"/>
    </row>
    <row r="26" spans="1:16" ht="58.5" customHeight="1">
      <c r="A26" s="70">
        <v>6</v>
      </c>
      <c r="B26" s="12" t="s">
        <v>68</v>
      </c>
      <c r="C26" s="73">
        <v>297040.6440601809</v>
      </c>
      <c r="D26" s="73">
        <v>4172</v>
      </c>
      <c r="E26" s="240">
        <v>71.19862034040769</v>
      </c>
      <c r="F26" s="264">
        <f>ВЛ!I45*(ВЛ!I48+ВЛ!J48+ТП!I48+ТП!J48)</f>
        <v>496880.5051457424</v>
      </c>
      <c r="G26" s="264">
        <f>G12</f>
        <v>4255</v>
      </c>
      <c r="H26" s="266">
        <f>F26/G26</f>
        <v>116.77567688501584</v>
      </c>
      <c r="I26" s="267">
        <f>+H26/E26%</f>
        <v>164.01396027998817</v>
      </c>
      <c r="J26" s="268">
        <f>ВЛ!I45*10/150</f>
        <v>1003.7990002944291</v>
      </c>
      <c r="K26" s="268">
        <f>ВЛ!I45*7/555</f>
        <v>189.9079189746217</v>
      </c>
      <c r="L26" s="268">
        <f>ВЛ!I45*9/3550</f>
        <v>38.172638039365616</v>
      </c>
      <c r="M26" s="268">
        <f t="shared" si="0"/>
        <v>1003.7990002944291</v>
      </c>
      <c r="N26" s="268">
        <f t="shared" si="0"/>
        <v>189.9079189746217</v>
      </c>
      <c r="O26" s="268">
        <f t="shared" si="0"/>
        <v>38.172638039365616</v>
      </c>
      <c r="P26" s="268"/>
    </row>
    <row r="27" spans="1:16" s="31" customFormat="1" ht="25.5" customHeight="1">
      <c r="A27" s="127"/>
      <c r="B27" s="128"/>
      <c r="C27" s="129"/>
      <c r="D27" s="129"/>
      <c r="E27" s="129"/>
      <c r="F27" s="129"/>
      <c r="G27" s="129"/>
      <c r="H27" s="289">
        <f>H12+H24+H25+H26</f>
        <v>301.17465850813494</v>
      </c>
      <c r="I27" s="129"/>
      <c r="L27" s="135"/>
      <c r="O27" s="135"/>
      <c r="P27" s="135"/>
    </row>
    <row r="28" spans="1:14" s="31" customFormat="1" ht="48.75" customHeight="1">
      <c r="A28" s="127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251"/>
      <c r="N28" s="251"/>
    </row>
    <row r="29" spans="2:14" s="31" customFormat="1" ht="25.5" customHeight="1"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130"/>
      <c r="N29" s="130"/>
    </row>
    <row r="30" spans="2:12" s="31" customFormat="1" ht="13.5">
      <c r="B30" s="131" t="s">
        <v>431</v>
      </c>
      <c r="C30" s="132"/>
      <c r="D30" s="132"/>
      <c r="E30" s="132" t="s">
        <v>89</v>
      </c>
      <c r="F30" s="132"/>
      <c r="G30" s="132"/>
      <c r="H30" s="132"/>
      <c r="I30" s="132"/>
      <c r="L30" s="54" t="s">
        <v>60</v>
      </c>
    </row>
    <row r="31" spans="3:9" s="31" customFormat="1" ht="12.75">
      <c r="C31" s="130"/>
      <c r="D31" s="130"/>
      <c r="E31" s="130"/>
      <c r="F31" s="130"/>
      <c r="G31" s="130"/>
      <c r="H31" s="130"/>
      <c r="I31" s="130"/>
    </row>
    <row r="32" spans="3:9" s="31" customFormat="1" ht="12.75">
      <c r="C32" s="130"/>
      <c r="D32" s="130"/>
      <c r="E32" s="130"/>
      <c r="F32" s="130"/>
      <c r="G32" s="130"/>
      <c r="H32" s="130"/>
      <c r="I32" s="130"/>
    </row>
    <row r="33" spans="1:9" s="31" customFormat="1" ht="12.75">
      <c r="A33" s="133"/>
      <c r="B33" s="133" t="s">
        <v>81</v>
      </c>
      <c r="C33" s="130"/>
      <c r="D33" s="130"/>
      <c r="E33" s="130"/>
      <c r="F33" s="130"/>
      <c r="G33" s="130"/>
      <c r="H33" s="130"/>
      <c r="I33" s="130"/>
    </row>
    <row r="34" spans="1:9" s="31" customFormat="1" ht="12.75">
      <c r="A34" s="133"/>
      <c r="B34" s="133" t="s">
        <v>61</v>
      </c>
      <c r="C34" s="130"/>
      <c r="D34" s="130"/>
      <c r="E34" s="130"/>
      <c r="F34" s="130"/>
      <c r="G34" s="130"/>
      <c r="H34" s="130"/>
      <c r="I34" s="130"/>
    </row>
    <row r="35" spans="3:9" s="31" customFormat="1" ht="12.75">
      <c r="C35" s="130"/>
      <c r="D35" s="130"/>
      <c r="E35" s="130"/>
      <c r="F35" s="130"/>
      <c r="G35" s="130"/>
      <c r="H35" s="130"/>
      <c r="I35" s="130"/>
    </row>
    <row r="36" spans="3:9" s="31" customFormat="1" ht="12.75">
      <c r="C36" s="130"/>
      <c r="D36" s="130"/>
      <c r="E36" s="130"/>
      <c r="F36" s="130"/>
      <c r="G36" s="130"/>
      <c r="H36" s="130"/>
      <c r="I36" s="130"/>
    </row>
    <row r="37" spans="3:9" s="31" customFormat="1" ht="12.75">
      <c r="C37" s="130"/>
      <c r="D37" s="130"/>
      <c r="E37" s="130"/>
      <c r="F37" s="130"/>
      <c r="G37" s="130"/>
      <c r="H37" s="130"/>
      <c r="I37" s="130"/>
    </row>
    <row r="38" spans="3:9" s="31" customFormat="1" ht="12.75">
      <c r="C38" s="130"/>
      <c r="D38" s="130"/>
      <c r="E38" s="130"/>
      <c r="F38" s="130"/>
      <c r="G38" s="130"/>
      <c r="H38" s="130"/>
      <c r="I38" s="130"/>
    </row>
    <row r="39" spans="3:9" s="31" customFormat="1" ht="12.75">
      <c r="C39" s="130"/>
      <c r="D39" s="130"/>
      <c r="E39" s="130"/>
      <c r="F39" s="130"/>
      <c r="G39" s="130"/>
      <c r="H39" s="130"/>
      <c r="I39" s="130"/>
    </row>
    <row r="40" spans="3:9" s="31" customFormat="1" ht="12.75">
      <c r="C40" s="130"/>
      <c r="D40" s="130"/>
      <c r="E40" s="130"/>
      <c r="F40" s="130"/>
      <c r="G40" s="130"/>
      <c r="H40" s="130"/>
      <c r="I40" s="130"/>
    </row>
    <row r="41" spans="3:9" s="31" customFormat="1" ht="12.75">
      <c r="C41" s="130"/>
      <c r="D41" s="130"/>
      <c r="E41" s="130"/>
      <c r="F41" s="130"/>
      <c r="G41" s="130"/>
      <c r="H41" s="130"/>
      <c r="I41" s="130"/>
    </row>
    <row r="42" spans="3:9" s="31" customFormat="1" ht="12.75">
      <c r="C42" s="130"/>
      <c r="D42" s="130"/>
      <c r="E42" s="130"/>
      <c r="F42" s="130"/>
      <c r="G42" s="130"/>
      <c r="H42" s="130"/>
      <c r="I42" s="130"/>
    </row>
    <row r="43" spans="3:9" s="31" customFormat="1" ht="12.75">
      <c r="C43" s="130"/>
      <c r="D43" s="130"/>
      <c r="E43" s="130"/>
      <c r="F43" s="130"/>
      <c r="G43" s="130"/>
      <c r="H43" s="130"/>
      <c r="I43" s="130"/>
    </row>
    <row r="44" spans="3:9" s="31" customFormat="1" ht="12.75">
      <c r="C44" s="130"/>
      <c r="D44" s="130"/>
      <c r="E44" s="130"/>
      <c r="F44" s="130"/>
      <c r="G44" s="130"/>
      <c r="H44" s="130"/>
      <c r="I44" s="130"/>
    </row>
    <row r="45" spans="3:9" s="31" customFormat="1" ht="12.75">
      <c r="C45" s="130"/>
      <c r="D45" s="130"/>
      <c r="E45" s="130"/>
      <c r="F45" s="130"/>
      <c r="G45" s="130"/>
      <c r="H45" s="130"/>
      <c r="I45" s="130"/>
    </row>
    <row r="46" spans="3:9" s="31" customFormat="1" ht="12.75">
      <c r="C46" s="130"/>
      <c r="D46" s="130"/>
      <c r="E46" s="130"/>
      <c r="F46" s="130"/>
      <c r="G46" s="130"/>
      <c r="H46" s="130"/>
      <c r="I46" s="130"/>
    </row>
    <row r="47" spans="3:9" s="31" customFormat="1" ht="12.75">
      <c r="C47" s="130"/>
      <c r="D47" s="130"/>
      <c r="E47" s="130"/>
      <c r="F47" s="130"/>
      <c r="G47" s="130"/>
      <c r="H47" s="130"/>
      <c r="I47" s="130"/>
    </row>
    <row r="48" spans="3:9" s="31" customFormat="1" ht="12.75">
      <c r="C48" s="130"/>
      <c r="D48" s="130"/>
      <c r="E48" s="130"/>
      <c r="F48" s="130"/>
      <c r="G48" s="130"/>
      <c r="H48" s="130"/>
      <c r="I48" s="130"/>
    </row>
    <row r="49" spans="3:9" s="31" customFormat="1" ht="12.75">
      <c r="C49" s="130"/>
      <c r="D49" s="130"/>
      <c r="E49" s="130"/>
      <c r="F49" s="130"/>
      <c r="G49" s="130"/>
      <c r="H49" s="130"/>
      <c r="I49" s="130"/>
    </row>
    <row r="50" spans="3:9" s="31" customFormat="1" ht="12.75">
      <c r="C50" s="130"/>
      <c r="D50" s="130"/>
      <c r="E50" s="130"/>
      <c r="F50" s="130"/>
      <c r="G50" s="130"/>
      <c r="H50" s="130"/>
      <c r="I50" s="130"/>
    </row>
    <row r="51" spans="3:9" s="31" customFormat="1" ht="12.75">
      <c r="C51" s="130"/>
      <c r="D51" s="130"/>
      <c r="E51" s="130"/>
      <c r="F51" s="130"/>
      <c r="G51" s="130"/>
      <c r="H51" s="130"/>
      <c r="I51" s="130"/>
    </row>
    <row r="52" spans="3:9" s="31" customFormat="1" ht="12.75">
      <c r="C52" s="130"/>
      <c r="D52" s="130"/>
      <c r="E52" s="130"/>
      <c r="F52" s="130"/>
      <c r="G52" s="130"/>
      <c r="H52" s="130"/>
      <c r="I52" s="130"/>
    </row>
    <row r="53" spans="3:9" s="31" customFormat="1" ht="12.75">
      <c r="C53" s="130"/>
      <c r="D53" s="130"/>
      <c r="E53" s="130"/>
      <c r="F53" s="130"/>
      <c r="G53" s="130"/>
      <c r="H53" s="130"/>
      <c r="I53" s="130"/>
    </row>
    <row r="54" spans="3:9" s="31" customFormat="1" ht="12.75">
      <c r="C54" s="130"/>
      <c r="D54" s="130"/>
      <c r="E54" s="130"/>
      <c r="F54" s="130"/>
      <c r="G54" s="130"/>
      <c r="H54" s="130"/>
      <c r="I54" s="130"/>
    </row>
    <row r="55" spans="3:9" s="31" customFormat="1" ht="12.75">
      <c r="C55" s="130"/>
      <c r="D55" s="130"/>
      <c r="E55" s="130"/>
      <c r="F55" s="130"/>
      <c r="G55" s="130"/>
      <c r="H55" s="130"/>
      <c r="I55" s="130"/>
    </row>
    <row r="56" spans="3:9" s="31" customFormat="1" ht="12.75">
      <c r="C56" s="130"/>
      <c r="D56" s="130"/>
      <c r="E56" s="130"/>
      <c r="F56" s="130"/>
      <c r="G56" s="130"/>
      <c r="H56" s="130"/>
      <c r="I56" s="130"/>
    </row>
    <row r="57" spans="3:9" s="31" customFormat="1" ht="12.75">
      <c r="C57" s="130"/>
      <c r="D57" s="130"/>
      <c r="E57" s="130"/>
      <c r="F57" s="130"/>
      <c r="G57" s="130"/>
      <c r="H57" s="130"/>
      <c r="I57" s="130"/>
    </row>
    <row r="58" spans="3:9" s="31" customFormat="1" ht="12.75">
      <c r="C58" s="130"/>
      <c r="D58" s="130"/>
      <c r="E58" s="130"/>
      <c r="F58" s="130"/>
      <c r="G58" s="130"/>
      <c r="H58" s="130"/>
      <c r="I58" s="130"/>
    </row>
    <row r="59" spans="3:9" s="31" customFormat="1" ht="12.75">
      <c r="C59" s="130"/>
      <c r="D59" s="130"/>
      <c r="E59" s="130"/>
      <c r="F59" s="130"/>
      <c r="G59" s="130"/>
      <c r="H59" s="130"/>
      <c r="I59" s="130"/>
    </row>
    <row r="60" spans="3:9" s="31" customFormat="1" ht="12.75">
      <c r="C60" s="130"/>
      <c r="D60" s="130"/>
      <c r="E60" s="130"/>
      <c r="F60" s="130"/>
      <c r="G60" s="130"/>
      <c r="H60" s="130"/>
      <c r="I60" s="130"/>
    </row>
    <row r="61" spans="3:9" s="31" customFormat="1" ht="12.75">
      <c r="C61" s="130"/>
      <c r="D61" s="130"/>
      <c r="E61" s="130"/>
      <c r="F61" s="130"/>
      <c r="G61" s="130"/>
      <c r="H61" s="130"/>
      <c r="I61" s="130"/>
    </row>
    <row r="62" spans="3:9" s="31" customFormat="1" ht="12.75">
      <c r="C62" s="130"/>
      <c r="D62" s="130"/>
      <c r="E62" s="130"/>
      <c r="F62" s="130"/>
      <c r="G62" s="130"/>
      <c r="H62" s="130"/>
      <c r="I62" s="130"/>
    </row>
    <row r="63" spans="3:9" s="31" customFormat="1" ht="12.75">
      <c r="C63" s="130"/>
      <c r="D63" s="130"/>
      <c r="E63" s="130"/>
      <c r="F63" s="130"/>
      <c r="G63" s="130"/>
      <c r="H63" s="130"/>
      <c r="I63" s="130"/>
    </row>
    <row r="64" spans="3:9" s="31" customFormat="1" ht="12.75">
      <c r="C64" s="130"/>
      <c r="D64" s="130"/>
      <c r="E64" s="130"/>
      <c r="F64" s="130"/>
      <c r="G64" s="130"/>
      <c r="H64" s="130"/>
      <c r="I64" s="130"/>
    </row>
    <row r="65" spans="3:9" s="31" customFormat="1" ht="12.75">
      <c r="C65" s="130"/>
      <c r="D65" s="130"/>
      <c r="E65" s="130"/>
      <c r="F65" s="130"/>
      <c r="G65" s="130"/>
      <c r="H65" s="130"/>
      <c r="I65" s="130"/>
    </row>
    <row r="66" spans="3:9" s="31" customFormat="1" ht="12.75">
      <c r="C66" s="130"/>
      <c r="D66" s="130"/>
      <c r="E66" s="130"/>
      <c r="F66" s="130"/>
      <c r="G66" s="130"/>
      <c r="H66" s="130"/>
      <c r="I66" s="130"/>
    </row>
    <row r="67" spans="3:9" s="31" customFormat="1" ht="12.75">
      <c r="C67" s="130"/>
      <c r="D67" s="130"/>
      <c r="E67" s="130"/>
      <c r="F67" s="130"/>
      <c r="G67" s="130"/>
      <c r="H67" s="130"/>
      <c r="I67" s="130"/>
    </row>
    <row r="68" spans="3:9" s="31" customFormat="1" ht="12.75">
      <c r="C68" s="130"/>
      <c r="D68" s="130"/>
      <c r="E68" s="130"/>
      <c r="F68" s="130"/>
      <c r="G68" s="130"/>
      <c r="H68" s="130"/>
      <c r="I68" s="130"/>
    </row>
    <row r="69" spans="3:9" s="31" customFormat="1" ht="12.75">
      <c r="C69" s="130"/>
      <c r="D69" s="130"/>
      <c r="E69" s="130"/>
      <c r="F69" s="130"/>
      <c r="G69" s="130"/>
      <c r="H69" s="130"/>
      <c r="I69" s="130"/>
    </row>
    <row r="70" spans="3:9" s="31" customFormat="1" ht="12.75">
      <c r="C70" s="130"/>
      <c r="D70" s="130"/>
      <c r="E70" s="130"/>
      <c r="F70" s="130"/>
      <c r="G70" s="130"/>
      <c r="H70" s="130"/>
      <c r="I70" s="130"/>
    </row>
    <row r="71" spans="3:9" s="31" customFormat="1" ht="12.75">
      <c r="C71" s="130"/>
      <c r="D71" s="130"/>
      <c r="E71" s="130"/>
      <c r="F71" s="130"/>
      <c r="G71" s="130"/>
      <c r="H71" s="130"/>
      <c r="I71" s="130"/>
    </row>
    <row r="72" spans="3:9" s="31" customFormat="1" ht="12.75">
      <c r="C72" s="130"/>
      <c r="D72" s="130"/>
      <c r="E72" s="130"/>
      <c r="F72" s="130"/>
      <c r="G72" s="130"/>
      <c r="H72" s="130"/>
      <c r="I72" s="130"/>
    </row>
    <row r="73" spans="3:9" s="31" customFormat="1" ht="12.75">
      <c r="C73" s="130"/>
      <c r="D73" s="130"/>
      <c r="E73" s="130"/>
      <c r="F73" s="130"/>
      <c r="G73" s="130"/>
      <c r="H73" s="130"/>
      <c r="I73" s="130"/>
    </row>
    <row r="74" spans="3:9" s="31" customFormat="1" ht="12.75">
      <c r="C74" s="130"/>
      <c r="D74" s="130"/>
      <c r="E74" s="130"/>
      <c r="F74" s="130"/>
      <c r="G74" s="130"/>
      <c r="H74" s="130"/>
      <c r="I74" s="130"/>
    </row>
    <row r="75" spans="3:9" s="31" customFormat="1" ht="12.75">
      <c r="C75" s="130"/>
      <c r="D75" s="130"/>
      <c r="E75" s="130"/>
      <c r="F75" s="130"/>
      <c r="G75" s="130"/>
      <c r="H75" s="130"/>
      <c r="I75" s="130"/>
    </row>
    <row r="76" spans="3:9" s="31" customFormat="1" ht="12.75">
      <c r="C76" s="130"/>
      <c r="D76" s="130"/>
      <c r="E76" s="130"/>
      <c r="F76" s="130"/>
      <c r="G76" s="130"/>
      <c r="H76" s="130"/>
      <c r="I76" s="130"/>
    </row>
    <row r="77" spans="3:9" s="31" customFormat="1" ht="12.75">
      <c r="C77" s="130"/>
      <c r="D77" s="130"/>
      <c r="E77" s="130"/>
      <c r="F77" s="130"/>
      <c r="G77" s="130"/>
      <c r="H77" s="130"/>
      <c r="I77" s="130"/>
    </row>
    <row r="78" spans="3:9" s="31" customFormat="1" ht="12.75">
      <c r="C78" s="130"/>
      <c r="D78" s="130"/>
      <c r="E78" s="130"/>
      <c r="F78" s="130"/>
      <c r="G78" s="130"/>
      <c r="H78" s="130"/>
      <c r="I78" s="130"/>
    </row>
    <row r="79" spans="3:9" s="31" customFormat="1" ht="12.75">
      <c r="C79" s="130"/>
      <c r="D79" s="130"/>
      <c r="E79" s="130"/>
      <c r="F79" s="130"/>
      <c r="G79" s="130"/>
      <c r="H79" s="130"/>
      <c r="I79" s="130"/>
    </row>
    <row r="80" spans="3:9" s="31" customFormat="1" ht="12.75">
      <c r="C80" s="130"/>
      <c r="D80" s="130"/>
      <c r="E80" s="130"/>
      <c r="F80" s="130"/>
      <c r="G80" s="130"/>
      <c r="H80" s="130"/>
      <c r="I80" s="130"/>
    </row>
    <row r="81" spans="3:9" s="31" customFormat="1" ht="12.75">
      <c r="C81" s="130"/>
      <c r="D81" s="130"/>
      <c r="E81" s="130"/>
      <c r="F81" s="130"/>
      <c r="G81" s="130"/>
      <c r="H81" s="130"/>
      <c r="I81" s="130"/>
    </row>
    <row r="82" spans="3:9" s="31" customFormat="1" ht="12.75">
      <c r="C82" s="130"/>
      <c r="D82" s="130"/>
      <c r="E82" s="130"/>
      <c r="F82" s="130"/>
      <c r="G82" s="130"/>
      <c r="H82" s="130"/>
      <c r="I82" s="130"/>
    </row>
    <row r="83" spans="3:9" s="31" customFormat="1" ht="12.75">
      <c r="C83" s="130"/>
      <c r="D83" s="130"/>
      <c r="E83" s="130"/>
      <c r="F83" s="130"/>
      <c r="G83" s="130"/>
      <c r="H83" s="130"/>
      <c r="I83" s="130"/>
    </row>
    <row r="84" spans="3:9" s="31" customFormat="1" ht="12.75">
      <c r="C84" s="130"/>
      <c r="D84" s="130"/>
      <c r="E84" s="130"/>
      <c r="F84" s="130"/>
      <c r="G84" s="130"/>
      <c r="H84" s="130"/>
      <c r="I84" s="130"/>
    </row>
    <row r="85" spans="3:9" s="31" customFormat="1" ht="12.75">
      <c r="C85" s="130"/>
      <c r="D85" s="130"/>
      <c r="E85" s="130"/>
      <c r="F85" s="130"/>
      <c r="G85" s="130"/>
      <c r="H85" s="130"/>
      <c r="I85" s="130"/>
    </row>
    <row r="86" spans="3:9" s="31" customFormat="1" ht="12.75">
      <c r="C86" s="130"/>
      <c r="D86" s="130"/>
      <c r="E86" s="130"/>
      <c r="F86" s="130"/>
      <c r="G86" s="130"/>
      <c r="H86" s="130"/>
      <c r="I86" s="130"/>
    </row>
    <row r="87" spans="3:9" s="31" customFormat="1" ht="12.75">
      <c r="C87" s="130"/>
      <c r="D87" s="130"/>
      <c r="E87" s="130"/>
      <c r="F87" s="130"/>
      <c r="G87" s="130"/>
      <c r="H87" s="130"/>
      <c r="I87" s="130"/>
    </row>
    <row r="88" spans="3:9" s="31" customFormat="1" ht="12.75">
      <c r="C88" s="130"/>
      <c r="D88" s="130"/>
      <c r="E88" s="130"/>
      <c r="F88" s="130"/>
      <c r="G88" s="130"/>
      <c r="H88" s="130"/>
      <c r="I88" s="130"/>
    </row>
    <row r="89" spans="3:9" s="31" customFormat="1" ht="12.75">
      <c r="C89" s="130"/>
      <c r="D89" s="130"/>
      <c r="E89" s="130"/>
      <c r="F89" s="130"/>
      <c r="G89" s="130"/>
      <c r="H89" s="130"/>
      <c r="I89" s="130"/>
    </row>
    <row r="90" spans="3:9" s="31" customFormat="1" ht="12.75">
      <c r="C90" s="130"/>
      <c r="D90" s="130"/>
      <c r="E90" s="130"/>
      <c r="F90" s="130"/>
      <c r="G90" s="130"/>
      <c r="H90" s="130"/>
      <c r="I90" s="130"/>
    </row>
    <row r="91" spans="3:9" s="31" customFormat="1" ht="12.75">
      <c r="C91" s="130"/>
      <c r="D91" s="130"/>
      <c r="E91" s="130"/>
      <c r="F91" s="130"/>
      <c r="G91" s="130"/>
      <c r="H91" s="130"/>
      <c r="I91" s="130"/>
    </row>
    <row r="92" spans="3:9" s="31" customFormat="1" ht="12.75">
      <c r="C92" s="130"/>
      <c r="D92" s="130"/>
      <c r="E92" s="130"/>
      <c r="F92" s="130"/>
      <c r="G92" s="130"/>
      <c r="H92" s="130"/>
      <c r="I92" s="130"/>
    </row>
    <row r="93" spans="3:9" s="31" customFormat="1" ht="12.75">
      <c r="C93" s="130"/>
      <c r="D93" s="130"/>
      <c r="E93" s="130"/>
      <c r="F93" s="130"/>
      <c r="G93" s="130"/>
      <c r="H93" s="130"/>
      <c r="I93" s="130"/>
    </row>
    <row r="94" spans="3:9" s="31" customFormat="1" ht="12.75">
      <c r="C94" s="130"/>
      <c r="D94" s="130"/>
      <c r="E94" s="130"/>
      <c r="F94" s="130"/>
      <c r="G94" s="130"/>
      <c r="H94" s="130"/>
      <c r="I94" s="130"/>
    </row>
    <row r="95" spans="3:9" s="31" customFormat="1" ht="12.75">
      <c r="C95" s="130"/>
      <c r="D95" s="130"/>
      <c r="E95" s="130"/>
      <c r="F95" s="130"/>
      <c r="G95" s="130"/>
      <c r="H95" s="130"/>
      <c r="I95" s="130"/>
    </row>
    <row r="96" spans="3:9" s="31" customFormat="1" ht="12.75">
      <c r="C96" s="130"/>
      <c r="D96" s="130"/>
      <c r="E96" s="130"/>
      <c r="F96" s="130"/>
      <c r="G96" s="130"/>
      <c r="H96" s="130"/>
      <c r="I96" s="130"/>
    </row>
    <row r="97" spans="3:9" s="31" customFormat="1" ht="12.75">
      <c r="C97" s="130"/>
      <c r="D97" s="130"/>
      <c r="E97" s="130"/>
      <c r="F97" s="130"/>
      <c r="G97" s="130"/>
      <c r="H97" s="130"/>
      <c r="I97" s="130"/>
    </row>
    <row r="98" spans="3:9" s="31" customFormat="1" ht="12.75">
      <c r="C98" s="130"/>
      <c r="D98" s="130"/>
      <c r="E98" s="130"/>
      <c r="F98" s="130"/>
      <c r="G98" s="130"/>
      <c r="H98" s="130"/>
      <c r="I98" s="130"/>
    </row>
    <row r="99" spans="3:9" s="31" customFormat="1" ht="12.75">
      <c r="C99" s="130"/>
      <c r="D99" s="130"/>
      <c r="E99" s="130"/>
      <c r="F99" s="130"/>
      <c r="G99" s="130"/>
      <c r="H99" s="130"/>
      <c r="I99" s="130"/>
    </row>
    <row r="100" spans="3:9" s="31" customFormat="1" ht="12.75">
      <c r="C100" s="130"/>
      <c r="D100" s="130"/>
      <c r="E100" s="130"/>
      <c r="F100" s="130"/>
      <c r="G100" s="130"/>
      <c r="H100" s="130"/>
      <c r="I100" s="130"/>
    </row>
    <row r="101" spans="3:9" s="31" customFormat="1" ht="12.75">
      <c r="C101" s="130"/>
      <c r="D101" s="130"/>
      <c r="E101" s="130"/>
      <c r="F101" s="130"/>
      <c r="G101" s="130"/>
      <c r="H101" s="130"/>
      <c r="I101" s="130"/>
    </row>
    <row r="102" spans="3:9" s="31" customFormat="1" ht="12.75">
      <c r="C102" s="130"/>
      <c r="D102" s="130"/>
      <c r="E102" s="130"/>
      <c r="F102" s="130"/>
      <c r="G102" s="130"/>
      <c r="H102" s="130"/>
      <c r="I102" s="130"/>
    </row>
    <row r="103" spans="3:9" s="31" customFormat="1" ht="12.75">
      <c r="C103" s="130"/>
      <c r="D103" s="130"/>
      <c r="E103" s="130"/>
      <c r="F103" s="130"/>
      <c r="G103" s="130"/>
      <c r="H103" s="130"/>
      <c r="I103" s="130"/>
    </row>
    <row r="104" spans="3:9" s="31" customFormat="1" ht="12.75">
      <c r="C104" s="130"/>
      <c r="D104" s="130"/>
      <c r="E104" s="130"/>
      <c r="F104" s="130"/>
      <c r="G104" s="130"/>
      <c r="H104" s="130"/>
      <c r="I104" s="130"/>
    </row>
    <row r="105" spans="3:9" s="31" customFormat="1" ht="12.75">
      <c r="C105" s="130"/>
      <c r="D105" s="130"/>
      <c r="E105" s="130"/>
      <c r="F105" s="130"/>
      <c r="G105" s="130"/>
      <c r="H105" s="130"/>
      <c r="I105" s="130"/>
    </row>
    <row r="106" spans="3:9" s="31" customFormat="1" ht="12.75">
      <c r="C106" s="130"/>
      <c r="D106" s="130"/>
      <c r="E106" s="130"/>
      <c r="F106" s="130"/>
      <c r="G106" s="130"/>
      <c r="H106" s="130"/>
      <c r="I106" s="130"/>
    </row>
    <row r="107" spans="3:9" s="31" customFormat="1" ht="12.75">
      <c r="C107" s="130"/>
      <c r="D107" s="130"/>
      <c r="E107" s="130"/>
      <c r="F107" s="130"/>
      <c r="G107" s="130"/>
      <c r="H107" s="130"/>
      <c r="I107" s="130"/>
    </row>
    <row r="108" spans="3:9" s="31" customFormat="1" ht="12.75">
      <c r="C108" s="130"/>
      <c r="D108" s="130"/>
      <c r="E108" s="130"/>
      <c r="F108" s="130"/>
      <c r="G108" s="130"/>
      <c r="H108" s="130"/>
      <c r="I108" s="130"/>
    </row>
    <row r="109" spans="3:9" s="31" customFormat="1" ht="12.75">
      <c r="C109" s="130"/>
      <c r="D109" s="130"/>
      <c r="E109" s="130"/>
      <c r="F109" s="130"/>
      <c r="G109" s="130"/>
      <c r="H109" s="130"/>
      <c r="I109" s="130"/>
    </row>
    <row r="110" spans="3:9" s="31" customFormat="1" ht="12.75">
      <c r="C110" s="130"/>
      <c r="D110" s="130"/>
      <c r="E110" s="130"/>
      <c r="F110" s="130"/>
      <c r="G110" s="130"/>
      <c r="H110" s="130"/>
      <c r="I110" s="130"/>
    </row>
    <row r="111" spans="3:9" s="31" customFormat="1" ht="12.75">
      <c r="C111" s="130"/>
      <c r="D111" s="130"/>
      <c r="E111" s="130"/>
      <c r="F111" s="130"/>
      <c r="G111" s="130"/>
      <c r="H111" s="130"/>
      <c r="I111" s="130"/>
    </row>
    <row r="112" spans="3:9" s="31" customFormat="1" ht="12.75">
      <c r="C112" s="130"/>
      <c r="D112" s="130"/>
      <c r="E112" s="130"/>
      <c r="F112" s="130"/>
      <c r="G112" s="130"/>
      <c r="H112" s="130"/>
      <c r="I112" s="130"/>
    </row>
    <row r="113" spans="3:9" s="31" customFormat="1" ht="12.75">
      <c r="C113" s="130"/>
      <c r="D113" s="130"/>
      <c r="E113" s="130"/>
      <c r="F113" s="130"/>
      <c r="G113" s="130"/>
      <c r="H113" s="130"/>
      <c r="I113" s="130"/>
    </row>
    <row r="114" spans="3:9" s="31" customFormat="1" ht="12.75">
      <c r="C114" s="130"/>
      <c r="D114" s="130"/>
      <c r="E114" s="130"/>
      <c r="F114" s="130"/>
      <c r="G114" s="130"/>
      <c r="H114" s="130"/>
      <c r="I114" s="130"/>
    </row>
    <row r="115" spans="3:9" s="31" customFormat="1" ht="12.75">
      <c r="C115" s="130"/>
      <c r="D115" s="130"/>
      <c r="E115" s="130"/>
      <c r="F115" s="130"/>
      <c r="G115" s="130"/>
      <c r="H115" s="130"/>
      <c r="I115" s="130"/>
    </row>
    <row r="116" spans="3:9" s="31" customFormat="1" ht="12.75">
      <c r="C116" s="130"/>
      <c r="D116" s="130"/>
      <c r="E116" s="130"/>
      <c r="F116" s="130"/>
      <c r="G116" s="130"/>
      <c r="H116" s="130"/>
      <c r="I116" s="130"/>
    </row>
    <row r="117" spans="3:9" s="31" customFormat="1" ht="12.75">
      <c r="C117" s="130"/>
      <c r="D117" s="130"/>
      <c r="E117" s="130"/>
      <c r="F117" s="130"/>
      <c r="G117" s="130"/>
      <c r="H117" s="130"/>
      <c r="I117" s="130"/>
    </row>
    <row r="118" spans="3:9" s="31" customFormat="1" ht="12.75">
      <c r="C118" s="130"/>
      <c r="D118" s="130"/>
      <c r="E118" s="130"/>
      <c r="F118" s="130"/>
      <c r="G118" s="130"/>
      <c r="H118" s="130"/>
      <c r="I118" s="130"/>
    </row>
    <row r="119" spans="3:9" s="31" customFormat="1" ht="12.75">
      <c r="C119" s="130"/>
      <c r="D119" s="130"/>
      <c r="E119" s="130"/>
      <c r="F119" s="130"/>
      <c r="G119" s="130"/>
      <c r="H119" s="130"/>
      <c r="I119" s="130"/>
    </row>
    <row r="120" spans="3:9" s="31" customFormat="1" ht="12.75">
      <c r="C120" s="130"/>
      <c r="D120" s="130"/>
      <c r="E120" s="130"/>
      <c r="F120" s="130"/>
      <c r="G120" s="130"/>
      <c r="H120" s="130"/>
      <c r="I120" s="130"/>
    </row>
    <row r="121" spans="3:16" s="31" customFormat="1" ht="12.75">
      <c r="C121" s="130"/>
      <c r="D121" s="130"/>
      <c r="E121" s="130"/>
      <c r="F121" s="130"/>
      <c r="G121" s="130"/>
      <c r="H121" s="130"/>
      <c r="I121" s="130"/>
      <c r="J121" s="124"/>
      <c r="K121" s="124"/>
      <c r="L121" s="124"/>
      <c r="M121" s="125"/>
      <c r="N121" s="125"/>
      <c r="O121" s="124"/>
      <c r="P121" s="124"/>
    </row>
  </sheetData>
  <sheetProtection/>
  <mergeCells count="26">
    <mergeCell ref="B29:L29"/>
    <mergeCell ref="A2:H3"/>
    <mergeCell ref="H6:H9"/>
    <mergeCell ref="G6:G9"/>
    <mergeCell ref="F6:F9"/>
    <mergeCell ref="B5:B9"/>
    <mergeCell ref="F5:H5"/>
    <mergeCell ref="C5:E5"/>
    <mergeCell ref="J7:J8"/>
    <mergeCell ref="J9:L9"/>
    <mergeCell ref="E6:E9"/>
    <mergeCell ref="I6:I9"/>
    <mergeCell ref="M9:O9"/>
    <mergeCell ref="M7:M8"/>
    <mergeCell ref="M6:O6"/>
    <mergeCell ref="O7:O8"/>
    <mergeCell ref="B28:L28"/>
    <mergeCell ref="A5:A9"/>
    <mergeCell ref="L7:L8"/>
    <mergeCell ref="J5:P5"/>
    <mergeCell ref="K7:K8"/>
    <mergeCell ref="N7:N8"/>
    <mergeCell ref="P7:P8"/>
    <mergeCell ref="J6:L6"/>
    <mergeCell ref="C6:C9"/>
    <mergeCell ref="D6:D9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0"/>
  <sheetViews>
    <sheetView zoomScalePageLayoutView="0" workbookViewId="0" topLeftCell="A1">
      <pane xSplit="4" ySplit="6" topLeftCell="E22" activePane="bottomRight" state="frozen"/>
      <selection pane="topLeft" activeCell="BU18" sqref="BU18:CI18"/>
      <selection pane="topRight" activeCell="BU18" sqref="BU18:CI18"/>
      <selection pane="bottomLeft" activeCell="BU18" sqref="BU18:CI18"/>
      <selection pane="bottomRight" activeCell="BU18" sqref="BU18:CI18"/>
    </sheetView>
  </sheetViews>
  <sheetFormatPr defaultColWidth="9.140625" defaultRowHeight="12.75"/>
  <cols>
    <col min="2" max="2" width="78.57421875" style="0" customWidth="1"/>
    <col min="3" max="4" width="10.57421875" style="0" customWidth="1"/>
    <col min="5" max="9" width="16.421875" style="0" customWidth="1"/>
    <col min="10" max="10" width="11.00390625" style="0" customWidth="1"/>
    <col min="11" max="11" width="14.57421875" style="0" customWidth="1"/>
    <col min="12" max="12" width="21.57421875" style="0" hidden="1" customWidth="1"/>
    <col min="13" max="13" width="22.7109375" style="0" hidden="1" customWidth="1"/>
    <col min="14" max="14" width="12.28125" style="0" hidden="1" customWidth="1"/>
    <col min="15" max="15" width="17.421875" style="0" hidden="1" customWidth="1"/>
    <col min="16" max="20" width="16.421875" style="0" hidden="1" customWidth="1"/>
  </cols>
  <sheetData>
    <row r="1" spans="11:14" ht="12.75">
      <c r="K1" s="309" t="s">
        <v>209</v>
      </c>
      <c r="L1" s="309"/>
      <c r="M1" s="309"/>
      <c r="N1" s="309"/>
    </row>
    <row r="2" spans="1:20" ht="42.75" customHeight="1">
      <c r="A2" s="343" t="s">
        <v>272</v>
      </c>
      <c r="B2" s="343"/>
      <c r="C2" s="343"/>
      <c r="D2" s="343"/>
      <c r="E2" s="343"/>
      <c r="F2" s="100"/>
      <c r="G2" s="100"/>
      <c r="H2" s="100"/>
      <c r="I2" s="100"/>
      <c r="J2" s="100"/>
      <c r="Q2" s="100"/>
      <c r="R2" s="100"/>
      <c r="S2" s="100"/>
      <c r="T2" s="100"/>
    </row>
    <row r="3" ht="12.75">
      <c r="A3" s="1"/>
    </row>
    <row r="4" spans="2:20" ht="12.75">
      <c r="B4" s="2"/>
      <c r="C4" s="2"/>
      <c r="D4" s="2"/>
      <c r="E4" s="2"/>
      <c r="F4" s="2"/>
      <c r="G4" s="2"/>
      <c r="H4" s="2"/>
      <c r="I4" s="2"/>
      <c r="J4" s="2"/>
      <c r="K4" s="107" t="s">
        <v>62</v>
      </c>
      <c r="P4" s="2"/>
      <c r="Q4" s="2"/>
      <c r="R4" s="2"/>
      <c r="S4" s="2"/>
      <c r="T4" s="2"/>
    </row>
    <row r="5" spans="1:20" ht="12.75">
      <c r="A5" s="345" t="s">
        <v>70</v>
      </c>
      <c r="B5" s="345" t="s">
        <v>214</v>
      </c>
      <c r="C5" s="345" t="s">
        <v>71</v>
      </c>
      <c r="D5" s="345" t="s">
        <v>73</v>
      </c>
      <c r="E5" s="344" t="s">
        <v>215</v>
      </c>
      <c r="F5" s="346" t="s">
        <v>165</v>
      </c>
      <c r="G5" s="346"/>
      <c r="H5" s="346"/>
      <c r="I5" s="346"/>
      <c r="J5" s="79"/>
      <c r="K5" s="344" t="s">
        <v>420</v>
      </c>
      <c r="N5" s="344" t="s">
        <v>173</v>
      </c>
      <c r="O5" s="344" t="s">
        <v>172</v>
      </c>
      <c r="P5" s="344" t="s">
        <v>72</v>
      </c>
      <c r="Q5" s="346" t="s">
        <v>165</v>
      </c>
      <c r="R5" s="346"/>
      <c r="S5" s="346"/>
      <c r="T5" s="346"/>
    </row>
    <row r="6" spans="1:20" ht="78.75" customHeight="1">
      <c r="A6" s="345"/>
      <c r="B6" s="345"/>
      <c r="C6" s="345"/>
      <c r="D6" s="345"/>
      <c r="E6" s="344"/>
      <c r="F6" s="105" t="s">
        <v>167</v>
      </c>
      <c r="G6" s="105" t="s">
        <v>168</v>
      </c>
      <c r="H6" s="105" t="s">
        <v>169</v>
      </c>
      <c r="I6" s="105" t="s">
        <v>170</v>
      </c>
      <c r="J6" s="105" t="s">
        <v>244</v>
      </c>
      <c r="K6" s="344"/>
      <c r="L6" s="106" t="s">
        <v>63</v>
      </c>
      <c r="M6" s="6" t="s">
        <v>64</v>
      </c>
      <c r="N6" s="344"/>
      <c r="O6" s="344"/>
      <c r="P6" s="344"/>
      <c r="Q6" s="105" t="s">
        <v>167</v>
      </c>
      <c r="R6" s="105" t="s">
        <v>168</v>
      </c>
      <c r="S6" s="105" t="s">
        <v>169</v>
      </c>
      <c r="T6" s="105" t="s">
        <v>170</v>
      </c>
    </row>
    <row r="7" spans="1:20" s="114" customFormat="1" ht="27">
      <c r="A7" s="280">
        <v>1</v>
      </c>
      <c r="B7" s="97" t="s">
        <v>90</v>
      </c>
      <c r="C7" s="72"/>
      <c r="D7" s="72" t="s">
        <v>74</v>
      </c>
      <c r="E7" s="98">
        <f aca="true" t="shared" si="0" ref="E7:E22">F7+G7+H7+I7</f>
        <v>366.47499999999997</v>
      </c>
      <c r="F7" s="98">
        <f>267.337+85.022</f>
        <v>352.359</v>
      </c>
      <c r="G7" s="98"/>
      <c r="H7" s="98"/>
      <c r="I7" s="98">
        <v>14.116</v>
      </c>
      <c r="J7" s="98"/>
      <c r="K7" s="98">
        <v>2211.553</v>
      </c>
      <c r="L7" s="242"/>
      <c r="M7" s="243"/>
      <c r="N7" s="250"/>
      <c r="O7" s="242"/>
      <c r="P7" s="241"/>
      <c r="Q7" s="241"/>
      <c r="R7" s="241"/>
      <c r="S7" s="241"/>
      <c r="T7" s="241"/>
    </row>
    <row r="8" spans="1:20" s="114" customFormat="1" ht="26.25">
      <c r="A8" s="99">
        <f aca="true" t="shared" si="1" ref="A8:A25">A7+1</f>
        <v>2</v>
      </c>
      <c r="B8" s="97" t="s">
        <v>91</v>
      </c>
      <c r="C8" s="281"/>
      <c r="D8" s="72" t="s">
        <v>74</v>
      </c>
      <c r="E8" s="98">
        <f t="shared" si="0"/>
        <v>472.452</v>
      </c>
      <c r="F8" s="98">
        <f>287.554+166.826</f>
        <v>454.38</v>
      </c>
      <c r="G8" s="98"/>
      <c r="H8" s="98"/>
      <c r="I8" s="98">
        <v>18.072</v>
      </c>
      <c r="J8" s="98"/>
      <c r="K8" s="98">
        <v>2851.872</v>
      </c>
      <c r="L8" s="242"/>
      <c r="M8" s="243"/>
      <c r="N8" s="242"/>
      <c r="O8" s="242"/>
      <c r="P8" s="241"/>
      <c r="Q8" s="241"/>
      <c r="R8" s="241"/>
      <c r="S8" s="241"/>
      <c r="T8" s="241"/>
    </row>
    <row r="9" spans="1:20" s="114" customFormat="1" ht="26.25">
      <c r="A9" s="99">
        <f t="shared" si="1"/>
        <v>3</v>
      </c>
      <c r="B9" s="97" t="s">
        <v>92</v>
      </c>
      <c r="C9" s="281"/>
      <c r="D9" s="72" t="s">
        <v>74</v>
      </c>
      <c r="E9" s="98">
        <f t="shared" si="0"/>
        <v>258.286</v>
      </c>
      <c r="F9" s="98">
        <f>92.178+154.482</f>
        <v>246.66</v>
      </c>
      <c r="G9" s="98"/>
      <c r="H9" s="98"/>
      <c r="I9" s="98">
        <v>11.626</v>
      </c>
      <c r="J9" s="98"/>
      <c r="K9" s="98">
        <v>1554.149</v>
      </c>
      <c r="L9" s="242"/>
      <c r="M9" s="243"/>
      <c r="N9" s="242"/>
      <c r="O9" s="242"/>
      <c r="P9" s="241"/>
      <c r="Q9" s="241"/>
      <c r="R9" s="241"/>
      <c r="S9" s="241"/>
      <c r="T9" s="241"/>
    </row>
    <row r="10" spans="1:20" s="114" customFormat="1" ht="26.25">
      <c r="A10" s="99">
        <f t="shared" si="1"/>
        <v>4</v>
      </c>
      <c r="B10" s="97" t="s">
        <v>93</v>
      </c>
      <c r="C10" s="281"/>
      <c r="D10" s="72" t="s">
        <v>74</v>
      </c>
      <c r="E10" s="98">
        <f t="shared" si="0"/>
        <v>364.405</v>
      </c>
      <c r="F10" s="98">
        <f>116.527+232.293</f>
        <v>348.82</v>
      </c>
      <c r="G10" s="98"/>
      <c r="H10" s="98"/>
      <c r="I10" s="98">
        <v>15.585</v>
      </c>
      <c r="J10" s="98"/>
      <c r="K10" s="98">
        <v>2195.331</v>
      </c>
      <c r="L10" s="242"/>
      <c r="M10" s="243"/>
      <c r="N10" s="242"/>
      <c r="O10" s="242"/>
      <c r="P10" s="241"/>
      <c r="Q10" s="241"/>
      <c r="R10" s="241"/>
      <c r="S10" s="241"/>
      <c r="T10" s="241"/>
    </row>
    <row r="11" spans="1:20" s="114" customFormat="1" ht="26.25">
      <c r="A11" s="99">
        <f t="shared" si="1"/>
        <v>5</v>
      </c>
      <c r="B11" s="97" t="s">
        <v>94</v>
      </c>
      <c r="C11" s="281"/>
      <c r="D11" s="72" t="s">
        <v>74</v>
      </c>
      <c r="E11" s="98">
        <f t="shared" si="0"/>
        <v>422.705</v>
      </c>
      <c r="F11" s="98">
        <f>169.334+152.537</f>
        <v>321.871</v>
      </c>
      <c r="G11" s="98">
        <v>82.473</v>
      </c>
      <c r="H11" s="98"/>
      <c r="I11" s="98">
        <v>18.361</v>
      </c>
      <c r="J11" s="98"/>
      <c r="K11" s="98">
        <v>2382.035</v>
      </c>
      <c r="L11" s="242"/>
      <c r="M11" s="243"/>
      <c r="N11" s="348">
        <v>619.3865</v>
      </c>
      <c r="O11" s="347" t="s">
        <v>174</v>
      </c>
      <c r="P11" s="244"/>
      <c r="Q11" s="241"/>
      <c r="R11" s="241"/>
      <c r="S11" s="241"/>
      <c r="T11" s="241"/>
    </row>
    <row r="12" spans="1:20" s="114" customFormat="1" ht="26.25">
      <c r="A12" s="99">
        <f t="shared" si="1"/>
        <v>6</v>
      </c>
      <c r="B12" s="97" t="s">
        <v>95</v>
      </c>
      <c r="C12" s="281"/>
      <c r="D12" s="72" t="s">
        <v>74</v>
      </c>
      <c r="E12" s="98">
        <f t="shared" si="0"/>
        <v>640.25</v>
      </c>
      <c r="F12" s="98">
        <f>174.652+274.928</f>
        <v>449.58</v>
      </c>
      <c r="G12" s="98">
        <v>164.945</v>
      </c>
      <c r="H12" s="98"/>
      <c r="I12" s="98">
        <v>25.725</v>
      </c>
      <c r="J12" s="98"/>
      <c r="K12" s="98">
        <v>3534.443</v>
      </c>
      <c r="L12" s="242"/>
      <c r="M12" s="243"/>
      <c r="N12" s="349"/>
      <c r="O12" s="347"/>
      <c r="P12" s="244"/>
      <c r="Q12" s="241"/>
      <c r="R12" s="241"/>
      <c r="S12" s="241"/>
      <c r="T12" s="241"/>
    </row>
    <row r="13" spans="1:20" s="114" customFormat="1" ht="26.25">
      <c r="A13" s="99">
        <f t="shared" si="1"/>
        <v>7</v>
      </c>
      <c r="B13" s="97" t="s">
        <v>96</v>
      </c>
      <c r="C13" s="281"/>
      <c r="D13" s="72" t="s">
        <v>74</v>
      </c>
      <c r="E13" s="98">
        <f t="shared" si="0"/>
        <v>321.094</v>
      </c>
      <c r="F13" s="98">
        <f>70.614+151.985</f>
        <v>222.59900000000002</v>
      </c>
      <c r="G13" s="98">
        <v>82.473</v>
      </c>
      <c r="H13" s="98"/>
      <c r="I13" s="98">
        <v>16.022</v>
      </c>
      <c r="J13" s="98"/>
      <c r="K13" s="98">
        <v>1764.604</v>
      </c>
      <c r="L13" s="242"/>
      <c r="M13" s="243"/>
      <c r="N13" s="349"/>
      <c r="O13" s="347"/>
      <c r="P13" s="244"/>
      <c r="Q13" s="241"/>
      <c r="R13" s="241"/>
      <c r="S13" s="241"/>
      <c r="T13" s="241"/>
    </row>
    <row r="14" spans="1:20" s="114" customFormat="1" ht="26.25">
      <c r="A14" s="99">
        <f t="shared" si="1"/>
        <v>8</v>
      </c>
      <c r="B14" s="97" t="s">
        <v>97</v>
      </c>
      <c r="C14" s="281"/>
      <c r="D14" s="72" t="s">
        <v>74</v>
      </c>
      <c r="E14" s="98">
        <f t="shared" si="0"/>
        <v>501.89599999999996</v>
      </c>
      <c r="F14" s="98">
        <f>80.645+233.765</f>
        <v>314.40999999999997</v>
      </c>
      <c r="G14" s="98">
        <v>164.945</v>
      </c>
      <c r="H14" s="98"/>
      <c r="I14" s="98">
        <v>22.541</v>
      </c>
      <c r="J14" s="98"/>
      <c r="K14" s="98">
        <v>2693.743</v>
      </c>
      <c r="L14" s="242"/>
      <c r="M14" s="243"/>
      <c r="N14" s="350"/>
      <c r="O14" s="347"/>
      <c r="P14" s="244"/>
      <c r="Q14" s="241"/>
      <c r="R14" s="241"/>
      <c r="S14" s="241"/>
      <c r="T14" s="241"/>
    </row>
    <row r="15" spans="1:20" s="114" customFormat="1" ht="26.25">
      <c r="A15" s="99">
        <f t="shared" si="1"/>
        <v>9</v>
      </c>
      <c r="B15" s="97" t="s">
        <v>98</v>
      </c>
      <c r="C15" s="281"/>
      <c r="D15" s="72" t="s">
        <v>74</v>
      </c>
      <c r="E15" s="98">
        <f t="shared" si="0"/>
        <v>353.91</v>
      </c>
      <c r="F15" s="98">
        <f>254.627+85.022</f>
        <v>339.649</v>
      </c>
      <c r="G15" s="98"/>
      <c r="H15" s="98"/>
      <c r="I15" s="98">
        <v>14.261</v>
      </c>
      <c r="J15" s="98"/>
      <c r="K15" s="98">
        <v>2136.033</v>
      </c>
      <c r="L15" s="242"/>
      <c r="M15" s="243"/>
      <c r="N15" s="351">
        <v>606.1442</v>
      </c>
      <c r="O15" s="347" t="s">
        <v>175</v>
      </c>
      <c r="P15" s="247"/>
      <c r="Q15" s="241"/>
      <c r="R15" s="241"/>
      <c r="S15" s="241"/>
      <c r="T15" s="241"/>
    </row>
    <row r="16" spans="1:20" s="114" customFormat="1" ht="26.25">
      <c r="A16" s="99">
        <f t="shared" si="1"/>
        <v>10</v>
      </c>
      <c r="B16" s="97" t="s">
        <v>99</v>
      </c>
      <c r="C16" s="281"/>
      <c r="D16" s="72" t="s">
        <v>74</v>
      </c>
      <c r="E16" s="98">
        <f t="shared" si="0"/>
        <v>460.922</v>
      </c>
      <c r="F16" s="98">
        <f>275.855+166.826</f>
        <v>442.68100000000004</v>
      </c>
      <c r="G16" s="98"/>
      <c r="H16" s="98"/>
      <c r="I16" s="98">
        <v>18.241</v>
      </c>
      <c r="J16" s="98"/>
      <c r="K16" s="98">
        <v>2782.639</v>
      </c>
      <c r="L16" s="242">
        <f>K16*0.18</f>
        <v>500.87502</v>
      </c>
      <c r="M16" s="243">
        <f>K16+L16</f>
        <v>3283.51402</v>
      </c>
      <c r="N16" s="352"/>
      <c r="O16" s="347"/>
      <c r="P16" s="247"/>
      <c r="Q16" s="241"/>
      <c r="R16" s="241"/>
      <c r="S16" s="241"/>
      <c r="T16" s="241"/>
    </row>
    <row r="17" spans="1:20" s="114" customFormat="1" ht="26.25">
      <c r="A17" s="99">
        <f t="shared" si="1"/>
        <v>11</v>
      </c>
      <c r="B17" s="97" t="s">
        <v>100</v>
      </c>
      <c r="C17" s="281"/>
      <c r="D17" s="72" t="s">
        <v>74</v>
      </c>
      <c r="E17" s="98">
        <f t="shared" si="0"/>
        <v>239.418</v>
      </c>
      <c r="F17" s="98">
        <f>73.31+154.482</f>
        <v>227.792</v>
      </c>
      <c r="G17" s="98"/>
      <c r="H17" s="98"/>
      <c r="I17" s="98">
        <v>11.626</v>
      </c>
      <c r="J17" s="98"/>
      <c r="K17" s="98">
        <v>1440.328</v>
      </c>
      <c r="L17" s="242"/>
      <c r="M17" s="243"/>
      <c r="N17" s="352"/>
      <c r="O17" s="347"/>
      <c r="P17" s="247"/>
      <c r="Q17" s="241"/>
      <c r="R17" s="241"/>
      <c r="S17" s="241"/>
      <c r="T17" s="241"/>
    </row>
    <row r="18" spans="1:20" s="114" customFormat="1" ht="26.25">
      <c r="A18" s="99">
        <f t="shared" si="1"/>
        <v>12</v>
      </c>
      <c r="B18" s="97" t="s">
        <v>101</v>
      </c>
      <c r="C18" s="281"/>
      <c r="D18" s="72" t="s">
        <v>74</v>
      </c>
      <c r="E18" s="98">
        <f t="shared" si="0"/>
        <v>345.537</v>
      </c>
      <c r="F18" s="98">
        <f>97.659+232.293</f>
        <v>329.952</v>
      </c>
      <c r="G18" s="98"/>
      <c r="H18" s="98"/>
      <c r="I18" s="98">
        <v>15.585</v>
      </c>
      <c r="J18" s="98"/>
      <c r="K18" s="98">
        <v>2081.51</v>
      </c>
      <c r="L18" s="242"/>
      <c r="M18" s="243"/>
      <c r="N18" s="353"/>
      <c r="O18" s="347"/>
      <c r="P18" s="247"/>
      <c r="Q18" s="241"/>
      <c r="R18" s="241"/>
      <c r="S18" s="241"/>
      <c r="T18" s="241"/>
    </row>
    <row r="19" spans="1:20" s="114" customFormat="1" ht="26.25">
      <c r="A19" s="99">
        <f t="shared" si="1"/>
        <v>13</v>
      </c>
      <c r="B19" s="97" t="s">
        <v>102</v>
      </c>
      <c r="C19" s="281"/>
      <c r="D19" s="72" t="s">
        <v>74</v>
      </c>
      <c r="E19" s="98">
        <f t="shared" si="0"/>
        <v>406.656</v>
      </c>
      <c r="F19" s="98">
        <f>153.175+152.537</f>
        <v>305.712</v>
      </c>
      <c r="G19" s="98">
        <v>82.473</v>
      </c>
      <c r="H19" s="98"/>
      <c r="I19" s="98">
        <v>18.471</v>
      </c>
      <c r="J19" s="98"/>
      <c r="K19" s="98">
        <v>2285.43</v>
      </c>
      <c r="L19" s="242"/>
      <c r="M19" s="243"/>
      <c r="N19" s="348">
        <v>657.4684</v>
      </c>
      <c r="O19" s="347" t="s">
        <v>176</v>
      </c>
      <c r="P19" s="244"/>
      <c r="Q19" s="241"/>
      <c r="R19" s="241"/>
      <c r="S19" s="241"/>
      <c r="T19" s="241"/>
    </row>
    <row r="20" spans="1:20" s="114" customFormat="1" ht="26.25">
      <c r="A20" s="99">
        <f t="shared" si="1"/>
        <v>14</v>
      </c>
      <c r="B20" s="97" t="s">
        <v>103</v>
      </c>
      <c r="C20" s="281"/>
      <c r="D20" s="72" t="s">
        <v>74</v>
      </c>
      <c r="E20" s="98">
        <f t="shared" si="0"/>
        <v>625.667</v>
      </c>
      <c r="F20" s="98">
        <f>159.905+274.928</f>
        <v>434.83299999999997</v>
      </c>
      <c r="G20" s="98">
        <v>164.945</v>
      </c>
      <c r="H20" s="98"/>
      <c r="I20" s="98">
        <v>25.889</v>
      </c>
      <c r="J20" s="98"/>
      <c r="K20" s="98">
        <v>3446.782</v>
      </c>
      <c r="L20" s="242"/>
      <c r="M20" s="243"/>
      <c r="N20" s="349"/>
      <c r="O20" s="347"/>
      <c r="P20" s="244"/>
      <c r="Q20" s="241"/>
      <c r="R20" s="241"/>
      <c r="S20" s="241"/>
      <c r="T20" s="241"/>
    </row>
    <row r="21" spans="1:20" s="114" customFormat="1" ht="26.25">
      <c r="A21" s="99">
        <f t="shared" si="1"/>
        <v>15</v>
      </c>
      <c r="B21" s="97" t="s">
        <v>104</v>
      </c>
      <c r="C21" s="281"/>
      <c r="D21" s="72" t="s">
        <v>74</v>
      </c>
      <c r="E21" s="98">
        <f t="shared" si="0"/>
        <v>300.247</v>
      </c>
      <c r="F21" s="98">
        <f>49.767+151.985</f>
        <v>201.752</v>
      </c>
      <c r="G21" s="98">
        <v>82.473</v>
      </c>
      <c r="H21" s="98"/>
      <c r="I21" s="98">
        <v>16.022</v>
      </c>
      <c r="J21" s="98"/>
      <c r="K21" s="98">
        <v>1638.844</v>
      </c>
      <c r="L21" s="242"/>
      <c r="M21" s="243"/>
      <c r="N21" s="349"/>
      <c r="O21" s="347"/>
      <c r="P21" s="244"/>
      <c r="Q21" s="241"/>
      <c r="R21" s="241"/>
      <c r="S21" s="241"/>
      <c r="T21" s="241"/>
    </row>
    <row r="22" spans="1:20" s="114" customFormat="1" ht="26.25">
      <c r="A22" s="99">
        <f t="shared" si="1"/>
        <v>16</v>
      </c>
      <c r="B22" s="97" t="s">
        <v>105</v>
      </c>
      <c r="C22" s="281"/>
      <c r="D22" s="72" t="s">
        <v>74</v>
      </c>
      <c r="E22" s="98">
        <f t="shared" si="0"/>
        <v>481.06899999999996</v>
      </c>
      <c r="F22" s="98">
        <f>59.799+233.765</f>
        <v>293.56399999999996</v>
      </c>
      <c r="G22" s="98">
        <v>164.945</v>
      </c>
      <c r="H22" s="98"/>
      <c r="I22" s="98">
        <v>22.56</v>
      </c>
      <c r="J22" s="98"/>
      <c r="K22" s="98">
        <v>2568.145</v>
      </c>
      <c r="L22" s="242"/>
      <c r="M22" s="243"/>
      <c r="N22" s="350"/>
      <c r="O22" s="347"/>
      <c r="P22" s="245"/>
      <c r="Q22" s="246"/>
      <c r="R22" s="246"/>
      <c r="S22" s="246"/>
      <c r="T22" s="246"/>
    </row>
    <row r="23" spans="1:11" ht="12.75">
      <c r="A23" s="99">
        <f t="shared" si="1"/>
        <v>17</v>
      </c>
      <c r="B23" s="97" t="s">
        <v>106</v>
      </c>
      <c r="C23" s="282"/>
      <c r="D23" s="108" t="s">
        <v>166</v>
      </c>
      <c r="E23" s="98">
        <f>F23+G23+H23+I23+J23</f>
        <v>48.789</v>
      </c>
      <c r="F23" s="282">
        <v>8.976</v>
      </c>
      <c r="G23" s="282">
        <v>32.709</v>
      </c>
      <c r="H23" s="282"/>
      <c r="I23" s="282">
        <v>7.104</v>
      </c>
      <c r="J23" s="282"/>
      <c r="K23" s="282">
        <v>276.532</v>
      </c>
    </row>
    <row r="24" spans="1:11" ht="12.75">
      <c r="A24" s="99">
        <f t="shared" si="1"/>
        <v>18</v>
      </c>
      <c r="B24" s="97" t="s">
        <v>107</v>
      </c>
      <c r="C24" s="282"/>
      <c r="D24" s="108" t="s">
        <v>166</v>
      </c>
      <c r="E24" s="98">
        <f aca="true" t="shared" si="2" ref="E24:E36">F24+G24+H24+I24+J24</f>
        <v>72.328</v>
      </c>
      <c r="F24" s="282">
        <v>8.715</v>
      </c>
      <c r="G24" s="282">
        <v>55.192</v>
      </c>
      <c r="H24" s="282"/>
      <c r="I24" s="282">
        <v>8.421</v>
      </c>
      <c r="J24" s="282"/>
      <c r="K24" s="282">
        <v>399.038</v>
      </c>
    </row>
    <row r="25" spans="1:11" ht="12.75">
      <c r="A25" s="99">
        <f t="shared" si="1"/>
        <v>19</v>
      </c>
      <c r="B25" s="97" t="s">
        <v>108</v>
      </c>
      <c r="C25" s="282"/>
      <c r="D25" s="108" t="s">
        <v>166</v>
      </c>
      <c r="E25" s="98">
        <f t="shared" si="2"/>
        <v>76.908</v>
      </c>
      <c r="F25" s="282">
        <v>8.976</v>
      </c>
      <c r="G25" s="282">
        <v>59.111</v>
      </c>
      <c r="H25" s="282"/>
      <c r="I25" s="282">
        <v>8.821</v>
      </c>
      <c r="J25" s="282"/>
      <c r="K25" s="282">
        <v>410.525</v>
      </c>
    </row>
    <row r="26" spans="1:11" ht="12.75">
      <c r="A26" s="99">
        <f aca="true" t="shared" si="3" ref="A26:A46">A25+1</f>
        <v>20</v>
      </c>
      <c r="B26" s="97" t="s">
        <v>419</v>
      </c>
      <c r="C26" s="282"/>
      <c r="D26" s="108" t="s">
        <v>166</v>
      </c>
      <c r="E26" s="98">
        <f>F26+G26+H26+I26+J26</f>
        <v>171.011</v>
      </c>
      <c r="F26" s="282">
        <v>10.981</v>
      </c>
      <c r="G26" s="282">
        <v>145.544</v>
      </c>
      <c r="H26" s="282"/>
      <c r="I26" s="282">
        <v>14.486</v>
      </c>
      <c r="J26" s="282"/>
      <c r="K26" s="282">
        <v>869.834</v>
      </c>
    </row>
    <row r="27" spans="1:11" ht="12.75">
      <c r="A27" s="99">
        <f t="shared" si="3"/>
        <v>21</v>
      </c>
      <c r="B27" s="97" t="s">
        <v>245</v>
      </c>
      <c r="C27" s="283"/>
      <c r="D27" s="108" t="s">
        <v>166</v>
      </c>
      <c r="E27" s="98">
        <f t="shared" si="2"/>
        <v>285.15</v>
      </c>
      <c r="F27" s="284">
        <f>21.276+12.658</f>
        <v>33.934</v>
      </c>
      <c r="G27" s="284">
        <v>229.775</v>
      </c>
      <c r="H27" s="284"/>
      <c r="I27" s="284">
        <v>21.441</v>
      </c>
      <c r="J27" s="284"/>
      <c r="K27" s="284">
        <v>1546.779</v>
      </c>
    </row>
    <row r="28" spans="1:11" s="114" customFormat="1" ht="12.75">
      <c r="A28" s="99">
        <f t="shared" si="3"/>
        <v>22</v>
      </c>
      <c r="B28" s="97" t="s">
        <v>246</v>
      </c>
      <c r="C28" s="283"/>
      <c r="D28" s="108" t="s">
        <v>166</v>
      </c>
      <c r="E28" s="98">
        <f t="shared" si="2"/>
        <v>406.53999999999996</v>
      </c>
      <c r="F28" s="284">
        <f>21.326+12.658</f>
        <v>33.984</v>
      </c>
      <c r="G28" s="284">
        <v>344.13</v>
      </c>
      <c r="H28" s="284"/>
      <c r="I28" s="284">
        <v>28.426</v>
      </c>
      <c r="J28" s="284"/>
      <c r="K28" s="284">
        <v>2117.058</v>
      </c>
    </row>
    <row r="29" spans="1:11" s="114" customFormat="1" ht="12.75">
      <c r="A29" s="99">
        <f t="shared" si="3"/>
        <v>23</v>
      </c>
      <c r="B29" s="97" t="s">
        <v>247</v>
      </c>
      <c r="C29" s="283"/>
      <c r="D29" s="108" t="s">
        <v>166</v>
      </c>
      <c r="E29" s="98">
        <f t="shared" si="2"/>
        <v>381.889</v>
      </c>
      <c r="F29" s="284">
        <f>21.402+12.658</f>
        <v>34.06</v>
      </c>
      <c r="G29" s="284">
        <v>314.661</v>
      </c>
      <c r="H29" s="284"/>
      <c r="I29" s="284">
        <v>33.168</v>
      </c>
      <c r="J29" s="284"/>
      <c r="K29" s="284">
        <v>2046.819</v>
      </c>
    </row>
    <row r="30" spans="1:11" s="114" customFormat="1" ht="12.75">
      <c r="A30" s="99">
        <f t="shared" si="3"/>
        <v>24</v>
      </c>
      <c r="B30" s="97" t="s">
        <v>248</v>
      </c>
      <c r="C30" s="283"/>
      <c r="D30" s="108" t="s">
        <v>166</v>
      </c>
      <c r="E30" s="98">
        <f t="shared" si="2"/>
        <v>434.648</v>
      </c>
      <c r="F30" s="284">
        <f>22.19+12.658</f>
        <v>34.848</v>
      </c>
      <c r="G30" s="284">
        <v>366.908</v>
      </c>
      <c r="H30" s="284"/>
      <c r="I30" s="284">
        <v>32.892</v>
      </c>
      <c r="J30" s="284"/>
      <c r="K30" s="284">
        <v>2261.349</v>
      </c>
    </row>
    <row r="31" spans="1:11" s="114" customFormat="1" ht="12.75">
      <c r="A31" s="99">
        <f t="shared" si="3"/>
        <v>25</v>
      </c>
      <c r="B31" s="97" t="s">
        <v>249</v>
      </c>
      <c r="C31" s="283"/>
      <c r="D31" s="108" t="s">
        <v>166</v>
      </c>
      <c r="E31" s="98">
        <f t="shared" si="2"/>
        <v>512.962</v>
      </c>
      <c r="F31" s="284">
        <f>22.39+12.658</f>
        <v>35.048</v>
      </c>
      <c r="G31" s="284">
        <v>440.922</v>
      </c>
      <c r="H31" s="284"/>
      <c r="I31" s="284">
        <v>36.992</v>
      </c>
      <c r="J31" s="284"/>
      <c r="K31" s="284">
        <v>2627.618</v>
      </c>
    </row>
    <row r="32" spans="1:11" s="114" customFormat="1" ht="12.75">
      <c r="A32" s="99">
        <f t="shared" si="3"/>
        <v>26</v>
      </c>
      <c r="B32" s="97" t="s">
        <v>250</v>
      </c>
      <c r="C32" s="283"/>
      <c r="D32" s="108" t="s">
        <v>166</v>
      </c>
      <c r="E32" s="98">
        <f t="shared" si="2"/>
        <v>733.211</v>
      </c>
      <c r="F32" s="284">
        <f>20.642+12.658</f>
        <v>33.3</v>
      </c>
      <c r="G32" s="284">
        <v>648.705</v>
      </c>
      <c r="H32" s="284"/>
      <c r="I32" s="284">
        <v>51.206</v>
      </c>
      <c r="J32" s="284"/>
      <c r="K32" s="284">
        <v>3678.935</v>
      </c>
    </row>
    <row r="33" spans="1:11" s="114" customFormat="1" ht="12.75">
      <c r="A33" s="99">
        <f t="shared" si="3"/>
        <v>27</v>
      </c>
      <c r="B33" s="97" t="s">
        <v>251</v>
      </c>
      <c r="C33" s="283"/>
      <c r="D33" s="108" t="s">
        <v>166</v>
      </c>
      <c r="E33" s="98">
        <f t="shared" si="2"/>
        <v>691.649</v>
      </c>
      <c r="F33" s="284">
        <f>35.331+14.335</f>
        <v>49.666000000000004</v>
      </c>
      <c r="G33" s="284">
        <v>591.832</v>
      </c>
      <c r="H33" s="284"/>
      <c r="I33" s="284">
        <v>50.151</v>
      </c>
      <c r="J33" s="284"/>
      <c r="K33" s="284">
        <v>3555.684</v>
      </c>
    </row>
    <row r="34" spans="1:11" s="114" customFormat="1" ht="12.75">
      <c r="A34" s="99">
        <f t="shared" si="3"/>
        <v>28</v>
      </c>
      <c r="B34" s="97" t="s">
        <v>252</v>
      </c>
      <c r="C34" s="283"/>
      <c r="D34" s="108" t="s">
        <v>166</v>
      </c>
      <c r="E34" s="98">
        <f t="shared" si="2"/>
        <v>977.815</v>
      </c>
      <c r="F34" s="284">
        <f>36.73+19.317</f>
        <v>56.047</v>
      </c>
      <c r="G34" s="284">
        <v>853.961</v>
      </c>
      <c r="H34" s="284"/>
      <c r="I34" s="284">
        <v>67.807</v>
      </c>
      <c r="J34" s="284"/>
      <c r="K34" s="284">
        <v>4853.287</v>
      </c>
    </row>
    <row r="35" spans="1:11" s="114" customFormat="1" ht="12.75">
      <c r="A35" s="99">
        <f t="shared" si="3"/>
        <v>29</v>
      </c>
      <c r="B35" s="97" t="s">
        <v>253</v>
      </c>
      <c r="C35" s="283"/>
      <c r="D35" s="108" t="s">
        <v>166</v>
      </c>
      <c r="E35" s="98">
        <f t="shared" si="2"/>
        <v>1210.8850000000002</v>
      </c>
      <c r="F35" s="284">
        <f>37.265+19.317</f>
        <v>56.582</v>
      </c>
      <c r="G35" s="284">
        <v>1072.731</v>
      </c>
      <c r="H35" s="284"/>
      <c r="I35" s="284">
        <v>81.572</v>
      </c>
      <c r="J35" s="284"/>
      <c r="K35" s="284">
        <v>6067.453</v>
      </c>
    </row>
    <row r="36" spans="1:11" s="114" customFormat="1" ht="12.75">
      <c r="A36" s="99">
        <f t="shared" si="3"/>
        <v>30</v>
      </c>
      <c r="B36" s="97" t="s">
        <v>254</v>
      </c>
      <c r="C36" s="283"/>
      <c r="D36" s="108" t="s">
        <v>166</v>
      </c>
      <c r="E36" s="98">
        <f t="shared" si="2"/>
        <v>1332.3370000000002</v>
      </c>
      <c r="F36" s="284">
        <f>35.583+19.317</f>
        <v>54.9</v>
      </c>
      <c r="G36" s="284">
        <v>1187.402</v>
      </c>
      <c r="H36" s="284"/>
      <c r="I36" s="284">
        <v>90.035</v>
      </c>
      <c r="J36" s="284"/>
      <c r="K36" s="284">
        <v>6635.897</v>
      </c>
    </row>
    <row r="37" spans="1:20" s="114" customFormat="1" ht="12.75">
      <c r="A37" s="99">
        <f t="shared" si="3"/>
        <v>31</v>
      </c>
      <c r="B37" s="97" t="s">
        <v>236</v>
      </c>
      <c r="C37" s="281"/>
      <c r="D37" s="72" t="s">
        <v>74</v>
      </c>
      <c r="E37" s="98">
        <f>F37+G37+H37+I37+J37</f>
        <v>290.817</v>
      </c>
      <c r="F37" s="98">
        <v>220.313</v>
      </c>
      <c r="G37" s="98"/>
      <c r="H37" s="98"/>
      <c r="I37" s="98">
        <v>70.504</v>
      </c>
      <c r="J37" s="98"/>
      <c r="K37" s="98">
        <v>2002.41</v>
      </c>
      <c r="L37" s="248"/>
      <c r="M37" s="243"/>
      <c r="N37" s="242"/>
      <c r="O37" s="242"/>
      <c r="P37" s="249"/>
      <c r="Q37" s="249"/>
      <c r="R37" s="249"/>
      <c r="S37" s="249"/>
      <c r="T37" s="249"/>
    </row>
    <row r="38" spans="1:20" s="114" customFormat="1" ht="12.75">
      <c r="A38" s="99">
        <f t="shared" si="3"/>
        <v>32</v>
      </c>
      <c r="B38" s="97" t="s">
        <v>237</v>
      </c>
      <c r="C38" s="281"/>
      <c r="D38" s="72" t="s">
        <v>74</v>
      </c>
      <c r="E38" s="98">
        <f aca="true" t="shared" si="4" ref="E38:E46">F38+G38+H38+I38+J38</f>
        <v>429.283</v>
      </c>
      <c r="F38" s="98">
        <v>340.124</v>
      </c>
      <c r="G38" s="98"/>
      <c r="H38" s="98"/>
      <c r="I38" s="98">
        <v>89.159</v>
      </c>
      <c r="J38" s="98"/>
      <c r="K38" s="98">
        <v>3016.394</v>
      </c>
      <c r="L38" s="248"/>
      <c r="M38" s="243"/>
      <c r="N38" s="242"/>
      <c r="O38" s="242"/>
      <c r="P38" s="241"/>
      <c r="Q38" s="241"/>
      <c r="R38" s="241"/>
      <c r="S38" s="241"/>
      <c r="T38" s="241"/>
    </row>
    <row r="39" spans="1:20" s="114" customFormat="1" ht="12.75">
      <c r="A39" s="99">
        <f t="shared" si="3"/>
        <v>33</v>
      </c>
      <c r="B39" s="97" t="s">
        <v>238</v>
      </c>
      <c r="C39" s="281"/>
      <c r="D39" s="72" t="s">
        <v>74</v>
      </c>
      <c r="E39" s="98">
        <f t="shared" si="4"/>
        <v>493.273</v>
      </c>
      <c r="F39" s="98">
        <v>395.595</v>
      </c>
      <c r="G39" s="98"/>
      <c r="H39" s="98"/>
      <c r="I39" s="98">
        <v>97.678</v>
      </c>
      <c r="J39" s="98"/>
      <c r="K39" s="98">
        <v>3483.398</v>
      </c>
      <c r="L39" s="248"/>
      <c r="M39" s="243"/>
      <c r="N39" s="242"/>
      <c r="O39" s="242"/>
      <c r="P39" s="241"/>
      <c r="Q39" s="241"/>
      <c r="R39" s="241"/>
      <c r="S39" s="241"/>
      <c r="T39" s="241"/>
    </row>
    <row r="40" spans="1:20" s="114" customFormat="1" ht="12.75">
      <c r="A40" s="99">
        <f t="shared" si="3"/>
        <v>34</v>
      </c>
      <c r="B40" s="97" t="s">
        <v>239</v>
      </c>
      <c r="C40" s="281"/>
      <c r="D40" s="72" t="s">
        <v>74</v>
      </c>
      <c r="E40" s="98">
        <f t="shared" si="4"/>
        <v>648.833</v>
      </c>
      <c r="F40" s="98">
        <v>530.096</v>
      </c>
      <c r="G40" s="98"/>
      <c r="H40" s="98"/>
      <c r="I40" s="98">
        <v>118.737</v>
      </c>
      <c r="J40" s="98"/>
      <c r="K40" s="98">
        <v>4624.133</v>
      </c>
      <c r="L40" s="242"/>
      <c r="M40" s="243"/>
      <c r="N40" s="242"/>
      <c r="O40" s="242"/>
      <c r="P40" s="241"/>
      <c r="Q40" s="241"/>
      <c r="R40" s="241"/>
      <c r="S40" s="241"/>
      <c r="T40" s="241"/>
    </row>
    <row r="41" spans="1:20" s="114" customFormat="1" ht="12.75">
      <c r="A41" s="99">
        <f t="shared" si="3"/>
        <v>35</v>
      </c>
      <c r="B41" s="97" t="s">
        <v>240</v>
      </c>
      <c r="C41" s="281"/>
      <c r="D41" s="72" t="s">
        <v>74</v>
      </c>
      <c r="E41" s="98">
        <f t="shared" si="4"/>
        <v>266.118</v>
      </c>
      <c r="F41" s="98">
        <v>192.516</v>
      </c>
      <c r="G41" s="98"/>
      <c r="H41" s="98"/>
      <c r="I41" s="98">
        <v>73.602</v>
      </c>
      <c r="J41" s="98"/>
      <c r="K41" s="98">
        <v>1826.528</v>
      </c>
      <c r="L41" s="242"/>
      <c r="M41" s="243"/>
      <c r="N41" s="242"/>
      <c r="O41" s="242"/>
      <c r="P41" s="241"/>
      <c r="Q41" s="241"/>
      <c r="R41" s="241"/>
      <c r="S41" s="241"/>
      <c r="T41" s="241"/>
    </row>
    <row r="42" spans="1:20" s="114" customFormat="1" ht="12.75">
      <c r="A42" s="99">
        <f t="shared" si="3"/>
        <v>36</v>
      </c>
      <c r="B42" s="97" t="s">
        <v>241</v>
      </c>
      <c r="C42" s="281"/>
      <c r="D42" s="72" t="s">
        <v>74</v>
      </c>
      <c r="E42" s="98">
        <f t="shared" si="4"/>
        <v>358.076</v>
      </c>
      <c r="F42" s="98">
        <v>269.523</v>
      </c>
      <c r="G42" s="98"/>
      <c r="H42" s="98"/>
      <c r="I42" s="98">
        <v>88.553</v>
      </c>
      <c r="J42" s="98"/>
      <c r="K42" s="98">
        <v>2501.905</v>
      </c>
      <c r="L42" s="242"/>
      <c r="M42" s="243"/>
      <c r="N42" s="242"/>
      <c r="O42" s="242"/>
      <c r="P42" s="241"/>
      <c r="Q42" s="241"/>
      <c r="R42" s="241"/>
      <c r="S42" s="241"/>
      <c r="T42" s="241"/>
    </row>
    <row r="43" spans="1:20" s="114" customFormat="1" ht="12.75">
      <c r="A43" s="99">
        <f t="shared" si="3"/>
        <v>37</v>
      </c>
      <c r="B43" s="97" t="s">
        <v>242</v>
      </c>
      <c r="C43" s="281"/>
      <c r="D43" s="72" t="s">
        <v>74</v>
      </c>
      <c r="E43" s="98">
        <f t="shared" si="4"/>
        <v>485.36699999999996</v>
      </c>
      <c r="F43" s="98">
        <v>388.652</v>
      </c>
      <c r="G43" s="98"/>
      <c r="H43" s="98"/>
      <c r="I43" s="98">
        <v>96.715</v>
      </c>
      <c r="J43" s="98"/>
      <c r="K43" s="98">
        <v>3427.087</v>
      </c>
      <c r="L43" s="242"/>
      <c r="M43" s="243"/>
      <c r="N43" s="242"/>
      <c r="O43" s="242"/>
      <c r="P43" s="241"/>
      <c r="Q43" s="241"/>
      <c r="R43" s="241"/>
      <c r="S43" s="241"/>
      <c r="T43" s="241"/>
    </row>
    <row r="44" spans="1:20" s="114" customFormat="1" ht="12.75">
      <c r="A44" s="99">
        <f t="shared" si="3"/>
        <v>38</v>
      </c>
      <c r="B44" s="97" t="s">
        <v>243</v>
      </c>
      <c r="C44" s="281"/>
      <c r="D44" s="72" t="s">
        <v>74</v>
      </c>
      <c r="E44" s="98">
        <f t="shared" si="4"/>
        <v>649.2389999999999</v>
      </c>
      <c r="F44" s="98">
        <v>528.915</v>
      </c>
      <c r="G44" s="98"/>
      <c r="H44" s="98"/>
      <c r="I44" s="98">
        <v>120.324</v>
      </c>
      <c r="J44" s="98"/>
      <c r="K44" s="98">
        <v>4629.221</v>
      </c>
      <c r="L44" s="242"/>
      <c r="M44" s="243"/>
      <c r="N44" s="242"/>
      <c r="O44" s="242"/>
      <c r="P44" s="241"/>
      <c r="Q44" s="241"/>
      <c r="R44" s="241"/>
      <c r="S44" s="241"/>
      <c r="T44" s="241"/>
    </row>
    <row r="45" spans="1:20" s="114" customFormat="1" ht="12.75">
      <c r="A45" s="99">
        <f t="shared" si="3"/>
        <v>39</v>
      </c>
      <c r="B45" s="97" t="s">
        <v>255</v>
      </c>
      <c r="C45" s="281"/>
      <c r="D45" s="108" t="s">
        <v>75</v>
      </c>
      <c r="E45" s="98">
        <f t="shared" si="4"/>
        <v>16.581</v>
      </c>
      <c r="F45" s="285">
        <v>15.831</v>
      </c>
      <c r="G45" s="285"/>
      <c r="H45" s="285"/>
      <c r="I45" s="285">
        <v>0.75</v>
      </c>
      <c r="J45" s="285"/>
      <c r="K45" s="98">
        <v>168.032</v>
      </c>
      <c r="N45" s="242"/>
      <c r="O45" s="242"/>
      <c r="P45" s="241"/>
      <c r="Q45" s="241"/>
      <c r="R45" s="241"/>
      <c r="S45" s="241"/>
      <c r="T45" s="241"/>
    </row>
    <row r="46" spans="1:20" s="114" customFormat="1" ht="12.75">
      <c r="A46" s="99">
        <f t="shared" si="3"/>
        <v>40</v>
      </c>
      <c r="B46" s="97" t="s">
        <v>256</v>
      </c>
      <c r="C46" s="281"/>
      <c r="D46" s="108" t="s">
        <v>75</v>
      </c>
      <c r="E46" s="98">
        <f t="shared" si="4"/>
        <v>24.145</v>
      </c>
      <c r="F46" s="285">
        <v>23.152</v>
      </c>
      <c r="G46" s="285"/>
      <c r="H46" s="285"/>
      <c r="I46" s="285">
        <v>0.993</v>
      </c>
      <c r="J46" s="285"/>
      <c r="K46" s="98">
        <v>245.706</v>
      </c>
      <c r="N46" s="242"/>
      <c r="O46" s="242"/>
      <c r="P46" s="241"/>
      <c r="Q46" s="241"/>
      <c r="R46" s="241"/>
      <c r="S46" s="241"/>
      <c r="T46" s="241"/>
    </row>
    <row r="47" spans="1:20" ht="16.5">
      <c r="A47" s="4"/>
      <c r="B47" s="4"/>
      <c r="C47" s="4"/>
      <c r="D47" s="4"/>
      <c r="E47" s="4"/>
      <c r="F47" s="4"/>
      <c r="G47" s="4"/>
      <c r="H47" s="4"/>
      <c r="I47" s="4"/>
      <c r="J47" s="4"/>
      <c r="P47" s="4"/>
      <c r="Q47" s="4"/>
      <c r="R47" s="4"/>
      <c r="S47" s="4"/>
      <c r="T47" s="4"/>
    </row>
    <row r="48" spans="2:20" ht="13.5">
      <c r="B48" s="53" t="s">
        <v>431</v>
      </c>
      <c r="C48" s="54"/>
      <c r="D48" s="54"/>
      <c r="E48" s="54" t="s">
        <v>89</v>
      </c>
      <c r="F48" s="54"/>
      <c r="G48" s="54"/>
      <c r="H48" s="54"/>
      <c r="I48" s="54"/>
      <c r="J48" s="54"/>
      <c r="P48" s="54" t="s">
        <v>89</v>
      </c>
      <c r="Q48" s="54"/>
      <c r="R48" s="54"/>
      <c r="S48" s="54"/>
      <c r="T48" s="54"/>
    </row>
    <row r="49" spans="1:20" ht="13.5">
      <c r="A49" s="53"/>
      <c r="B49" s="53"/>
      <c r="C49" s="8"/>
      <c r="D49" s="8"/>
      <c r="E49" s="8"/>
      <c r="F49" s="8"/>
      <c r="G49" s="8"/>
      <c r="H49" s="8"/>
      <c r="I49" s="8"/>
      <c r="J49" s="8"/>
      <c r="P49" s="8"/>
      <c r="Q49" s="8"/>
      <c r="R49" s="8"/>
      <c r="S49" s="8"/>
      <c r="T49" s="8"/>
    </row>
    <row r="50" spans="3:20" ht="12.75">
      <c r="C50" s="8"/>
      <c r="D50" s="8"/>
      <c r="E50" s="8"/>
      <c r="F50" s="8"/>
      <c r="G50" s="8"/>
      <c r="H50" s="8"/>
      <c r="I50" s="8"/>
      <c r="J50" s="8"/>
      <c r="P50" s="8"/>
      <c r="Q50" s="8"/>
      <c r="R50" s="8"/>
      <c r="S50" s="8"/>
      <c r="T50" s="8"/>
    </row>
    <row r="51" spans="3:20" ht="12.75">
      <c r="C51" s="8"/>
      <c r="D51" s="8"/>
      <c r="E51" s="8"/>
      <c r="F51" s="8"/>
      <c r="G51" s="8"/>
      <c r="H51" s="8"/>
      <c r="I51" s="8"/>
      <c r="J51" s="8"/>
      <c r="P51" s="8"/>
      <c r="Q51" s="8"/>
      <c r="R51" s="8"/>
      <c r="S51" s="8"/>
      <c r="T51" s="8"/>
    </row>
    <row r="52" spans="3:20" ht="12.75">
      <c r="C52" s="8"/>
      <c r="D52" s="8"/>
      <c r="E52" s="8"/>
      <c r="F52" s="8"/>
      <c r="G52" s="8"/>
      <c r="H52" s="8"/>
      <c r="I52" s="8"/>
      <c r="J52" s="8"/>
      <c r="P52" s="8"/>
      <c r="Q52" s="8"/>
      <c r="R52" s="8"/>
      <c r="S52" s="8"/>
      <c r="T52" s="8"/>
    </row>
    <row r="53" spans="1:20" ht="12.75">
      <c r="A53" s="58"/>
      <c r="B53" s="58" t="s">
        <v>81</v>
      </c>
      <c r="C53" s="8"/>
      <c r="D53" s="8"/>
      <c r="E53" s="8"/>
      <c r="F53" s="8"/>
      <c r="G53" s="8"/>
      <c r="H53" s="8"/>
      <c r="I53" s="8"/>
      <c r="J53" s="8"/>
      <c r="P53" s="8"/>
      <c r="Q53" s="8"/>
      <c r="R53" s="8"/>
      <c r="S53" s="8"/>
      <c r="T53" s="8"/>
    </row>
    <row r="54" spans="1:20" ht="12.75">
      <c r="A54" s="58"/>
      <c r="B54" s="58" t="s">
        <v>61</v>
      </c>
      <c r="C54" s="8"/>
      <c r="D54" s="8"/>
      <c r="E54" s="8"/>
      <c r="F54" s="8"/>
      <c r="G54" s="8"/>
      <c r="H54" s="8"/>
      <c r="I54" s="8"/>
      <c r="J54" s="8"/>
      <c r="P54" s="8"/>
      <c r="Q54" s="8"/>
      <c r="R54" s="8"/>
      <c r="S54" s="8"/>
      <c r="T54" s="8"/>
    </row>
    <row r="55" spans="1:20" ht="16.5">
      <c r="A55" s="4"/>
      <c r="B55" s="4"/>
      <c r="C55" s="4"/>
      <c r="D55" s="4"/>
      <c r="E55" s="4"/>
      <c r="F55" s="4"/>
      <c r="G55" s="4"/>
      <c r="H55" s="4"/>
      <c r="I55" s="4"/>
      <c r="J55" s="4"/>
      <c r="P55" s="4"/>
      <c r="Q55" s="4"/>
      <c r="R55" s="4"/>
      <c r="S55" s="4"/>
      <c r="T55" s="4"/>
    </row>
    <row r="56" spans="1:20" ht="16.5">
      <c r="A56" s="4"/>
      <c r="B56" s="4"/>
      <c r="C56" s="4"/>
      <c r="D56" s="4"/>
      <c r="E56" s="4"/>
      <c r="F56" s="4"/>
      <c r="G56" s="4"/>
      <c r="H56" s="4"/>
      <c r="I56" s="4"/>
      <c r="J56" s="4"/>
      <c r="P56" s="4"/>
      <c r="Q56" s="4"/>
      <c r="R56" s="4"/>
      <c r="S56" s="4"/>
      <c r="T56" s="4"/>
    </row>
    <row r="57" spans="1:20" ht="16.5">
      <c r="A57" s="4"/>
      <c r="B57" s="4"/>
      <c r="C57" s="4"/>
      <c r="D57" s="4"/>
      <c r="E57" s="4"/>
      <c r="F57" s="4"/>
      <c r="G57" s="4"/>
      <c r="H57" s="4"/>
      <c r="I57" s="4"/>
      <c r="J57" s="4"/>
      <c r="P57" s="4"/>
      <c r="Q57" s="4"/>
      <c r="R57" s="4"/>
      <c r="S57" s="4"/>
      <c r="T57" s="4"/>
    </row>
    <row r="58" spans="1:20" ht="16.5">
      <c r="A58" s="4"/>
      <c r="B58" s="4"/>
      <c r="C58" s="4"/>
      <c r="D58" s="4"/>
      <c r="E58" s="4"/>
      <c r="F58" s="4"/>
      <c r="G58" s="4"/>
      <c r="H58" s="4"/>
      <c r="I58" s="4"/>
      <c r="J58" s="4"/>
      <c r="P58" s="4"/>
      <c r="Q58" s="4"/>
      <c r="R58" s="4"/>
      <c r="S58" s="4"/>
      <c r="T58" s="4"/>
    </row>
    <row r="59" spans="1:20" ht="16.5">
      <c r="A59" s="4"/>
      <c r="B59" s="4"/>
      <c r="C59" s="4"/>
      <c r="D59" s="4"/>
      <c r="E59" s="4"/>
      <c r="F59" s="4"/>
      <c r="G59" s="4"/>
      <c r="H59" s="4"/>
      <c r="I59" s="4"/>
      <c r="J59" s="4"/>
      <c r="P59" s="4"/>
      <c r="Q59" s="4"/>
      <c r="R59" s="4"/>
      <c r="S59" s="4"/>
      <c r="T59" s="4"/>
    </row>
    <row r="60" spans="1:20" ht="16.5">
      <c r="A60" s="4"/>
      <c r="B60" s="4"/>
      <c r="C60" s="4"/>
      <c r="D60" s="4"/>
      <c r="E60" s="4"/>
      <c r="F60" s="4"/>
      <c r="G60" s="4"/>
      <c r="H60" s="4"/>
      <c r="I60" s="4"/>
      <c r="J60" s="4"/>
      <c r="P60" s="4"/>
      <c r="Q60" s="4"/>
      <c r="R60" s="4"/>
      <c r="S60" s="4"/>
      <c r="T60" s="4"/>
    </row>
    <row r="61" spans="1:20" ht="16.5">
      <c r="A61" s="4"/>
      <c r="B61" s="4"/>
      <c r="C61" s="4"/>
      <c r="D61" s="4"/>
      <c r="E61" s="4"/>
      <c r="F61" s="4"/>
      <c r="G61" s="4"/>
      <c r="H61" s="4"/>
      <c r="I61" s="4"/>
      <c r="J61" s="4"/>
      <c r="P61" s="4"/>
      <c r="Q61" s="4"/>
      <c r="R61" s="4"/>
      <c r="S61" s="4"/>
      <c r="T61" s="4"/>
    </row>
    <row r="62" spans="1:20" ht="16.5">
      <c r="A62" s="4"/>
      <c r="B62" s="4"/>
      <c r="C62" s="4"/>
      <c r="D62" s="4"/>
      <c r="E62" s="4"/>
      <c r="F62" s="4"/>
      <c r="G62" s="4"/>
      <c r="H62" s="4"/>
      <c r="I62" s="4"/>
      <c r="J62" s="4"/>
      <c r="P62" s="4"/>
      <c r="Q62" s="4"/>
      <c r="R62" s="4"/>
      <c r="S62" s="4"/>
      <c r="T62" s="4"/>
    </row>
    <row r="63" spans="1:20" ht="16.5">
      <c r="A63" s="4"/>
      <c r="B63" s="4"/>
      <c r="C63" s="4"/>
      <c r="D63" s="4"/>
      <c r="E63" s="4"/>
      <c r="F63" s="4"/>
      <c r="G63" s="4"/>
      <c r="H63" s="4"/>
      <c r="I63" s="4"/>
      <c r="J63" s="4"/>
      <c r="P63" s="4"/>
      <c r="Q63" s="4"/>
      <c r="R63" s="4"/>
      <c r="S63" s="4"/>
      <c r="T63" s="4"/>
    </row>
    <row r="64" spans="1:20" ht="16.5">
      <c r="A64" s="4"/>
      <c r="B64" s="4"/>
      <c r="C64" s="4"/>
      <c r="D64" s="4"/>
      <c r="E64" s="4"/>
      <c r="F64" s="4"/>
      <c r="G64" s="4"/>
      <c r="H64" s="4"/>
      <c r="I64" s="4"/>
      <c r="J64" s="4"/>
      <c r="P64" s="4"/>
      <c r="Q64" s="4"/>
      <c r="R64" s="4"/>
      <c r="S64" s="4"/>
      <c r="T64" s="4"/>
    </row>
    <row r="65" spans="1:20" ht="16.5">
      <c r="A65" s="4"/>
      <c r="B65" s="4"/>
      <c r="C65" s="4"/>
      <c r="D65" s="4"/>
      <c r="E65" s="4"/>
      <c r="F65" s="4"/>
      <c r="G65" s="4"/>
      <c r="H65" s="4"/>
      <c r="I65" s="4"/>
      <c r="J65" s="4"/>
      <c r="P65" s="4"/>
      <c r="Q65" s="4"/>
      <c r="R65" s="4"/>
      <c r="S65" s="4"/>
      <c r="T65" s="4"/>
    </row>
    <row r="66" spans="1:20" ht="16.5">
      <c r="A66" s="4"/>
      <c r="B66" s="4"/>
      <c r="C66" s="4"/>
      <c r="D66" s="4"/>
      <c r="E66" s="4"/>
      <c r="F66" s="4"/>
      <c r="G66" s="4"/>
      <c r="H66" s="4"/>
      <c r="I66" s="4"/>
      <c r="J66" s="4"/>
      <c r="P66" s="4"/>
      <c r="Q66" s="4"/>
      <c r="R66" s="4"/>
      <c r="S66" s="4"/>
      <c r="T66" s="4"/>
    </row>
    <row r="67" spans="1:20" ht="16.5">
      <c r="A67" s="4"/>
      <c r="B67" s="4"/>
      <c r="C67" s="4"/>
      <c r="D67" s="4"/>
      <c r="E67" s="4"/>
      <c r="F67" s="4"/>
      <c r="G67" s="4"/>
      <c r="H67" s="4"/>
      <c r="I67" s="4"/>
      <c r="J67" s="4"/>
      <c r="P67" s="4"/>
      <c r="Q67" s="4"/>
      <c r="R67" s="4"/>
      <c r="S67" s="4"/>
      <c r="T67" s="4"/>
    </row>
    <row r="68" spans="1:20" ht="16.5">
      <c r="A68" s="4"/>
      <c r="B68" s="4"/>
      <c r="C68" s="4"/>
      <c r="D68" s="4"/>
      <c r="E68" s="4"/>
      <c r="F68" s="4"/>
      <c r="G68" s="4"/>
      <c r="H68" s="4"/>
      <c r="I68" s="4"/>
      <c r="J68" s="4"/>
      <c r="P68" s="4"/>
      <c r="Q68" s="4"/>
      <c r="R68" s="4"/>
      <c r="S68" s="4"/>
      <c r="T68" s="4"/>
    </row>
    <row r="69" spans="1:20" ht="16.5">
      <c r="A69" s="4"/>
      <c r="B69" s="4"/>
      <c r="C69" s="4"/>
      <c r="D69" s="4"/>
      <c r="E69" s="4"/>
      <c r="F69" s="4"/>
      <c r="G69" s="4"/>
      <c r="H69" s="4"/>
      <c r="I69" s="4"/>
      <c r="J69" s="4"/>
      <c r="P69" s="4"/>
      <c r="Q69" s="4"/>
      <c r="R69" s="4"/>
      <c r="S69" s="4"/>
      <c r="T69" s="4"/>
    </row>
    <row r="70" spans="1:20" ht="16.5">
      <c r="A70" s="4"/>
      <c r="B70" s="4"/>
      <c r="C70" s="4"/>
      <c r="D70" s="4"/>
      <c r="E70" s="4"/>
      <c r="F70" s="4"/>
      <c r="G70" s="4"/>
      <c r="H70" s="4"/>
      <c r="I70" s="4"/>
      <c r="J70" s="4"/>
      <c r="P70" s="4"/>
      <c r="Q70" s="4"/>
      <c r="R70" s="4"/>
      <c r="S70" s="4"/>
      <c r="T70" s="4"/>
    </row>
    <row r="71" spans="1:20" ht="16.5">
      <c r="A71" s="4"/>
      <c r="B71" s="4"/>
      <c r="C71" s="4"/>
      <c r="D71" s="4"/>
      <c r="E71" s="4"/>
      <c r="F71" s="4"/>
      <c r="G71" s="4"/>
      <c r="H71" s="4"/>
      <c r="I71" s="4"/>
      <c r="J71" s="4"/>
      <c r="P71" s="4"/>
      <c r="Q71" s="4"/>
      <c r="R71" s="4"/>
      <c r="S71" s="4"/>
      <c r="T71" s="4"/>
    </row>
    <row r="72" spans="1:20" ht="16.5">
      <c r="A72" s="4"/>
      <c r="B72" s="4"/>
      <c r="C72" s="4"/>
      <c r="D72" s="4"/>
      <c r="E72" s="4"/>
      <c r="F72" s="4"/>
      <c r="G72" s="4"/>
      <c r="H72" s="4"/>
      <c r="I72" s="4"/>
      <c r="J72" s="4"/>
      <c r="P72" s="4"/>
      <c r="Q72" s="4"/>
      <c r="R72" s="4"/>
      <c r="S72" s="4"/>
      <c r="T72" s="4"/>
    </row>
    <row r="73" spans="1:20" ht="16.5">
      <c r="A73" s="4"/>
      <c r="B73" s="4"/>
      <c r="C73" s="4"/>
      <c r="D73" s="4"/>
      <c r="E73" s="4"/>
      <c r="F73" s="4"/>
      <c r="G73" s="4"/>
      <c r="H73" s="4"/>
      <c r="I73" s="4"/>
      <c r="J73" s="4"/>
      <c r="P73" s="4"/>
      <c r="Q73" s="4"/>
      <c r="R73" s="4"/>
      <c r="S73" s="4"/>
      <c r="T73" s="4"/>
    </row>
    <row r="74" spans="1:20" ht="16.5">
      <c r="A74" s="4"/>
      <c r="B74" s="4"/>
      <c r="C74" s="4"/>
      <c r="D74" s="4"/>
      <c r="E74" s="4"/>
      <c r="F74" s="4"/>
      <c r="G74" s="4"/>
      <c r="H74" s="4"/>
      <c r="I74" s="4"/>
      <c r="J74" s="4"/>
      <c r="P74" s="4"/>
      <c r="Q74" s="4"/>
      <c r="R74" s="4"/>
      <c r="S74" s="4"/>
      <c r="T74" s="4"/>
    </row>
    <row r="75" spans="1:20" ht="16.5">
      <c r="A75" s="4"/>
      <c r="B75" s="4"/>
      <c r="C75" s="4"/>
      <c r="D75" s="4"/>
      <c r="E75" s="4"/>
      <c r="F75" s="4"/>
      <c r="G75" s="4"/>
      <c r="H75" s="4"/>
      <c r="I75" s="4"/>
      <c r="J75" s="4"/>
      <c r="P75" s="4"/>
      <c r="Q75" s="4"/>
      <c r="R75" s="4"/>
      <c r="S75" s="4"/>
      <c r="T75" s="4"/>
    </row>
    <row r="76" spans="1:20" ht="16.5">
      <c r="A76" s="4"/>
      <c r="B76" s="4"/>
      <c r="C76" s="4"/>
      <c r="D76" s="4"/>
      <c r="E76" s="4"/>
      <c r="F76" s="4"/>
      <c r="G76" s="4"/>
      <c r="H76" s="4"/>
      <c r="I76" s="4"/>
      <c r="J76" s="4"/>
      <c r="P76" s="4"/>
      <c r="Q76" s="4"/>
      <c r="R76" s="4"/>
      <c r="S76" s="4"/>
      <c r="T76" s="4"/>
    </row>
    <row r="77" spans="1:20" ht="16.5">
      <c r="A77" s="4"/>
      <c r="B77" s="4"/>
      <c r="C77" s="4"/>
      <c r="D77" s="4"/>
      <c r="E77" s="4"/>
      <c r="F77" s="4"/>
      <c r="G77" s="4"/>
      <c r="H77" s="4"/>
      <c r="I77" s="4"/>
      <c r="J77" s="4"/>
      <c r="P77" s="4"/>
      <c r="Q77" s="4"/>
      <c r="R77" s="4"/>
      <c r="S77" s="4"/>
      <c r="T77" s="4"/>
    </row>
    <row r="78" spans="1:20" ht="16.5">
      <c r="A78" s="4"/>
      <c r="B78" s="4"/>
      <c r="C78" s="4"/>
      <c r="D78" s="4"/>
      <c r="E78" s="4"/>
      <c r="F78" s="4"/>
      <c r="G78" s="4"/>
      <c r="H78" s="4"/>
      <c r="I78" s="4"/>
      <c r="J78" s="4"/>
      <c r="P78" s="4"/>
      <c r="Q78" s="4"/>
      <c r="R78" s="4"/>
      <c r="S78" s="4"/>
      <c r="T78" s="4"/>
    </row>
    <row r="79" spans="1:20" ht="16.5">
      <c r="A79" s="4"/>
      <c r="B79" s="4"/>
      <c r="C79" s="4"/>
      <c r="D79" s="4"/>
      <c r="E79" s="4"/>
      <c r="F79" s="4"/>
      <c r="G79" s="4"/>
      <c r="H79" s="4"/>
      <c r="I79" s="4"/>
      <c r="J79" s="4"/>
      <c r="P79" s="4"/>
      <c r="Q79" s="4"/>
      <c r="R79" s="4"/>
      <c r="S79" s="4"/>
      <c r="T79" s="4"/>
    </row>
    <row r="80" spans="1:20" ht="16.5">
      <c r="A80" s="4"/>
      <c r="B80" s="4"/>
      <c r="C80" s="4"/>
      <c r="D80" s="4"/>
      <c r="E80" s="4"/>
      <c r="F80" s="4"/>
      <c r="G80" s="4"/>
      <c r="H80" s="4"/>
      <c r="I80" s="4"/>
      <c r="J80" s="4"/>
      <c r="P80" s="4"/>
      <c r="Q80" s="4"/>
      <c r="R80" s="4"/>
      <c r="S80" s="4"/>
      <c r="T80" s="4"/>
    </row>
    <row r="81" spans="1:20" ht="16.5">
      <c r="A81" s="4"/>
      <c r="B81" s="4"/>
      <c r="C81" s="4"/>
      <c r="D81" s="4"/>
      <c r="E81" s="4"/>
      <c r="F81" s="4"/>
      <c r="G81" s="4"/>
      <c r="H81" s="4"/>
      <c r="I81" s="4"/>
      <c r="J81" s="4"/>
      <c r="P81" s="4"/>
      <c r="Q81" s="4"/>
      <c r="R81" s="4"/>
      <c r="S81" s="4"/>
      <c r="T81" s="4"/>
    </row>
    <row r="82" spans="1:20" ht="16.5">
      <c r="A82" s="4"/>
      <c r="B82" s="4"/>
      <c r="C82" s="4"/>
      <c r="D82" s="4"/>
      <c r="E82" s="4"/>
      <c r="F82" s="4"/>
      <c r="G82" s="4"/>
      <c r="H82" s="4"/>
      <c r="I82" s="4"/>
      <c r="J82" s="4"/>
      <c r="P82" s="4"/>
      <c r="Q82" s="4"/>
      <c r="R82" s="4"/>
      <c r="S82" s="4"/>
      <c r="T82" s="4"/>
    </row>
    <row r="83" spans="1:20" ht="16.5">
      <c r="A83" s="4"/>
      <c r="B83" s="4"/>
      <c r="C83" s="4"/>
      <c r="D83" s="4"/>
      <c r="E83" s="4"/>
      <c r="F83" s="4"/>
      <c r="G83" s="4"/>
      <c r="H83" s="4"/>
      <c r="I83" s="4"/>
      <c r="J83" s="4"/>
      <c r="P83" s="4"/>
      <c r="Q83" s="4"/>
      <c r="R83" s="4"/>
      <c r="S83" s="4"/>
      <c r="T83" s="4"/>
    </row>
    <row r="84" spans="1:20" ht="16.5">
      <c r="A84" s="4"/>
      <c r="B84" s="4"/>
      <c r="C84" s="4"/>
      <c r="D84" s="4"/>
      <c r="E84" s="4"/>
      <c r="F84" s="4"/>
      <c r="G84" s="4"/>
      <c r="H84" s="4"/>
      <c r="I84" s="4"/>
      <c r="J84" s="4"/>
      <c r="P84" s="4"/>
      <c r="Q84" s="4"/>
      <c r="R84" s="4"/>
      <c r="S84" s="4"/>
      <c r="T84" s="4"/>
    </row>
    <row r="85" spans="1:20" ht="16.5">
      <c r="A85" s="4"/>
      <c r="B85" s="4"/>
      <c r="C85" s="4"/>
      <c r="D85" s="4"/>
      <c r="E85" s="4"/>
      <c r="F85" s="4"/>
      <c r="G85" s="4"/>
      <c r="H85" s="4"/>
      <c r="I85" s="4"/>
      <c r="J85" s="4"/>
      <c r="P85" s="4"/>
      <c r="Q85" s="4"/>
      <c r="R85" s="4"/>
      <c r="S85" s="4"/>
      <c r="T85" s="4"/>
    </row>
    <row r="86" spans="1:20" ht="16.5">
      <c r="A86" s="4"/>
      <c r="B86" s="4"/>
      <c r="C86" s="4"/>
      <c r="D86" s="4"/>
      <c r="E86" s="4"/>
      <c r="F86" s="4"/>
      <c r="G86" s="4"/>
      <c r="H86" s="4"/>
      <c r="I86" s="4"/>
      <c r="J86" s="4"/>
      <c r="P86" s="4"/>
      <c r="Q86" s="4"/>
      <c r="R86" s="4"/>
      <c r="S86" s="4"/>
      <c r="T86" s="4"/>
    </row>
    <row r="87" spans="1:20" ht="16.5">
      <c r="A87" s="4"/>
      <c r="B87" s="4"/>
      <c r="C87" s="4"/>
      <c r="D87" s="4"/>
      <c r="E87" s="4"/>
      <c r="F87" s="4"/>
      <c r="G87" s="4"/>
      <c r="H87" s="4"/>
      <c r="I87" s="4"/>
      <c r="J87" s="4"/>
      <c r="P87" s="4"/>
      <c r="Q87" s="4"/>
      <c r="R87" s="4"/>
      <c r="S87" s="4"/>
      <c r="T87" s="4"/>
    </row>
    <row r="88" spans="1:20" ht="16.5">
      <c r="A88" s="4"/>
      <c r="B88" s="4"/>
      <c r="C88" s="4"/>
      <c r="D88" s="4"/>
      <c r="E88" s="4"/>
      <c r="F88" s="4"/>
      <c r="G88" s="4"/>
      <c r="H88" s="4"/>
      <c r="I88" s="4"/>
      <c r="J88" s="4"/>
      <c r="P88" s="4"/>
      <c r="Q88" s="4"/>
      <c r="R88" s="4"/>
      <c r="S88" s="4"/>
      <c r="T88" s="4"/>
    </row>
    <row r="89" spans="1:20" ht="16.5">
      <c r="A89" s="4"/>
      <c r="B89" s="4"/>
      <c r="C89" s="4"/>
      <c r="D89" s="4"/>
      <c r="E89" s="4"/>
      <c r="F89" s="4"/>
      <c r="G89" s="4"/>
      <c r="H89" s="4"/>
      <c r="I89" s="4"/>
      <c r="J89" s="4"/>
      <c r="P89" s="4"/>
      <c r="Q89" s="4"/>
      <c r="R89" s="4"/>
      <c r="S89" s="4"/>
      <c r="T89" s="4"/>
    </row>
    <row r="90" spans="1:20" ht="16.5">
      <c r="A90" s="4"/>
      <c r="B90" s="4"/>
      <c r="C90" s="4"/>
      <c r="D90" s="4"/>
      <c r="E90" s="4"/>
      <c r="F90" s="4"/>
      <c r="G90" s="4"/>
      <c r="H90" s="4"/>
      <c r="I90" s="4"/>
      <c r="J90" s="4"/>
      <c r="P90" s="4"/>
      <c r="Q90" s="4"/>
      <c r="R90" s="4"/>
      <c r="S90" s="4"/>
      <c r="T90" s="4"/>
    </row>
    <row r="91" spans="1:20" ht="16.5">
      <c r="A91" s="4"/>
      <c r="B91" s="4"/>
      <c r="C91" s="4"/>
      <c r="D91" s="4"/>
      <c r="E91" s="4"/>
      <c r="F91" s="4"/>
      <c r="G91" s="4"/>
      <c r="H91" s="4"/>
      <c r="I91" s="4"/>
      <c r="J91" s="4"/>
      <c r="P91" s="4"/>
      <c r="Q91" s="4"/>
      <c r="R91" s="4"/>
      <c r="S91" s="4"/>
      <c r="T91" s="4"/>
    </row>
    <row r="92" spans="1:20" ht="16.5">
      <c r="A92" s="4"/>
      <c r="B92" s="4"/>
      <c r="C92" s="4"/>
      <c r="D92" s="4"/>
      <c r="E92" s="4"/>
      <c r="F92" s="4"/>
      <c r="G92" s="4"/>
      <c r="H92" s="4"/>
      <c r="I92" s="4"/>
      <c r="J92" s="4"/>
      <c r="P92" s="4"/>
      <c r="Q92" s="4"/>
      <c r="R92" s="4"/>
      <c r="S92" s="4"/>
      <c r="T92" s="4"/>
    </row>
    <row r="93" spans="1:20" ht="16.5">
      <c r="A93" s="4"/>
      <c r="B93" s="4"/>
      <c r="C93" s="4"/>
      <c r="D93" s="4"/>
      <c r="E93" s="4"/>
      <c r="F93" s="4"/>
      <c r="G93" s="4"/>
      <c r="H93" s="4"/>
      <c r="I93" s="4"/>
      <c r="J93" s="4"/>
      <c r="P93" s="4"/>
      <c r="Q93" s="4"/>
      <c r="R93" s="4"/>
      <c r="S93" s="4"/>
      <c r="T93" s="4"/>
    </row>
    <row r="94" spans="1:20" ht="16.5">
      <c r="A94" s="4"/>
      <c r="B94" s="4"/>
      <c r="C94" s="4"/>
      <c r="D94" s="4"/>
      <c r="E94" s="4"/>
      <c r="F94" s="4"/>
      <c r="G94" s="4"/>
      <c r="H94" s="4"/>
      <c r="I94" s="4"/>
      <c r="J94" s="4"/>
      <c r="P94" s="4"/>
      <c r="Q94" s="4"/>
      <c r="R94" s="4"/>
      <c r="S94" s="4"/>
      <c r="T94" s="4"/>
    </row>
    <row r="95" spans="1:20" ht="16.5">
      <c r="A95" s="4"/>
      <c r="B95" s="4"/>
      <c r="C95" s="4"/>
      <c r="D95" s="4"/>
      <c r="E95" s="4"/>
      <c r="F95" s="4"/>
      <c r="G95" s="4"/>
      <c r="H95" s="4"/>
      <c r="I95" s="4"/>
      <c r="J95" s="4"/>
      <c r="P95" s="4"/>
      <c r="Q95" s="4"/>
      <c r="R95" s="4"/>
      <c r="S95" s="4"/>
      <c r="T95" s="4"/>
    </row>
    <row r="96" spans="1:20" ht="16.5">
      <c r="A96" s="4"/>
      <c r="B96" s="4"/>
      <c r="C96" s="4"/>
      <c r="D96" s="4"/>
      <c r="E96" s="4"/>
      <c r="F96" s="4"/>
      <c r="G96" s="4"/>
      <c r="H96" s="4"/>
      <c r="I96" s="4"/>
      <c r="J96" s="4"/>
      <c r="P96" s="4"/>
      <c r="Q96" s="4"/>
      <c r="R96" s="4"/>
      <c r="S96" s="4"/>
      <c r="T96" s="4"/>
    </row>
    <row r="97" spans="1:20" ht="16.5">
      <c r="A97" s="4"/>
      <c r="B97" s="4"/>
      <c r="C97" s="4"/>
      <c r="D97" s="4"/>
      <c r="E97" s="4"/>
      <c r="F97" s="4"/>
      <c r="G97" s="4"/>
      <c r="H97" s="4"/>
      <c r="I97" s="4"/>
      <c r="J97" s="4"/>
      <c r="P97" s="4"/>
      <c r="Q97" s="4"/>
      <c r="R97" s="4"/>
      <c r="S97" s="4"/>
      <c r="T97" s="4"/>
    </row>
    <row r="98" spans="1:20" ht="16.5">
      <c r="A98" s="4"/>
      <c r="B98" s="4"/>
      <c r="C98" s="4"/>
      <c r="D98" s="4"/>
      <c r="E98" s="4"/>
      <c r="F98" s="4"/>
      <c r="G98" s="4"/>
      <c r="H98" s="4"/>
      <c r="I98" s="4"/>
      <c r="J98" s="4"/>
      <c r="P98" s="4"/>
      <c r="Q98" s="4"/>
      <c r="R98" s="4"/>
      <c r="S98" s="4"/>
      <c r="T98" s="4"/>
    </row>
    <row r="99" spans="1:20" ht="16.5">
      <c r="A99" s="4"/>
      <c r="B99" s="4"/>
      <c r="C99" s="4"/>
      <c r="D99" s="4"/>
      <c r="E99" s="4"/>
      <c r="F99" s="4"/>
      <c r="G99" s="4"/>
      <c r="H99" s="4"/>
      <c r="I99" s="4"/>
      <c r="J99" s="4"/>
      <c r="P99" s="4"/>
      <c r="Q99" s="4"/>
      <c r="R99" s="4"/>
      <c r="S99" s="4"/>
      <c r="T99" s="4"/>
    </row>
    <row r="100" spans="1:20" ht="16.5">
      <c r="A100" s="4"/>
      <c r="B100" s="4"/>
      <c r="C100" s="4"/>
      <c r="D100" s="4"/>
      <c r="E100" s="4"/>
      <c r="F100" s="4"/>
      <c r="G100" s="4"/>
      <c r="H100" s="4"/>
      <c r="I100" s="4"/>
      <c r="J100" s="4"/>
      <c r="P100" s="4"/>
      <c r="Q100" s="4"/>
      <c r="R100" s="4"/>
      <c r="S100" s="4"/>
      <c r="T100" s="4"/>
    </row>
    <row r="101" spans="1:20" ht="16.5">
      <c r="A101" s="4"/>
      <c r="B101" s="4"/>
      <c r="C101" s="4"/>
      <c r="D101" s="4"/>
      <c r="E101" s="4"/>
      <c r="F101" s="4"/>
      <c r="G101" s="4"/>
      <c r="H101" s="4"/>
      <c r="I101" s="4"/>
      <c r="J101" s="4"/>
      <c r="P101" s="4"/>
      <c r="Q101" s="4"/>
      <c r="R101" s="4"/>
      <c r="S101" s="4"/>
      <c r="T101" s="4"/>
    </row>
    <row r="102" spans="1:20" ht="16.5">
      <c r="A102" s="4"/>
      <c r="B102" s="4"/>
      <c r="C102" s="4"/>
      <c r="D102" s="4"/>
      <c r="E102" s="4"/>
      <c r="F102" s="4"/>
      <c r="G102" s="4"/>
      <c r="H102" s="4"/>
      <c r="I102" s="4"/>
      <c r="J102" s="4"/>
      <c r="P102" s="4"/>
      <c r="Q102" s="4"/>
      <c r="R102" s="4"/>
      <c r="S102" s="4"/>
      <c r="T102" s="4"/>
    </row>
    <row r="103" spans="1:20" ht="16.5">
      <c r="A103" s="4"/>
      <c r="B103" s="4"/>
      <c r="C103" s="4"/>
      <c r="D103" s="4"/>
      <c r="E103" s="4"/>
      <c r="F103" s="4"/>
      <c r="G103" s="4"/>
      <c r="H103" s="4"/>
      <c r="I103" s="4"/>
      <c r="J103" s="4"/>
      <c r="P103" s="4"/>
      <c r="Q103" s="4"/>
      <c r="R103" s="4"/>
      <c r="S103" s="4"/>
      <c r="T103" s="4"/>
    </row>
    <row r="104" spans="1:20" ht="16.5">
      <c r="A104" s="4"/>
      <c r="B104" s="4"/>
      <c r="C104" s="4"/>
      <c r="D104" s="4"/>
      <c r="E104" s="4"/>
      <c r="F104" s="4"/>
      <c r="G104" s="4"/>
      <c r="H104" s="4"/>
      <c r="I104" s="4"/>
      <c r="J104" s="4"/>
      <c r="P104" s="4"/>
      <c r="Q104" s="4"/>
      <c r="R104" s="4"/>
      <c r="S104" s="4"/>
      <c r="T104" s="4"/>
    </row>
    <row r="105" spans="1:20" ht="16.5">
      <c r="A105" s="4"/>
      <c r="B105" s="4"/>
      <c r="C105" s="4"/>
      <c r="D105" s="4"/>
      <c r="E105" s="4"/>
      <c r="F105" s="4"/>
      <c r="G105" s="4"/>
      <c r="H105" s="4"/>
      <c r="I105" s="4"/>
      <c r="J105" s="4"/>
      <c r="P105" s="4"/>
      <c r="Q105" s="4"/>
      <c r="R105" s="4"/>
      <c r="S105" s="4"/>
      <c r="T105" s="4"/>
    </row>
    <row r="106" spans="1:20" ht="16.5">
      <c r="A106" s="4"/>
      <c r="B106" s="4"/>
      <c r="C106" s="4"/>
      <c r="D106" s="4"/>
      <c r="E106" s="4"/>
      <c r="F106" s="4"/>
      <c r="G106" s="4"/>
      <c r="H106" s="4"/>
      <c r="I106" s="4"/>
      <c r="J106" s="4"/>
      <c r="P106" s="4"/>
      <c r="Q106" s="4"/>
      <c r="R106" s="4"/>
      <c r="S106" s="4"/>
      <c r="T106" s="4"/>
    </row>
    <row r="107" spans="1:20" ht="16.5">
      <c r="A107" s="4"/>
      <c r="B107" s="4"/>
      <c r="C107" s="4"/>
      <c r="D107" s="4"/>
      <c r="E107" s="4"/>
      <c r="F107" s="4"/>
      <c r="G107" s="4"/>
      <c r="H107" s="4"/>
      <c r="I107" s="4"/>
      <c r="J107" s="4"/>
      <c r="P107" s="4"/>
      <c r="Q107" s="4"/>
      <c r="R107" s="4"/>
      <c r="S107" s="4"/>
      <c r="T107" s="4"/>
    </row>
    <row r="108" spans="1:20" ht="16.5">
      <c r="A108" s="4"/>
      <c r="B108" s="4"/>
      <c r="C108" s="4"/>
      <c r="D108" s="4"/>
      <c r="E108" s="4"/>
      <c r="F108" s="4"/>
      <c r="G108" s="4"/>
      <c r="H108" s="4"/>
      <c r="I108" s="4"/>
      <c r="J108" s="4"/>
      <c r="P108" s="4"/>
      <c r="Q108" s="4"/>
      <c r="R108" s="4"/>
      <c r="S108" s="4"/>
      <c r="T108" s="4"/>
    </row>
    <row r="109" spans="1:20" ht="16.5">
      <c r="A109" s="4"/>
      <c r="B109" s="4"/>
      <c r="C109" s="4"/>
      <c r="D109" s="4"/>
      <c r="E109" s="4"/>
      <c r="F109" s="4"/>
      <c r="G109" s="4"/>
      <c r="H109" s="4"/>
      <c r="I109" s="4"/>
      <c r="J109" s="4"/>
      <c r="P109" s="4"/>
      <c r="Q109" s="4"/>
      <c r="R109" s="4"/>
      <c r="S109" s="4"/>
      <c r="T109" s="4"/>
    </row>
    <row r="110" spans="1:20" ht="16.5">
      <c r="A110" s="4"/>
      <c r="B110" s="4"/>
      <c r="C110" s="4"/>
      <c r="D110" s="4"/>
      <c r="E110" s="4"/>
      <c r="F110" s="4"/>
      <c r="G110" s="4"/>
      <c r="H110" s="4"/>
      <c r="I110" s="4"/>
      <c r="J110" s="4"/>
      <c r="P110" s="4"/>
      <c r="Q110" s="4"/>
      <c r="R110" s="4"/>
      <c r="S110" s="4"/>
      <c r="T110" s="4"/>
    </row>
    <row r="111" spans="1:20" ht="16.5">
      <c r="A111" s="4"/>
      <c r="B111" s="4"/>
      <c r="C111" s="4"/>
      <c r="D111" s="4"/>
      <c r="E111" s="4"/>
      <c r="F111" s="4"/>
      <c r="G111" s="4"/>
      <c r="H111" s="4"/>
      <c r="I111" s="4"/>
      <c r="J111" s="4"/>
      <c r="P111" s="4"/>
      <c r="Q111" s="4"/>
      <c r="R111" s="4"/>
      <c r="S111" s="4"/>
      <c r="T111" s="4"/>
    </row>
    <row r="112" spans="1:20" ht="16.5">
      <c r="A112" s="4"/>
      <c r="B112" s="4"/>
      <c r="C112" s="4"/>
      <c r="D112" s="4"/>
      <c r="E112" s="4"/>
      <c r="F112" s="4"/>
      <c r="G112" s="4"/>
      <c r="H112" s="4"/>
      <c r="I112" s="4"/>
      <c r="J112" s="4"/>
      <c r="P112" s="4"/>
      <c r="Q112" s="4"/>
      <c r="R112" s="4"/>
      <c r="S112" s="4"/>
      <c r="T112" s="4"/>
    </row>
    <row r="113" spans="1:20" ht="16.5">
      <c r="A113" s="4"/>
      <c r="B113" s="4"/>
      <c r="C113" s="4"/>
      <c r="D113" s="4"/>
      <c r="E113" s="4"/>
      <c r="F113" s="4"/>
      <c r="G113" s="4"/>
      <c r="H113" s="4"/>
      <c r="I113" s="4"/>
      <c r="J113" s="4"/>
      <c r="P113" s="4"/>
      <c r="Q113" s="4"/>
      <c r="R113" s="4"/>
      <c r="S113" s="4"/>
      <c r="T113" s="4"/>
    </row>
    <row r="114" spans="1:20" ht="16.5">
      <c r="A114" s="4"/>
      <c r="B114" s="4"/>
      <c r="C114" s="4"/>
      <c r="D114" s="4"/>
      <c r="E114" s="4"/>
      <c r="F114" s="4"/>
      <c r="G114" s="4"/>
      <c r="H114" s="4"/>
      <c r="I114" s="4"/>
      <c r="J114" s="4"/>
      <c r="P114" s="4"/>
      <c r="Q114" s="4"/>
      <c r="R114" s="4"/>
      <c r="S114" s="4"/>
      <c r="T114" s="4"/>
    </row>
    <row r="115" spans="1:20" ht="16.5">
      <c r="A115" s="4"/>
      <c r="B115" s="4"/>
      <c r="C115" s="4"/>
      <c r="D115" s="4"/>
      <c r="E115" s="4"/>
      <c r="F115" s="4"/>
      <c r="G115" s="4"/>
      <c r="H115" s="4"/>
      <c r="I115" s="4"/>
      <c r="J115" s="4"/>
      <c r="P115" s="4"/>
      <c r="Q115" s="4"/>
      <c r="R115" s="4"/>
      <c r="S115" s="4"/>
      <c r="T115" s="4"/>
    </row>
    <row r="116" spans="1:20" ht="16.5">
      <c r="A116" s="4"/>
      <c r="B116" s="4"/>
      <c r="C116" s="4"/>
      <c r="D116" s="4"/>
      <c r="E116" s="4"/>
      <c r="F116" s="4"/>
      <c r="G116" s="4"/>
      <c r="H116" s="4"/>
      <c r="I116" s="4"/>
      <c r="J116" s="4"/>
      <c r="P116" s="4"/>
      <c r="Q116" s="4"/>
      <c r="R116" s="4"/>
      <c r="S116" s="4"/>
      <c r="T116" s="4"/>
    </row>
    <row r="117" spans="1:20" ht="16.5">
      <c r="A117" s="4"/>
      <c r="B117" s="4"/>
      <c r="C117" s="4"/>
      <c r="D117" s="4"/>
      <c r="E117" s="4"/>
      <c r="F117" s="4"/>
      <c r="G117" s="4"/>
      <c r="H117" s="4"/>
      <c r="I117" s="4"/>
      <c r="J117" s="4"/>
      <c r="P117" s="4"/>
      <c r="Q117" s="4"/>
      <c r="R117" s="4"/>
      <c r="S117" s="4"/>
      <c r="T117" s="4"/>
    </row>
    <row r="118" spans="1:20" ht="16.5">
      <c r="A118" s="4"/>
      <c r="B118" s="4"/>
      <c r="C118" s="4"/>
      <c r="D118" s="4"/>
      <c r="E118" s="4"/>
      <c r="F118" s="4"/>
      <c r="G118" s="4"/>
      <c r="H118" s="4"/>
      <c r="I118" s="4"/>
      <c r="J118" s="4"/>
      <c r="P118" s="4"/>
      <c r="Q118" s="4"/>
      <c r="R118" s="4"/>
      <c r="S118" s="4"/>
      <c r="T118" s="4"/>
    </row>
    <row r="119" spans="1:20" ht="16.5">
      <c r="A119" s="4"/>
      <c r="B119" s="4"/>
      <c r="C119" s="4"/>
      <c r="D119" s="4"/>
      <c r="E119" s="4"/>
      <c r="F119" s="4"/>
      <c r="G119" s="4"/>
      <c r="H119" s="4"/>
      <c r="I119" s="4"/>
      <c r="J119" s="4"/>
      <c r="P119" s="4"/>
      <c r="Q119" s="4"/>
      <c r="R119" s="4"/>
      <c r="S119" s="4"/>
      <c r="T119" s="4"/>
    </row>
    <row r="120" spans="1:20" ht="16.5">
      <c r="A120" s="4"/>
      <c r="B120" s="4"/>
      <c r="C120" s="4"/>
      <c r="D120" s="4"/>
      <c r="E120" s="4"/>
      <c r="F120" s="4"/>
      <c r="G120" s="4"/>
      <c r="H120" s="4"/>
      <c r="I120" s="4"/>
      <c r="J120" s="4"/>
      <c r="P120" s="4"/>
      <c r="Q120" s="4"/>
      <c r="R120" s="4"/>
      <c r="S120" s="4"/>
      <c r="T120" s="4"/>
    </row>
    <row r="121" spans="1:20" ht="16.5">
      <c r="A121" s="4"/>
      <c r="B121" s="4"/>
      <c r="C121" s="4"/>
      <c r="D121" s="4"/>
      <c r="E121" s="4"/>
      <c r="F121" s="4"/>
      <c r="G121" s="4"/>
      <c r="H121" s="4"/>
      <c r="I121" s="4"/>
      <c r="J121" s="4"/>
      <c r="P121" s="4"/>
      <c r="Q121" s="4"/>
      <c r="R121" s="4"/>
      <c r="S121" s="4"/>
      <c r="T121" s="4"/>
    </row>
    <row r="122" spans="1:20" ht="16.5">
      <c r="A122" s="4"/>
      <c r="B122" s="4"/>
      <c r="C122" s="4"/>
      <c r="D122" s="4"/>
      <c r="E122" s="4"/>
      <c r="F122" s="4"/>
      <c r="G122" s="4"/>
      <c r="H122" s="4"/>
      <c r="I122" s="4"/>
      <c r="J122" s="4"/>
      <c r="P122" s="4"/>
      <c r="Q122" s="4"/>
      <c r="R122" s="4"/>
      <c r="S122" s="4"/>
      <c r="T122" s="4"/>
    </row>
    <row r="123" spans="1:20" ht="16.5">
      <c r="A123" s="4"/>
      <c r="B123" s="4"/>
      <c r="C123" s="4"/>
      <c r="D123" s="4"/>
      <c r="E123" s="4"/>
      <c r="F123" s="4"/>
      <c r="G123" s="4"/>
      <c r="H123" s="4"/>
      <c r="I123" s="4"/>
      <c r="J123" s="4"/>
      <c r="P123" s="4"/>
      <c r="Q123" s="4"/>
      <c r="R123" s="4"/>
      <c r="S123" s="4"/>
      <c r="T123" s="4"/>
    </row>
    <row r="124" spans="1:20" ht="16.5">
      <c r="A124" s="4"/>
      <c r="B124" s="4"/>
      <c r="C124" s="4"/>
      <c r="D124" s="4"/>
      <c r="E124" s="4"/>
      <c r="F124" s="4"/>
      <c r="G124" s="4"/>
      <c r="H124" s="4"/>
      <c r="I124" s="4"/>
      <c r="J124" s="4"/>
      <c r="P124" s="4"/>
      <c r="Q124" s="4"/>
      <c r="R124" s="4"/>
      <c r="S124" s="4"/>
      <c r="T124" s="4"/>
    </row>
    <row r="125" spans="1:20" ht="16.5">
      <c r="A125" s="4"/>
      <c r="B125" s="4"/>
      <c r="C125" s="4"/>
      <c r="D125" s="4"/>
      <c r="E125" s="4"/>
      <c r="F125" s="4"/>
      <c r="G125" s="4"/>
      <c r="H125" s="4"/>
      <c r="I125" s="4"/>
      <c r="J125" s="4"/>
      <c r="P125" s="4"/>
      <c r="Q125" s="4"/>
      <c r="R125" s="4"/>
      <c r="S125" s="4"/>
      <c r="T125" s="4"/>
    </row>
    <row r="126" spans="1:20" ht="16.5">
      <c r="A126" s="4"/>
      <c r="B126" s="4"/>
      <c r="C126" s="4"/>
      <c r="D126" s="4"/>
      <c r="E126" s="4"/>
      <c r="F126" s="4"/>
      <c r="G126" s="4"/>
      <c r="H126" s="4"/>
      <c r="I126" s="4"/>
      <c r="J126" s="4"/>
      <c r="P126" s="4"/>
      <c r="Q126" s="4"/>
      <c r="R126" s="4"/>
      <c r="S126" s="4"/>
      <c r="T126" s="4"/>
    </row>
    <row r="127" spans="1:20" ht="16.5">
      <c r="A127" s="4"/>
      <c r="B127" s="4"/>
      <c r="C127" s="4"/>
      <c r="D127" s="4"/>
      <c r="E127" s="4"/>
      <c r="F127" s="4"/>
      <c r="G127" s="4"/>
      <c r="H127" s="4"/>
      <c r="I127" s="4"/>
      <c r="J127" s="4"/>
      <c r="P127" s="4"/>
      <c r="Q127" s="4"/>
      <c r="R127" s="4"/>
      <c r="S127" s="4"/>
      <c r="T127" s="4"/>
    </row>
    <row r="128" spans="1:20" ht="16.5">
      <c r="A128" s="4"/>
      <c r="B128" s="4"/>
      <c r="C128" s="4"/>
      <c r="D128" s="4"/>
      <c r="E128" s="4"/>
      <c r="F128" s="4"/>
      <c r="G128" s="4"/>
      <c r="H128" s="4"/>
      <c r="I128" s="4"/>
      <c r="J128" s="4"/>
      <c r="P128" s="4"/>
      <c r="Q128" s="4"/>
      <c r="R128" s="4"/>
      <c r="S128" s="4"/>
      <c r="T128" s="4"/>
    </row>
    <row r="129" spans="1:20" ht="16.5">
      <c r="A129" s="4"/>
      <c r="B129" s="4"/>
      <c r="C129" s="4"/>
      <c r="D129" s="4"/>
      <c r="E129" s="4"/>
      <c r="F129" s="4"/>
      <c r="G129" s="4"/>
      <c r="H129" s="4"/>
      <c r="I129" s="4"/>
      <c r="J129" s="4"/>
      <c r="P129" s="4"/>
      <c r="Q129" s="4"/>
      <c r="R129" s="4"/>
      <c r="S129" s="4"/>
      <c r="T129" s="4"/>
    </row>
    <row r="130" spans="1:20" ht="16.5">
      <c r="A130" s="4"/>
      <c r="B130" s="4"/>
      <c r="C130" s="4"/>
      <c r="D130" s="4"/>
      <c r="E130" s="4"/>
      <c r="F130" s="4"/>
      <c r="G130" s="4"/>
      <c r="H130" s="4"/>
      <c r="I130" s="4"/>
      <c r="J130" s="4"/>
      <c r="P130" s="4"/>
      <c r="Q130" s="4"/>
      <c r="R130" s="4"/>
      <c r="S130" s="4"/>
      <c r="T130" s="4"/>
    </row>
    <row r="131" spans="1:20" ht="16.5">
      <c r="A131" s="4"/>
      <c r="B131" s="4"/>
      <c r="C131" s="4"/>
      <c r="D131" s="4"/>
      <c r="E131" s="4"/>
      <c r="F131" s="4"/>
      <c r="G131" s="4"/>
      <c r="H131" s="4"/>
      <c r="I131" s="4"/>
      <c r="J131" s="4"/>
      <c r="P131" s="4"/>
      <c r="Q131" s="4"/>
      <c r="R131" s="4"/>
      <c r="S131" s="4"/>
      <c r="T131" s="4"/>
    </row>
    <row r="132" spans="1:20" ht="16.5">
      <c r="A132" s="4"/>
      <c r="B132" s="4"/>
      <c r="C132" s="4"/>
      <c r="D132" s="4"/>
      <c r="E132" s="4"/>
      <c r="F132" s="4"/>
      <c r="G132" s="4"/>
      <c r="H132" s="4"/>
      <c r="I132" s="4"/>
      <c r="J132" s="4"/>
      <c r="P132" s="4"/>
      <c r="Q132" s="4"/>
      <c r="R132" s="4"/>
      <c r="S132" s="4"/>
      <c r="T132" s="4"/>
    </row>
    <row r="133" spans="1:20" ht="16.5">
      <c r="A133" s="4"/>
      <c r="B133" s="4"/>
      <c r="C133" s="4"/>
      <c r="D133" s="4"/>
      <c r="E133" s="4"/>
      <c r="F133" s="4"/>
      <c r="G133" s="4"/>
      <c r="H133" s="4"/>
      <c r="I133" s="4"/>
      <c r="J133" s="4"/>
      <c r="P133" s="4"/>
      <c r="Q133" s="4"/>
      <c r="R133" s="4"/>
      <c r="S133" s="4"/>
      <c r="T133" s="4"/>
    </row>
    <row r="134" spans="1:20" ht="16.5">
      <c r="A134" s="4"/>
      <c r="B134" s="4"/>
      <c r="C134" s="4"/>
      <c r="D134" s="4"/>
      <c r="E134" s="4"/>
      <c r="F134" s="4"/>
      <c r="G134" s="4"/>
      <c r="H134" s="4"/>
      <c r="I134" s="4"/>
      <c r="J134" s="4"/>
      <c r="P134" s="4"/>
      <c r="Q134" s="4"/>
      <c r="R134" s="4"/>
      <c r="S134" s="4"/>
      <c r="T134" s="4"/>
    </row>
    <row r="135" spans="1:20" ht="16.5">
      <c r="A135" s="4"/>
      <c r="B135" s="4"/>
      <c r="C135" s="4"/>
      <c r="D135" s="4"/>
      <c r="E135" s="4"/>
      <c r="F135" s="4"/>
      <c r="G135" s="4"/>
      <c r="H135" s="4"/>
      <c r="I135" s="4"/>
      <c r="J135" s="4"/>
      <c r="P135" s="4"/>
      <c r="Q135" s="4"/>
      <c r="R135" s="4"/>
      <c r="S135" s="4"/>
      <c r="T135" s="4"/>
    </row>
    <row r="136" spans="1:20" ht="16.5">
      <c r="A136" s="4"/>
      <c r="B136" s="4"/>
      <c r="C136" s="4"/>
      <c r="D136" s="4"/>
      <c r="E136" s="4"/>
      <c r="F136" s="4"/>
      <c r="G136" s="4"/>
      <c r="H136" s="4"/>
      <c r="I136" s="4"/>
      <c r="J136" s="4"/>
      <c r="P136" s="4"/>
      <c r="Q136" s="4"/>
      <c r="R136" s="4"/>
      <c r="S136" s="4"/>
      <c r="T136" s="4"/>
    </row>
    <row r="137" spans="1:20" ht="16.5">
      <c r="A137" s="4"/>
      <c r="B137" s="4"/>
      <c r="C137" s="4"/>
      <c r="D137" s="4"/>
      <c r="E137" s="4"/>
      <c r="F137" s="4"/>
      <c r="G137" s="4"/>
      <c r="H137" s="4"/>
      <c r="I137" s="4"/>
      <c r="J137" s="4"/>
      <c r="P137" s="4"/>
      <c r="Q137" s="4"/>
      <c r="R137" s="4"/>
      <c r="S137" s="4"/>
      <c r="T137" s="4"/>
    </row>
    <row r="138" spans="1:20" ht="16.5">
      <c r="A138" s="4"/>
      <c r="B138" s="4"/>
      <c r="C138" s="4"/>
      <c r="D138" s="4"/>
      <c r="E138" s="4"/>
      <c r="F138" s="4"/>
      <c r="G138" s="4"/>
      <c r="H138" s="4"/>
      <c r="I138" s="4"/>
      <c r="J138" s="4"/>
      <c r="P138" s="4"/>
      <c r="Q138" s="4"/>
      <c r="R138" s="4"/>
      <c r="S138" s="4"/>
      <c r="T138" s="4"/>
    </row>
    <row r="139" spans="1:20" ht="16.5">
      <c r="A139" s="4"/>
      <c r="B139" s="4"/>
      <c r="C139" s="4"/>
      <c r="D139" s="4"/>
      <c r="E139" s="4"/>
      <c r="F139" s="4"/>
      <c r="G139" s="4"/>
      <c r="H139" s="4"/>
      <c r="I139" s="4"/>
      <c r="J139" s="4"/>
      <c r="P139" s="4"/>
      <c r="Q139" s="4"/>
      <c r="R139" s="4"/>
      <c r="S139" s="4"/>
      <c r="T139" s="4"/>
    </row>
    <row r="140" spans="1:20" ht="16.5">
      <c r="A140" s="4"/>
      <c r="B140" s="4"/>
      <c r="C140" s="4"/>
      <c r="D140" s="4"/>
      <c r="E140" s="4"/>
      <c r="F140" s="4"/>
      <c r="G140" s="4"/>
      <c r="H140" s="4"/>
      <c r="I140" s="4"/>
      <c r="J140" s="4"/>
      <c r="P140" s="4"/>
      <c r="Q140" s="4"/>
      <c r="R140" s="4"/>
      <c r="S140" s="4"/>
      <c r="T140" s="4"/>
    </row>
    <row r="141" spans="1:20" ht="16.5">
      <c r="A141" s="4"/>
      <c r="B141" s="4"/>
      <c r="C141" s="4"/>
      <c r="D141" s="4"/>
      <c r="E141" s="4"/>
      <c r="F141" s="4"/>
      <c r="G141" s="4"/>
      <c r="H141" s="4"/>
      <c r="I141" s="4"/>
      <c r="J141" s="4"/>
      <c r="P141" s="4"/>
      <c r="Q141" s="4"/>
      <c r="R141" s="4"/>
      <c r="S141" s="4"/>
      <c r="T141" s="4"/>
    </row>
    <row r="142" spans="1:20" ht="16.5">
      <c r="A142" s="4"/>
      <c r="B142" s="4"/>
      <c r="C142" s="4"/>
      <c r="D142" s="4"/>
      <c r="E142" s="4"/>
      <c r="F142" s="4"/>
      <c r="G142" s="4"/>
      <c r="H142" s="4"/>
      <c r="I142" s="4"/>
      <c r="J142" s="4"/>
      <c r="P142" s="4"/>
      <c r="Q142" s="4"/>
      <c r="R142" s="4"/>
      <c r="S142" s="4"/>
      <c r="T142" s="4"/>
    </row>
    <row r="143" spans="1:20" ht="16.5">
      <c r="A143" s="4"/>
      <c r="B143" s="4"/>
      <c r="C143" s="4"/>
      <c r="D143" s="4"/>
      <c r="E143" s="4"/>
      <c r="F143" s="4"/>
      <c r="G143" s="4"/>
      <c r="H143" s="4"/>
      <c r="I143" s="4"/>
      <c r="J143" s="4"/>
      <c r="P143" s="4"/>
      <c r="Q143" s="4"/>
      <c r="R143" s="4"/>
      <c r="S143" s="4"/>
      <c r="T143" s="4"/>
    </row>
    <row r="144" spans="1:20" ht="16.5">
      <c r="A144" s="4"/>
      <c r="B144" s="4"/>
      <c r="C144" s="4"/>
      <c r="D144" s="4"/>
      <c r="E144" s="4"/>
      <c r="F144" s="4"/>
      <c r="G144" s="4"/>
      <c r="H144" s="4"/>
      <c r="I144" s="4"/>
      <c r="J144" s="4"/>
      <c r="P144" s="4"/>
      <c r="Q144" s="4"/>
      <c r="R144" s="4"/>
      <c r="S144" s="4"/>
      <c r="T144" s="4"/>
    </row>
    <row r="145" spans="1:20" ht="16.5">
      <c r="A145" s="4"/>
      <c r="B145" s="4"/>
      <c r="C145" s="4"/>
      <c r="D145" s="4"/>
      <c r="E145" s="4"/>
      <c r="F145" s="4"/>
      <c r="G145" s="4"/>
      <c r="H145" s="4"/>
      <c r="I145" s="4"/>
      <c r="J145" s="4"/>
      <c r="P145" s="4"/>
      <c r="Q145" s="4"/>
      <c r="R145" s="4"/>
      <c r="S145" s="4"/>
      <c r="T145" s="4"/>
    </row>
    <row r="146" spans="1:20" ht="16.5">
      <c r="A146" s="4"/>
      <c r="B146" s="4"/>
      <c r="C146" s="4"/>
      <c r="D146" s="4"/>
      <c r="E146" s="4"/>
      <c r="F146" s="4"/>
      <c r="G146" s="4"/>
      <c r="H146" s="4"/>
      <c r="I146" s="4"/>
      <c r="J146" s="4"/>
      <c r="P146" s="4"/>
      <c r="Q146" s="4"/>
      <c r="R146" s="4"/>
      <c r="S146" s="4"/>
      <c r="T146" s="4"/>
    </row>
    <row r="147" spans="1:20" ht="16.5">
      <c r="A147" s="4"/>
      <c r="B147" s="4"/>
      <c r="C147" s="4"/>
      <c r="D147" s="4"/>
      <c r="E147" s="4"/>
      <c r="F147" s="4"/>
      <c r="G147" s="4"/>
      <c r="H147" s="4"/>
      <c r="I147" s="4"/>
      <c r="J147" s="4"/>
      <c r="P147" s="4"/>
      <c r="Q147" s="4"/>
      <c r="R147" s="4"/>
      <c r="S147" s="4"/>
      <c r="T147" s="4"/>
    </row>
    <row r="148" spans="1:20" ht="16.5">
      <c r="A148" s="4"/>
      <c r="B148" s="4"/>
      <c r="C148" s="4"/>
      <c r="D148" s="4"/>
      <c r="E148" s="4"/>
      <c r="F148" s="4"/>
      <c r="G148" s="4"/>
      <c r="H148" s="4"/>
      <c r="I148" s="4"/>
      <c r="J148" s="4"/>
      <c r="P148" s="4"/>
      <c r="Q148" s="4"/>
      <c r="R148" s="4"/>
      <c r="S148" s="4"/>
      <c r="T148" s="4"/>
    </row>
    <row r="149" spans="1:20" ht="16.5">
      <c r="A149" s="4"/>
      <c r="B149" s="4"/>
      <c r="C149" s="4"/>
      <c r="D149" s="4"/>
      <c r="E149" s="4"/>
      <c r="F149" s="4"/>
      <c r="G149" s="4"/>
      <c r="H149" s="4"/>
      <c r="I149" s="4"/>
      <c r="J149" s="4"/>
      <c r="P149" s="4"/>
      <c r="Q149" s="4"/>
      <c r="R149" s="4"/>
      <c r="S149" s="4"/>
      <c r="T149" s="4"/>
    </row>
    <row r="150" spans="1:20" ht="16.5">
      <c r="A150" s="4"/>
      <c r="B150" s="4"/>
      <c r="C150" s="4"/>
      <c r="D150" s="4"/>
      <c r="E150" s="4"/>
      <c r="F150" s="4"/>
      <c r="G150" s="4"/>
      <c r="H150" s="4"/>
      <c r="I150" s="4"/>
      <c r="J150" s="4"/>
      <c r="P150" s="4"/>
      <c r="Q150" s="4"/>
      <c r="R150" s="4"/>
      <c r="S150" s="4"/>
      <c r="T150" s="4"/>
    </row>
    <row r="151" spans="1:20" ht="16.5">
      <c r="A151" s="4"/>
      <c r="B151" s="4"/>
      <c r="C151" s="4"/>
      <c r="D151" s="4"/>
      <c r="E151" s="4"/>
      <c r="F151" s="4"/>
      <c r="G151" s="4"/>
      <c r="H151" s="4"/>
      <c r="I151" s="4"/>
      <c r="J151" s="4"/>
      <c r="P151" s="4"/>
      <c r="Q151" s="4"/>
      <c r="R151" s="4"/>
      <c r="S151" s="4"/>
      <c r="T151" s="4"/>
    </row>
    <row r="152" spans="1:20" ht="16.5">
      <c r="A152" s="4"/>
      <c r="B152" s="4"/>
      <c r="C152" s="4"/>
      <c r="D152" s="4"/>
      <c r="E152" s="4"/>
      <c r="F152" s="4"/>
      <c r="G152" s="4"/>
      <c r="H152" s="4"/>
      <c r="I152" s="4"/>
      <c r="J152" s="4"/>
      <c r="P152" s="4"/>
      <c r="Q152" s="4"/>
      <c r="R152" s="4"/>
      <c r="S152" s="4"/>
      <c r="T152" s="4"/>
    </row>
    <row r="153" spans="1:20" ht="16.5">
      <c r="A153" s="4"/>
      <c r="B153" s="4"/>
      <c r="C153" s="4"/>
      <c r="D153" s="4"/>
      <c r="E153" s="4"/>
      <c r="F153" s="4"/>
      <c r="G153" s="4"/>
      <c r="H153" s="4"/>
      <c r="I153" s="4"/>
      <c r="J153" s="4"/>
      <c r="P153" s="4"/>
      <c r="Q153" s="4"/>
      <c r="R153" s="4"/>
      <c r="S153" s="4"/>
      <c r="T153" s="4"/>
    </row>
    <row r="154" spans="1:20" ht="16.5">
      <c r="A154" s="4"/>
      <c r="B154" s="4"/>
      <c r="C154" s="4"/>
      <c r="D154" s="4"/>
      <c r="E154" s="4"/>
      <c r="F154" s="4"/>
      <c r="G154" s="4"/>
      <c r="H154" s="4"/>
      <c r="I154" s="4"/>
      <c r="J154" s="4"/>
      <c r="P154" s="4"/>
      <c r="Q154" s="4"/>
      <c r="R154" s="4"/>
      <c r="S154" s="4"/>
      <c r="T154" s="4"/>
    </row>
    <row r="155" spans="1:20" ht="16.5">
      <c r="A155" s="4"/>
      <c r="B155" s="4"/>
      <c r="C155" s="4"/>
      <c r="D155" s="4"/>
      <c r="E155" s="4"/>
      <c r="F155" s="4"/>
      <c r="G155" s="4"/>
      <c r="H155" s="4"/>
      <c r="I155" s="4"/>
      <c r="J155" s="4"/>
      <c r="P155" s="4"/>
      <c r="Q155" s="4"/>
      <c r="R155" s="4"/>
      <c r="S155" s="4"/>
      <c r="T155" s="4"/>
    </row>
    <row r="156" spans="1:20" ht="16.5">
      <c r="A156" s="4"/>
      <c r="B156" s="4"/>
      <c r="C156" s="4"/>
      <c r="D156" s="4"/>
      <c r="E156" s="4"/>
      <c r="F156" s="4"/>
      <c r="G156" s="4"/>
      <c r="H156" s="4"/>
      <c r="I156" s="4"/>
      <c r="J156" s="4"/>
      <c r="P156" s="4"/>
      <c r="Q156" s="4"/>
      <c r="R156" s="4"/>
      <c r="S156" s="4"/>
      <c r="T156" s="4"/>
    </row>
    <row r="157" spans="1:20" ht="16.5">
      <c r="A157" s="4"/>
      <c r="B157" s="4"/>
      <c r="C157" s="4"/>
      <c r="D157" s="4"/>
      <c r="E157" s="4"/>
      <c r="F157" s="4"/>
      <c r="G157" s="4"/>
      <c r="H157" s="4"/>
      <c r="I157" s="4"/>
      <c r="J157" s="4"/>
      <c r="P157" s="4"/>
      <c r="Q157" s="4"/>
      <c r="R157" s="4"/>
      <c r="S157" s="4"/>
      <c r="T157" s="4"/>
    </row>
    <row r="158" spans="1:20" ht="16.5">
      <c r="A158" s="4"/>
      <c r="B158" s="4"/>
      <c r="C158" s="4"/>
      <c r="D158" s="4"/>
      <c r="E158" s="4"/>
      <c r="F158" s="4"/>
      <c r="G158" s="4"/>
      <c r="H158" s="4"/>
      <c r="I158" s="4"/>
      <c r="J158" s="4"/>
      <c r="P158" s="4"/>
      <c r="Q158" s="4"/>
      <c r="R158" s="4"/>
      <c r="S158" s="4"/>
      <c r="T158" s="4"/>
    </row>
    <row r="159" spans="1:20" ht="16.5">
      <c r="A159" s="4"/>
      <c r="B159" s="4"/>
      <c r="C159" s="4"/>
      <c r="D159" s="4"/>
      <c r="E159" s="4"/>
      <c r="F159" s="4"/>
      <c r="G159" s="4"/>
      <c r="H159" s="4"/>
      <c r="I159" s="4"/>
      <c r="J159" s="4"/>
      <c r="P159" s="4"/>
      <c r="Q159" s="4"/>
      <c r="R159" s="4"/>
      <c r="S159" s="4"/>
      <c r="T159" s="4"/>
    </row>
    <row r="160" spans="1:20" ht="16.5">
      <c r="A160" s="4"/>
      <c r="B160" s="4"/>
      <c r="C160" s="4"/>
      <c r="D160" s="4"/>
      <c r="E160" s="4"/>
      <c r="F160" s="4"/>
      <c r="G160" s="4"/>
      <c r="H160" s="4"/>
      <c r="I160" s="4"/>
      <c r="J160" s="4"/>
      <c r="P160" s="4"/>
      <c r="Q160" s="4"/>
      <c r="R160" s="4"/>
      <c r="S160" s="4"/>
      <c r="T160" s="4"/>
    </row>
    <row r="161" spans="1:20" ht="16.5">
      <c r="A161" s="4"/>
      <c r="B161" s="4"/>
      <c r="C161" s="4"/>
      <c r="D161" s="4"/>
      <c r="E161" s="4"/>
      <c r="F161" s="4"/>
      <c r="G161" s="4"/>
      <c r="H161" s="4"/>
      <c r="I161" s="4"/>
      <c r="J161" s="4"/>
      <c r="P161" s="4"/>
      <c r="Q161" s="4"/>
      <c r="R161" s="4"/>
      <c r="S161" s="4"/>
      <c r="T161" s="4"/>
    </row>
    <row r="162" spans="1:20" ht="16.5">
      <c r="A162" s="4"/>
      <c r="B162" s="4"/>
      <c r="C162" s="4"/>
      <c r="D162" s="4"/>
      <c r="E162" s="4"/>
      <c r="F162" s="4"/>
      <c r="G162" s="4"/>
      <c r="H162" s="4"/>
      <c r="I162" s="4"/>
      <c r="J162" s="4"/>
      <c r="P162" s="4"/>
      <c r="Q162" s="4"/>
      <c r="R162" s="4"/>
      <c r="S162" s="4"/>
      <c r="T162" s="4"/>
    </row>
    <row r="163" spans="1:20" ht="16.5">
      <c r="A163" s="4"/>
      <c r="B163" s="4"/>
      <c r="C163" s="4"/>
      <c r="D163" s="4"/>
      <c r="E163" s="4"/>
      <c r="F163" s="4"/>
      <c r="G163" s="4"/>
      <c r="H163" s="4"/>
      <c r="I163" s="4"/>
      <c r="J163" s="4"/>
      <c r="P163" s="4"/>
      <c r="Q163" s="4"/>
      <c r="R163" s="4"/>
      <c r="S163" s="4"/>
      <c r="T163" s="4"/>
    </row>
    <row r="164" spans="1:20" ht="16.5">
      <c r="A164" s="4"/>
      <c r="B164" s="4"/>
      <c r="C164" s="4"/>
      <c r="D164" s="4"/>
      <c r="E164" s="4"/>
      <c r="F164" s="4"/>
      <c r="G164" s="4"/>
      <c r="H164" s="4"/>
      <c r="I164" s="4"/>
      <c r="J164" s="4"/>
      <c r="P164" s="4"/>
      <c r="Q164" s="4"/>
      <c r="R164" s="4"/>
      <c r="S164" s="4"/>
      <c r="T164" s="4"/>
    </row>
    <row r="165" spans="1:20" ht="16.5">
      <c r="A165" s="4"/>
      <c r="B165" s="4"/>
      <c r="C165" s="4"/>
      <c r="D165" s="4"/>
      <c r="E165" s="4"/>
      <c r="F165" s="4"/>
      <c r="G165" s="4"/>
      <c r="H165" s="4"/>
      <c r="I165" s="4"/>
      <c r="J165" s="4"/>
      <c r="P165" s="4"/>
      <c r="Q165" s="4"/>
      <c r="R165" s="4"/>
      <c r="S165" s="4"/>
      <c r="T165" s="4"/>
    </row>
    <row r="166" spans="1:20" ht="16.5">
      <c r="A166" s="4"/>
      <c r="B166" s="4"/>
      <c r="C166" s="4"/>
      <c r="D166" s="4"/>
      <c r="E166" s="4"/>
      <c r="F166" s="4"/>
      <c r="G166" s="4"/>
      <c r="H166" s="4"/>
      <c r="I166" s="4"/>
      <c r="J166" s="4"/>
      <c r="P166" s="4"/>
      <c r="Q166" s="4"/>
      <c r="R166" s="4"/>
      <c r="S166" s="4"/>
      <c r="T166" s="4"/>
    </row>
    <row r="167" spans="1:20" ht="16.5">
      <c r="A167" s="4"/>
      <c r="B167" s="4"/>
      <c r="C167" s="4"/>
      <c r="D167" s="4"/>
      <c r="E167" s="4"/>
      <c r="F167" s="4"/>
      <c r="G167" s="4"/>
      <c r="H167" s="4"/>
      <c r="I167" s="4"/>
      <c r="J167" s="4"/>
      <c r="P167" s="4"/>
      <c r="Q167" s="4"/>
      <c r="R167" s="4"/>
      <c r="S167" s="4"/>
      <c r="T167" s="4"/>
    </row>
    <row r="168" spans="1:20" ht="16.5">
      <c r="A168" s="4"/>
      <c r="B168" s="4"/>
      <c r="C168" s="4"/>
      <c r="D168" s="4"/>
      <c r="E168" s="4"/>
      <c r="F168" s="4"/>
      <c r="G168" s="4"/>
      <c r="H168" s="4"/>
      <c r="I168" s="4"/>
      <c r="J168" s="4"/>
      <c r="P168" s="4"/>
      <c r="Q168" s="4"/>
      <c r="R168" s="4"/>
      <c r="S168" s="4"/>
      <c r="T168" s="4"/>
    </row>
    <row r="169" spans="1:20" ht="16.5">
      <c r="A169" s="4"/>
      <c r="B169" s="4"/>
      <c r="C169" s="4"/>
      <c r="D169" s="4"/>
      <c r="E169" s="4"/>
      <c r="F169" s="4"/>
      <c r="G169" s="4"/>
      <c r="H169" s="4"/>
      <c r="I169" s="4"/>
      <c r="J169" s="4"/>
      <c r="P169" s="4"/>
      <c r="Q169" s="4"/>
      <c r="R169" s="4"/>
      <c r="S169" s="4"/>
      <c r="T169" s="4"/>
    </row>
    <row r="170" spans="1:20" ht="16.5">
      <c r="A170" s="4"/>
      <c r="B170" s="4"/>
      <c r="C170" s="4"/>
      <c r="D170" s="4"/>
      <c r="E170" s="4"/>
      <c r="F170" s="4"/>
      <c r="G170" s="4"/>
      <c r="H170" s="4"/>
      <c r="I170" s="4"/>
      <c r="J170" s="4"/>
      <c r="P170" s="4"/>
      <c r="Q170" s="4"/>
      <c r="R170" s="4"/>
      <c r="S170" s="4"/>
      <c r="T170" s="4"/>
    </row>
    <row r="171" spans="1:20" ht="16.5">
      <c r="A171" s="4"/>
      <c r="B171" s="4"/>
      <c r="C171" s="4"/>
      <c r="D171" s="4"/>
      <c r="E171" s="4"/>
      <c r="F171" s="4"/>
      <c r="G171" s="4"/>
      <c r="H171" s="4"/>
      <c r="I171" s="4"/>
      <c r="J171" s="4"/>
      <c r="P171" s="4"/>
      <c r="Q171" s="4"/>
      <c r="R171" s="4"/>
      <c r="S171" s="4"/>
      <c r="T171" s="4"/>
    </row>
    <row r="172" spans="1:20" ht="16.5">
      <c r="A172" s="4"/>
      <c r="B172" s="4"/>
      <c r="C172" s="4"/>
      <c r="D172" s="4"/>
      <c r="E172" s="4"/>
      <c r="F172" s="4"/>
      <c r="G172" s="4"/>
      <c r="H172" s="4"/>
      <c r="I172" s="4"/>
      <c r="J172" s="4"/>
      <c r="P172" s="4"/>
      <c r="Q172" s="4"/>
      <c r="R172" s="4"/>
      <c r="S172" s="4"/>
      <c r="T172" s="4"/>
    </row>
    <row r="173" spans="1:20" ht="16.5">
      <c r="A173" s="4"/>
      <c r="B173" s="4"/>
      <c r="C173" s="4"/>
      <c r="D173" s="4"/>
      <c r="E173" s="4"/>
      <c r="F173" s="4"/>
      <c r="G173" s="4"/>
      <c r="H173" s="4"/>
      <c r="I173" s="4"/>
      <c r="J173" s="4"/>
      <c r="P173" s="4"/>
      <c r="Q173" s="4"/>
      <c r="R173" s="4"/>
      <c r="S173" s="4"/>
      <c r="T173" s="4"/>
    </row>
    <row r="174" spans="1:20" ht="16.5">
      <c r="A174" s="4"/>
      <c r="B174" s="4"/>
      <c r="C174" s="4"/>
      <c r="D174" s="4"/>
      <c r="E174" s="4"/>
      <c r="F174" s="4"/>
      <c r="G174" s="4"/>
      <c r="H174" s="4"/>
      <c r="I174" s="4"/>
      <c r="J174" s="4"/>
      <c r="P174" s="4"/>
      <c r="Q174" s="4"/>
      <c r="R174" s="4"/>
      <c r="S174" s="4"/>
      <c r="T174" s="4"/>
    </row>
    <row r="175" spans="1:20" ht="16.5">
      <c r="A175" s="4"/>
      <c r="B175" s="4"/>
      <c r="C175" s="4"/>
      <c r="D175" s="4"/>
      <c r="E175" s="4"/>
      <c r="F175" s="4"/>
      <c r="G175" s="4"/>
      <c r="H175" s="4"/>
      <c r="I175" s="4"/>
      <c r="J175" s="4"/>
      <c r="P175" s="4"/>
      <c r="Q175" s="4"/>
      <c r="R175" s="4"/>
      <c r="S175" s="4"/>
      <c r="T175" s="4"/>
    </row>
    <row r="176" spans="1:20" ht="16.5">
      <c r="A176" s="4"/>
      <c r="B176" s="4"/>
      <c r="C176" s="4"/>
      <c r="D176" s="4"/>
      <c r="E176" s="4"/>
      <c r="F176" s="4"/>
      <c r="G176" s="4"/>
      <c r="H176" s="4"/>
      <c r="I176" s="4"/>
      <c r="J176" s="4"/>
      <c r="P176" s="4"/>
      <c r="Q176" s="4"/>
      <c r="R176" s="4"/>
      <c r="S176" s="4"/>
      <c r="T176" s="4"/>
    </row>
    <row r="177" spans="1:20" ht="16.5">
      <c r="A177" s="4"/>
      <c r="B177" s="4"/>
      <c r="C177" s="4"/>
      <c r="D177" s="4"/>
      <c r="E177" s="4"/>
      <c r="F177" s="4"/>
      <c r="G177" s="4"/>
      <c r="H177" s="4"/>
      <c r="I177" s="4"/>
      <c r="J177" s="4"/>
      <c r="P177" s="4"/>
      <c r="Q177" s="4"/>
      <c r="R177" s="4"/>
      <c r="S177" s="4"/>
      <c r="T177" s="4"/>
    </row>
    <row r="178" spans="1:20" ht="16.5">
      <c r="A178" s="4"/>
      <c r="B178" s="4"/>
      <c r="C178" s="4"/>
      <c r="D178" s="4"/>
      <c r="E178" s="4"/>
      <c r="F178" s="4"/>
      <c r="G178" s="4"/>
      <c r="H178" s="4"/>
      <c r="I178" s="4"/>
      <c r="J178" s="4"/>
      <c r="P178" s="4"/>
      <c r="Q178" s="4"/>
      <c r="R178" s="4"/>
      <c r="S178" s="4"/>
      <c r="T178" s="4"/>
    </row>
    <row r="179" spans="1:20" ht="16.5">
      <c r="A179" s="4"/>
      <c r="B179" s="4"/>
      <c r="C179" s="4"/>
      <c r="D179" s="4"/>
      <c r="E179" s="4"/>
      <c r="F179" s="4"/>
      <c r="G179" s="4"/>
      <c r="H179" s="4"/>
      <c r="I179" s="4"/>
      <c r="J179" s="4"/>
      <c r="P179" s="4"/>
      <c r="Q179" s="4"/>
      <c r="R179" s="4"/>
      <c r="S179" s="4"/>
      <c r="T179" s="4"/>
    </row>
    <row r="180" spans="1:20" ht="16.5">
      <c r="A180" s="4"/>
      <c r="B180" s="4"/>
      <c r="C180" s="4"/>
      <c r="D180" s="4"/>
      <c r="E180" s="4"/>
      <c r="F180" s="4"/>
      <c r="G180" s="4"/>
      <c r="H180" s="4"/>
      <c r="I180" s="4"/>
      <c r="J180" s="4"/>
      <c r="P180" s="4"/>
      <c r="Q180" s="4"/>
      <c r="R180" s="4"/>
      <c r="S180" s="4"/>
      <c r="T180" s="4"/>
    </row>
    <row r="181" spans="1:20" ht="16.5">
      <c r="A181" s="4"/>
      <c r="B181" s="4"/>
      <c r="C181" s="4"/>
      <c r="D181" s="4"/>
      <c r="E181" s="4"/>
      <c r="F181" s="4"/>
      <c r="G181" s="4"/>
      <c r="H181" s="4"/>
      <c r="I181" s="4"/>
      <c r="J181" s="4"/>
      <c r="P181" s="4"/>
      <c r="Q181" s="4"/>
      <c r="R181" s="4"/>
      <c r="S181" s="4"/>
      <c r="T181" s="4"/>
    </row>
    <row r="182" spans="1:20" ht="16.5">
      <c r="A182" s="4"/>
      <c r="B182" s="4"/>
      <c r="C182" s="4"/>
      <c r="D182" s="4"/>
      <c r="E182" s="4"/>
      <c r="F182" s="4"/>
      <c r="G182" s="4"/>
      <c r="H182" s="4"/>
      <c r="I182" s="4"/>
      <c r="J182" s="4"/>
      <c r="P182" s="4"/>
      <c r="Q182" s="4"/>
      <c r="R182" s="4"/>
      <c r="S182" s="4"/>
      <c r="T182" s="4"/>
    </row>
    <row r="183" spans="1:20" ht="16.5">
      <c r="A183" s="4"/>
      <c r="B183" s="4"/>
      <c r="C183" s="4"/>
      <c r="D183" s="4"/>
      <c r="E183" s="4"/>
      <c r="F183" s="4"/>
      <c r="G183" s="4"/>
      <c r="H183" s="4"/>
      <c r="I183" s="4"/>
      <c r="J183" s="4"/>
      <c r="P183" s="4"/>
      <c r="Q183" s="4"/>
      <c r="R183" s="4"/>
      <c r="S183" s="4"/>
      <c r="T183" s="4"/>
    </row>
    <row r="184" spans="1:20" ht="16.5">
      <c r="A184" s="4"/>
      <c r="B184" s="4"/>
      <c r="C184" s="4"/>
      <c r="D184" s="4"/>
      <c r="E184" s="4"/>
      <c r="F184" s="4"/>
      <c r="G184" s="4"/>
      <c r="H184" s="4"/>
      <c r="I184" s="4"/>
      <c r="J184" s="4"/>
      <c r="P184" s="4"/>
      <c r="Q184" s="4"/>
      <c r="R184" s="4"/>
      <c r="S184" s="4"/>
      <c r="T184" s="4"/>
    </row>
    <row r="185" spans="1:20" ht="16.5">
      <c r="A185" s="4"/>
      <c r="B185" s="4"/>
      <c r="C185" s="4"/>
      <c r="D185" s="4"/>
      <c r="E185" s="4"/>
      <c r="F185" s="4"/>
      <c r="G185" s="4"/>
      <c r="H185" s="4"/>
      <c r="I185" s="4"/>
      <c r="J185" s="4"/>
      <c r="P185" s="4"/>
      <c r="Q185" s="4"/>
      <c r="R185" s="4"/>
      <c r="S185" s="4"/>
      <c r="T185" s="4"/>
    </row>
    <row r="186" spans="1:20" ht="16.5">
      <c r="A186" s="4"/>
      <c r="B186" s="4"/>
      <c r="C186" s="4"/>
      <c r="D186" s="4"/>
      <c r="E186" s="4"/>
      <c r="F186" s="4"/>
      <c r="G186" s="4"/>
      <c r="H186" s="4"/>
      <c r="I186" s="4"/>
      <c r="J186" s="4"/>
      <c r="P186" s="4"/>
      <c r="Q186" s="4"/>
      <c r="R186" s="4"/>
      <c r="S186" s="4"/>
      <c r="T186" s="4"/>
    </row>
    <row r="187" spans="1:20" ht="16.5">
      <c r="A187" s="4"/>
      <c r="B187" s="4"/>
      <c r="C187" s="4"/>
      <c r="D187" s="4"/>
      <c r="E187" s="4"/>
      <c r="F187" s="4"/>
      <c r="G187" s="4"/>
      <c r="H187" s="4"/>
      <c r="I187" s="4"/>
      <c r="J187" s="4"/>
      <c r="P187" s="4"/>
      <c r="Q187" s="4"/>
      <c r="R187" s="4"/>
      <c r="S187" s="4"/>
      <c r="T187" s="4"/>
    </row>
    <row r="188" spans="1:20" ht="16.5">
      <c r="A188" s="4"/>
      <c r="B188" s="4"/>
      <c r="C188" s="4"/>
      <c r="D188" s="4"/>
      <c r="E188" s="4"/>
      <c r="F188" s="4"/>
      <c r="G188" s="4"/>
      <c r="H188" s="4"/>
      <c r="I188" s="4"/>
      <c r="J188" s="4"/>
      <c r="P188" s="4"/>
      <c r="Q188" s="4"/>
      <c r="R188" s="4"/>
      <c r="S188" s="4"/>
      <c r="T188" s="4"/>
    </row>
    <row r="189" spans="1:20" ht="16.5">
      <c r="A189" s="4"/>
      <c r="B189" s="4"/>
      <c r="C189" s="4"/>
      <c r="D189" s="4"/>
      <c r="E189" s="4"/>
      <c r="F189" s="4"/>
      <c r="G189" s="4"/>
      <c r="H189" s="4"/>
      <c r="I189" s="4"/>
      <c r="J189" s="4"/>
      <c r="P189" s="4"/>
      <c r="Q189" s="4"/>
      <c r="R189" s="4"/>
      <c r="S189" s="4"/>
      <c r="T189" s="4"/>
    </row>
    <row r="190" spans="1:20" ht="16.5">
      <c r="A190" s="4"/>
      <c r="B190" s="4"/>
      <c r="C190" s="4"/>
      <c r="D190" s="4"/>
      <c r="E190" s="4"/>
      <c r="F190" s="4"/>
      <c r="G190" s="4"/>
      <c r="H190" s="4"/>
      <c r="I190" s="4"/>
      <c r="J190" s="4"/>
      <c r="P190" s="4"/>
      <c r="Q190" s="4"/>
      <c r="R190" s="4"/>
      <c r="S190" s="4"/>
      <c r="T190" s="4"/>
    </row>
    <row r="191" spans="1:20" ht="16.5">
      <c r="A191" s="4"/>
      <c r="B191" s="4"/>
      <c r="C191" s="4"/>
      <c r="D191" s="4"/>
      <c r="E191" s="4"/>
      <c r="F191" s="4"/>
      <c r="G191" s="4"/>
      <c r="H191" s="4"/>
      <c r="I191" s="4"/>
      <c r="J191" s="4"/>
      <c r="P191" s="4"/>
      <c r="Q191" s="4"/>
      <c r="R191" s="4"/>
      <c r="S191" s="4"/>
      <c r="T191" s="4"/>
    </row>
    <row r="192" spans="1:20" ht="16.5">
      <c r="A192" s="4"/>
      <c r="B192" s="4"/>
      <c r="C192" s="4"/>
      <c r="D192" s="4"/>
      <c r="E192" s="4"/>
      <c r="F192" s="4"/>
      <c r="G192" s="4"/>
      <c r="H192" s="4"/>
      <c r="I192" s="4"/>
      <c r="J192" s="4"/>
      <c r="P192" s="4"/>
      <c r="Q192" s="4"/>
      <c r="R192" s="4"/>
      <c r="S192" s="4"/>
      <c r="T192" s="4"/>
    </row>
    <row r="193" spans="1:20" ht="16.5">
      <c r="A193" s="4"/>
      <c r="B193" s="4"/>
      <c r="C193" s="4"/>
      <c r="D193" s="4"/>
      <c r="E193" s="4"/>
      <c r="F193" s="4"/>
      <c r="G193" s="4"/>
      <c r="H193" s="4"/>
      <c r="I193" s="4"/>
      <c r="J193" s="4"/>
      <c r="P193" s="4"/>
      <c r="Q193" s="4"/>
      <c r="R193" s="4"/>
      <c r="S193" s="4"/>
      <c r="T193" s="4"/>
    </row>
    <row r="194" spans="1:20" ht="16.5">
      <c r="A194" s="4"/>
      <c r="B194" s="4"/>
      <c r="C194" s="4"/>
      <c r="D194" s="4"/>
      <c r="E194" s="4"/>
      <c r="F194" s="4"/>
      <c r="G194" s="4"/>
      <c r="H194" s="4"/>
      <c r="I194" s="4"/>
      <c r="J194" s="4"/>
      <c r="P194" s="4"/>
      <c r="Q194" s="4"/>
      <c r="R194" s="4"/>
      <c r="S194" s="4"/>
      <c r="T194" s="4"/>
    </row>
    <row r="195" spans="1:20" ht="16.5">
      <c r="A195" s="4"/>
      <c r="B195" s="4"/>
      <c r="C195" s="4"/>
      <c r="D195" s="4"/>
      <c r="E195" s="4"/>
      <c r="F195" s="4"/>
      <c r="G195" s="4"/>
      <c r="H195" s="4"/>
      <c r="I195" s="4"/>
      <c r="J195" s="4"/>
      <c r="P195" s="4"/>
      <c r="Q195" s="4"/>
      <c r="R195" s="4"/>
      <c r="S195" s="4"/>
      <c r="T195" s="4"/>
    </row>
    <row r="196" spans="1:20" ht="16.5">
      <c r="A196" s="4"/>
      <c r="B196" s="4"/>
      <c r="C196" s="4"/>
      <c r="D196" s="4"/>
      <c r="E196" s="4"/>
      <c r="F196" s="4"/>
      <c r="G196" s="4"/>
      <c r="H196" s="4"/>
      <c r="I196" s="4"/>
      <c r="J196" s="4"/>
      <c r="P196" s="4"/>
      <c r="Q196" s="4"/>
      <c r="R196" s="4"/>
      <c r="S196" s="4"/>
      <c r="T196" s="4"/>
    </row>
    <row r="197" spans="1:20" ht="16.5">
      <c r="A197" s="4"/>
      <c r="B197" s="4"/>
      <c r="C197" s="4"/>
      <c r="D197" s="4"/>
      <c r="E197" s="4"/>
      <c r="F197" s="4"/>
      <c r="G197" s="4"/>
      <c r="H197" s="4"/>
      <c r="I197" s="4"/>
      <c r="J197" s="4"/>
      <c r="P197" s="4"/>
      <c r="Q197" s="4"/>
      <c r="R197" s="4"/>
      <c r="S197" s="4"/>
      <c r="T197" s="4"/>
    </row>
    <row r="198" spans="1:20" ht="16.5">
      <c r="A198" s="4"/>
      <c r="B198" s="4"/>
      <c r="C198" s="4"/>
      <c r="D198" s="4"/>
      <c r="E198" s="4"/>
      <c r="F198" s="4"/>
      <c r="G198" s="4"/>
      <c r="H198" s="4"/>
      <c r="I198" s="4"/>
      <c r="J198" s="4"/>
      <c r="P198" s="4"/>
      <c r="Q198" s="4"/>
      <c r="R198" s="4"/>
      <c r="S198" s="4"/>
      <c r="T198" s="4"/>
    </row>
    <row r="199" spans="1:20" ht="16.5">
      <c r="A199" s="4"/>
      <c r="B199" s="4"/>
      <c r="C199" s="4"/>
      <c r="D199" s="4"/>
      <c r="E199" s="4"/>
      <c r="F199" s="4"/>
      <c r="G199" s="4"/>
      <c r="H199" s="4"/>
      <c r="I199" s="4"/>
      <c r="J199" s="4"/>
      <c r="P199" s="4"/>
      <c r="Q199" s="4"/>
      <c r="R199" s="4"/>
      <c r="S199" s="4"/>
      <c r="T199" s="4"/>
    </row>
    <row r="200" spans="1:20" ht="16.5">
      <c r="A200" s="4"/>
      <c r="B200" s="4"/>
      <c r="C200" s="4"/>
      <c r="D200" s="4"/>
      <c r="E200" s="4"/>
      <c r="F200" s="4"/>
      <c r="G200" s="4"/>
      <c r="H200" s="4"/>
      <c r="I200" s="4"/>
      <c r="J200" s="4"/>
      <c r="P200" s="4"/>
      <c r="Q200" s="4"/>
      <c r="R200" s="4"/>
      <c r="S200" s="4"/>
      <c r="T200" s="4"/>
    </row>
    <row r="201" spans="1:20" ht="16.5">
      <c r="A201" s="4"/>
      <c r="B201" s="4"/>
      <c r="C201" s="4"/>
      <c r="D201" s="4"/>
      <c r="E201" s="4"/>
      <c r="F201" s="4"/>
      <c r="G201" s="4"/>
      <c r="H201" s="4"/>
      <c r="I201" s="4"/>
      <c r="J201" s="4"/>
      <c r="P201" s="4"/>
      <c r="Q201" s="4"/>
      <c r="R201" s="4"/>
      <c r="S201" s="4"/>
      <c r="T201" s="4"/>
    </row>
    <row r="202" spans="1:20" ht="16.5">
      <c r="A202" s="4"/>
      <c r="B202" s="4"/>
      <c r="C202" s="4"/>
      <c r="D202" s="4"/>
      <c r="E202" s="4"/>
      <c r="F202" s="4"/>
      <c r="G202" s="4"/>
      <c r="H202" s="4"/>
      <c r="I202" s="4"/>
      <c r="J202" s="4"/>
      <c r="P202" s="4"/>
      <c r="Q202" s="4"/>
      <c r="R202" s="4"/>
      <c r="S202" s="4"/>
      <c r="T202" s="4"/>
    </row>
    <row r="203" spans="1:20" ht="16.5">
      <c r="A203" s="4"/>
      <c r="B203" s="4"/>
      <c r="C203" s="4"/>
      <c r="D203" s="4"/>
      <c r="E203" s="4"/>
      <c r="F203" s="4"/>
      <c r="G203" s="4"/>
      <c r="H203" s="4"/>
      <c r="I203" s="4"/>
      <c r="J203" s="4"/>
      <c r="P203" s="4"/>
      <c r="Q203" s="4"/>
      <c r="R203" s="4"/>
      <c r="S203" s="4"/>
      <c r="T203" s="4"/>
    </row>
    <row r="204" spans="1:20" ht="16.5">
      <c r="A204" s="4"/>
      <c r="B204" s="4"/>
      <c r="C204" s="4"/>
      <c r="D204" s="4"/>
      <c r="E204" s="4"/>
      <c r="F204" s="4"/>
      <c r="G204" s="4"/>
      <c r="H204" s="4"/>
      <c r="I204" s="4"/>
      <c r="J204" s="4"/>
      <c r="P204" s="4"/>
      <c r="Q204" s="4"/>
      <c r="R204" s="4"/>
      <c r="S204" s="4"/>
      <c r="T204" s="4"/>
    </row>
    <row r="205" spans="1:20" ht="16.5">
      <c r="A205" s="4"/>
      <c r="B205" s="4"/>
      <c r="C205" s="4"/>
      <c r="D205" s="4"/>
      <c r="E205" s="4"/>
      <c r="F205" s="4"/>
      <c r="G205" s="4"/>
      <c r="H205" s="4"/>
      <c r="I205" s="4"/>
      <c r="J205" s="4"/>
      <c r="P205" s="4"/>
      <c r="Q205" s="4"/>
      <c r="R205" s="4"/>
      <c r="S205" s="4"/>
      <c r="T205" s="4"/>
    </row>
    <row r="206" spans="1:20" ht="16.5">
      <c r="A206" s="4"/>
      <c r="B206" s="4"/>
      <c r="C206" s="4"/>
      <c r="D206" s="4"/>
      <c r="E206" s="4"/>
      <c r="F206" s="4"/>
      <c r="G206" s="4"/>
      <c r="H206" s="4"/>
      <c r="I206" s="4"/>
      <c r="J206" s="4"/>
      <c r="P206" s="4"/>
      <c r="Q206" s="4"/>
      <c r="R206" s="4"/>
      <c r="S206" s="4"/>
      <c r="T206" s="4"/>
    </row>
    <row r="207" spans="1:20" ht="16.5">
      <c r="A207" s="4"/>
      <c r="B207" s="4"/>
      <c r="C207" s="4"/>
      <c r="D207" s="4"/>
      <c r="E207" s="4"/>
      <c r="F207" s="4"/>
      <c r="G207" s="4"/>
      <c r="H207" s="4"/>
      <c r="I207" s="4"/>
      <c r="J207" s="4"/>
      <c r="P207" s="4"/>
      <c r="Q207" s="4"/>
      <c r="R207" s="4"/>
      <c r="S207" s="4"/>
      <c r="T207" s="4"/>
    </row>
    <row r="208" spans="1:20" ht="16.5">
      <c r="A208" s="4"/>
      <c r="B208" s="4"/>
      <c r="C208" s="4"/>
      <c r="D208" s="4"/>
      <c r="E208" s="4"/>
      <c r="F208" s="4"/>
      <c r="G208" s="4"/>
      <c r="H208" s="4"/>
      <c r="I208" s="4"/>
      <c r="J208" s="4"/>
      <c r="P208" s="4"/>
      <c r="Q208" s="4"/>
      <c r="R208" s="4"/>
      <c r="S208" s="4"/>
      <c r="T208" s="4"/>
    </row>
    <row r="209" spans="1:20" ht="16.5">
      <c r="A209" s="4"/>
      <c r="B209" s="4"/>
      <c r="C209" s="4"/>
      <c r="D209" s="4"/>
      <c r="E209" s="4"/>
      <c r="F209" s="4"/>
      <c r="G209" s="4"/>
      <c r="H209" s="4"/>
      <c r="I209" s="4"/>
      <c r="J209" s="4"/>
      <c r="P209" s="4"/>
      <c r="Q209" s="4"/>
      <c r="R209" s="4"/>
      <c r="S209" s="4"/>
      <c r="T209" s="4"/>
    </row>
    <row r="210" spans="1:20" ht="16.5">
      <c r="A210" s="4"/>
      <c r="B210" s="4"/>
      <c r="C210" s="4"/>
      <c r="D210" s="4"/>
      <c r="E210" s="4"/>
      <c r="F210" s="4"/>
      <c r="G210" s="4"/>
      <c r="H210" s="4"/>
      <c r="I210" s="4"/>
      <c r="J210" s="4"/>
      <c r="P210" s="4"/>
      <c r="Q210" s="4"/>
      <c r="R210" s="4"/>
      <c r="S210" s="4"/>
      <c r="T210" s="4"/>
    </row>
    <row r="211" spans="1:20" ht="16.5">
      <c r="A211" s="4"/>
      <c r="B211" s="4"/>
      <c r="C211" s="4"/>
      <c r="D211" s="4"/>
      <c r="E211" s="4"/>
      <c r="F211" s="4"/>
      <c r="G211" s="4"/>
      <c r="H211" s="4"/>
      <c r="I211" s="4"/>
      <c r="J211" s="4"/>
      <c r="P211" s="4"/>
      <c r="Q211" s="4"/>
      <c r="R211" s="4"/>
      <c r="S211" s="4"/>
      <c r="T211" s="4"/>
    </row>
    <row r="212" spans="1:20" ht="16.5">
      <c r="A212" s="4"/>
      <c r="B212" s="4"/>
      <c r="C212" s="4"/>
      <c r="D212" s="4"/>
      <c r="E212" s="4"/>
      <c r="F212" s="4"/>
      <c r="G212" s="4"/>
      <c r="H212" s="4"/>
      <c r="I212" s="4"/>
      <c r="J212" s="4"/>
      <c r="P212" s="4"/>
      <c r="Q212" s="4"/>
      <c r="R212" s="4"/>
      <c r="S212" s="4"/>
      <c r="T212" s="4"/>
    </row>
    <row r="213" spans="1:20" ht="16.5">
      <c r="A213" s="4"/>
      <c r="B213" s="4"/>
      <c r="C213" s="4"/>
      <c r="D213" s="4"/>
      <c r="E213" s="4"/>
      <c r="F213" s="4"/>
      <c r="G213" s="4"/>
      <c r="H213" s="4"/>
      <c r="I213" s="4"/>
      <c r="J213" s="4"/>
      <c r="P213" s="4"/>
      <c r="Q213" s="4"/>
      <c r="R213" s="4"/>
      <c r="S213" s="4"/>
      <c r="T213" s="4"/>
    </row>
    <row r="214" spans="1:20" ht="16.5">
      <c r="A214" s="4"/>
      <c r="B214" s="4"/>
      <c r="C214" s="4"/>
      <c r="D214" s="4"/>
      <c r="E214" s="4"/>
      <c r="F214" s="4"/>
      <c r="G214" s="4"/>
      <c r="H214" s="4"/>
      <c r="I214" s="4"/>
      <c r="J214" s="4"/>
      <c r="P214" s="4"/>
      <c r="Q214" s="4"/>
      <c r="R214" s="4"/>
      <c r="S214" s="4"/>
      <c r="T214" s="4"/>
    </row>
    <row r="215" spans="1:20" ht="16.5">
      <c r="A215" s="4"/>
      <c r="B215" s="4"/>
      <c r="C215" s="4"/>
      <c r="D215" s="4"/>
      <c r="E215" s="4"/>
      <c r="F215" s="4"/>
      <c r="G215" s="4"/>
      <c r="H215" s="4"/>
      <c r="I215" s="4"/>
      <c r="J215" s="4"/>
      <c r="P215" s="4"/>
      <c r="Q215" s="4"/>
      <c r="R215" s="4"/>
      <c r="S215" s="4"/>
      <c r="T215" s="4"/>
    </row>
    <row r="216" spans="1:20" ht="16.5">
      <c r="A216" s="4"/>
      <c r="B216" s="4"/>
      <c r="C216" s="4"/>
      <c r="D216" s="4"/>
      <c r="E216" s="4"/>
      <c r="F216" s="4"/>
      <c r="G216" s="4"/>
      <c r="H216" s="4"/>
      <c r="I216" s="4"/>
      <c r="J216" s="4"/>
      <c r="P216" s="4"/>
      <c r="Q216" s="4"/>
      <c r="R216" s="4"/>
      <c r="S216" s="4"/>
      <c r="T216" s="4"/>
    </row>
    <row r="217" spans="1:20" ht="16.5">
      <c r="A217" s="4"/>
      <c r="B217" s="4"/>
      <c r="C217" s="4"/>
      <c r="D217" s="4"/>
      <c r="E217" s="4"/>
      <c r="F217" s="4"/>
      <c r="G217" s="4"/>
      <c r="H217" s="4"/>
      <c r="I217" s="4"/>
      <c r="J217" s="4"/>
      <c r="P217" s="4"/>
      <c r="Q217" s="4"/>
      <c r="R217" s="4"/>
      <c r="S217" s="4"/>
      <c r="T217" s="4"/>
    </row>
    <row r="218" spans="1:20" ht="16.5">
      <c r="A218" s="4"/>
      <c r="B218" s="4"/>
      <c r="C218" s="4"/>
      <c r="D218" s="4"/>
      <c r="E218" s="4"/>
      <c r="F218" s="4"/>
      <c r="G218" s="4"/>
      <c r="H218" s="4"/>
      <c r="I218" s="4"/>
      <c r="J218" s="4"/>
      <c r="P218" s="4"/>
      <c r="Q218" s="4"/>
      <c r="R218" s="4"/>
      <c r="S218" s="4"/>
      <c r="T218" s="4"/>
    </row>
    <row r="219" spans="1:20" ht="16.5">
      <c r="A219" s="4"/>
      <c r="B219" s="4"/>
      <c r="C219" s="4"/>
      <c r="D219" s="4"/>
      <c r="E219" s="4"/>
      <c r="F219" s="4"/>
      <c r="G219" s="4"/>
      <c r="H219" s="4"/>
      <c r="I219" s="4"/>
      <c r="J219" s="4"/>
      <c r="P219" s="4"/>
      <c r="Q219" s="4"/>
      <c r="R219" s="4"/>
      <c r="S219" s="4"/>
      <c r="T219" s="4"/>
    </row>
    <row r="220" spans="1:20" ht="16.5">
      <c r="A220" s="4"/>
      <c r="B220" s="4"/>
      <c r="C220" s="4"/>
      <c r="D220" s="4"/>
      <c r="E220" s="4"/>
      <c r="F220" s="4"/>
      <c r="G220" s="4"/>
      <c r="H220" s="4"/>
      <c r="I220" s="4"/>
      <c r="J220" s="4"/>
      <c r="P220" s="4"/>
      <c r="Q220" s="4"/>
      <c r="R220" s="4"/>
      <c r="S220" s="4"/>
      <c r="T220" s="4"/>
    </row>
    <row r="221" spans="1:20" ht="16.5">
      <c r="A221" s="4"/>
      <c r="B221" s="4"/>
      <c r="C221" s="4"/>
      <c r="D221" s="4"/>
      <c r="E221" s="4"/>
      <c r="F221" s="4"/>
      <c r="G221" s="4"/>
      <c r="H221" s="4"/>
      <c r="I221" s="4"/>
      <c r="J221" s="4"/>
      <c r="P221" s="4"/>
      <c r="Q221" s="4"/>
      <c r="R221" s="4"/>
      <c r="S221" s="4"/>
      <c r="T221" s="4"/>
    </row>
    <row r="222" spans="1:20" ht="16.5">
      <c r="A222" s="4"/>
      <c r="B222" s="4"/>
      <c r="C222" s="4"/>
      <c r="D222" s="4"/>
      <c r="E222" s="4"/>
      <c r="F222" s="4"/>
      <c r="G222" s="4"/>
      <c r="H222" s="4"/>
      <c r="I222" s="4"/>
      <c r="J222" s="4"/>
      <c r="P222" s="4"/>
      <c r="Q222" s="4"/>
      <c r="R222" s="4"/>
      <c r="S222" s="4"/>
      <c r="T222" s="4"/>
    </row>
    <row r="223" spans="1:20" ht="16.5">
      <c r="A223" s="4"/>
      <c r="B223" s="4"/>
      <c r="C223" s="4"/>
      <c r="D223" s="4"/>
      <c r="E223" s="4"/>
      <c r="F223" s="4"/>
      <c r="G223" s="4"/>
      <c r="H223" s="4"/>
      <c r="I223" s="4"/>
      <c r="J223" s="4"/>
      <c r="P223" s="4"/>
      <c r="Q223" s="4"/>
      <c r="R223" s="4"/>
      <c r="S223" s="4"/>
      <c r="T223" s="4"/>
    </row>
    <row r="224" spans="1:20" ht="16.5">
      <c r="A224" s="4"/>
      <c r="B224" s="4"/>
      <c r="C224" s="4"/>
      <c r="D224" s="4"/>
      <c r="E224" s="4"/>
      <c r="F224" s="4"/>
      <c r="G224" s="4"/>
      <c r="H224" s="4"/>
      <c r="I224" s="4"/>
      <c r="J224" s="4"/>
      <c r="P224" s="4"/>
      <c r="Q224" s="4"/>
      <c r="R224" s="4"/>
      <c r="S224" s="4"/>
      <c r="T224" s="4"/>
    </row>
    <row r="225" spans="1:20" ht="16.5">
      <c r="A225" s="4"/>
      <c r="B225" s="4"/>
      <c r="C225" s="4"/>
      <c r="D225" s="4"/>
      <c r="E225" s="4"/>
      <c r="F225" s="4"/>
      <c r="G225" s="4"/>
      <c r="H225" s="4"/>
      <c r="I225" s="4"/>
      <c r="J225" s="4"/>
      <c r="P225" s="4"/>
      <c r="Q225" s="4"/>
      <c r="R225" s="4"/>
      <c r="S225" s="4"/>
      <c r="T225" s="4"/>
    </row>
    <row r="226" spans="1:20" ht="16.5">
      <c r="A226" s="4"/>
      <c r="B226" s="4"/>
      <c r="C226" s="4"/>
      <c r="D226" s="4"/>
      <c r="E226" s="4"/>
      <c r="F226" s="4"/>
      <c r="G226" s="4"/>
      <c r="H226" s="4"/>
      <c r="I226" s="4"/>
      <c r="J226" s="4"/>
      <c r="P226" s="4"/>
      <c r="Q226" s="4"/>
      <c r="R226" s="4"/>
      <c r="S226" s="4"/>
      <c r="T226" s="4"/>
    </row>
    <row r="227" spans="1:20" ht="16.5">
      <c r="A227" s="4"/>
      <c r="B227" s="4"/>
      <c r="C227" s="4"/>
      <c r="D227" s="4"/>
      <c r="E227" s="4"/>
      <c r="F227" s="4"/>
      <c r="G227" s="4"/>
      <c r="H227" s="4"/>
      <c r="I227" s="4"/>
      <c r="J227" s="4"/>
      <c r="P227" s="4"/>
      <c r="Q227" s="4"/>
      <c r="R227" s="4"/>
      <c r="S227" s="4"/>
      <c r="T227" s="4"/>
    </row>
    <row r="228" spans="1:20" ht="16.5">
      <c r="A228" s="4"/>
      <c r="B228" s="4"/>
      <c r="C228" s="4"/>
      <c r="D228" s="4"/>
      <c r="E228" s="4"/>
      <c r="F228" s="4"/>
      <c r="G228" s="4"/>
      <c r="H228" s="4"/>
      <c r="I228" s="4"/>
      <c r="J228" s="4"/>
      <c r="P228" s="4"/>
      <c r="Q228" s="4"/>
      <c r="R228" s="4"/>
      <c r="S228" s="4"/>
      <c r="T228" s="4"/>
    </row>
    <row r="229" spans="1:20" ht="16.5">
      <c r="A229" s="4"/>
      <c r="B229" s="4"/>
      <c r="C229" s="4"/>
      <c r="D229" s="4"/>
      <c r="E229" s="4"/>
      <c r="F229" s="4"/>
      <c r="G229" s="4"/>
      <c r="H229" s="4"/>
      <c r="I229" s="4"/>
      <c r="J229" s="4"/>
      <c r="P229" s="4"/>
      <c r="Q229" s="4"/>
      <c r="R229" s="4"/>
      <c r="S229" s="4"/>
      <c r="T229" s="4"/>
    </row>
    <row r="230" spans="1:20" ht="16.5">
      <c r="A230" s="4"/>
      <c r="B230" s="4"/>
      <c r="C230" s="4"/>
      <c r="D230" s="4"/>
      <c r="E230" s="4"/>
      <c r="F230" s="4"/>
      <c r="G230" s="4"/>
      <c r="H230" s="4"/>
      <c r="I230" s="4"/>
      <c r="J230" s="4"/>
      <c r="P230" s="4"/>
      <c r="Q230" s="4"/>
      <c r="R230" s="4"/>
      <c r="S230" s="4"/>
      <c r="T230" s="4"/>
    </row>
    <row r="231" spans="1:20" ht="16.5">
      <c r="A231" s="4"/>
      <c r="B231" s="4"/>
      <c r="C231" s="4"/>
      <c r="D231" s="4"/>
      <c r="E231" s="4"/>
      <c r="F231" s="4"/>
      <c r="G231" s="4"/>
      <c r="H231" s="4"/>
      <c r="I231" s="4"/>
      <c r="J231" s="4"/>
      <c r="P231" s="4"/>
      <c r="Q231" s="4"/>
      <c r="R231" s="4"/>
      <c r="S231" s="4"/>
      <c r="T231" s="4"/>
    </row>
    <row r="232" spans="1:20" ht="16.5">
      <c r="A232" s="4"/>
      <c r="B232" s="4"/>
      <c r="C232" s="4"/>
      <c r="D232" s="4"/>
      <c r="E232" s="4"/>
      <c r="F232" s="4"/>
      <c r="G232" s="4"/>
      <c r="H232" s="4"/>
      <c r="I232" s="4"/>
      <c r="J232" s="4"/>
      <c r="P232" s="4"/>
      <c r="Q232" s="4"/>
      <c r="R232" s="4"/>
      <c r="S232" s="4"/>
      <c r="T232" s="4"/>
    </row>
    <row r="233" spans="1:20" ht="16.5">
      <c r="A233" s="4"/>
      <c r="B233" s="4"/>
      <c r="C233" s="4"/>
      <c r="D233" s="4"/>
      <c r="E233" s="4"/>
      <c r="F233" s="4"/>
      <c r="G233" s="4"/>
      <c r="H233" s="4"/>
      <c r="I233" s="4"/>
      <c r="J233" s="4"/>
      <c r="P233" s="4"/>
      <c r="Q233" s="4"/>
      <c r="R233" s="4"/>
      <c r="S233" s="4"/>
      <c r="T233" s="4"/>
    </row>
    <row r="234" spans="1:20" ht="16.5">
      <c r="A234" s="4"/>
      <c r="B234" s="4"/>
      <c r="C234" s="4"/>
      <c r="D234" s="4"/>
      <c r="E234" s="4"/>
      <c r="F234" s="4"/>
      <c r="G234" s="4"/>
      <c r="H234" s="4"/>
      <c r="I234" s="4"/>
      <c r="J234" s="4"/>
      <c r="P234" s="4"/>
      <c r="Q234" s="4"/>
      <c r="R234" s="4"/>
      <c r="S234" s="4"/>
      <c r="T234" s="4"/>
    </row>
    <row r="235" spans="1:20" ht="16.5">
      <c r="A235" s="4"/>
      <c r="B235" s="4"/>
      <c r="C235" s="4"/>
      <c r="D235" s="4"/>
      <c r="E235" s="4"/>
      <c r="F235" s="4"/>
      <c r="G235" s="4"/>
      <c r="H235" s="4"/>
      <c r="I235" s="4"/>
      <c r="J235" s="4"/>
      <c r="P235" s="4"/>
      <c r="Q235" s="4"/>
      <c r="R235" s="4"/>
      <c r="S235" s="4"/>
      <c r="T235" s="4"/>
    </row>
    <row r="236" spans="1:20" ht="16.5">
      <c r="A236" s="4"/>
      <c r="B236" s="4"/>
      <c r="C236" s="4"/>
      <c r="D236" s="4"/>
      <c r="E236" s="4"/>
      <c r="F236" s="4"/>
      <c r="G236" s="4"/>
      <c r="H236" s="4"/>
      <c r="I236" s="4"/>
      <c r="J236" s="4"/>
      <c r="P236" s="4"/>
      <c r="Q236" s="4"/>
      <c r="R236" s="4"/>
      <c r="S236" s="4"/>
      <c r="T236" s="4"/>
    </row>
    <row r="237" spans="1:20" ht="16.5">
      <c r="A237" s="4"/>
      <c r="B237" s="4"/>
      <c r="C237" s="4"/>
      <c r="D237" s="4"/>
      <c r="E237" s="4"/>
      <c r="F237" s="4"/>
      <c r="G237" s="4"/>
      <c r="H237" s="4"/>
      <c r="I237" s="4"/>
      <c r="J237" s="4"/>
      <c r="P237" s="4"/>
      <c r="Q237" s="4"/>
      <c r="R237" s="4"/>
      <c r="S237" s="4"/>
      <c r="T237" s="4"/>
    </row>
    <row r="238" spans="1:20" ht="16.5">
      <c r="A238" s="4"/>
      <c r="B238" s="4"/>
      <c r="C238" s="4"/>
      <c r="D238" s="4"/>
      <c r="E238" s="4"/>
      <c r="F238" s="4"/>
      <c r="G238" s="4"/>
      <c r="H238" s="4"/>
      <c r="I238" s="4"/>
      <c r="J238" s="4"/>
      <c r="P238" s="4"/>
      <c r="Q238" s="4"/>
      <c r="R238" s="4"/>
      <c r="S238" s="4"/>
      <c r="T238" s="4"/>
    </row>
    <row r="239" spans="1:20" ht="16.5">
      <c r="A239" s="4"/>
      <c r="B239" s="4"/>
      <c r="C239" s="4"/>
      <c r="D239" s="4"/>
      <c r="E239" s="4"/>
      <c r="F239" s="4"/>
      <c r="G239" s="4"/>
      <c r="H239" s="4"/>
      <c r="I239" s="4"/>
      <c r="J239" s="4"/>
      <c r="P239" s="4"/>
      <c r="Q239" s="4"/>
      <c r="R239" s="4"/>
      <c r="S239" s="4"/>
      <c r="T239" s="4"/>
    </row>
    <row r="240" spans="1:20" ht="16.5">
      <c r="A240" s="4"/>
      <c r="B240" s="4"/>
      <c r="C240" s="4"/>
      <c r="D240" s="4"/>
      <c r="E240" s="4"/>
      <c r="F240" s="4"/>
      <c r="G240" s="4"/>
      <c r="H240" s="4"/>
      <c r="I240" s="4"/>
      <c r="J240" s="4"/>
      <c r="P240" s="4"/>
      <c r="Q240" s="4"/>
      <c r="R240" s="4"/>
      <c r="S240" s="4"/>
      <c r="T240" s="4"/>
    </row>
    <row r="241" spans="1:20" ht="16.5">
      <c r="A241" s="4"/>
      <c r="B241" s="4"/>
      <c r="C241" s="4"/>
      <c r="D241" s="4"/>
      <c r="E241" s="4"/>
      <c r="F241" s="4"/>
      <c r="G241" s="4"/>
      <c r="H241" s="4"/>
      <c r="I241" s="4"/>
      <c r="J241" s="4"/>
      <c r="P241" s="4"/>
      <c r="Q241" s="4"/>
      <c r="R241" s="4"/>
      <c r="S241" s="4"/>
      <c r="T241" s="4"/>
    </row>
    <row r="242" spans="1:20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P242" s="4"/>
      <c r="Q242" s="4"/>
      <c r="R242" s="4"/>
      <c r="S242" s="4"/>
      <c r="T242" s="4"/>
    </row>
    <row r="243" spans="1:20" ht="16.5">
      <c r="A243" s="4"/>
      <c r="B243" s="4"/>
      <c r="C243" s="4"/>
      <c r="D243" s="4"/>
      <c r="E243" s="4"/>
      <c r="F243" s="4"/>
      <c r="G243" s="4"/>
      <c r="H243" s="4"/>
      <c r="I243" s="4"/>
      <c r="J243" s="4"/>
      <c r="P243" s="4"/>
      <c r="Q243" s="4"/>
      <c r="R243" s="4"/>
      <c r="S243" s="4"/>
      <c r="T243" s="4"/>
    </row>
    <row r="244" spans="1:20" ht="16.5">
      <c r="A244" s="4"/>
      <c r="B244" s="4"/>
      <c r="C244" s="4"/>
      <c r="D244" s="4"/>
      <c r="E244" s="4"/>
      <c r="F244" s="4"/>
      <c r="G244" s="4"/>
      <c r="H244" s="4"/>
      <c r="I244" s="4"/>
      <c r="J244" s="4"/>
      <c r="P244" s="4"/>
      <c r="Q244" s="4"/>
      <c r="R244" s="4"/>
      <c r="S244" s="4"/>
      <c r="T244" s="4"/>
    </row>
    <row r="245" spans="1:20" ht="16.5">
      <c r="A245" s="4"/>
      <c r="B245" s="4"/>
      <c r="C245" s="4"/>
      <c r="D245" s="4"/>
      <c r="E245" s="4"/>
      <c r="F245" s="4"/>
      <c r="G245" s="4"/>
      <c r="H245" s="4"/>
      <c r="I245" s="4"/>
      <c r="J245" s="4"/>
      <c r="P245" s="4"/>
      <c r="Q245" s="4"/>
      <c r="R245" s="4"/>
      <c r="S245" s="4"/>
      <c r="T245" s="4"/>
    </row>
    <row r="246" spans="1:20" ht="16.5">
      <c r="A246" s="4"/>
      <c r="B246" s="4"/>
      <c r="C246" s="4"/>
      <c r="D246" s="4"/>
      <c r="E246" s="4"/>
      <c r="F246" s="4"/>
      <c r="G246" s="4"/>
      <c r="H246" s="4"/>
      <c r="I246" s="4"/>
      <c r="J246" s="4"/>
      <c r="P246" s="4"/>
      <c r="Q246" s="4"/>
      <c r="R246" s="4"/>
      <c r="S246" s="4"/>
      <c r="T246" s="4"/>
    </row>
    <row r="247" spans="1:20" ht="16.5">
      <c r="A247" s="4"/>
      <c r="B247" s="4"/>
      <c r="C247" s="4"/>
      <c r="D247" s="4"/>
      <c r="E247" s="4"/>
      <c r="F247" s="4"/>
      <c r="G247" s="4"/>
      <c r="H247" s="4"/>
      <c r="I247" s="4"/>
      <c r="J247" s="4"/>
      <c r="P247" s="4"/>
      <c r="Q247" s="4"/>
      <c r="R247" s="4"/>
      <c r="S247" s="4"/>
      <c r="T247" s="4"/>
    </row>
    <row r="248" spans="1:20" ht="16.5">
      <c r="A248" s="4"/>
      <c r="B248" s="4"/>
      <c r="C248" s="4"/>
      <c r="D248" s="4"/>
      <c r="E248" s="4"/>
      <c r="F248" s="4"/>
      <c r="G248" s="4"/>
      <c r="H248" s="4"/>
      <c r="I248" s="4"/>
      <c r="J248" s="4"/>
      <c r="P248" s="4"/>
      <c r="Q248" s="4"/>
      <c r="R248" s="4"/>
      <c r="S248" s="4"/>
      <c r="T248" s="4"/>
    </row>
    <row r="249" spans="1:20" ht="16.5">
      <c r="A249" s="4"/>
      <c r="B249" s="4"/>
      <c r="C249" s="4"/>
      <c r="D249" s="4"/>
      <c r="E249" s="4"/>
      <c r="F249" s="4"/>
      <c r="G249" s="4"/>
      <c r="H249" s="4"/>
      <c r="I249" s="4"/>
      <c r="J249" s="4"/>
      <c r="P249" s="4"/>
      <c r="Q249" s="4"/>
      <c r="R249" s="4"/>
      <c r="S249" s="4"/>
      <c r="T249" s="4"/>
    </row>
    <row r="250" spans="1:20" ht="16.5">
      <c r="A250" s="4"/>
      <c r="B250" s="4"/>
      <c r="C250" s="4"/>
      <c r="D250" s="4"/>
      <c r="E250" s="4"/>
      <c r="F250" s="4"/>
      <c r="G250" s="4"/>
      <c r="H250" s="4"/>
      <c r="I250" s="4"/>
      <c r="J250" s="4"/>
      <c r="P250" s="4"/>
      <c r="Q250" s="4"/>
      <c r="R250" s="4"/>
      <c r="S250" s="4"/>
      <c r="T250" s="4"/>
    </row>
    <row r="251" spans="1:20" ht="16.5">
      <c r="A251" s="4"/>
      <c r="B251" s="4"/>
      <c r="C251" s="4"/>
      <c r="D251" s="4"/>
      <c r="E251" s="4"/>
      <c r="F251" s="4"/>
      <c r="G251" s="4"/>
      <c r="H251" s="4"/>
      <c r="I251" s="4"/>
      <c r="J251" s="4"/>
      <c r="P251" s="4"/>
      <c r="Q251" s="4"/>
      <c r="R251" s="4"/>
      <c r="S251" s="4"/>
      <c r="T251" s="4"/>
    </row>
    <row r="252" spans="1:20" ht="16.5">
      <c r="A252" s="4"/>
      <c r="B252" s="4"/>
      <c r="C252" s="4"/>
      <c r="D252" s="4"/>
      <c r="E252" s="4"/>
      <c r="F252" s="4"/>
      <c r="G252" s="4"/>
      <c r="H252" s="4"/>
      <c r="I252" s="4"/>
      <c r="J252" s="4"/>
      <c r="P252" s="4"/>
      <c r="Q252" s="4"/>
      <c r="R252" s="4"/>
      <c r="S252" s="4"/>
      <c r="T252" s="4"/>
    </row>
    <row r="253" spans="1:20" ht="16.5">
      <c r="A253" s="4"/>
      <c r="B253" s="4"/>
      <c r="C253" s="4"/>
      <c r="D253" s="4"/>
      <c r="E253" s="4"/>
      <c r="F253" s="4"/>
      <c r="G253" s="4"/>
      <c r="H253" s="4"/>
      <c r="I253" s="4"/>
      <c r="J253" s="4"/>
      <c r="P253" s="4"/>
      <c r="Q253" s="4"/>
      <c r="R253" s="4"/>
      <c r="S253" s="4"/>
      <c r="T253" s="4"/>
    </row>
    <row r="254" spans="1:20" ht="16.5">
      <c r="A254" s="4"/>
      <c r="B254" s="4"/>
      <c r="C254" s="4"/>
      <c r="D254" s="4"/>
      <c r="E254" s="4"/>
      <c r="F254" s="4"/>
      <c r="G254" s="4"/>
      <c r="H254" s="4"/>
      <c r="I254" s="4"/>
      <c r="J254" s="4"/>
      <c r="P254" s="4"/>
      <c r="Q254" s="4"/>
      <c r="R254" s="4"/>
      <c r="S254" s="4"/>
      <c r="T254" s="4"/>
    </row>
    <row r="255" spans="1:20" ht="16.5">
      <c r="A255" s="4"/>
      <c r="B255" s="4"/>
      <c r="C255" s="4"/>
      <c r="D255" s="4"/>
      <c r="E255" s="4"/>
      <c r="F255" s="4"/>
      <c r="G255" s="4"/>
      <c r="H255" s="4"/>
      <c r="I255" s="4"/>
      <c r="J255" s="4"/>
      <c r="P255" s="4"/>
      <c r="Q255" s="4"/>
      <c r="R255" s="4"/>
      <c r="S255" s="4"/>
      <c r="T255" s="4"/>
    </row>
    <row r="256" spans="1:20" ht="16.5">
      <c r="A256" s="4"/>
      <c r="B256" s="4"/>
      <c r="C256" s="4"/>
      <c r="D256" s="4"/>
      <c r="E256" s="4"/>
      <c r="F256" s="4"/>
      <c r="G256" s="4"/>
      <c r="H256" s="4"/>
      <c r="I256" s="4"/>
      <c r="J256" s="4"/>
      <c r="P256" s="4"/>
      <c r="Q256" s="4"/>
      <c r="R256" s="4"/>
      <c r="S256" s="4"/>
      <c r="T256" s="4"/>
    </row>
    <row r="257" spans="1:20" ht="16.5">
      <c r="A257" s="4"/>
      <c r="B257" s="4"/>
      <c r="C257" s="4"/>
      <c r="D257" s="4"/>
      <c r="E257" s="4"/>
      <c r="F257" s="4"/>
      <c r="G257" s="4"/>
      <c r="H257" s="4"/>
      <c r="I257" s="4"/>
      <c r="J257" s="4"/>
      <c r="P257" s="4"/>
      <c r="Q257" s="4"/>
      <c r="R257" s="4"/>
      <c r="S257" s="4"/>
      <c r="T257" s="4"/>
    </row>
    <row r="258" spans="1:20" ht="16.5">
      <c r="A258" s="4"/>
      <c r="B258" s="4"/>
      <c r="C258" s="4"/>
      <c r="D258" s="4"/>
      <c r="E258" s="4"/>
      <c r="F258" s="4"/>
      <c r="G258" s="4"/>
      <c r="H258" s="4"/>
      <c r="I258" s="4"/>
      <c r="J258" s="4"/>
      <c r="P258" s="4"/>
      <c r="Q258" s="4"/>
      <c r="R258" s="4"/>
      <c r="S258" s="4"/>
      <c r="T258" s="4"/>
    </row>
    <row r="259" spans="1:20" ht="16.5">
      <c r="A259" s="4"/>
      <c r="B259" s="4"/>
      <c r="C259" s="4"/>
      <c r="D259" s="4"/>
      <c r="E259" s="4"/>
      <c r="F259" s="4"/>
      <c r="G259" s="4"/>
      <c r="H259" s="4"/>
      <c r="I259" s="4"/>
      <c r="J259" s="4"/>
      <c r="P259" s="4"/>
      <c r="Q259" s="4"/>
      <c r="R259" s="4"/>
      <c r="S259" s="4"/>
      <c r="T259" s="4"/>
    </row>
    <row r="260" spans="1:20" ht="16.5">
      <c r="A260" s="4"/>
      <c r="B260" s="4"/>
      <c r="C260" s="4"/>
      <c r="D260" s="4"/>
      <c r="E260" s="4"/>
      <c r="F260" s="4"/>
      <c r="G260" s="4"/>
      <c r="H260" s="4"/>
      <c r="I260" s="4"/>
      <c r="J260" s="4"/>
      <c r="P260" s="4"/>
      <c r="Q260" s="4"/>
      <c r="R260" s="4"/>
      <c r="S260" s="4"/>
      <c r="T260" s="4"/>
    </row>
    <row r="261" spans="1:20" ht="16.5">
      <c r="A261" s="4"/>
      <c r="B261" s="4"/>
      <c r="C261" s="4"/>
      <c r="D261" s="4"/>
      <c r="E261" s="4"/>
      <c r="F261" s="4"/>
      <c r="G261" s="4"/>
      <c r="H261" s="4"/>
      <c r="I261" s="4"/>
      <c r="J261" s="4"/>
      <c r="P261" s="4"/>
      <c r="Q261" s="4"/>
      <c r="R261" s="4"/>
      <c r="S261" s="4"/>
      <c r="T261" s="4"/>
    </row>
    <row r="262" spans="1:20" ht="16.5">
      <c r="A262" s="4"/>
      <c r="B262" s="4"/>
      <c r="C262" s="4"/>
      <c r="D262" s="4"/>
      <c r="E262" s="4"/>
      <c r="F262" s="4"/>
      <c r="G262" s="4"/>
      <c r="H262" s="4"/>
      <c r="I262" s="4"/>
      <c r="J262" s="4"/>
      <c r="P262" s="4"/>
      <c r="Q262" s="4"/>
      <c r="R262" s="4"/>
      <c r="S262" s="4"/>
      <c r="T262" s="4"/>
    </row>
    <row r="263" spans="1:20" ht="16.5">
      <c r="A263" s="4"/>
      <c r="B263" s="4"/>
      <c r="C263" s="4"/>
      <c r="D263" s="4"/>
      <c r="E263" s="4"/>
      <c r="F263" s="4"/>
      <c r="G263" s="4"/>
      <c r="H263" s="4"/>
      <c r="I263" s="4"/>
      <c r="J263" s="4"/>
      <c r="P263" s="4"/>
      <c r="Q263" s="4"/>
      <c r="R263" s="4"/>
      <c r="S263" s="4"/>
      <c r="T263" s="4"/>
    </row>
    <row r="264" spans="1:20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P264" s="4"/>
      <c r="Q264" s="4"/>
      <c r="R264" s="4"/>
      <c r="S264" s="4"/>
      <c r="T264" s="4"/>
    </row>
    <row r="265" spans="1:20" ht="16.5">
      <c r="A265" s="4"/>
      <c r="B265" s="4"/>
      <c r="C265" s="4"/>
      <c r="D265" s="4"/>
      <c r="E265" s="4"/>
      <c r="F265" s="4"/>
      <c r="G265" s="4"/>
      <c r="H265" s="4"/>
      <c r="I265" s="4"/>
      <c r="J265" s="4"/>
      <c r="P265" s="4"/>
      <c r="Q265" s="4"/>
      <c r="R265" s="4"/>
      <c r="S265" s="4"/>
      <c r="T265" s="4"/>
    </row>
    <row r="266" spans="1:20" ht="16.5">
      <c r="A266" s="4"/>
      <c r="B266" s="4"/>
      <c r="C266" s="4"/>
      <c r="D266" s="4"/>
      <c r="E266" s="4"/>
      <c r="F266" s="4"/>
      <c r="G266" s="4"/>
      <c r="H266" s="4"/>
      <c r="I266" s="4"/>
      <c r="J266" s="4"/>
      <c r="P266" s="4"/>
      <c r="Q266" s="4"/>
      <c r="R266" s="4"/>
      <c r="S266" s="4"/>
      <c r="T266" s="4"/>
    </row>
    <row r="267" spans="1:20" ht="16.5">
      <c r="A267" s="4"/>
      <c r="B267" s="4"/>
      <c r="C267" s="4"/>
      <c r="D267" s="4"/>
      <c r="E267" s="4"/>
      <c r="F267" s="4"/>
      <c r="G267" s="4"/>
      <c r="H267" s="4"/>
      <c r="I267" s="4"/>
      <c r="J267" s="4"/>
      <c r="P267" s="4"/>
      <c r="Q267" s="4"/>
      <c r="R267" s="4"/>
      <c r="S267" s="4"/>
      <c r="T267" s="4"/>
    </row>
    <row r="268" spans="1:20" ht="16.5">
      <c r="A268" s="4"/>
      <c r="B268" s="4"/>
      <c r="C268" s="4"/>
      <c r="D268" s="4"/>
      <c r="E268" s="4"/>
      <c r="F268" s="4"/>
      <c r="G268" s="4"/>
      <c r="H268" s="4"/>
      <c r="I268" s="4"/>
      <c r="J268" s="4"/>
      <c r="P268" s="4"/>
      <c r="Q268" s="4"/>
      <c r="R268" s="4"/>
      <c r="S268" s="4"/>
      <c r="T268" s="4"/>
    </row>
    <row r="269" spans="1:20" ht="16.5">
      <c r="A269" s="4"/>
      <c r="B269" s="4"/>
      <c r="C269" s="4"/>
      <c r="D269" s="4"/>
      <c r="E269" s="4"/>
      <c r="F269" s="4"/>
      <c r="G269" s="4"/>
      <c r="H269" s="4"/>
      <c r="I269" s="4"/>
      <c r="J269" s="4"/>
      <c r="P269" s="4"/>
      <c r="Q269" s="4"/>
      <c r="R269" s="4"/>
      <c r="S269" s="4"/>
      <c r="T269" s="4"/>
    </row>
    <row r="270" spans="1:20" ht="16.5">
      <c r="A270" s="4"/>
      <c r="B270" s="4"/>
      <c r="C270" s="4"/>
      <c r="D270" s="4"/>
      <c r="E270" s="4"/>
      <c r="F270" s="4"/>
      <c r="G270" s="4"/>
      <c r="H270" s="4"/>
      <c r="I270" s="4"/>
      <c r="J270" s="4"/>
      <c r="P270" s="4"/>
      <c r="Q270" s="4"/>
      <c r="R270" s="4"/>
      <c r="S270" s="4"/>
      <c r="T270" s="4"/>
    </row>
    <row r="271" spans="1:20" ht="16.5">
      <c r="A271" s="4"/>
      <c r="B271" s="4"/>
      <c r="C271" s="4"/>
      <c r="D271" s="4"/>
      <c r="E271" s="4"/>
      <c r="F271" s="4"/>
      <c r="G271" s="4"/>
      <c r="H271" s="4"/>
      <c r="I271" s="4"/>
      <c r="J271" s="4"/>
      <c r="P271" s="4"/>
      <c r="Q271" s="4"/>
      <c r="R271" s="4"/>
      <c r="S271" s="4"/>
      <c r="T271" s="4"/>
    </row>
    <row r="272" spans="1:20" ht="16.5">
      <c r="A272" s="4"/>
      <c r="B272" s="4"/>
      <c r="C272" s="4"/>
      <c r="D272" s="4"/>
      <c r="E272" s="4"/>
      <c r="F272" s="4"/>
      <c r="G272" s="4"/>
      <c r="H272" s="4"/>
      <c r="I272" s="4"/>
      <c r="J272" s="4"/>
      <c r="P272" s="4"/>
      <c r="Q272" s="4"/>
      <c r="R272" s="4"/>
      <c r="S272" s="4"/>
      <c r="T272" s="4"/>
    </row>
    <row r="273" spans="1:20" ht="16.5">
      <c r="A273" s="4"/>
      <c r="B273" s="4"/>
      <c r="C273" s="4"/>
      <c r="D273" s="4"/>
      <c r="E273" s="4"/>
      <c r="F273" s="4"/>
      <c r="G273" s="4"/>
      <c r="H273" s="4"/>
      <c r="I273" s="4"/>
      <c r="J273" s="4"/>
      <c r="P273" s="4"/>
      <c r="Q273" s="4"/>
      <c r="R273" s="4"/>
      <c r="S273" s="4"/>
      <c r="T273" s="4"/>
    </row>
    <row r="274" spans="1:20" ht="16.5">
      <c r="A274" s="4"/>
      <c r="B274" s="4"/>
      <c r="C274" s="4"/>
      <c r="D274" s="4"/>
      <c r="E274" s="4"/>
      <c r="F274" s="4"/>
      <c r="G274" s="4"/>
      <c r="H274" s="4"/>
      <c r="I274" s="4"/>
      <c r="J274" s="4"/>
      <c r="P274" s="4"/>
      <c r="Q274" s="4"/>
      <c r="R274" s="4"/>
      <c r="S274" s="4"/>
      <c r="T274" s="4"/>
    </row>
    <row r="275" spans="1:20" ht="16.5">
      <c r="A275" s="4"/>
      <c r="B275" s="4"/>
      <c r="C275" s="4"/>
      <c r="D275" s="4"/>
      <c r="E275" s="4"/>
      <c r="F275" s="4"/>
      <c r="G275" s="4"/>
      <c r="H275" s="4"/>
      <c r="I275" s="4"/>
      <c r="J275" s="4"/>
      <c r="P275" s="4"/>
      <c r="Q275" s="4"/>
      <c r="R275" s="4"/>
      <c r="S275" s="4"/>
      <c r="T275" s="4"/>
    </row>
    <row r="276" spans="1:20" ht="16.5">
      <c r="A276" s="4"/>
      <c r="B276" s="4"/>
      <c r="C276" s="4"/>
      <c r="D276" s="4"/>
      <c r="E276" s="4"/>
      <c r="F276" s="4"/>
      <c r="G276" s="4"/>
      <c r="H276" s="4"/>
      <c r="I276" s="4"/>
      <c r="J276" s="4"/>
      <c r="P276" s="4"/>
      <c r="Q276" s="4"/>
      <c r="R276" s="4"/>
      <c r="S276" s="4"/>
      <c r="T276" s="4"/>
    </row>
    <row r="277" spans="1:20" ht="16.5">
      <c r="A277" s="4"/>
      <c r="B277" s="4"/>
      <c r="C277" s="4"/>
      <c r="D277" s="4"/>
      <c r="E277" s="4"/>
      <c r="F277" s="4"/>
      <c r="G277" s="4"/>
      <c r="H277" s="4"/>
      <c r="I277" s="4"/>
      <c r="J277" s="4"/>
      <c r="P277" s="4"/>
      <c r="Q277" s="4"/>
      <c r="R277" s="4"/>
      <c r="S277" s="4"/>
      <c r="T277" s="4"/>
    </row>
    <row r="278" spans="1:20" ht="16.5">
      <c r="A278" s="4"/>
      <c r="B278" s="4"/>
      <c r="C278" s="4"/>
      <c r="D278" s="4"/>
      <c r="E278" s="4"/>
      <c r="F278" s="4"/>
      <c r="G278" s="4"/>
      <c r="H278" s="4"/>
      <c r="I278" s="4"/>
      <c r="J278" s="4"/>
      <c r="P278" s="4"/>
      <c r="Q278" s="4"/>
      <c r="R278" s="4"/>
      <c r="S278" s="4"/>
      <c r="T278" s="4"/>
    </row>
    <row r="279" spans="1:20" ht="16.5">
      <c r="A279" s="4"/>
      <c r="B279" s="4"/>
      <c r="C279" s="4"/>
      <c r="D279" s="4"/>
      <c r="E279" s="4"/>
      <c r="F279" s="4"/>
      <c r="G279" s="4"/>
      <c r="H279" s="4"/>
      <c r="I279" s="4"/>
      <c r="J279" s="4"/>
      <c r="P279" s="4"/>
      <c r="Q279" s="4"/>
      <c r="R279" s="4"/>
      <c r="S279" s="4"/>
      <c r="T279" s="4"/>
    </row>
    <row r="280" spans="1:20" ht="16.5">
      <c r="A280" s="4"/>
      <c r="B280" s="4"/>
      <c r="C280" s="4"/>
      <c r="D280" s="4"/>
      <c r="E280" s="4"/>
      <c r="F280" s="4"/>
      <c r="G280" s="4"/>
      <c r="H280" s="4"/>
      <c r="I280" s="4"/>
      <c r="J280" s="4"/>
      <c r="P280" s="4"/>
      <c r="Q280" s="4"/>
      <c r="R280" s="4"/>
      <c r="S280" s="4"/>
      <c r="T280" s="4"/>
    </row>
    <row r="281" spans="1:20" ht="16.5">
      <c r="A281" s="4"/>
      <c r="B281" s="4"/>
      <c r="C281" s="4"/>
      <c r="D281" s="4"/>
      <c r="E281" s="4"/>
      <c r="F281" s="4"/>
      <c r="G281" s="4"/>
      <c r="H281" s="4"/>
      <c r="I281" s="4"/>
      <c r="J281" s="4"/>
      <c r="P281" s="4"/>
      <c r="Q281" s="4"/>
      <c r="R281" s="4"/>
      <c r="S281" s="4"/>
      <c r="T281" s="4"/>
    </row>
    <row r="282" spans="1:20" ht="16.5">
      <c r="A282" s="4"/>
      <c r="B282" s="4"/>
      <c r="C282" s="4"/>
      <c r="D282" s="4"/>
      <c r="E282" s="4"/>
      <c r="F282" s="4"/>
      <c r="G282" s="4"/>
      <c r="H282" s="4"/>
      <c r="I282" s="4"/>
      <c r="J282" s="4"/>
      <c r="P282" s="4"/>
      <c r="Q282" s="4"/>
      <c r="R282" s="4"/>
      <c r="S282" s="4"/>
      <c r="T282" s="4"/>
    </row>
    <row r="283" spans="1:20" ht="16.5">
      <c r="A283" s="4"/>
      <c r="B283" s="4"/>
      <c r="C283" s="4"/>
      <c r="D283" s="4"/>
      <c r="E283" s="4"/>
      <c r="F283" s="4"/>
      <c r="G283" s="4"/>
      <c r="H283" s="4"/>
      <c r="I283" s="4"/>
      <c r="J283" s="4"/>
      <c r="P283" s="4"/>
      <c r="Q283" s="4"/>
      <c r="R283" s="4"/>
      <c r="S283" s="4"/>
      <c r="T283" s="4"/>
    </row>
    <row r="284" spans="1:20" ht="16.5">
      <c r="A284" s="4"/>
      <c r="B284" s="4"/>
      <c r="C284" s="4"/>
      <c r="D284" s="4"/>
      <c r="E284" s="4"/>
      <c r="F284" s="4"/>
      <c r="G284" s="4"/>
      <c r="H284" s="4"/>
      <c r="I284" s="4"/>
      <c r="J284" s="4"/>
      <c r="P284" s="4"/>
      <c r="Q284" s="4"/>
      <c r="R284" s="4"/>
      <c r="S284" s="4"/>
      <c r="T284" s="4"/>
    </row>
    <row r="285" spans="1:20" ht="16.5">
      <c r="A285" s="4"/>
      <c r="B285" s="4"/>
      <c r="C285" s="4"/>
      <c r="D285" s="4"/>
      <c r="E285" s="4"/>
      <c r="F285" s="4"/>
      <c r="G285" s="4"/>
      <c r="H285" s="4"/>
      <c r="I285" s="4"/>
      <c r="J285" s="4"/>
      <c r="P285" s="4"/>
      <c r="Q285" s="4"/>
      <c r="R285" s="4"/>
      <c r="S285" s="4"/>
      <c r="T285" s="4"/>
    </row>
    <row r="286" spans="1:20" ht="16.5">
      <c r="A286" s="4"/>
      <c r="B286" s="4"/>
      <c r="C286" s="4"/>
      <c r="D286" s="4"/>
      <c r="E286" s="4"/>
      <c r="F286" s="4"/>
      <c r="G286" s="4"/>
      <c r="H286" s="4"/>
      <c r="I286" s="4"/>
      <c r="J286" s="4"/>
      <c r="P286" s="4"/>
      <c r="Q286" s="4"/>
      <c r="R286" s="4"/>
      <c r="S286" s="4"/>
      <c r="T286" s="4"/>
    </row>
    <row r="287" spans="1:20" ht="16.5">
      <c r="A287" s="4"/>
      <c r="B287" s="4"/>
      <c r="C287" s="4"/>
      <c r="D287" s="4"/>
      <c r="E287" s="4"/>
      <c r="F287" s="4"/>
      <c r="G287" s="4"/>
      <c r="H287" s="4"/>
      <c r="I287" s="4"/>
      <c r="J287" s="4"/>
      <c r="P287" s="4"/>
      <c r="Q287" s="4"/>
      <c r="R287" s="4"/>
      <c r="S287" s="4"/>
      <c r="T287" s="4"/>
    </row>
    <row r="288" spans="1:20" ht="16.5">
      <c r="A288" s="4"/>
      <c r="B288" s="4"/>
      <c r="C288" s="4"/>
      <c r="D288" s="4"/>
      <c r="E288" s="4"/>
      <c r="F288" s="4"/>
      <c r="G288" s="4"/>
      <c r="H288" s="4"/>
      <c r="I288" s="4"/>
      <c r="J288" s="4"/>
      <c r="P288" s="4"/>
      <c r="Q288" s="4"/>
      <c r="R288" s="4"/>
      <c r="S288" s="4"/>
      <c r="T288" s="4"/>
    </row>
    <row r="289" spans="1:20" ht="16.5">
      <c r="A289" s="4"/>
      <c r="B289" s="4"/>
      <c r="C289" s="4"/>
      <c r="D289" s="4"/>
      <c r="E289" s="4"/>
      <c r="F289" s="4"/>
      <c r="G289" s="4"/>
      <c r="H289" s="4"/>
      <c r="I289" s="4"/>
      <c r="J289" s="4"/>
      <c r="P289" s="4"/>
      <c r="Q289" s="4"/>
      <c r="R289" s="4"/>
      <c r="S289" s="4"/>
      <c r="T289" s="4"/>
    </row>
    <row r="290" spans="1:20" ht="16.5">
      <c r="A290" s="4"/>
      <c r="B290" s="4"/>
      <c r="C290" s="4"/>
      <c r="D290" s="4"/>
      <c r="E290" s="4"/>
      <c r="F290" s="4"/>
      <c r="G290" s="4"/>
      <c r="H290" s="4"/>
      <c r="I290" s="4"/>
      <c r="J290" s="4"/>
      <c r="P290" s="4"/>
      <c r="Q290" s="4"/>
      <c r="R290" s="4"/>
      <c r="S290" s="4"/>
      <c r="T290" s="4"/>
    </row>
    <row r="291" spans="1:20" ht="16.5">
      <c r="A291" s="4"/>
      <c r="B291" s="4"/>
      <c r="C291" s="4"/>
      <c r="D291" s="4"/>
      <c r="E291" s="4"/>
      <c r="F291" s="4"/>
      <c r="G291" s="4"/>
      <c r="H291" s="4"/>
      <c r="I291" s="4"/>
      <c r="J291" s="4"/>
      <c r="P291" s="4"/>
      <c r="Q291" s="4"/>
      <c r="R291" s="4"/>
      <c r="S291" s="4"/>
      <c r="T291" s="4"/>
    </row>
    <row r="292" spans="1:20" ht="16.5">
      <c r="A292" s="4"/>
      <c r="B292" s="4"/>
      <c r="C292" s="4"/>
      <c r="D292" s="4"/>
      <c r="E292" s="4"/>
      <c r="F292" s="4"/>
      <c r="G292" s="4"/>
      <c r="H292" s="4"/>
      <c r="I292" s="4"/>
      <c r="J292" s="4"/>
      <c r="P292" s="4"/>
      <c r="Q292" s="4"/>
      <c r="R292" s="4"/>
      <c r="S292" s="4"/>
      <c r="T292" s="4"/>
    </row>
    <row r="293" spans="1:20" ht="16.5">
      <c r="A293" s="4"/>
      <c r="B293" s="4"/>
      <c r="C293" s="4"/>
      <c r="D293" s="4"/>
      <c r="E293" s="4"/>
      <c r="F293" s="4"/>
      <c r="G293" s="4"/>
      <c r="H293" s="4"/>
      <c r="I293" s="4"/>
      <c r="J293" s="4"/>
      <c r="P293" s="4"/>
      <c r="Q293" s="4"/>
      <c r="R293" s="4"/>
      <c r="S293" s="4"/>
      <c r="T293" s="4"/>
    </row>
    <row r="294" spans="1:20" ht="16.5">
      <c r="A294" s="4"/>
      <c r="B294" s="4"/>
      <c r="C294" s="4"/>
      <c r="D294" s="4"/>
      <c r="E294" s="4"/>
      <c r="F294" s="4"/>
      <c r="G294" s="4"/>
      <c r="H294" s="4"/>
      <c r="I294" s="4"/>
      <c r="J294" s="4"/>
      <c r="P294" s="4"/>
      <c r="Q294" s="4"/>
      <c r="R294" s="4"/>
      <c r="S294" s="4"/>
      <c r="T294" s="4"/>
    </row>
    <row r="295" spans="1:20" ht="16.5">
      <c r="A295" s="4"/>
      <c r="B295" s="4"/>
      <c r="C295" s="4"/>
      <c r="D295" s="4"/>
      <c r="E295" s="4"/>
      <c r="F295" s="4"/>
      <c r="G295" s="4"/>
      <c r="H295" s="4"/>
      <c r="I295" s="4"/>
      <c r="J295" s="4"/>
      <c r="P295" s="4"/>
      <c r="Q295" s="4"/>
      <c r="R295" s="4"/>
      <c r="S295" s="4"/>
      <c r="T295" s="4"/>
    </row>
    <row r="296" spans="1:20" ht="16.5">
      <c r="A296" s="4"/>
      <c r="B296" s="4"/>
      <c r="C296" s="4"/>
      <c r="D296" s="4"/>
      <c r="E296" s="4"/>
      <c r="F296" s="4"/>
      <c r="G296" s="4"/>
      <c r="H296" s="4"/>
      <c r="I296" s="4"/>
      <c r="J296" s="4"/>
      <c r="P296" s="4"/>
      <c r="Q296" s="4"/>
      <c r="R296" s="4"/>
      <c r="S296" s="4"/>
      <c r="T296" s="4"/>
    </row>
    <row r="297" spans="1:20" ht="16.5">
      <c r="A297" s="4"/>
      <c r="B297" s="4"/>
      <c r="C297" s="4"/>
      <c r="D297" s="4"/>
      <c r="E297" s="4"/>
      <c r="F297" s="4"/>
      <c r="G297" s="4"/>
      <c r="H297" s="4"/>
      <c r="I297" s="4"/>
      <c r="J297" s="4"/>
      <c r="P297" s="4"/>
      <c r="Q297" s="4"/>
      <c r="R297" s="4"/>
      <c r="S297" s="4"/>
      <c r="T297" s="4"/>
    </row>
    <row r="298" spans="1:20" ht="16.5">
      <c r="A298" s="4"/>
      <c r="B298" s="4"/>
      <c r="C298" s="4"/>
      <c r="D298" s="4"/>
      <c r="E298" s="4"/>
      <c r="F298" s="4"/>
      <c r="G298" s="4"/>
      <c r="H298" s="4"/>
      <c r="I298" s="4"/>
      <c r="J298" s="4"/>
      <c r="P298" s="4"/>
      <c r="Q298" s="4"/>
      <c r="R298" s="4"/>
      <c r="S298" s="4"/>
      <c r="T298" s="4"/>
    </row>
    <row r="299" spans="1:20" ht="16.5">
      <c r="A299" s="4"/>
      <c r="B299" s="4"/>
      <c r="C299" s="4"/>
      <c r="D299" s="4"/>
      <c r="E299" s="4"/>
      <c r="F299" s="4"/>
      <c r="G299" s="4"/>
      <c r="H299" s="4"/>
      <c r="I299" s="4"/>
      <c r="J299" s="4"/>
      <c r="P299" s="4"/>
      <c r="Q299" s="4"/>
      <c r="R299" s="4"/>
      <c r="S299" s="4"/>
      <c r="T299" s="4"/>
    </row>
    <row r="300" spans="1:20" ht="16.5">
      <c r="A300" s="4"/>
      <c r="B300" s="4"/>
      <c r="C300" s="4"/>
      <c r="D300" s="4"/>
      <c r="E300" s="4"/>
      <c r="F300" s="4"/>
      <c r="G300" s="4"/>
      <c r="H300" s="4"/>
      <c r="I300" s="4"/>
      <c r="J300" s="4"/>
      <c r="P300" s="4"/>
      <c r="Q300" s="4"/>
      <c r="R300" s="4"/>
      <c r="S300" s="4"/>
      <c r="T300" s="4"/>
    </row>
    <row r="301" spans="1:20" ht="16.5">
      <c r="A301" s="4"/>
      <c r="B301" s="4"/>
      <c r="C301" s="4"/>
      <c r="D301" s="4"/>
      <c r="E301" s="4"/>
      <c r="F301" s="4"/>
      <c r="G301" s="4"/>
      <c r="H301" s="4"/>
      <c r="I301" s="4"/>
      <c r="J301" s="4"/>
      <c r="P301" s="4"/>
      <c r="Q301" s="4"/>
      <c r="R301" s="4"/>
      <c r="S301" s="4"/>
      <c r="T301" s="4"/>
    </row>
    <row r="302" spans="1:20" ht="16.5">
      <c r="A302" s="4"/>
      <c r="B302" s="4"/>
      <c r="C302" s="4"/>
      <c r="D302" s="4"/>
      <c r="E302" s="4"/>
      <c r="F302" s="4"/>
      <c r="G302" s="4"/>
      <c r="H302" s="4"/>
      <c r="I302" s="4"/>
      <c r="J302" s="4"/>
      <c r="P302" s="4"/>
      <c r="Q302" s="4"/>
      <c r="R302" s="4"/>
      <c r="S302" s="4"/>
      <c r="T302" s="4"/>
    </row>
    <row r="303" spans="1:20" ht="16.5">
      <c r="A303" s="4"/>
      <c r="B303" s="4"/>
      <c r="C303" s="4"/>
      <c r="D303" s="4"/>
      <c r="E303" s="4"/>
      <c r="F303" s="4"/>
      <c r="G303" s="4"/>
      <c r="H303" s="4"/>
      <c r="I303" s="4"/>
      <c r="J303" s="4"/>
      <c r="P303" s="4"/>
      <c r="Q303" s="4"/>
      <c r="R303" s="4"/>
      <c r="S303" s="4"/>
      <c r="T303" s="4"/>
    </row>
    <row r="304" spans="1:20" ht="16.5">
      <c r="A304" s="4"/>
      <c r="B304" s="4"/>
      <c r="C304" s="4"/>
      <c r="D304" s="4"/>
      <c r="E304" s="4"/>
      <c r="F304" s="4"/>
      <c r="G304" s="4"/>
      <c r="H304" s="4"/>
      <c r="I304" s="4"/>
      <c r="J304" s="4"/>
      <c r="P304" s="4"/>
      <c r="Q304" s="4"/>
      <c r="R304" s="4"/>
      <c r="S304" s="4"/>
      <c r="T304" s="4"/>
    </row>
    <row r="305" spans="1:20" ht="16.5">
      <c r="A305" s="4"/>
      <c r="B305" s="4"/>
      <c r="C305" s="4"/>
      <c r="D305" s="4"/>
      <c r="E305" s="4"/>
      <c r="F305" s="4"/>
      <c r="G305" s="4"/>
      <c r="H305" s="4"/>
      <c r="I305" s="4"/>
      <c r="J305" s="4"/>
      <c r="P305" s="4"/>
      <c r="Q305" s="4"/>
      <c r="R305" s="4"/>
      <c r="S305" s="4"/>
      <c r="T305" s="4"/>
    </row>
    <row r="306" spans="1:20" ht="16.5">
      <c r="A306" s="4"/>
      <c r="B306" s="4"/>
      <c r="C306" s="4"/>
      <c r="D306" s="4"/>
      <c r="E306" s="4"/>
      <c r="F306" s="4"/>
      <c r="G306" s="4"/>
      <c r="H306" s="4"/>
      <c r="I306" s="4"/>
      <c r="J306" s="4"/>
      <c r="P306" s="4"/>
      <c r="Q306" s="4"/>
      <c r="R306" s="4"/>
      <c r="S306" s="4"/>
      <c r="T306" s="4"/>
    </row>
    <row r="307" spans="1:20" ht="16.5">
      <c r="A307" s="4"/>
      <c r="B307" s="4"/>
      <c r="C307" s="4"/>
      <c r="D307" s="4"/>
      <c r="E307" s="4"/>
      <c r="F307" s="4"/>
      <c r="G307" s="4"/>
      <c r="H307" s="4"/>
      <c r="I307" s="4"/>
      <c r="J307" s="4"/>
      <c r="P307" s="4"/>
      <c r="Q307" s="4"/>
      <c r="R307" s="4"/>
      <c r="S307" s="4"/>
      <c r="T307" s="4"/>
    </row>
    <row r="308" spans="1:20" ht="16.5">
      <c r="A308" s="4"/>
      <c r="B308" s="4"/>
      <c r="C308" s="4"/>
      <c r="D308" s="4"/>
      <c r="E308" s="4"/>
      <c r="F308" s="4"/>
      <c r="G308" s="4"/>
      <c r="H308" s="4"/>
      <c r="I308" s="4"/>
      <c r="J308" s="4"/>
      <c r="P308" s="4"/>
      <c r="Q308" s="4"/>
      <c r="R308" s="4"/>
      <c r="S308" s="4"/>
      <c r="T308" s="4"/>
    </row>
    <row r="309" spans="1:20" ht="16.5">
      <c r="A309" s="4"/>
      <c r="B309" s="4"/>
      <c r="C309" s="4"/>
      <c r="D309" s="4"/>
      <c r="E309" s="4"/>
      <c r="F309" s="4"/>
      <c r="G309" s="4"/>
      <c r="H309" s="4"/>
      <c r="I309" s="4"/>
      <c r="J309" s="4"/>
      <c r="P309" s="4"/>
      <c r="Q309" s="4"/>
      <c r="R309" s="4"/>
      <c r="S309" s="4"/>
      <c r="T309" s="4"/>
    </row>
    <row r="310" spans="1:20" ht="16.5">
      <c r="A310" s="4"/>
      <c r="B310" s="4"/>
      <c r="C310" s="4"/>
      <c r="D310" s="4"/>
      <c r="E310" s="4"/>
      <c r="F310" s="4"/>
      <c r="G310" s="4"/>
      <c r="H310" s="4"/>
      <c r="I310" s="4"/>
      <c r="J310" s="4"/>
      <c r="P310" s="4"/>
      <c r="Q310" s="4"/>
      <c r="R310" s="4"/>
      <c r="S310" s="4"/>
      <c r="T310" s="4"/>
    </row>
    <row r="311" spans="1:20" ht="16.5">
      <c r="A311" s="4"/>
      <c r="B311" s="4"/>
      <c r="C311" s="4"/>
      <c r="D311" s="4"/>
      <c r="E311" s="4"/>
      <c r="F311" s="4"/>
      <c r="G311" s="4"/>
      <c r="H311" s="4"/>
      <c r="I311" s="4"/>
      <c r="J311" s="4"/>
      <c r="P311" s="4"/>
      <c r="Q311" s="4"/>
      <c r="R311" s="4"/>
      <c r="S311" s="4"/>
      <c r="T311" s="4"/>
    </row>
    <row r="312" spans="1:20" ht="16.5">
      <c r="A312" s="4"/>
      <c r="B312" s="4"/>
      <c r="C312" s="4"/>
      <c r="D312" s="4"/>
      <c r="E312" s="4"/>
      <c r="F312" s="4"/>
      <c r="G312" s="4"/>
      <c r="H312" s="4"/>
      <c r="I312" s="4"/>
      <c r="J312" s="4"/>
      <c r="P312" s="4"/>
      <c r="Q312" s="4"/>
      <c r="R312" s="4"/>
      <c r="S312" s="4"/>
      <c r="T312" s="4"/>
    </row>
    <row r="313" spans="1:20" ht="16.5">
      <c r="A313" s="4"/>
      <c r="B313" s="4"/>
      <c r="C313" s="4"/>
      <c r="D313" s="4"/>
      <c r="E313" s="4"/>
      <c r="F313" s="4"/>
      <c r="G313" s="4"/>
      <c r="H313" s="4"/>
      <c r="I313" s="4"/>
      <c r="J313" s="4"/>
      <c r="P313" s="4"/>
      <c r="Q313" s="4"/>
      <c r="R313" s="4"/>
      <c r="S313" s="4"/>
      <c r="T313" s="4"/>
    </row>
    <row r="314" spans="1:20" ht="16.5">
      <c r="A314" s="4"/>
      <c r="B314" s="4"/>
      <c r="C314" s="4"/>
      <c r="D314" s="4"/>
      <c r="E314" s="4"/>
      <c r="F314" s="4"/>
      <c r="G314" s="4"/>
      <c r="H314" s="4"/>
      <c r="I314" s="4"/>
      <c r="J314" s="4"/>
      <c r="P314" s="4"/>
      <c r="Q314" s="4"/>
      <c r="R314" s="4"/>
      <c r="S314" s="4"/>
      <c r="T314" s="4"/>
    </row>
    <row r="315" spans="1:20" ht="16.5">
      <c r="A315" s="4"/>
      <c r="B315" s="4"/>
      <c r="C315" s="4"/>
      <c r="D315" s="4"/>
      <c r="E315" s="4"/>
      <c r="F315" s="4"/>
      <c r="G315" s="4"/>
      <c r="H315" s="4"/>
      <c r="I315" s="4"/>
      <c r="J315" s="4"/>
      <c r="P315" s="4"/>
      <c r="Q315" s="4"/>
      <c r="R315" s="4"/>
      <c r="S315" s="4"/>
      <c r="T315" s="4"/>
    </row>
    <row r="316" spans="1:20" ht="16.5">
      <c r="A316" s="4"/>
      <c r="B316" s="4"/>
      <c r="C316" s="4"/>
      <c r="D316" s="4"/>
      <c r="E316" s="4"/>
      <c r="F316" s="4"/>
      <c r="G316" s="4"/>
      <c r="H316" s="4"/>
      <c r="I316" s="4"/>
      <c r="J316" s="4"/>
      <c r="P316" s="4"/>
      <c r="Q316" s="4"/>
      <c r="R316" s="4"/>
      <c r="S316" s="4"/>
      <c r="T316" s="4"/>
    </row>
    <row r="317" spans="1:20" ht="16.5">
      <c r="A317" s="4"/>
      <c r="B317" s="4"/>
      <c r="C317" s="4"/>
      <c r="D317" s="4"/>
      <c r="E317" s="4"/>
      <c r="F317" s="4"/>
      <c r="G317" s="4"/>
      <c r="H317" s="4"/>
      <c r="I317" s="4"/>
      <c r="J317" s="4"/>
      <c r="P317" s="4"/>
      <c r="Q317" s="4"/>
      <c r="R317" s="4"/>
      <c r="S317" s="4"/>
      <c r="T317" s="4"/>
    </row>
    <row r="318" spans="1:20" ht="16.5">
      <c r="A318" s="4"/>
      <c r="B318" s="4"/>
      <c r="C318" s="4"/>
      <c r="D318" s="4"/>
      <c r="E318" s="4"/>
      <c r="F318" s="4"/>
      <c r="G318" s="4"/>
      <c r="H318" s="4"/>
      <c r="I318" s="4"/>
      <c r="J318" s="4"/>
      <c r="P318" s="4"/>
      <c r="Q318" s="4"/>
      <c r="R318" s="4"/>
      <c r="S318" s="4"/>
      <c r="T318" s="4"/>
    </row>
    <row r="319" spans="1:20" ht="16.5">
      <c r="A319" s="4"/>
      <c r="B319" s="4"/>
      <c r="C319" s="4"/>
      <c r="D319" s="4"/>
      <c r="E319" s="4"/>
      <c r="F319" s="4"/>
      <c r="G319" s="4"/>
      <c r="H319" s="4"/>
      <c r="I319" s="4"/>
      <c r="J319" s="4"/>
      <c r="P319" s="4"/>
      <c r="Q319" s="4"/>
      <c r="R319" s="4"/>
      <c r="S319" s="4"/>
      <c r="T319" s="4"/>
    </row>
    <row r="320" spans="1:20" ht="16.5">
      <c r="A320" s="4"/>
      <c r="B320" s="4"/>
      <c r="C320" s="4"/>
      <c r="D320" s="4"/>
      <c r="E320" s="4"/>
      <c r="F320" s="4"/>
      <c r="G320" s="4"/>
      <c r="H320" s="4"/>
      <c r="I320" s="4"/>
      <c r="J320" s="4"/>
      <c r="P320" s="4"/>
      <c r="Q320" s="4"/>
      <c r="R320" s="4"/>
      <c r="S320" s="4"/>
      <c r="T320" s="4"/>
    </row>
    <row r="321" spans="1:20" ht="16.5">
      <c r="A321" s="4"/>
      <c r="B321" s="4"/>
      <c r="C321" s="4"/>
      <c r="D321" s="4"/>
      <c r="E321" s="4"/>
      <c r="F321" s="4"/>
      <c r="G321" s="4"/>
      <c r="H321" s="4"/>
      <c r="I321" s="4"/>
      <c r="J321" s="4"/>
      <c r="P321" s="4"/>
      <c r="Q321" s="4"/>
      <c r="R321" s="4"/>
      <c r="S321" s="4"/>
      <c r="T321" s="4"/>
    </row>
    <row r="322" spans="1:20" ht="16.5">
      <c r="A322" s="4"/>
      <c r="B322" s="4"/>
      <c r="C322" s="4"/>
      <c r="D322" s="4"/>
      <c r="E322" s="4"/>
      <c r="F322" s="4"/>
      <c r="G322" s="4"/>
      <c r="H322" s="4"/>
      <c r="I322" s="4"/>
      <c r="J322" s="4"/>
      <c r="P322" s="4"/>
      <c r="Q322" s="4"/>
      <c r="R322" s="4"/>
      <c r="S322" s="4"/>
      <c r="T322" s="4"/>
    </row>
    <row r="323" spans="1:20" ht="16.5">
      <c r="A323" s="4"/>
      <c r="B323" s="4"/>
      <c r="C323" s="4"/>
      <c r="D323" s="4"/>
      <c r="E323" s="4"/>
      <c r="F323" s="4"/>
      <c r="G323" s="4"/>
      <c r="H323" s="4"/>
      <c r="I323" s="4"/>
      <c r="J323" s="4"/>
      <c r="P323" s="4"/>
      <c r="Q323" s="4"/>
      <c r="R323" s="4"/>
      <c r="S323" s="4"/>
      <c r="T323" s="4"/>
    </row>
    <row r="324" spans="1:20" ht="16.5">
      <c r="A324" s="4"/>
      <c r="B324" s="4"/>
      <c r="C324" s="4"/>
      <c r="D324" s="4"/>
      <c r="E324" s="4"/>
      <c r="F324" s="4"/>
      <c r="G324" s="4"/>
      <c r="H324" s="4"/>
      <c r="I324" s="4"/>
      <c r="J324" s="4"/>
      <c r="P324" s="4"/>
      <c r="Q324" s="4"/>
      <c r="R324" s="4"/>
      <c r="S324" s="4"/>
      <c r="T324" s="4"/>
    </row>
    <row r="325" spans="1:20" ht="16.5">
      <c r="A325" s="4"/>
      <c r="B325" s="4"/>
      <c r="C325" s="4"/>
      <c r="D325" s="4"/>
      <c r="E325" s="4"/>
      <c r="F325" s="4"/>
      <c r="G325" s="4"/>
      <c r="H325" s="4"/>
      <c r="I325" s="4"/>
      <c r="J325" s="4"/>
      <c r="P325" s="4"/>
      <c r="Q325" s="4"/>
      <c r="R325" s="4"/>
      <c r="S325" s="4"/>
      <c r="T325" s="4"/>
    </row>
    <row r="326" spans="1:20" ht="16.5">
      <c r="A326" s="4"/>
      <c r="B326" s="4"/>
      <c r="C326" s="4"/>
      <c r="D326" s="4"/>
      <c r="E326" s="4"/>
      <c r="F326" s="4"/>
      <c r="G326" s="4"/>
      <c r="H326" s="4"/>
      <c r="I326" s="4"/>
      <c r="J326" s="4"/>
      <c r="P326" s="4"/>
      <c r="Q326" s="4"/>
      <c r="R326" s="4"/>
      <c r="S326" s="4"/>
      <c r="T326" s="4"/>
    </row>
    <row r="327" spans="1:20" ht="16.5">
      <c r="A327" s="4"/>
      <c r="B327" s="4"/>
      <c r="C327" s="4"/>
      <c r="D327" s="4"/>
      <c r="E327" s="4"/>
      <c r="F327" s="4"/>
      <c r="G327" s="4"/>
      <c r="H327" s="4"/>
      <c r="I327" s="4"/>
      <c r="J327" s="4"/>
      <c r="P327" s="4"/>
      <c r="Q327" s="4"/>
      <c r="R327" s="4"/>
      <c r="S327" s="4"/>
      <c r="T327" s="4"/>
    </row>
    <row r="328" spans="1:20" ht="16.5">
      <c r="A328" s="4"/>
      <c r="B328" s="4"/>
      <c r="C328" s="4"/>
      <c r="D328" s="4"/>
      <c r="E328" s="4"/>
      <c r="F328" s="4"/>
      <c r="G328" s="4"/>
      <c r="H328" s="4"/>
      <c r="I328" s="4"/>
      <c r="J328" s="4"/>
      <c r="P328" s="4"/>
      <c r="Q328" s="4"/>
      <c r="R328" s="4"/>
      <c r="S328" s="4"/>
      <c r="T328" s="4"/>
    </row>
    <row r="329" spans="1:20" ht="16.5">
      <c r="A329" s="4"/>
      <c r="B329" s="4"/>
      <c r="C329" s="4"/>
      <c r="D329" s="4"/>
      <c r="E329" s="4"/>
      <c r="F329" s="4"/>
      <c r="G329" s="4"/>
      <c r="H329" s="4"/>
      <c r="I329" s="4"/>
      <c r="J329" s="4"/>
      <c r="P329" s="4"/>
      <c r="Q329" s="4"/>
      <c r="R329" s="4"/>
      <c r="S329" s="4"/>
      <c r="T329" s="4"/>
    </row>
    <row r="330" spans="1:20" ht="16.5">
      <c r="A330" s="4"/>
      <c r="B330" s="4"/>
      <c r="C330" s="4"/>
      <c r="D330" s="4"/>
      <c r="E330" s="4"/>
      <c r="F330" s="4"/>
      <c r="G330" s="4"/>
      <c r="H330" s="4"/>
      <c r="I330" s="4"/>
      <c r="J330" s="4"/>
      <c r="P330" s="4"/>
      <c r="Q330" s="4"/>
      <c r="R330" s="4"/>
      <c r="S330" s="4"/>
      <c r="T330" s="4"/>
    </row>
    <row r="331" spans="1:20" ht="16.5">
      <c r="A331" s="4"/>
      <c r="B331" s="4"/>
      <c r="C331" s="4"/>
      <c r="D331" s="4"/>
      <c r="E331" s="4"/>
      <c r="F331" s="4"/>
      <c r="G331" s="4"/>
      <c r="H331" s="4"/>
      <c r="I331" s="4"/>
      <c r="J331" s="4"/>
      <c r="P331" s="4"/>
      <c r="Q331" s="4"/>
      <c r="R331" s="4"/>
      <c r="S331" s="4"/>
      <c r="T331" s="4"/>
    </row>
    <row r="332" spans="1:20" ht="16.5">
      <c r="A332" s="4"/>
      <c r="B332" s="4"/>
      <c r="C332" s="4"/>
      <c r="D332" s="4"/>
      <c r="E332" s="4"/>
      <c r="F332" s="4"/>
      <c r="G332" s="4"/>
      <c r="H332" s="4"/>
      <c r="I332" s="4"/>
      <c r="J332" s="4"/>
      <c r="P332" s="4"/>
      <c r="Q332" s="4"/>
      <c r="R332" s="4"/>
      <c r="S332" s="4"/>
      <c r="T332" s="4"/>
    </row>
    <row r="333" spans="1:20" ht="16.5">
      <c r="A333" s="4"/>
      <c r="B333" s="4"/>
      <c r="C333" s="4"/>
      <c r="D333" s="4"/>
      <c r="E333" s="4"/>
      <c r="F333" s="4"/>
      <c r="G333" s="4"/>
      <c r="H333" s="4"/>
      <c r="I333" s="4"/>
      <c r="J333" s="4"/>
      <c r="P333" s="4"/>
      <c r="Q333" s="4"/>
      <c r="R333" s="4"/>
      <c r="S333" s="4"/>
      <c r="T333" s="4"/>
    </row>
    <row r="334" spans="1:20" ht="16.5">
      <c r="A334" s="4"/>
      <c r="B334" s="4"/>
      <c r="C334" s="4"/>
      <c r="D334" s="4"/>
      <c r="E334" s="4"/>
      <c r="F334" s="4"/>
      <c r="G334" s="4"/>
      <c r="H334" s="4"/>
      <c r="I334" s="4"/>
      <c r="J334" s="4"/>
      <c r="P334" s="4"/>
      <c r="Q334" s="4"/>
      <c r="R334" s="4"/>
      <c r="S334" s="4"/>
      <c r="T334" s="4"/>
    </row>
    <row r="335" spans="1:20" ht="16.5">
      <c r="A335" s="4"/>
      <c r="B335" s="4"/>
      <c r="C335" s="4"/>
      <c r="D335" s="4"/>
      <c r="E335" s="4"/>
      <c r="F335" s="4"/>
      <c r="G335" s="4"/>
      <c r="H335" s="4"/>
      <c r="I335" s="4"/>
      <c r="J335" s="4"/>
      <c r="P335" s="4"/>
      <c r="Q335" s="4"/>
      <c r="R335" s="4"/>
      <c r="S335" s="4"/>
      <c r="T335" s="4"/>
    </row>
    <row r="336" spans="1:20" ht="16.5">
      <c r="A336" s="4"/>
      <c r="B336" s="4"/>
      <c r="C336" s="4"/>
      <c r="D336" s="4"/>
      <c r="E336" s="4"/>
      <c r="F336" s="4"/>
      <c r="G336" s="4"/>
      <c r="H336" s="4"/>
      <c r="I336" s="4"/>
      <c r="J336" s="4"/>
      <c r="P336" s="4"/>
      <c r="Q336" s="4"/>
      <c r="R336" s="4"/>
      <c r="S336" s="4"/>
      <c r="T336" s="4"/>
    </row>
    <row r="337" spans="1:20" ht="16.5">
      <c r="A337" s="4"/>
      <c r="B337" s="4"/>
      <c r="C337" s="4"/>
      <c r="D337" s="4"/>
      <c r="E337" s="4"/>
      <c r="F337" s="4"/>
      <c r="G337" s="4"/>
      <c r="H337" s="4"/>
      <c r="I337" s="4"/>
      <c r="J337" s="4"/>
      <c r="P337" s="4"/>
      <c r="Q337" s="4"/>
      <c r="R337" s="4"/>
      <c r="S337" s="4"/>
      <c r="T337" s="4"/>
    </row>
    <row r="338" spans="1:20" ht="16.5">
      <c r="A338" s="4"/>
      <c r="B338" s="4"/>
      <c r="C338" s="4"/>
      <c r="D338" s="4"/>
      <c r="E338" s="4"/>
      <c r="F338" s="4"/>
      <c r="G338" s="4"/>
      <c r="H338" s="4"/>
      <c r="I338" s="4"/>
      <c r="J338" s="4"/>
      <c r="P338" s="4"/>
      <c r="Q338" s="4"/>
      <c r="R338" s="4"/>
      <c r="S338" s="4"/>
      <c r="T338" s="4"/>
    </row>
    <row r="339" spans="1:20" ht="16.5">
      <c r="A339" s="4"/>
      <c r="B339" s="4"/>
      <c r="C339" s="4"/>
      <c r="D339" s="4"/>
      <c r="E339" s="4"/>
      <c r="F339" s="4"/>
      <c r="G339" s="4"/>
      <c r="H339" s="4"/>
      <c r="I339" s="4"/>
      <c r="J339" s="4"/>
      <c r="P339" s="4"/>
      <c r="Q339" s="4"/>
      <c r="R339" s="4"/>
      <c r="S339" s="4"/>
      <c r="T339" s="4"/>
    </row>
    <row r="340" spans="1:20" ht="16.5">
      <c r="A340" s="4"/>
      <c r="B340" s="4"/>
      <c r="C340" s="4"/>
      <c r="D340" s="4"/>
      <c r="E340" s="4"/>
      <c r="F340" s="4"/>
      <c r="G340" s="4"/>
      <c r="H340" s="4"/>
      <c r="I340" s="4"/>
      <c r="J340" s="4"/>
      <c r="P340" s="4"/>
      <c r="Q340" s="4"/>
      <c r="R340" s="4"/>
      <c r="S340" s="4"/>
      <c r="T340" s="4"/>
    </row>
    <row r="341" spans="1:20" ht="16.5">
      <c r="A341" s="4"/>
      <c r="B341" s="4"/>
      <c r="C341" s="4"/>
      <c r="D341" s="4"/>
      <c r="E341" s="4"/>
      <c r="F341" s="4"/>
      <c r="G341" s="4"/>
      <c r="H341" s="4"/>
      <c r="I341" s="4"/>
      <c r="J341" s="4"/>
      <c r="P341" s="4"/>
      <c r="Q341" s="4"/>
      <c r="R341" s="4"/>
      <c r="S341" s="4"/>
      <c r="T341" s="4"/>
    </row>
    <row r="342" spans="1:20" ht="16.5">
      <c r="A342" s="4"/>
      <c r="B342" s="4"/>
      <c r="C342" s="4"/>
      <c r="D342" s="4"/>
      <c r="E342" s="4"/>
      <c r="F342" s="4"/>
      <c r="G342" s="4"/>
      <c r="H342" s="4"/>
      <c r="I342" s="4"/>
      <c r="J342" s="4"/>
      <c r="P342" s="4"/>
      <c r="Q342" s="4"/>
      <c r="R342" s="4"/>
      <c r="S342" s="4"/>
      <c r="T342" s="4"/>
    </row>
    <row r="343" spans="1:20" ht="16.5">
      <c r="A343" s="4"/>
      <c r="B343" s="4"/>
      <c r="C343" s="4"/>
      <c r="D343" s="4"/>
      <c r="E343" s="4"/>
      <c r="F343" s="4"/>
      <c r="G343" s="4"/>
      <c r="H343" s="4"/>
      <c r="I343" s="4"/>
      <c r="J343" s="4"/>
      <c r="P343" s="4"/>
      <c r="Q343" s="4"/>
      <c r="R343" s="4"/>
      <c r="S343" s="4"/>
      <c r="T343" s="4"/>
    </row>
    <row r="344" spans="1:20" ht="16.5">
      <c r="A344" s="4"/>
      <c r="B344" s="4"/>
      <c r="C344" s="4"/>
      <c r="D344" s="4"/>
      <c r="E344" s="4"/>
      <c r="F344" s="4"/>
      <c r="G344" s="4"/>
      <c r="H344" s="4"/>
      <c r="I344" s="4"/>
      <c r="J344" s="4"/>
      <c r="P344" s="4"/>
      <c r="Q344" s="4"/>
      <c r="R344" s="4"/>
      <c r="S344" s="4"/>
      <c r="T344" s="4"/>
    </row>
    <row r="345" spans="1:20" ht="16.5">
      <c r="A345" s="4"/>
      <c r="B345" s="4"/>
      <c r="C345" s="4"/>
      <c r="D345" s="4"/>
      <c r="E345" s="4"/>
      <c r="F345" s="4"/>
      <c r="G345" s="4"/>
      <c r="H345" s="4"/>
      <c r="I345" s="4"/>
      <c r="J345" s="4"/>
      <c r="P345" s="4"/>
      <c r="Q345" s="4"/>
      <c r="R345" s="4"/>
      <c r="S345" s="4"/>
      <c r="T345" s="4"/>
    </row>
    <row r="346" spans="1:20" ht="16.5">
      <c r="A346" s="4"/>
      <c r="B346" s="4"/>
      <c r="C346" s="4"/>
      <c r="D346" s="4"/>
      <c r="E346" s="4"/>
      <c r="F346" s="4"/>
      <c r="G346" s="4"/>
      <c r="H346" s="4"/>
      <c r="I346" s="4"/>
      <c r="J346" s="4"/>
      <c r="P346" s="4"/>
      <c r="Q346" s="4"/>
      <c r="R346" s="4"/>
      <c r="S346" s="4"/>
      <c r="T346" s="4"/>
    </row>
    <row r="347" spans="1:20" ht="16.5">
      <c r="A347" s="4"/>
      <c r="B347" s="4"/>
      <c r="C347" s="4"/>
      <c r="D347" s="4"/>
      <c r="E347" s="4"/>
      <c r="F347" s="4"/>
      <c r="G347" s="4"/>
      <c r="H347" s="4"/>
      <c r="I347" s="4"/>
      <c r="J347" s="4"/>
      <c r="P347" s="4"/>
      <c r="Q347" s="4"/>
      <c r="R347" s="4"/>
      <c r="S347" s="4"/>
      <c r="T347" s="4"/>
    </row>
    <row r="348" spans="1:20" ht="16.5">
      <c r="A348" s="4"/>
      <c r="B348" s="4"/>
      <c r="C348" s="4"/>
      <c r="D348" s="4"/>
      <c r="E348" s="4"/>
      <c r="F348" s="4"/>
      <c r="G348" s="4"/>
      <c r="H348" s="4"/>
      <c r="I348" s="4"/>
      <c r="J348" s="4"/>
      <c r="P348" s="4"/>
      <c r="Q348" s="4"/>
      <c r="R348" s="4"/>
      <c r="S348" s="4"/>
      <c r="T348" s="4"/>
    </row>
    <row r="349" spans="1:20" ht="16.5">
      <c r="A349" s="4"/>
      <c r="B349" s="4"/>
      <c r="C349" s="4"/>
      <c r="D349" s="4"/>
      <c r="E349" s="4"/>
      <c r="F349" s="4"/>
      <c r="G349" s="4"/>
      <c r="H349" s="4"/>
      <c r="I349" s="4"/>
      <c r="J349" s="4"/>
      <c r="P349" s="4"/>
      <c r="Q349" s="4"/>
      <c r="R349" s="4"/>
      <c r="S349" s="4"/>
      <c r="T349" s="4"/>
    </row>
    <row r="350" spans="1:20" ht="16.5">
      <c r="A350" s="4"/>
      <c r="B350" s="4"/>
      <c r="C350" s="4"/>
      <c r="D350" s="4"/>
      <c r="E350" s="4"/>
      <c r="F350" s="4"/>
      <c r="G350" s="4"/>
      <c r="H350" s="4"/>
      <c r="I350" s="4"/>
      <c r="J350" s="4"/>
      <c r="P350" s="4"/>
      <c r="Q350" s="4"/>
      <c r="R350" s="4"/>
      <c r="S350" s="4"/>
      <c r="T350" s="4"/>
    </row>
    <row r="351" spans="1:20" ht="16.5">
      <c r="A351" s="4"/>
      <c r="B351" s="4"/>
      <c r="C351" s="4"/>
      <c r="D351" s="4"/>
      <c r="E351" s="4"/>
      <c r="F351" s="4"/>
      <c r="G351" s="4"/>
      <c r="H351" s="4"/>
      <c r="I351" s="4"/>
      <c r="J351" s="4"/>
      <c r="P351" s="4"/>
      <c r="Q351" s="4"/>
      <c r="R351" s="4"/>
      <c r="S351" s="4"/>
      <c r="T351" s="4"/>
    </row>
    <row r="352" spans="1:20" ht="16.5">
      <c r="A352" s="4"/>
      <c r="B352" s="4"/>
      <c r="C352" s="4"/>
      <c r="D352" s="4"/>
      <c r="E352" s="4"/>
      <c r="F352" s="4"/>
      <c r="G352" s="4"/>
      <c r="H352" s="4"/>
      <c r="I352" s="4"/>
      <c r="J352" s="4"/>
      <c r="P352" s="4"/>
      <c r="Q352" s="4"/>
      <c r="R352" s="4"/>
      <c r="S352" s="4"/>
      <c r="T352" s="4"/>
    </row>
    <row r="353" spans="1:20" ht="16.5">
      <c r="A353" s="4"/>
      <c r="B353" s="4"/>
      <c r="C353" s="4"/>
      <c r="D353" s="4"/>
      <c r="E353" s="4"/>
      <c r="F353" s="4"/>
      <c r="G353" s="4"/>
      <c r="H353" s="4"/>
      <c r="I353" s="4"/>
      <c r="J353" s="4"/>
      <c r="P353" s="4"/>
      <c r="Q353" s="4"/>
      <c r="R353" s="4"/>
      <c r="S353" s="4"/>
      <c r="T353" s="4"/>
    </row>
    <row r="354" spans="1:20" ht="16.5">
      <c r="A354" s="4"/>
      <c r="B354" s="4"/>
      <c r="C354" s="4"/>
      <c r="D354" s="4"/>
      <c r="E354" s="4"/>
      <c r="F354" s="4"/>
      <c r="G354" s="4"/>
      <c r="H354" s="4"/>
      <c r="I354" s="4"/>
      <c r="J354" s="4"/>
      <c r="P354" s="4"/>
      <c r="Q354" s="4"/>
      <c r="R354" s="4"/>
      <c r="S354" s="4"/>
      <c r="T354" s="4"/>
    </row>
    <row r="355" spans="1:20" ht="16.5">
      <c r="A355" s="4"/>
      <c r="B355" s="4"/>
      <c r="C355" s="4"/>
      <c r="D355" s="4"/>
      <c r="E355" s="4"/>
      <c r="F355" s="4"/>
      <c r="G355" s="4"/>
      <c r="H355" s="4"/>
      <c r="I355" s="4"/>
      <c r="J355" s="4"/>
      <c r="P355" s="4"/>
      <c r="Q355" s="4"/>
      <c r="R355" s="4"/>
      <c r="S355" s="4"/>
      <c r="T355" s="4"/>
    </row>
    <row r="356" spans="1:20" ht="16.5">
      <c r="A356" s="4"/>
      <c r="B356" s="4"/>
      <c r="C356" s="4"/>
      <c r="D356" s="4"/>
      <c r="E356" s="4"/>
      <c r="F356" s="4"/>
      <c r="G356" s="4"/>
      <c r="H356" s="4"/>
      <c r="I356" s="4"/>
      <c r="J356" s="4"/>
      <c r="P356" s="4"/>
      <c r="Q356" s="4"/>
      <c r="R356" s="4"/>
      <c r="S356" s="4"/>
      <c r="T356" s="4"/>
    </row>
    <row r="357" spans="1:20" ht="16.5">
      <c r="A357" s="4"/>
      <c r="B357" s="4"/>
      <c r="C357" s="4"/>
      <c r="D357" s="4"/>
      <c r="E357" s="4"/>
      <c r="F357" s="4"/>
      <c r="G357" s="4"/>
      <c r="H357" s="4"/>
      <c r="I357" s="4"/>
      <c r="J357" s="4"/>
      <c r="P357" s="4"/>
      <c r="Q357" s="4"/>
      <c r="R357" s="4"/>
      <c r="S357" s="4"/>
      <c r="T357" s="4"/>
    </row>
    <row r="358" spans="1:20" ht="16.5">
      <c r="A358" s="4"/>
      <c r="B358" s="4"/>
      <c r="C358" s="4"/>
      <c r="D358" s="4"/>
      <c r="E358" s="4"/>
      <c r="F358" s="4"/>
      <c r="G358" s="4"/>
      <c r="H358" s="4"/>
      <c r="I358" s="4"/>
      <c r="J358" s="4"/>
      <c r="P358" s="4"/>
      <c r="Q358" s="4"/>
      <c r="R358" s="4"/>
      <c r="S358" s="4"/>
      <c r="T358" s="4"/>
    </row>
    <row r="359" spans="1:20" ht="16.5">
      <c r="A359" s="4"/>
      <c r="B359" s="4"/>
      <c r="C359" s="4"/>
      <c r="D359" s="4"/>
      <c r="E359" s="4"/>
      <c r="F359" s="4"/>
      <c r="G359" s="4"/>
      <c r="H359" s="4"/>
      <c r="I359" s="4"/>
      <c r="J359" s="4"/>
      <c r="P359" s="4"/>
      <c r="Q359" s="4"/>
      <c r="R359" s="4"/>
      <c r="S359" s="4"/>
      <c r="T359" s="4"/>
    </row>
    <row r="360" spans="1:20" ht="16.5">
      <c r="A360" s="4"/>
      <c r="B360" s="4"/>
      <c r="C360" s="4"/>
      <c r="D360" s="4"/>
      <c r="E360" s="4"/>
      <c r="F360" s="4"/>
      <c r="G360" s="4"/>
      <c r="H360" s="4"/>
      <c r="I360" s="4"/>
      <c r="J360" s="4"/>
      <c r="P360" s="4"/>
      <c r="Q360" s="4"/>
      <c r="R360" s="4"/>
      <c r="S360" s="4"/>
      <c r="T360" s="4"/>
    </row>
    <row r="361" spans="1:20" ht="16.5">
      <c r="A361" s="4"/>
      <c r="B361" s="4"/>
      <c r="C361" s="4"/>
      <c r="D361" s="4"/>
      <c r="E361" s="4"/>
      <c r="F361" s="4"/>
      <c r="G361" s="4"/>
      <c r="H361" s="4"/>
      <c r="I361" s="4"/>
      <c r="J361" s="4"/>
      <c r="P361" s="4"/>
      <c r="Q361" s="4"/>
      <c r="R361" s="4"/>
      <c r="S361" s="4"/>
      <c r="T361" s="4"/>
    </row>
    <row r="362" spans="1:20" ht="16.5">
      <c r="A362" s="4"/>
      <c r="B362" s="4"/>
      <c r="C362" s="4"/>
      <c r="D362" s="4"/>
      <c r="E362" s="4"/>
      <c r="F362" s="4"/>
      <c r="G362" s="4"/>
      <c r="H362" s="4"/>
      <c r="I362" s="4"/>
      <c r="J362" s="4"/>
      <c r="P362" s="4"/>
      <c r="Q362" s="4"/>
      <c r="R362" s="4"/>
      <c r="S362" s="4"/>
      <c r="T362" s="4"/>
    </row>
    <row r="363" spans="1:20" ht="16.5">
      <c r="A363" s="4"/>
      <c r="B363" s="4"/>
      <c r="C363" s="4"/>
      <c r="D363" s="4"/>
      <c r="E363" s="4"/>
      <c r="F363" s="4"/>
      <c r="G363" s="4"/>
      <c r="H363" s="4"/>
      <c r="I363" s="4"/>
      <c r="J363" s="4"/>
      <c r="P363" s="4"/>
      <c r="Q363" s="4"/>
      <c r="R363" s="4"/>
      <c r="S363" s="4"/>
      <c r="T363" s="4"/>
    </row>
    <row r="364" spans="1:20" ht="16.5">
      <c r="A364" s="4"/>
      <c r="B364" s="4"/>
      <c r="C364" s="4"/>
      <c r="D364" s="4"/>
      <c r="E364" s="4"/>
      <c r="F364" s="4"/>
      <c r="G364" s="4"/>
      <c r="H364" s="4"/>
      <c r="I364" s="4"/>
      <c r="J364" s="4"/>
      <c r="P364" s="4"/>
      <c r="Q364" s="4"/>
      <c r="R364" s="4"/>
      <c r="S364" s="4"/>
      <c r="T364" s="4"/>
    </row>
    <row r="365" spans="1:20" ht="16.5">
      <c r="A365" s="4"/>
      <c r="B365" s="4"/>
      <c r="C365" s="4"/>
      <c r="D365" s="4"/>
      <c r="E365" s="4"/>
      <c r="F365" s="4"/>
      <c r="G365" s="4"/>
      <c r="H365" s="4"/>
      <c r="I365" s="4"/>
      <c r="J365" s="4"/>
      <c r="P365" s="4"/>
      <c r="Q365" s="4"/>
      <c r="R365" s="4"/>
      <c r="S365" s="4"/>
      <c r="T365" s="4"/>
    </row>
    <row r="366" spans="1:20" ht="16.5">
      <c r="A366" s="4"/>
      <c r="B366" s="4"/>
      <c r="C366" s="4"/>
      <c r="D366" s="4"/>
      <c r="E366" s="4"/>
      <c r="F366" s="4"/>
      <c r="G366" s="4"/>
      <c r="H366" s="4"/>
      <c r="I366" s="4"/>
      <c r="J366" s="4"/>
      <c r="P366" s="4"/>
      <c r="Q366" s="4"/>
      <c r="R366" s="4"/>
      <c r="S366" s="4"/>
      <c r="T366" s="4"/>
    </row>
    <row r="367" spans="1:20" ht="16.5">
      <c r="A367" s="4"/>
      <c r="B367" s="4"/>
      <c r="C367" s="4"/>
      <c r="D367" s="4"/>
      <c r="E367" s="4"/>
      <c r="F367" s="4"/>
      <c r="G367" s="4"/>
      <c r="H367" s="4"/>
      <c r="I367" s="4"/>
      <c r="J367" s="4"/>
      <c r="P367" s="4"/>
      <c r="Q367" s="4"/>
      <c r="R367" s="4"/>
      <c r="S367" s="4"/>
      <c r="T367" s="4"/>
    </row>
    <row r="368" spans="1:20" ht="16.5">
      <c r="A368" s="4"/>
      <c r="B368" s="4"/>
      <c r="C368" s="4"/>
      <c r="D368" s="4"/>
      <c r="E368" s="4"/>
      <c r="F368" s="4"/>
      <c r="G368" s="4"/>
      <c r="H368" s="4"/>
      <c r="I368" s="4"/>
      <c r="J368" s="4"/>
      <c r="P368" s="4"/>
      <c r="Q368" s="4"/>
      <c r="R368" s="4"/>
      <c r="S368" s="4"/>
      <c r="T368" s="4"/>
    </row>
    <row r="369" spans="1:20" ht="16.5">
      <c r="A369" s="4"/>
      <c r="B369" s="4"/>
      <c r="C369" s="4"/>
      <c r="D369" s="4"/>
      <c r="E369" s="4"/>
      <c r="F369" s="4"/>
      <c r="G369" s="4"/>
      <c r="H369" s="4"/>
      <c r="I369" s="4"/>
      <c r="J369" s="4"/>
      <c r="P369" s="4"/>
      <c r="Q369" s="4"/>
      <c r="R369" s="4"/>
      <c r="S369" s="4"/>
      <c r="T369" s="4"/>
    </row>
    <row r="370" spans="1:20" ht="16.5">
      <c r="A370" s="4"/>
      <c r="B370" s="4"/>
      <c r="C370" s="4"/>
      <c r="D370" s="4"/>
      <c r="E370" s="4"/>
      <c r="F370" s="4"/>
      <c r="G370" s="4"/>
      <c r="H370" s="4"/>
      <c r="I370" s="4"/>
      <c r="J370" s="4"/>
      <c r="P370" s="4"/>
      <c r="Q370" s="4"/>
      <c r="R370" s="4"/>
      <c r="S370" s="4"/>
      <c r="T370" s="4"/>
    </row>
    <row r="371" spans="1:20" ht="16.5">
      <c r="A371" s="4"/>
      <c r="B371" s="4"/>
      <c r="C371" s="4"/>
      <c r="D371" s="4"/>
      <c r="E371" s="4"/>
      <c r="F371" s="4"/>
      <c r="G371" s="4"/>
      <c r="H371" s="4"/>
      <c r="I371" s="4"/>
      <c r="J371" s="4"/>
      <c r="P371" s="4"/>
      <c r="Q371" s="4"/>
      <c r="R371" s="4"/>
      <c r="S371" s="4"/>
      <c r="T371" s="4"/>
    </row>
    <row r="372" spans="1:20" ht="16.5">
      <c r="A372" s="4"/>
      <c r="B372" s="4"/>
      <c r="C372" s="4"/>
      <c r="D372" s="4"/>
      <c r="E372" s="4"/>
      <c r="F372" s="4"/>
      <c r="G372" s="4"/>
      <c r="H372" s="4"/>
      <c r="I372" s="4"/>
      <c r="J372" s="4"/>
      <c r="P372" s="4"/>
      <c r="Q372" s="4"/>
      <c r="R372" s="4"/>
      <c r="S372" s="4"/>
      <c r="T372" s="4"/>
    </row>
    <row r="373" spans="1:20" ht="16.5">
      <c r="A373" s="4"/>
      <c r="B373" s="4"/>
      <c r="C373" s="4"/>
      <c r="D373" s="4"/>
      <c r="E373" s="4"/>
      <c r="F373" s="4"/>
      <c r="G373" s="4"/>
      <c r="H373" s="4"/>
      <c r="I373" s="4"/>
      <c r="J373" s="4"/>
      <c r="P373" s="4"/>
      <c r="Q373" s="4"/>
      <c r="R373" s="4"/>
      <c r="S373" s="4"/>
      <c r="T373" s="4"/>
    </row>
    <row r="374" spans="1:20" ht="16.5">
      <c r="A374" s="4"/>
      <c r="B374" s="4"/>
      <c r="C374" s="4"/>
      <c r="D374" s="4"/>
      <c r="E374" s="4"/>
      <c r="F374" s="4"/>
      <c r="G374" s="4"/>
      <c r="H374" s="4"/>
      <c r="I374" s="4"/>
      <c r="J374" s="4"/>
      <c r="P374" s="4"/>
      <c r="Q374" s="4"/>
      <c r="R374" s="4"/>
      <c r="S374" s="4"/>
      <c r="T374" s="4"/>
    </row>
    <row r="375" spans="1:20" ht="16.5">
      <c r="A375" s="4"/>
      <c r="B375" s="4"/>
      <c r="C375" s="4"/>
      <c r="D375" s="4"/>
      <c r="E375" s="4"/>
      <c r="F375" s="4"/>
      <c r="G375" s="4"/>
      <c r="H375" s="4"/>
      <c r="I375" s="4"/>
      <c r="J375" s="4"/>
      <c r="P375" s="4"/>
      <c r="Q375" s="4"/>
      <c r="R375" s="4"/>
      <c r="S375" s="4"/>
      <c r="T375" s="4"/>
    </row>
    <row r="376" spans="1:20" ht="16.5">
      <c r="A376" s="4"/>
      <c r="B376" s="4"/>
      <c r="C376" s="4"/>
      <c r="D376" s="4"/>
      <c r="E376" s="4"/>
      <c r="F376" s="4"/>
      <c r="G376" s="4"/>
      <c r="H376" s="4"/>
      <c r="I376" s="4"/>
      <c r="J376" s="4"/>
      <c r="P376" s="4"/>
      <c r="Q376" s="4"/>
      <c r="R376" s="4"/>
      <c r="S376" s="4"/>
      <c r="T376" s="4"/>
    </row>
    <row r="377" spans="1:20" ht="16.5">
      <c r="A377" s="4"/>
      <c r="B377" s="4"/>
      <c r="C377" s="4"/>
      <c r="D377" s="4"/>
      <c r="E377" s="4"/>
      <c r="F377" s="4"/>
      <c r="G377" s="4"/>
      <c r="H377" s="4"/>
      <c r="I377" s="4"/>
      <c r="J377" s="4"/>
      <c r="P377" s="4"/>
      <c r="Q377" s="4"/>
      <c r="R377" s="4"/>
      <c r="S377" s="4"/>
      <c r="T377" s="4"/>
    </row>
    <row r="378" spans="1:20" ht="16.5">
      <c r="A378" s="4"/>
      <c r="B378" s="4"/>
      <c r="C378" s="4"/>
      <c r="D378" s="4"/>
      <c r="E378" s="4"/>
      <c r="F378" s="4"/>
      <c r="G378" s="4"/>
      <c r="H378" s="4"/>
      <c r="I378" s="4"/>
      <c r="J378" s="4"/>
      <c r="P378" s="4"/>
      <c r="Q378" s="4"/>
      <c r="R378" s="4"/>
      <c r="S378" s="4"/>
      <c r="T378" s="4"/>
    </row>
    <row r="379" spans="1:20" ht="16.5">
      <c r="A379" s="4"/>
      <c r="B379" s="4"/>
      <c r="C379" s="4"/>
      <c r="D379" s="4"/>
      <c r="E379" s="4"/>
      <c r="F379" s="4"/>
      <c r="G379" s="4"/>
      <c r="H379" s="4"/>
      <c r="I379" s="4"/>
      <c r="J379" s="4"/>
      <c r="P379" s="4"/>
      <c r="Q379" s="4"/>
      <c r="R379" s="4"/>
      <c r="S379" s="4"/>
      <c r="T379" s="4"/>
    </row>
    <row r="380" spans="1:20" ht="16.5">
      <c r="A380" s="4"/>
      <c r="B380" s="4"/>
      <c r="C380" s="4"/>
      <c r="D380" s="4"/>
      <c r="E380" s="4"/>
      <c r="F380" s="4"/>
      <c r="G380" s="4"/>
      <c r="H380" s="4"/>
      <c r="I380" s="4"/>
      <c r="J380" s="4"/>
      <c r="P380" s="4"/>
      <c r="Q380" s="4"/>
      <c r="R380" s="4"/>
      <c r="S380" s="4"/>
      <c r="T380" s="4"/>
    </row>
    <row r="381" spans="1:20" ht="16.5">
      <c r="A381" s="4"/>
      <c r="B381" s="4"/>
      <c r="C381" s="4"/>
      <c r="D381" s="4"/>
      <c r="E381" s="4"/>
      <c r="F381" s="4"/>
      <c r="G381" s="4"/>
      <c r="H381" s="4"/>
      <c r="I381" s="4"/>
      <c r="J381" s="4"/>
      <c r="P381" s="4"/>
      <c r="Q381" s="4"/>
      <c r="R381" s="4"/>
      <c r="S381" s="4"/>
      <c r="T381" s="4"/>
    </row>
    <row r="382" spans="1:20" ht="16.5">
      <c r="A382" s="4"/>
      <c r="B382" s="4"/>
      <c r="C382" s="4"/>
      <c r="D382" s="4"/>
      <c r="E382" s="4"/>
      <c r="F382" s="4"/>
      <c r="G382" s="4"/>
      <c r="H382" s="4"/>
      <c r="I382" s="4"/>
      <c r="J382" s="4"/>
      <c r="P382" s="4"/>
      <c r="Q382" s="4"/>
      <c r="R382" s="4"/>
      <c r="S382" s="4"/>
      <c r="T382" s="4"/>
    </row>
    <row r="383" spans="1:20" ht="16.5">
      <c r="A383" s="4"/>
      <c r="B383" s="4"/>
      <c r="C383" s="4"/>
      <c r="D383" s="4"/>
      <c r="E383" s="4"/>
      <c r="F383" s="4"/>
      <c r="G383" s="4"/>
      <c r="H383" s="4"/>
      <c r="I383" s="4"/>
      <c r="J383" s="4"/>
      <c r="P383" s="4"/>
      <c r="Q383" s="4"/>
      <c r="R383" s="4"/>
      <c r="S383" s="4"/>
      <c r="T383" s="4"/>
    </row>
    <row r="384" spans="1:20" ht="16.5">
      <c r="A384" s="4"/>
      <c r="B384" s="4"/>
      <c r="C384" s="4"/>
      <c r="D384" s="4"/>
      <c r="E384" s="4"/>
      <c r="F384" s="4"/>
      <c r="G384" s="4"/>
      <c r="H384" s="4"/>
      <c r="I384" s="4"/>
      <c r="J384" s="4"/>
      <c r="P384" s="4"/>
      <c r="Q384" s="4"/>
      <c r="R384" s="4"/>
      <c r="S384" s="4"/>
      <c r="T384" s="4"/>
    </row>
    <row r="385" spans="1:20" ht="16.5">
      <c r="A385" s="4"/>
      <c r="B385" s="4"/>
      <c r="C385" s="4"/>
      <c r="D385" s="4"/>
      <c r="E385" s="4"/>
      <c r="F385" s="4"/>
      <c r="G385" s="4"/>
      <c r="H385" s="4"/>
      <c r="I385" s="4"/>
      <c r="J385" s="4"/>
      <c r="P385" s="4"/>
      <c r="Q385" s="4"/>
      <c r="R385" s="4"/>
      <c r="S385" s="4"/>
      <c r="T385" s="4"/>
    </row>
    <row r="386" spans="1:20" ht="16.5">
      <c r="A386" s="4"/>
      <c r="B386" s="4"/>
      <c r="C386" s="4"/>
      <c r="D386" s="4"/>
      <c r="E386" s="4"/>
      <c r="F386" s="4"/>
      <c r="G386" s="4"/>
      <c r="H386" s="4"/>
      <c r="I386" s="4"/>
      <c r="J386" s="4"/>
      <c r="P386" s="4"/>
      <c r="Q386" s="4"/>
      <c r="R386" s="4"/>
      <c r="S386" s="4"/>
      <c r="T386" s="4"/>
    </row>
    <row r="387" spans="1:20" ht="16.5">
      <c r="A387" s="4"/>
      <c r="B387" s="4"/>
      <c r="C387" s="4"/>
      <c r="D387" s="4"/>
      <c r="E387" s="4"/>
      <c r="F387" s="4"/>
      <c r="G387" s="4"/>
      <c r="H387" s="4"/>
      <c r="I387" s="4"/>
      <c r="J387" s="4"/>
      <c r="P387" s="4"/>
      <c r="Q387" s="4"/>
      <c r="R387" s="4"/>
      <c r="S387" s="4"/>
      <c r="T387" s="4"/>
    </row>
    <row r="388" spans="1:20" ht="16.5">
      <c r="A388" s="4"/>
      <c r="B388" s="4"/>
      <c r="C388" s="4"/>
      <c r="D388" s="4"/>
      <c r="E388" s="4"/>
      <c r="F388" s="4"/>
      <c r="G388" s="4"/>
      <c r="H388" s="4"/>
      <c r="I388" s="4"/>
      <c r="J388" s="4"/>
      <c r="P388" s="4"/>
      <c r="Q388" s="4"/>
      <c r="R388" s="4"/>
      <c r="S388" s="4"/>
      <c r="T388" s="4"/>
    </row>
    <row r="389" spans="1:20" ht="16.5">
      <c r="A389" s="4"/>
      <c r="B389" s="4"/>
      <c r="C389" s="4"/>
      <c r="D389" s="4"/>
      <c r="E389" s="4"/>
      <c r="F389" s="4"/>
      <c r="G389" s="4"/>
      <c r="H389" s="4"/>
      <c r="I389" s="4"/>
      <c r="J389" s="4"/>
      <c r="P389" s="4"/>
      <c r="Q389" s="4"/>
      <c r="R389" s="4"/>
      <c r="S389" s="4"/>
      <c r="T389" s="4"/>
    </row>
    <row r="390" spans="1:20" ht="16.5">
      <c r="A390" s="4"/>
      <c r="B390" s="4"/>
      <c r="C390" s="4"/>
      <c r="D390" s="4"/>
      <c r="E390" s="4"/>
      <c r="F390" s="4"/>
      <c r="G390" s="4"/>
      <c r="H390" s="4"/>
      <c r="I390" s="4"/>
      <c r="J390" s="4"/>
      <c r="P390" s="4"/>
      <c r="Q390" s="4"/>
      <c r="R390" s="4"/>
      <c r="S390" s="4"/>
      <c r="T390" s="4"/>
    </row>
    <row r="391" spans="1:20" ht="16.5">
      <c r="A391" s="4"/>
      <c r="B391" s="4"/>
      <c r="C391" s="4"/>
      <c r="D391" s="4"/>
      <c r="E391" s="4"/>
      <c r="F391" s="4"/>
      <c r="G391" s="4"/>
      <c r="H391" s="4"/>
      <c r="I391" s="4"/>
      <c r="J391" s="4"/>
      <c r="P391" s="4"/>
      <c r="Q391" s="4"/>
      <c r="R391" s="4"/>
      <c r="S391" s="4"/>
      <c r="T391" s="4"/>
    </row>
    <row r="392" spans="1:20" ht="16.5">
      <c r="A392" s="4"/>
      <c r="B392" s="4"/>
      <c r="C392" s="4"/>
      <c r="D392" s="4"/>
      <c r="E392" s="4"/>
      <c r="F392" s="4"/>
      <c r="G392" s="4"/>
      <c r="H392" s="4"/>
      <c r="I392" s="4"/>
      <c r="J392" s="4"/>
      <c r="P392" s="4"/>
      <c r="Q392" s="4"/>
      <c r="R392" s="4"/>
      <c r="S392" s="4"/>
      <c r="T392" s="4"/>
    </row>
    <row r="393" spans="1:20" ht="16.5">
      <c r="A393" s="4"/>
      <c r="B393" s="4"/>
      <c r="C393" s="4"/>
      <c r="D393" s="4"/>
      <c r="E393" s="4"/>
      <c r="F393" s="4"/>
      <c r="G393" s="4"/>
      <c r="H393" s="4"/>
      <c r="I393" s="4"/>
      <c r="J393" s="4"/>
      <c r="P393" s="4"/>
      <c r="Q393" s="4"/>
      <c r="R393" s="4"/>
      <c r="S393" s="4"/>
      <c r="T393" s="4"/>
    </row>
    <row r="394" spans="1:20" ht="16.5">
      <c r="A394" s="4"/>
      <c r="B394" s="4"/>
      <c r="C394" s="4"/>
      <c r="D394" s="4"/>
      <c r="E394" s="4"/>
      <c r="F394" s="4"/>
      <c r="G394" s="4"/>
      <c r="H394" s="4"/>
      <c r="I394" s="4"/>
      <c r="J394" s="4"/>
      <c r="P394" s="4"/>
      <c r="Q394" s="4"/>
      <c r="R394" s="4"/>
      <c r="S394" s="4"/>
      <c r="T394" s="4"/>
    </row>
    <row r="395" spans="1:20" ht="16.5">
      <c r="A395" s="4"/>
      <c r="B395" s="4"/>
      <c r="C395" s="4"/>
      <c r="D395" s="4"/>
      <c r="E395" s="4"/>
      <c r="F395" s="4"/>
      <c r="G395" s="4"/>
      <c r="H395" s="4"/>
      <c r="I395" s="4"/>
      <c r="J395" s="4"/>
      <c r="P395" s="4"/>
      <c r="Q395" s="4"/>
      <c r="R395" s="4"/>
      <c r="S395" s="4"/>
      <c r="T395" s="4"/>
    </row>
    <row r="396" spans="1:20" ht="16.5">
      <c r="A396" s="4"/>
      <c r="B396" s="4"/>
      <c r="C396" s="4"/>
      <c r="D396" s="4"/>
      <c r="E396" s="4"/>
      <c r="F396" s="4"/>
      <c r="G396" s="4"/>
      <c r="H396" s="4"/>
      <c r="I396" s="4"/>
      <c r="J396" s="4"/>
      <c r="P396" s="4"/>
      <c r="Q396" s="4"/>
      <c r="R396" s="4"/>
      <c r="S396" s="4"/>
      <c r="T396" s="4"/>
    </row>
    <row r="397" spans="1:20" ht="16.5">
      <c r="A397" s="4"/>
      <c r="B397" s="4"/>
      <c r="C397" s="4"/>
      <c r="D397" s="4"/>
      <c r="E397" s="4"/>
      <c r="F397" s="4"/>
      <c r="G397" s="4"/>
      <c r="H397" s="4"/>
      <c r="I397" s="4"/>
      <c r="J397" s="4"/>
      <c r="P397" s="4"/>
      <c r="Q397" s="4"/>
      <c r="R397" s="4"/>
      <c r="S397" s="4"/>
      <c r="T397" s="4"/>
    </row>
    <row r="398" spans="1:20" ht="16.5">
      <c r="A398" s="4"/>
      <c r="B398" s="4"/>
      <c r="C398" s="4"/>
      <c r="D398" s="4"/>
      <c r="E398" s="4"/>
      <c r="F398" s="4"/>
      <c r="G398" s="4"/>
      <c r="H398" s="4"/>
      <c r="I398" s="4"/>
      <c r="J398" s="4"/>
      <c r="P398" s="4"/>
      <c r="Q398" s="4"/>
      <c r="R398" s="4"/>
      <c r="S398" s="4"/>
      <c r="T398" s="4"/>
    </row>
    <row r="399" spans="1:20" ht="16.5">
      <c r="A399" s="4"/>
      <c r="B399" s="4"/>
      <c r="C399" s="4"/>
      <c r="D399" s="4"/>
      <c r="E399" s="4"/>
      <c r="F399" s="4"/>
      <c r="G399" s="4"/>
      <c r="H399" s="4"/>
      <c r="I399" s="4"/>
      <c r="J399" s="4"/>
      <c r="P399" s="4"/>
      <c r="Q399" s="4"/>
      <c r="R399" s="4"/>
      <c r="S399" s="4"/>
      <c r="T399" s="4"/>
    </row>
    <row r="400" spans="1:20" ht="16.5">
      <c r="A400" s="4"/>
      <c r="B400" s="4"/>
      <c r="C400" s="4"/>
      <c r="D400" s="4"/>
      <c r="E400" s="4"/>
      <c r="F400" s="4"/>
      <c r="G400" s="4"/>
      <c r="H400" s="4"/>
      <c r="I400" s="4"/>
      <c r="J400" s="4"/>
      <c r="P400" s="4"/>
      <c r="Q400" s="4"/>
      <c r="R400" s="4"/>
      <c r="S400" s="4"/>
      <c r="T400" s="4"/>
    </row>
    <row r="401" spans="1:20" ht="16.5">
      <c r="A401" s="4"/>
      <c r="B401" s="4"/>
      <c r="C401" s="4"/>
      <c r="D401" s="4"/>
      <c r="E401" s="4"/>
      <c r="F401" s="4"/>
      <c r="G401" s="4"/>
      <c r="H401" s="4"/>
      <c r="I401" s="4"/>
      <c r="J401" s="4"/>
      <c r="P401" s="4"/>
      <c r="Q401" s="4"/>
      <c r="R401" s="4"/>
      <c r="S401" s="4"/>
      <c r="T401" s="4"/>
    </row>
    <row r="402" spans="1:20" ht="16.5">
      <c r="A402" s="4"/>
      <c r="B402" s="4"/>
      <c r="C402" s="4"/>
      <c r="D402" s="4"/>
      <c r="E402" s="4"/>
      <c r="F402" s="4"/>
      <c r="G402" s="4"/>
      <c r="H402" s="4"/>
      <c r="I402" s="4"/>
      <c r="J402" s="4"/>
      <c r="P402" s="4"/>
      <c r="Q402" s="4"/>
      <c r="R402" s="4"/>
      <c r="S402" s="4"/>
      <c r="T402" s="4"/>
    </row>
    <row r="403" spans="1:20" ht="16.5">
      <c r="A403" s="4"/>
      <c r="B403" s="4"/>
      <c r="C403" s="4"/>
      <c r="D403" s="4"/>
      <c r="E403" s="4"/>
      <c r="F403" s="4"/>
      <c r="G403" s="4"/>
      <c r="H403" s="4"/>
      <c r="I403" s="4"/>
      <c r="J403" s="4"/>
      <c r="P403" s="4"/>
      <c r="Q403" s="4"/>
      <c r="R403" s="4"/>
      <c r="S403" s="4"/>
      <c r="T403" s="4"/>
    </row>
    <row r="404" spans="1:20" ht="16.5">
      <c r="A404" s="4"/>
      <c r="B404" s="4"/>
      <c r="C404" s="4"/>
      <c r="D404" s="4"/>
      <c r="E404" s="4"/>
      <c r="F404" s="4"/>
      <c r="G404" s="4"/>
      <c r="H404" s="4"/>
      <c r="I404" s="4"/>
      <c r="J404" s="4"/>
      <c r="P404" s="4"/>
      <c r="Q404" s="4"/>
      <c r="R404" s="4"/>
      <c r="S404" s="4"/>
      <c r="T404" s="4"/>
    </row>
    <row r="405" spans="1:20" ht="16.5">
      <c r="A405" s="4"/>
      <c r="B405" s="4"/>
      <c r="C405" s="4"/>
      <c r="D405" s="4"/>
      <c r="E405" s="4"/>
      <c r="F405" s="4"/>
      <c r="G405" s="4"/>
      <c r="H405" s="4"/>
      <c r="I405" s="4"/>
      <c r="J405" s="4"/>
      <c r="P405" s="4"/>
      <c r="Q405" s="4"/>
      <c r="R405" s="4"/>
      <c r="S405" s="4"/>
      <c r="T405" s="4"/>
    </row>
    <row r="406" spans="1:20" ht="16.5">
      <c r="A406" s="4"/>
      <c r="B406" s="4"/>
      <c r="C406" s="4"/>
      <c r="D406" s="4"/>
      <c r="E406" s="4"/>
      <c r="F406" s="4"/>
      <c r="G406" s="4"/>
      <c r="H406" s="4"/>
      <c r="I406" s="4"/>
      <c r="J406" s="4"/>
      <c r="P406" s="4"/>
      <c r="Q406" s="4"/>
      <c r="R406" s="4"/>
      <c r="S406" s="4"/>
      <c r="T406" s="4"/>
    </row>
    <row r="407" spans="1:20" ht="16.5">
      <c r="A407" s="4"/>
      <c r="B407" s="4"/>
      <c r="C407" s="4"/>
      <c r="D407" s="4"/>
      <c r="E407" s="4"/>
      <c r="F407" s="4"/>
      <c r="G407" s="4"/>
      <c r="H407" s="4"/>
      <c r="I407" s="4"/>
      <c r="J407" s="4"/>
      <c r="P407" s="4"/>
      <c r="Q407" s="4"/>
      <c r="R407" s="4"/>
      <c r="S407" s="4"/>
      <c r="T407" s="4"/>
    </row>
    <row r="408" spans="1:20" ht="16.5">
      <c r="A408" s="4"/>
      <c r="B408" s="4"/>
      <c r="C408" s="4"/>
      <c r="D408" s="4"/>
      <c r="E408" s="4"/>
      <c r="F408" s="4"/>
      <c r="G408" s="4"/>
      <c r="H408" s="4"/>
      <c r="I408" s="4"/>
      <c r="J408" s="4"/>
      <c r="P408" s="4"/>
      <c r="Q408" s="4"/>
      <c r="R408" s="4"/>
      <c r="S408" s="4"/>
      <c r="T408" s="4"/>
    </row>
    <row r="409" spans="1:20" ht="16.5">
      <c r="A409" s="4"/>
      <c r="B409" s="4"/>
      <c r="C409" s="4"/>
      <c r="D409" s="4"/>
      <c r="E409" s="4"/>
      <c r="F409" s="4"/>
      <c r="G409" s="4"/>
      <c r="H409" s="4"/>
      <c r="I409" s="4"/>
      <c r="J409" s="4"/>
      <c r="P409" s="4"/>
      <c r="Q409" s="4"/>
      <c r="R409" s="4"/>
      <c r="S409" s="4"/>
      <c r="T409" s="4"/>
    </row>
    <row r="410" spans="1:20" ht="16.5">
      <c r="A410" s="4"/>
      <c r="B410" s="4"/>
      <c r="C410" s="4"/>
      <c r="D410" s="4"/>
      <c r="E410" s="4"/>
      <c r="F410" s="4"/>
      <c r="G410" s="4"/>
      <c r="H410" s="4"/>
      <c r="I410" s="4"/>
      <c r="J410" s="4"/>
      <c r="P410" s="4"/>
      <c r="Q410" s="4"/>
      <c r="R410" s="4"/>
      <c r="S410" s="4"/>
      <c r="T410" s="4"/>
    </row>
    <row r="411" spans="1:20" ht="16.5">
      <c r="A411" s="4"/>
      <c r="B411" s="4"/>
      <c r="C411" s="4"/>
      <c r="D411" s="4"/>
      <c r="E411" s="4"/>
      <c r="F411" s="4"/>
      <c r="G411" s="4"/>
      <c r="H411" s="4"/>
      <c r="I411" s="4"/>
      <c r="J411" s="4"/>
      <c r="P411" s="4"/>
      <c r="Q411" s="4"/>
      <c r="R411" s="4"/>
      <c r="S411" s="4"/>
      <c r="T411" s="4"/>
    </row>
    <row r="412" spans="1:20" ht="16.5">
      <c r="A412" s="4"/>
      <c r="B412" s="4"/>
      <c r="C412" s="4"/>
      <c r="D412" s="4"/>
      <c r="E412" s="4"/>
      <c r="F412" s="4"/>
      <c r="G412" s="4"/>
      <c r="H412" s="4"/>
      <c r="I412" s="4"/>
      <c r="J412" s="4"/>
      <c r="P412" s="4"/>
      <c r="Q412" s="4"/>
      <c r="R412" s="4"/>
      <c r="S412" s="4"/>
      <c r="T412" s="4"/>
    </row>
    <row r="413" spans="1:20" ht="16.5">
      <c r="A413" s="4"/>
      <c r="B413" s="4"/>
      <c r="C413" s="4"/>
      <c r="D413" s="4"/>
      <c r="E413" s="4"/>
      <c r="F413" s="4"/>
      <c r="G413" s="4"/>
      <c r="H413" s="4"/>
      <c r="I413" s="4"/>
      <c r="J413" s="4"/>
      <c r="P413" s="4"/>
      <c r="Q413" s="4"/>
      <c r="R413" s="4"/>
      <c r="S413" s="4"/>
      <c r="T413" s="4"/>
    </row>
    <row r="414" spans="1:20" ht="16.5">
      <c r="A414" s="4"/>
      <c r="B414" s="4"/>
      <c r="C414" s="4"/>
      <c r="D414" s="4"/>
      <c r="E414" s="4"/>
      <c r="F414" s="4"/>
      <c r="G414" s="4"/>
      <c r="H414" s="4"/>
      <c r="I414" s="4"/>
      <c r="J414" s="4"/>
      <c r="P414" s="4"/>
      <c r="Q414" s="4"/>
      <c r="R414" s="4"/>
      <c r="S414" s="4"/>
      <c r="T414" s="4"/>
    </row>
    <row r="415" spans="1:20" ht="16.5">
      <c r="A415" s="4"/>
      <c r="B415" s="4"/>
      <c r="C415" s="4"/>
      <c r="D415" s="4"/>
      <c r="E415" s="4"/>
      <c r="F415" s="4"/>
      <c r="G415" s="4"/>
      <c r="H415" s="4"/>
      <c r="I415" s="4"/>
      <c r="J415" s="4"/>
      <c r="P415" s="4"/>
      <c r="Q415" s="4"/>
      <c r="R415" s="4"/>
      <c r="S415" s="4"/>
      <c r="T415" s="4"/>
    </row>
    <row r="416" spans="1:20" ht="16.5">
      <c r="A416" s="4"/>
      <c r="B416" s="4"/>
      <c r="C416" s="4"/>
      <c r="D416" s="4"/>
      <c r="E416" s="4"/>
      <c r="F416" s="4"/>
      <c r="G416" s="4"/>
      <c r="H416" s="4"/>
      <c r="I416" s="4"/>
      <c r="J416" s="4"/>
      <c r="P416" s="4"/>
      <c r="Q416" s="4"/>
      <c r="R416" s="4"/>
      <c r="S416" s="4"/>
      <c r="T416" s="4"/>
    </row>
    <row r="417" spans="1:20" ht="16.5">
      <c r="A417" s="4"/>
      <c r="B417" s="4"/>
      <c r="C417" s="4"/>
      <c r="D417" s="4"/>
      <c r="E417" s="4"/>
      <c r="F417" s="4"/>
      <c r="G417" s="4"/>
      <c r="H417" s="4"/>
      <c r="I417" s="4"/>
      <c r="J417" s="4"/>
      <c r="P417" s="4"/>
      <c r="Q417" s="4"/>
      <c r="R417" s="4"/>
      <c r="S417" s="4"/>
      <c r="T417" s="4"/>
    </row>
    <row r="418" spans="1:20" ht="16.5">
      <c r="A418" s="4"/>
      <c r="B418" s="4"/>
      <c r="C418" s="4"/>
      <c r="D418" s="4"/>
      <c r="E418" s="4"/>
      <c r="F418" s="4"/>
      <c r="G418" s="4"/>
      <c r="H418" s="4"/>
      <c r="I418" s="4"/>
      <c r="J418" s="4"/>
      <c r="P418" s="4"/>
      <c r="Q418" s="4"/>
      <c r="R418" s="4"/>
      <c r="S418" s="4"/>
      <c r="T418" s="4"/>
    </row>
    <row r="419" spans="1:20" ht="16.5">
      <c r="A419" s="4"/>
      <c r="B419" s="4"/>
      <c r="C419" s="4"/>
      <c r="D419" s="4"/>
      <c r="E419" s="4"/>
      <c r="F419" s="4"/>
      <c r="G419" s="4"/>
      <c r="H419" s="4"/>
      <c r="I419" s="4"/>
      <c r="J419" s="4"/>
      <c r="P419" s="4"/>
      <c r="Q419" s="4"/>
      <c r="R419" s="4"/>
      <c r="S419" s="4"/>
      <c r="T419" s="4"/>
    </row>
    <row r="420" spans="1:20" ht="16.5">
      <c r="A420" s="4"/>
      <c r="B420" s="4"/>
      <c r="C420" s="4"/>
      <c r="D420" s="4"/>
      <c r="E420" s="4"/>
      <c r="F420" s="4"/>
      <c r="G420" s="4"/>
      <c r="H420" s="4"/>
      <c r="I420" s="4"/>
      <c r="J420" s="4"/>
      <c r="P420" s="4"/>
      <c r="Q420" s="4"/>
      <c r="R420" s="4"/>
      <c r="S420" s="4"/>
      <c r="T420" s="4"/>
    </row>
    <row r="421" spans="1:20" ht="16.5">
      <c r="A421" s="4"/>
      <c r="B421" s="4"/>
      <c r="C421" s="4"/>
      <c r="D421" s="4"/>
      <c r="E421" s="4"/>
      <c r="F421" s="4"/>
      <c r="G421" s="4"/>
      <c r="H421" s="4"/>
      <c r="I421" s="4"/>
      <c r="J421" s="4"/>
      <c r="P421" s="4"/>
      <c r="Q421" s="4"/>
      <c r="R421" s="4"/>
      <c r="S421" s="4"/>
      <c r="T421" s="4"/>
    </row>
    <row r="422" spans="1:20" ht="16.5">
      <c r="A422" s="4"/>
      <c r="B422" s="4"/>
      <c r="C422" s="4"/>
      <c r="D422" s="4"/>
      <c r="E422" s="4"/>
      <c r="F422" s="4"/>
      <c r="G422" s="4"/>
      <c r="H422" s="4"/>
      <c r="I422" s="4"/>
      <c r="J422" s="4"/>
      <c r="P422" s="4"/>
      <c r="Q422" s="4"/>
      <c r="R422" s="4"/>
      <c r="S422" s="4"/>
      <c r="T422" s="4"/>
    </row>
    <row r="423" spans="1:20" ht="16.5">
      <c r="A423" s="4"/>
      <c r="B423" s="4"/>
      <c r="C423" s="4"/>
      <c r="D423" s="4"/>
      <c r="E423" s="4"/>
      <c r="F423" s="4"/>
      <c r="G423" s="4"/>
      <c r="H423" s="4"/>
      <c r="I423" s="4"/>
      <c r="J423" s="4"/>
      <c r="P423" s="4"/>
      <c r="Q423" s="4"/>
      <c r="R423" s="4"/>
      <c r="S423" s="4"/>
      <c r="T423" s="4"/>
    </row>
    <row r="424" spans="1:20" ht="16.5">
      <c r="A424" s="4"/>
      <c r="B424" s="4"/>
      <c r="C424" s="4"/>
      <c r="D424" s="4"/>
      <c r="E424" s="4"/>
      <c r="F424" s="4"/>
      <c r="G424" s="4"/>
      <c r="H424" s="4"/>
      <c r="I424" s="4"/>
      <c r="J424" s="4"/>
      <c r="P424" s="4"/>
      <c r="Q424" s="4"/>
      <c r="R424" s="4"/>
      <c r="S424" s="4"/>
      <c r="T424" s="4"/>
    </row>
    <row r="425" spans="1:20" ht="16.5">
      <c r="A425" s="4"/>
      <c r="B425" s="4"/>
      <c r="C425" s="4"/>
      <c r="D425" s="4"/>
      <c r="E425" s="4"/>
      <c r="F425" s="4"/>
      <c r="G425" s="4"/>
      <c r="H425" s="4"/>
      <c r="I425" s="4"/>
      <c r="J425" s="4"/>
      <c r="P425" s="4"/>
      <c r="Q425" s="4"/>
      <c r="R425" s="4"/>
      <c r="S425" s="4"/>
      <c r="T425" s="4"/>
    </row>
    <row r="426" spans="1:20" ht="16.5">
      <c r="A426" s="4"/>
      <c r="B426" s="4"/>
      <c r="C426" s="4"/>
      <c r="D426" s="4"/>
      <c r="E426" s="4"/>
      <c r="F426" s="4"/>
      <c r="G426" s="4"/>
      <c r="H426" s="4"/>
      <c r="I426" s="4"/>
      <c r="J426" s="4"/>
      <c r="P426" s="4"/>
      <c r="Q426" s="4"/>
      <c r="R426" s="4"/>
      <c r="S426" s="4"/>
      <c r="T426" s="4"/>
    </row>
    <row r="427" spans="1:20" ht="16.5">
      <c r="A427" s="4"/>
      <c r="B427" s="4"/>
      <c r="C427" s="4"/>
      <c r="D427" s="4"/>
      <c r="E427" s="4"/>
      <c r="F427" s="4"/>
      <c r="G427" s="4"/>
      <c r="H427" s="4"/>
      <c r="I427" s="4"/>
      <c r="J427" s="4"/>
      <c r="P427" s="4"/>
      <c r="Q427" s="4"/>
      <c r="R427" s="4"/>
      <c r="S427" s="4"/>
      <c r="T427" s="4"/>
    </row>
    <row r="428" spans="1:20" ht="16.5">
      <c r="A428" s="4"/>
      <c r="B428" s="4"/>
      <c r="C428" s="4"/>
      <c r="D428" s="4"/>
      <c r="E428" s="4"/>
      <c r="F428" s="4"/>
      <c r="G428" s="4"/>
      <c r="H428" s="4"/>
      <c r="I428" s="4"/>
      <c r="J428" s="4"/>
      <c r="P428" s="4"/>
      <c r="Q428" s="4"/>
      <c r="R428" s="4"/>
      <c r="S428" s="4"/>
      <c r="T428" s="4"/>
    </row>
    <row r="429" spans="1:20" ht="16.5">
      <c r="A429" s="4"/>
      <c r="B429" s="4"/>
      <c r="C429" s="4"/>
      <c r="D429" s="4"/>
      <c r="E429" s="4"/>
      <c r="F429" s="4"/>
      <c r="G429" s="4"/>
      <c r="H429" s="4"/>
      <c r="I429" s="4"/>
      <c r="J429" s="4"/>
      <c r="P429" s="4"/>
      <c r="Q429" s="4"/>
      <c r="R429" s="4"/>
      <c r="S429" s="4"/>
      <c r="T429" s="4"/>
    </row>
    <row r="430" spans="1:20" ht="16.5">
      <c r="A430" s="4"/>
      <c r="B430" s="4"/>
      <c r="C430" s="4"/>
      <c r="D430" s="4"/>
      <c r="E430" s="4"/>
      <c r="F430" s="4"/>
      <c r="G430" s="4"/>
      <c r="H430" s="4"/>
      <c r="I430" s="4"/>
      <c r="J430" s="4"/>
      <c r="P430" s="4"/>
      <c r="Q430" s="4"/>
      <c r="R430" s="4"/>
      <c r="S430" s="4"/>
      <c r="T430" s="4"/>
    </row>
    <row r="431" spans="1:20" ht="16.5">
      <c r="A431" s="4"/>
      <c r="B431" s="4"/>
      <c r="C431" s="4"/>
      <c r="D431" s="4"/>
      <c r="E431" s="4"/>
      <c r="F431" s="4"/>
      <c r="G431" s="4"/>
      <c r="H431" s="4"/>
      <c r="I431" s="4"/>
      <c r="J431" s="4"/>
      <c r="P431" s="4"/>
      <c r="Q431" s="4"/>
      <c r="R431" s="4"/>
      <c r="S431" s="4"/>
      <c r="T431" s="4"/>
    </row>
    <row r="432" spans="1:20" ht="16.5">
      <c r="A432" s="4"/>
      <c r="B432" s="4"/>
      <c r="C432" s="4"/>
      <c r="D432" s="4"/>
      <c r="E432" s="4"/>
      <c r="F432" s="4"/>
      <c r="G432" s="4"/>
      <c r="H432" s="4"/>
      <c r="I432" s="4"/>
      <c r="J432" s="4"/>
      <c r="P432" s="4"/>
      <c r="Q432" s="4"/>
      <c r="R432" s="4"/>
      <c r="S432" s="4"/>
      <c r="T432" s="4"/>
    </row>
    <row r="433" spans="1:20" ht="16.5">
      <c r="A433" s="4"/>
      <c r="B433" s="4"/>
      <c r="C433" s="4"/>
      <c r="D433" s="4"/>
      <c r="E433" s="4"/>
      <c r="F433" s="4"/>
      <c r="G433" s="4"/>
      <c r="H433" s="4"/>
      <c r="I433" s="4"/>
      <c r="J433" s="4"/>
      <c r="P433" s="4"/>
      <c r="Q433" s="4"/>
      <c r="R433" s="4"/>
      <c r="S433" s="4"/>
      <c r="T433" s="4"/>
    </row>
    <row r="434" spans="1:20" ht="16.5">
      <c r="A434" s="4"/>
      <c r="B434" s="4"/>
      <c r="C434" s="4"/>
      <c r="D434" s="4"/>
      <c r="E434" s="4"/>
      <c r="F434" s="4"/>
      <c r="G434" s="4"/>
      <c r="H434" s="4"/>
      <c r="I434" s="4"/>
      <c r="J434" s="4"/>
      <c r="P434" s="4"/>
      <c r="Q434" s="4"/>
      <c r="R434" s="4"/>
      <c r="S434" s="4"/>
      <c r="T434" s="4"/>
    </row>
    <row r="435" spans="1:20" ht="16.5">
      <c r="A435" s="4"/>
      <c r="B435" s="4"/>
      <c r="C435" s="4"/>
      <c r="D435" s="4"/>
      <c r="E435" s="4"/>
      <c r="F435" s="4"/>
      <c r="G435" s="4"/>
      <c r="H435" s="4"/>
      <c r="I435" s="4"/>
      <c r="J435" s="4"/>
      <c r="P435" s="4"/>
      <c r="Q435" s="4"/>
      <c r="R435" s="4"/>
      <c r="S435" s="4"/>
      <c r="T435" s="4"/>
    </row>
    <row r="436" spans="1:20" ht="16.5">
      <c r="A436" s="4"/>
      <c r="B436" s="4"/>
      <c r="C436" s="4"/>
      <c r="D436" s="4"/>
      <c r="E436" s="4"/>
      <c r="F436" s="4"/>
      <c r="G436" s="4"/>
      <c r="H436" s="4"/>
      <c r="I436" s="4"/>
      <c r="J436" s="4"/>
      <c r="P436" s="4"/>
      <c r="Q436" s="4"/>
      <c r="R436" s="4"/>
      <c r="S436" s="4"/>
      <c r="T436" s="4"/>
    </row>
    <row r="437" spans="1:20" ht="16.5">
      <c r="A437" s="4"/>
      <c r="B437" s="4"/>
      <c r="C437" s="4"/>
      <c r="D437" s="4"/>
      <c r="E437" s="4"/>
      <c r="F437" s="4"/>
      <c r="G437" s="4"/>
      <c r="H437" s="4"/>
      <c r="I437" s="4"/>
      <c r="J437" s="4"/>
      <c r="P437" s="4"/>
      <c r="Q437" s="4"/>
      <c r="R437" s="4"/>
      <c r="S437" s="4"/>
      <c r="T437" s="4"/>
    </row>
    <row r="438" spans="1:20" ht="16.5">
      <c r="A438" s="4"/>
      <c r="B438" s="4"/>
      <c r="C438" s="4"/>
      <c r="D438" s="4"/>
      <c r="E438" s="4"/>
      <c r="F438" s="4"/>
      <c r="G438" s="4"/>
      <c r="H438" s="4"/>
      <c r="I438" s="4"/>
      <c r="J438" s="4"/>
      <c r="P438" s="4"/>
      <c r="Q438" s="4"/>
      <c r="R438" s="4"/>
      <c r="S438" s="4"/>
      <c r="T438" s="4"/>
    </row>
    <row r="439" spans="1:20" ht="16.5">
      <c r="A439" s="4"/>
      <c r="B439" s="4"/>
      <c r="C439" s="4"/>
      <c r="D439" s="4"/>
      <c r="E439" s="4"/>
      <c r="F439" s="4"/>
      <c r="G439" s="4"/>
      <c r="H439" s="4"/>
      <c r="I439" s="4"/>
      <c r="J439" s="4"/>
      <c r="P439" s="4"/>
      <c r="Q439" s="4"/>
      <c r="R439" s="4"/>
      <c r="S439" s="4"/>
      <c r="T439" s="4"/>
    </row>
    <row r="440" spans="1:20" ht="16.5">
      <c r="A440" s="4"/>
      <c r="B440" s="4"/>
      <c r="C440" s="4"/>
      <c r="D440" s="4"/>
      <c r="E440" s="4"/>
      <c r="F440" s="4"/>
      <c r="G440" s="4"/>
      <c r="H440" s="4"/>
      <c r="I440" s="4"/>
      <c r="J440" s="4"/>
      <c r="P440" s="4"/>
      <c r="Q440" s="4"/>
      <c r="R440" s="4"/>
      <c r="S440" s="4"/>
      <c r="T440" s="4"/>
    </row>
    <row r="441" spans="1:20" ht="16.5">
      <c r="A441" s="4"/>
      <c r="B441" s="4"/>
      <c r="C441" s="4"/>
      <c r="D441" s="4"/>
      <c r="E441" s="4"/>
      <c r="F441" s="4"/>
      <c r="G441" s="4"/>
      <c r="H441" s="4"/>
      <c r="I441" s="4"/>
      <c r="J441" s="4"/>
      <c r="P441" s="4"/>
      <c r="Q441" s="4"/>
      <c r="R441" s="4"/>
      <c r="S441" s="4"/>
      <c r="T441" s="4"/>
    </row>
    <row r="442" spans="1:20" ht="16.5">
      <c r="A442" s="4"/>
      <c r="B442" s="4"/>
      <c r="C442" s="4"/>
      <c r="D442" s="4"/>
      <c r="E442" s="4"/>
      <c r="F442" s="4"/>
      <c r="G442" s="4"/>
      <c r="H442" s="4"/>
      <c r="I442" s="4"/>
      <c r="J442" s="4"/>
      <c r="P442" s="4"/>
      <c r="Q442" s="4"/>
      <c r="R442" s="4"/>
      <c r="S442" s="4"/>
      <c r="T442" s="4"/>
    </row>
    <row r="443" spans="1:20" ht="16.5">
      <c r="A443" s="4"/>
      <c r="B443" s="4"/>
      <c r="C443" s="4"/>
      <c r="D443" s="4"/>
      <c r="E443" s="4"/>
      <c r="F443" s="4"/>
      <c r="G443" s="4"/>
      <c r="H443" s="4"/>
      <c r="I443" s="4"/>
      <c r="J443" s="4"/>
      <c r="P443" s="4"/>
      <c r="Q443" s="4"/>
      <c r="R443" s="4"/>
      <c r="S443" s="4"/>
      <c r="T443" s="4"/>
    </row>
    <row r="444" spans="1:20" ht="16.5">
      <c r="A444" s="4"/>
      <c r="B444" s="4"/>
      <c r="C444" s="4"/>
      <c r="D444" s="4"/>
      <c r="E444" s="4"/>
      <c r="F444" s="4"/>
      <c r="G444" s="4"/>
      <c r="H444" s="4"/>
      <c r="I444" s="4"/>
      <c r="J444" s="4"/>
      <c r="P444" s="4"/>
      <c r="Q444" s="4"/>
      <c r="R444" s="4"/>
      <c r="S444" s="4"/>
      <c r="T444" s="4"/>
    </row>
    <row r="445" spans="1:20" ht="16.5">
      <c r="A445" s="4"/>
      <c r="B445" s="4"/>
      <c r="C445" s="4"/>
      <c r="D445" s="4"/>
      <c r="E445" s="4"/>
      <c r="F445" s="4"/>
      <c r="G445" s="4"/>
      <c r="H445" s="4"/>
      <c r="I445" s="4"/>
      <c r="J445" s="4"/>
      <c r="P445" s="4"/>
      <c r="Q445" s="4"/>
      <c r="R445" s="4"/>
      <c r="S445" s="4"/>
      <c r="T445" s="4"/>
    </row>
    <row r="446" spans="1:20" ht="16.5">
      <c r="A446" s="4"/>
      <c r="B446" s="4"/>
      <c r="C446" s="4"/>
      <c r="D446" s="4"/>
      <c r="E446" s="4"/>
      <c r="F446" s="4"/>
      <c r="G446" s="4"/>
      <c r="H446" s="4"/>
      <c r="I446" s="4"/>
      <c r="J446" s="4"/>
      <c r="P446" s="4"/>
      <c r="Q446" s="4"/>
      <c r="R446" s="4"/>
      <c r="S446" s="4"/>
      <c r="T446" s="4"/>
    </row>
    <row r="447" spans="1:20" ht="16.5">
      <c r="A447" s="4"/>
      <c r="B447" s="4"/>
      <c r="C447" s="4"/>
      <c r="D447" s="4"/>
      <c r="E447" s="4"/>
      <c r="F447" s="4"/>
      <c r="G447" s="4"/>
      <c r="H447" s="4"/>
      <c r="I447" s="4"/>
      <c r="J447" s="4"/>
      <c r="P447" s="4"/>
      <c r="Q447" s="4"/>
      <c r="R447" s="4"/>
      <c r="S447" s="4"/>
      <c r="T447" s="4"/>
    </row>
    <row r="448" spans="1:20" ht="16.5">
      <c r="A448" s="4"/>
      <c r="B448" s="4"/>
      <c r="C448" s="4"/>
      <c r="D448" s="4"/>
      <c r="E448" s="4"/>
      <c r="F448" s="4"/>
      <c r="G448" s="4"/>
      <c r="H448" s="4"/>
      <c r="I448" s="4"/>
      <c r="J448" s="4"/>
      <c r="P448" s="4"/>
      <c r="Q448" s="4"/>
      <c r="R448" s="4"/>
      <c r="S448" s="4"/>
      <c r="T448" s="4"/>
    </row>
    <row r="449" spans="1:20" ht="16.5">
      <c r="A449" s="4"/>
      <c r="B449" s="4"/>
      <c r="C449" s="4"/>
      <c r="D449" s="4"/>
      <c r="E449" s="4"/>
      <c r="F449" s="4"/>
      <c r="G449" s="4"/>
      <c r="H449" s="4"/>
      <c r="I449" s="4"/>
      <c r="J449" s="4"/>
      <c r="P449" s="4"/>
      <c r="Q449" s="4"/>
      <c r="R449" s="4"/>
      <c r="S449" s="4"/>
      <c r="T449" s="4"/>
    </row>
    <row r="450" spans="1:20" ht="16.5">
      <c r="A450" s="4"/>
      <c r="B450" s="4"/>
      <c r="C450" s="4"/>
      <c r="D450" s="4"/>
      <c r="E450" s="4"/>
      <c r="F450" s="4"/>
      <c r="G450" s="4"/>
      <c r="H450" s="4"/>
      <c r="I450" s="4"/>
      <c r="J450" s="4"/>
      <c r="P450" s="4"/>
      <c r="Q450" s="4"/>
      <c r="R450" s="4"/>
      <c r="S450" s="4"/>
      <c r="T450" s="4"/>
    </row>
    <row r="451" spans="1:20" ht="16.5">
      <c r="A451" s="4"/>
      <c r="B451" s="4"/>
      <c r="C451" s="4"/>
      <c r="D451" s="4"/>
      <c r="E451" s="4"/>
      <c r="F451" s="4"/>
      <c r="G451" s="4"/>
      <c r="H451" s="4"/>
      <c r="I451" s="4"/>
      <c r="J451" s="4"/>
      <c r="P451" s="4"/>
      <c r="Q451" s="4"/>
      <c r="R451" s="4"/>
      <c r="S451" s="4"/>
      <c r="T451" s="4"/>
    </row>
    <row r="452" spans="1:20" ht="16.5">
      <c r="A452" s="4"/>
      <c r="B452" s="4"/>
      <c r="C452" s="4"/>
      <c r="D452" s="4"/>
      <c r="E452" s="4"/>
      <c r="F452" s="4"/>
      <c r="G452" s="4"/>
      <c r="H452" s="4"/>
      <c r="I452" s="4"/>
      <c r="J452" s="4"/>
      <c r="P452" s="4"/>
      <c r="Q452" s="4"/>
      <c r="R452" s="4"/>
      <c r="S452" s="4"/>
      <c r="T452" s="4"/>
    </row>
    <row r="453" spans="1:20" ht="16.5">
      <c r="A453" s="4"/>
      <c r="B453" s="4"/>
      <c r="C453" s="4"/>
      <c r="D453" s="4"/>
      <c r="E453" s="4"/>
      <c r="F453" s="4"/>
      <c r="G453" s="4"/>
      <c r="H453" s="4"/>
      <c r="I453" s="4"/>
      <c r="J453" s="4"/>
      <c r="P453" s="4"/>
      <c r="Q453" s="4"/>
      <c r="R453" s="4"/>
      <c r="S453" s="4"/>
      <c r="T453" s="4"/>
    </row>
    <row r="454" spans="1:20" ht="16.5">
      <c r="A454" s="4"/>
      <c r="B454" s="4"/>
      <c r="C454" s="4"/>
      <c r="D454" s="4"/>
      <c r="E454" s="4"/>
      <c r="F454" s="4"/>
      <c r="G454" s="4"/>
      <c r="H454" s="4"/>
      <c r="I454" s="4"/>
      <c r="J454" s="4"/>
      <c r="P454" s="4"/>
      <c r="Q454" s="4"/>
      <c r="R454" s="4"/>
      <c r="S454" s="4"/>
      <c r="T454" s="4"/>
    </row>
    <row r="455" spans="1:20" ht="16.5">
      <c r="A455" s="4"/>
      <c r="B455" s="4"/>
      <c r="C455" s="4"/>
      <c r="D455" s="4"/>
      <c r="E455" s="4"/>
      <c r="F455" s="4"/>
      <c r="G455" s="4"/>
      <c r="H455" s="4"/>
      <c r="I455" s="4"/>
      <c r="J455" s="4"/>
      <c r="P455" s="4"/>
      <c r="Q455" s="4"/>
      <c r="R455" s="4"/>
      <c r="S455" s="4"/>
      <c r="T455" s="4"/>
    </row>
    <row r="456" spans="1:20" ht="16.5">
      <c r="A456" s="4"/>
      <c r="B456" s="4"/>
      <c r="C456" s="4"/>
      <c r="D456" s="4"/>
      <c r="E456" s="4"/>
      <c r="F456" s="4"/>
      <c r="G456" s="4"/>
      <c r="H456" s="4"/>
      <c r="I456" s="4"/>
      <c r="J456" s="4"/>
      <c r="P456" s="4"/>
      <c r="Q456" s="4"/>
      <c r="R456" s="4"/>
      <c r="S456" s="4"/>
      <c r="T456" s="4"/>
    </row>
    <row r="457" spans="1:20" ht="16.5">
      <c r="A457" s="4"/>
      <c r="B457" s="4"/>
      <c r="C457" s="4"/>
      <c r="D457" s="4"/>
      <c r="E457" s="4"/>
      <c r="F457" s="4"/>
      <c r="G457" s="4"/>
      <c r="H457" s="4"/>
      <c r="I457" s="4"/>
      <c r="J457" s="4"/>
      <c r="P457" s="4"/>
      <c r="Q457" s="4"/>
      <c r="R457" s="4"/>
      <c r="S457" s="4"/>
      <c r="T457" s="4"/>
    </row>
    <row r="458" spans="1:20" ht="16.5">
      <c r="A458" s="4"/>
      <c r="B458" s="4"/>
      <c r="C458" s="4"/>
      <c r="D458" s="4"/>
      <c r="E458" s="4"/>
      <c r="F458" s="4"/>
      <c r="G458" s="4"/>
      <c r="H458" s="4"/>
      <c r="I458" s="4"/>
      <c r="J458" s="4"/>
      <c r="P458" s="4"/>
      <c r="Q458" s="4"/>
      <c r="R458" s="4"/>
      <c r="S458" s="4"/>
      <c r="T458" s="4"/>
    </row>
    <row r="459" spans="1:20" ht="16.5">
      <c r="A459" s="4"/>
      <c r="B459" s="4"/>
      <c r="C459" s="4"/>
      <c r="D459" s="4"/>
      <c r="E459" s="4"/>
      <c r="F459" s="4"/>
      <c r="G459" s="4"/>
      <c r="H459" s="4"/>
      <c r="I459" s="4"/>
      <c r="J459" s="4"/>
      <c r="P459" s="4"/>
      <c r="Q459" s="4"/>
      <c r="R459" s="4"/>
      <c r="S459" s="4"/>
      <c r="T459" s="4"/>
    </row>
    <row r="460" spans="1:20" ht="16.5">
      <c r="A460" s="4"/>
      <c r="B460" s="4"/>
      <c r="C460" s="4"/>
      <c r="D460" s="4"/>
      <c r="E460" s="4"/>
      <c r="F460" s="4"/>
      <c r="G460" s="4"/>
      <c r="H460" s="4"/>
      <c r="I460" s="4"/>
      <c r="J460" s="4"/>
      <c r="P460" s="4"/>
      <c r="Q460" s="4"/>
      <c r="R460" s="4"/>
      <c r="S460" s="4"/>
      <c r="T460" s="4"/>
    </row>
    <row r="461" spans="1:20" ht="16.5">
      <c r="A461" s="4"/>
      <c r="B461" s="4"/>
      <c r="C461" s="4"/>
      <c r="D461" s="4"/>
      <c r="E461" s="4"/>
      <c r="F461" s="4"/>
      <c r="G461" s="4"/>
      <c r="H461" s="4"/>
      <c r="I461" s="4"/>
      <c r="J461" s="4"/>
      <c r="P461" s="4"/>
      <c r="Q461" s="4"/>
      <c r="R461" s="4"/>
      <c r="S461" s="4"/>
      <c r="T461" s="4"/>
    </row>
    <row r="462" spans="1:20" ht="16.5">
      <c r="A462" s="4"/>
      <c r="B462" s="4"/>
      <c r="C462" s="4"/>
      <c r="D462" s="4"/>
      <c r="E462" s="4"/>
      <c r="F462" s="4"/>
      <c r="G462" s="4"/>
      <c r="H462" s="4"/>
      <c r="I462" s="4"/>
      <c r="J462" s="4"/>
      <c r="P462" s="4"/>
      <c r="Q462" s="4"/>
      <c r="R462" s="4"/>
      <c r="S462" s="4"/>
      <c r="T462" s="4"/>
    </row>
    <row r="463" spans="1:20" ht="16.5">
      <c r="A463" s="4"/>
      <c r="B463" s="4"/>
      <c r="C463" s="4"/>
      <c r="D463" s="4"/>
      <c r="E463" s="4"/>
      <c r="F463" s="4"/>
      <c r="G463" s="4"/>
      <c r="H463" s="4"/>
      <c r="I463" s="4"/>
      <c r="J463" s="4"/>
      <c r="P463" s="4"/>
      <c r="Q463" s="4"/>
      <c r="R463" s="4"/>
      <c r="S463" s="4"/>
      <c r="T463" s="4"/>
    </row>
    <row r="464" spans="1:20" ht="16.5">
      <c r="A464" s="4"/>
      <c r="B464" s="4"/>
      <c r="C464" s="4"/>
      <c r="D464" s="4"/>
      <c r="E464" s="4"/>
      <c r="F464" s="4"/>
      <c r="G464" s="4"/>
      <c r="H464" s="4"/>
      <c r="I464" s="4"/>
      <c r="J464" s="4"/>
      <c r="P464" s="4"/>
      <c r="Q464" s="4"/>
      <c r="R464" s="4"/>
      <c r="S464" s="4"/>
      <c r="T464" s="4"/>
    </row>
    <row r="465" spans="1:20" ht="16.5">
      <c r="A465" s="4"/>
      <c r="B465" s="4"/>
      <c r="C465" s="4"/>
      <c r="D465" s="4"/>
      <c r="E465" s="4"/>
      <c r="F465" s="4"/>
      <c r="G465" s="4"/>
      <c r="H465" s="4"/>
      <c r="I465" s="4"/>
      <c r="J465" s="4"/>
      <c r="P465" s="4"/>
      <c r="Q465" s="4"/>
      <c r="R465" s="4"/>
      <c r="S465" s="4"/>
      <c r="T465" s="4"/>
    </row>
    <row r="466" spans="1:20" ht="16.5">
      <c r="A466" s="4"/>
      <c r="B466" s="4"/>
      <c r="C466" s="4"/>
      <c r="D466" s="4"/>
      <c r="E466" s="4"/>
      <c r="F466" s="4"/>
      <c r="G466" s="4"/>
      <c r="H466" s="4"/>
      <c r="I466" s="4"/>
      <c r="J466" s="4"/>
      <c r="P466" s="4"/>
      <c r="Q466" s="4"/>
      <c r="R466" s="4"/>
      <c r="S466" s="4"/>
      <c r="T466" s="4"/>
    </row>
    <row r="467" spans="1:20" ht="16.5">
      <c r="A467" s="4"/>
      <c r="B467" s="4"/>
      <c r="C467" s="4"/>
      <c r="D467" s="4"/>
      <c r="E467" s="4"/>
      <c r="F467" s="4"/>
      <c r="G467" s="4"/>
      <c r="H467" s="4"/>
      <c r="I467" s="4"/>
      <c r="J467" s="4"/>
      <c r="P467" s="4"/>
      <c r="Q467" s="4"/>
      <c r="R467" s="4"/>
      <c r="S467" s="4"/>
      <c r="T467" s="4"/>
    </row>
    <row r="468" spans="1:20" ht="16.5">
      <c r="A468" s="4"/>
      <c r="B468" s="4"/>
      <c r="C468" s="4"/>
      <c r="D468" s="4"/>
      <c r="E468" s="4"/>
      <c r="F468" s="4"/>
      <c r="G468" s="4"/>
      <c r="H468" s="4"/>
      <c r="I468" s="4"/>
      <c r="J468" s="4"/>
      <c r="P468" s="4"/>
      <c r="Q468" s="4"/>
      <c r="R468" s="4"/>
      <c r="S468" s="4"/>
      <c r="T468" s="4"/>
    </row>
    <row r="469" spans="1:20" ht="16.5">
      <c r="A469" s="4"/>
      <c r="B469" s="4"/>
      <c r="C469" s="4"/>
      <c r="D469" s="4"/>
      <c r="E469" s="4"/>
      <c r="F469" s="4"/>
      <c r="G469" s="4"/>
      <c r="H469" s="4"/>
      <c r="I469" s="4"/>
      <c r="J469" s="4"/>
      <c r="P469" s="4"/>
      <c r="Q469" s="4"/>
      <c r="R469" s="4"/>
      <c r="S469" s="4"/>
      <c r="T469" s="4"/>
    </row>
    <row r="470" spans="1:20" ht="16.5">
      <c r="A470" s="4"/>
      <c r="B470" s="4"/>
      <c r="C470" s="4"/>
      <c r="D470" s="4"/>
      <c r="E470" s="4"/>
      <c r="F470" s="4"/>
      <c r="G470" s="4"/>
      <c r="H470" s="4"/>
      <c r="I470" s="4"/>
      <c r="J470" s="4"/>
      <c r="P470" s="4"/>
      <c r="Q470" s="4"/>
      <c r="R470" s="4"/>
      <c r="S470" s="4"/>
      <c r="T470" s="4"/>
    </row>
    <row r="471" spans="1:20" ht="16.5">
      <c r="A471" s="4"/>
      <c r="B471" s="4"/>
      <c r="C471" s="4"/>
      <c r="D471" s="4"/>
      <c r="E471" s="4"/>
      <c r="F471" s="4"/>
      <c r="G471" s="4"/>
      <c r="H471" s="4"/>
      <c r="I471" s="4"/>
      <c r="J471" s="4"/>
      <c r="P471" s="4"/>
      <c r="Q471" s="4"/>
      <c r="R471" s="4"/>
      <c r="S471" s="4"/>
      <c r="T471" s="4"/>
    </row>
    <row r="472" spans="1:20" ht="16.5">
      <c r="A472" s="4"/>
      <c r="B472" s="4"/>
      <c r="C472" s="4"/>
      <c r="D472" s="4"/>
      <c r="E472" s="4"/>
      <c r="F472" s="4"/>
      <c r="G472" s="4"/>
      <c r="H472" s="4"/>
      <c r="I472" s="4"/>
      <c r="J472" s="4"/>
      <c r="P472" s="4"/>
      <c r="Q472" s="4"/>
      <c r="R472" s="4"/>
      <c r="S472" s="4"/>
      <c r="T472" s="4"/>
    </row>
    <row r="473" spans="1:20" ht="16.5">
      <c r="A473" s="4"/>
      <c r="B473" s="4"/>
      <c r="C473" s="4"/>
      <c r="D473" s="4"/>
      <c r="E473" s="4"/>
      <c r="F473" s="4"/>
      <c r="G473" s="4"/>
      <c r="H473" s="4"/>
      <c r="I473" s="4"/>
      <c r="J473" s="4"/>
      <c r="P473" s="4"/>
      <c r="Q473" s="4"/>
      <c r="R473" s="4"/>
      <c r="S473" s="4"/>
      <c r="T473" s="4"/>
    </row>
    <row r="474" spans="1:20" ht="16.5">
      <c r="A474" s="4"/>
      <c r="B474" s="4"/>
      <c r="C474" s="4"/>
      <c r="D474" s="4"/>
      <c r="E474" s="4"/>
      <c r="F474" s="4"/>
      <c r="G474" s="4"/>
      <c r="H474" s="4"/>
      <c r="I474" s="4"/>
      <c r="J474" s="4"/>
      <c r="P474" s="4"/>
      <c r="Q474" s="4"/>
      <c r="R474" s="4"/>
      <c r="S474" s="4"/>
      <c r="T474" s="4"/>
    </row>
    <row r="475" spans="1:20" ht="16.5">
      <c r="A475" s="4"/>
      <c r="B475" s="4"/>
      <c r="C475" s="4"/>
      <c r="D475" s="4"/>
      <c r="E475" s="4"/>
      <c r="F475" s="4"/>
      <c r="G475" s="4"/>
      <c r="H475" s="4"/>
      <c r="I475" s="4"/>
      <c r="J475" s="4"/>
      <c r="P475" s="4"/>
      <c r="Q475" s="4"/>
      <c r="R475" s="4"/>
      <c r="S475" s="4"/>
      <c r="T475" s="4"/>
    </row>
    <row r="476" spans="1:20" ht="16.5">
      <c r="A476" s="4"/>
      <c r="B476" s="4"/>
      <c r="C476" s="4"/>
      <c r="D476" s="4"/>
      <c r="E476" s="4"/>
      <c r="F476" s="4"/>
      <c r="G476" s="4"/>
      <c r="H476" s="4"/>
      <c r="I476" s="4"/>
      <c r="J476" s="4"/>
      <c r="P476" s="4"/>
      <c r="Q476" s="4"/>
      <c r="R476" s="4"/>
      <c r="S476" s="4"/>
      <c r="T476" s="4"/>
    </row>
    <row r="477" spans="1:20" ht="16.5">
      <c r="A477" s="4"/>
      <c r="B477" s="4"/>
      <c r="C477" s="4"/>
      <c r="D477" s="4"/>
      <c r="E477" s="4"/>
      <c r="F477" s="4"/>
      <c r="G477" s="4"/>
      <c r="H477" s="4"/>
      <c r="I477" s="4"/>
      <c r="J477" s="4"/>
      <c r="P477" s="4"/>
      <c r="Q477" s="4"/>
      <c r="R477" s="4"/>
      <c r="S477" s="4"/>
      <c r="T477" s="4"/>
    </row>
    <row r="478" spans="1:20" ht="16.5">
      <c r="A478" s="4"/>
      <c r="B478" s="4"/>
      <c r="C478" s="4"/>
      <c r="D478" s="4"/>
      <c r="E478" s="4"/>
      <c r="F478" s="4"/>
      <c r="G478" s="4"/>
      <c r="H478" s="4"/>
      <c r="I478" s="4"/>
      <c r="J478" s="4"/>
      <c r="P478" s="4"/>
      <c r="Q478" s="4"/>
      <c r="R478" s="4"/>
      <c r="S478" s="4"/>
      <c r="T478" s="4"/>
    </row>
    <row r="479" spans="1:20" ht="16.5">
      <c r="A479" s="4"/>
      <c r="B479" s="4"/>
      <c r="C479" s="4"/>
      <c r="D479" s="4"/>
      <c r="E479" s="4"/>
      <c r="F479" s="4"/>
      <c r="G479" s="4"/>
      <c r="H479" s="4"/>
      <c r="I479" s="4"/>
      <c r="J479" s="4"/>
      <c r="P479" s="4"/>
      <c r="Q479" s="4"/>
      <c r="R479" s="4"/>
      <c r="S479" s="4"/>
      <c r="T479" s="4"/>
    </row>
    <row r="480" spans="1:20" ht="16.5">
      <c r="A480" s="4"/>
      <c r="B480" s="4"/>
      <c r="C480" s="4"/>
      <c r="D480" s="4"/>
      <c r="E480" s="4"/>
      <c r="F480" s="4"/>
      <c r="G480" s="4"/>
      <c r="H480" s="4"/>
      <c r="I480" s="4"/>
      <c r="J480" s="4"/>
      <c r="P480" s="4"/>
      <c r="Q480" s="4"/>
      <c r="R480" s="4"/>
      <c r="S480" s="4"/>
      <c r="T480" s="4"/>
    </row>
    <row r="481" spans="1:20" ht="16.5">
      <c r="A481" s="4"/>
      <c r="B481" s="4"/>
      <c r="C481" s="4"/>
      <c r="D481" s="4"/>
      <c r="E481" s="4"/>
      <c r="F481" s="4"/>
      <c r="G481" s="4"/>
      <c r="H481" s="4"/>
      <c r="I481" s="4"/>
      <c r="J481" s="4"/>
      <c r="P481" s="4"/>
      <c r="Q481" s="4"/>
      <c r="R481" s="4"/>
      <c r="S481" s="4"/>
      <c r="T481" s="4"/>
    </row>
    <row r="482" spans="1:20" ht="16.5">
      <c r="A482" s="4"/>
      <c r="B482" s="4"/>
      <c r="C482" s="4"/>
      <c r="D482" s="4"/>
      <c r="E482" s="4"/>
      <c r="F482" s="4"/>
      <c r="G482" s="4"/>
      <c r="H482" s="4"/>
      <c r="I482" s="4"/>
      <c r="J482" s="4"/>
      <c r="P482" s="4"/>
      <c r="Q482" s="4"/>
      <c r="R482" s="4"/>
      <c r="S482" s="4"/>
      <c r="T482" s="4"/>
    </row>
    <row r="483" spans="1:20" ht="16.5">
      <c r="A483" s="4"/>
      <c r="B483" s="4"/>
      <c r="C483" s="4"/>
      <c r="D483" s="4"/>
      <c r="E483" s="4"/>
      <c r="F483" s="4"/>
      <c r="G483" s="4"/>
      <c r="H483" s="4"/>
      <c r="I483" s="4"/>
      <c r="J483" s="4"/>
      <c r="P483" s="4"/>
      <c r="Q483" s="4"/>
      <c r="R483" s="4"/>
      <c r="S483" s="4"/>
      <c r="T483" s="4"/>
    </row>
    <row r="484" spans="1:20" ht="16.5">
      <c r="A484" s="4"/>
      <c r="B484" s="4"/>
      <c r="C484" s="4"/>
      <c r="D484" s="4"/>
      <c r="E484" s="4"/>
      <c r="F484" s="4"/>
      <c r="G484" s="4"/>
      <c r="H484" s="4"/>
      <c r="I484" s="4"/>
      <c r="J484" s="4"/>
      <c r="P484" s="4"/>
      <c r="Q484" s="4"/>
      <c r="R484" s="4"/>
      <c r="S484" s="4"/>
      <c r="T484" s="4"/>
    </row>
    <row r="485" spans="1:20" ht="16.5">
      <c r="A485" s="4"/>
      <c r="B485" s="4"/>
      <c r="C485" s="4"/>
      <c r="D485" s="4"/>
      <c r="E485" s="4"/>
      <c r="F485" s="4"/>
      <c r="G485" s="4"/>
      <c r="H485" s="4"/>
      <c r="I485" s="4"/>
      <c r="J485" s="4"/>
      <c r="P485" s="4"/>
      <c r="Q485" s="4"/>
      <c r="R485" s="4"/>
      <c r="S485" s="4"/>
      <c r="T485" s="4"/>
    </row>
    <row r="486" spans="1:20" ht="16.5">
      <c r="A486" s="4"/>
      <c r="B486" s="4"/>
      <c r="C486" s="4"/>
      <c r="D486" s="4"/>
      <c r="E486" s="4"/>
      <c r="F486" s="4"/>
      <c r="G486" s="4"/>
      <c r="H486" s="4"/>
      <c r="I486" s="4"/>
      <c r="J486" s="4"/>
      <c r="P486" s="4"/>
      <c r="Q486" s="4"/>
      <c r="R486" s="4"/>
      <c r="S486" s="4"/>
      <c r="T486" s="4"/>
    </row>
    <row r="487" spans="1:20" ht="16.5">
      <c r="A487" s="4"/>
      <c r="B487" s="4"/>
      <c r="C487" s="4"/>
      <c r="D487" s="4"/>
      <c r="E487" s="4"/>
      <c r="F487" s="4"/>
      <c r="G487" s="4"/>
      <c r="H487" s="4"/>
      <c r="I487" s="4"/>
      <c r="J487" s="4"/>
      <c r="P487" s="4"/>
      <c r="Q487" s="4"/>
      <c r="R487" s="4"/>
      <c r="S487" s="4"/>
      <c r="T487" s="4"/>
    </row>
    <row r="488" spans="1:20" ht="16.5">
      <c r="A488" s="4"/>
      <c r="B488" s="4"/>
      <c r="C488" s="4"/>
      <c r="D488" s="4"/>
      <c r="E488" s="4"/>
      <c r="F488" s="4"/>
      <c r="G488" s="4"/>
      <c r="H488" s="4"/>
      <c r="I488" s="4"/>
      <c r="J488" s="4"/>
      <c r="P488" s="4"/>
      <c r="Q488" s="4"/>
      <c r="R488" s="4"/>
      <c r="S488" s="4"/>
      <c r="T488" s="4"/>
    </row>
    <row r="489" spans="1:20" ht="16.5">
      <c r="A489" s="4"/>
      <c r="B489" s="4"/>
      <c r="C489" s="4"/>
      <c r="D489" s="4"/>
      <c r="E489" s="4"/>
      <c r="F489" s="4"/>
      <c r="G489" s="4"/>
      <c r="H489" s="4"/>
      <c r="I489" s="4"/>
      <c r="J489" s="4"/>
      <c r="P489" s="4"/>
      <c r="Q489" s="4"/>
      <c r="R489" s="4"/>
      <c r="S489" s="4"/>
      <c r="T489" s="4"/>
    </row>
    <row r="490" spans="1:20" ht="16.5">
      <c r="A490" s="4"/>
      <c r="B490" s="4"/>
      <c r="C490" s="4"/>
      <c r="D490" s="4"/>
      <c r="E490" s="4"/>
      <c r="F490" s="4"/>
      <c r="G490" s="4"/>
      <c r="H490" s="4"/>
      <c r="I490" s="4"/>
      <c r="J490" s="4"/>
      <c r="P490" s="4"/>
      <c r="Q490" s="4"/>
      <c r="R490" s="4"/>
      <c r="S490" s="4"/>
      <c r="T490" s="4"/>
    </row>
    <row r="491" spans="1:20" ht="16.5">
      <c r="A491" s="4"/>
      <c r="B491" s="4"/>
      <c r="C491" s="4"/>
      <c r="D491" s="4"/>
      <c r="E491" s="4"/>
      <c r="F491" s="4"/>
      <c r="G491" s="4"/>
      <c r="H491" s="4"/>
      <c r="I491" s="4"/>
      <c r="J491" s="4"/>
      <c r="P491" s="4"/>
      <c r="Q491" s="4"/>
      <c r="R491" s="4"/>
      <c r="S491" s="4"/>
      <c r="T491" s="4"/>
    </row>
    <row r="492" spans="1:20" ht="16.5">
      <c r="A492" s="4"/>
      <c r="B492" s="4"/>
      <c r="C492" s="4"/>
      <c r="D492" s="4"/>
      <c r="E492" s="4"/>
      <c r="F492" s="4"/>
      <c r="G492" s="4"/>
      <c r="H492" s="4"/>
      <c r="I492" s="4"/>
      <c r="J492" s="4"/>
      <c r="P492" s="4"/>
      <c r="Q492" s="4"/>
      <c r="R492" s="4"/>
      <c r="S492" s="4"/>
      <c r="T492" s="4"/>
    </row>
    <row r="493" spans="1:20" ht="16.5">
      <c r="A493" s="4"/>
      <c r="B493" s="4"/>
      <c r="C493" s="4"/>
      <c r="D493" s="4"/>
      <c r="E493" s="4"/>
      <c r="F493" s="4"/>
      <c r="G493" s="4"/>
      <c r="H493" s="4"/>
      <c r="I493" s="4"/>
      <c r="J493" s="4"/>
      <c r="P493" s="4"/>
      <c r="Q493" s="4"/>
      <c r="R493" s="4"/>
      <c r="S493" s="4"/>
      <c r="T493" s="4"/>
    </row>
    <row r="494" spans="1:20" ht="16.5">
      <c r="A494" s="4"/>
      <c r="B494" s="4"/>
      <c r="C494" s="4"/>
      <c r="D494" s="4"/>
      <c r="E494" s="4"/>
      <c r="F494" s="4"/>
      <c r="G494" s="4"/>
      <c r="H494" s="4"/>
      <c r="I494" s="4"/>
      <c r="J494" s="4"/>
      <c r="P494" s="4"/>
      <c r="Q494" s="4"/>
      <c r="R494" s="4"/>
      <c r="S494" s="4"/>
      <c r="T494" s="4"/>
    </row>
    <row r="495" spans="1:20" ht="16.5">
      <c r="A495" s="4"/>
      <c r="B495" s="4"/>
      <c r="C495" s="4"/>
      <c r="D495" s="4"/>
      <c r="E495" s="4"/>
      <c r="F495" s="4"/>
      <c r="G495" s="4"/>
      <c r="H495" s="4"/>
      <c r="I495" s="4"/>
      <c r="J495" s="4"/>
      <c r="P495" s="4"/>
      <c r="Q495" s="4"/>
      <c r="R495" s="4"/>
      <c r="S495" s="4"/>
      <c r="T495" s="4"/>
    </row>
    <row r="496" spans="1:20" ht="16.5">
      <c r="A496" s="4"/>
      <c r="B496" s="4"/>
      <c r="C496" s="4"/>
      <c r="D496" s="4"/>
      <c r="E496" s="4"/>
      <c r="F496" s="4"/>
      <c r="G496" s="4"/>
      <c r="H496" s="4"/>
      <c r="I496" s="4"/>
      <c r="J496" s="4"/>
      <c r="P496" s="4"/>
      <c r="Q496" s="4"/>
      <c r="R496" s="4"/>
      <c r="S496" s="4"/>
      <c r="T496" s="4"/>
    </row>
    <row r="497" spans="1:20" ht="16.5">
      <c r="A497" s="4"/>
      <c r="B497" s="4"/>
      <c r="C497" s="4"/>
      <c r="D497" s="4"/>
      <c r="E497" s="4"/>
      <c r="F497" s="4"/>
      <c r="G497" s="4"/>
      <c r="H497" s="4"/>
      <c r="I497" s="4"/>
      <c r="J497" s="4"/>
      <c r="P497" s="4"/>
      <c r="Q497" s="4"/>
      <c r="R497" s="4"/>
      <c r="S497" s="4"/>
      <c r="T497" s="4"/>
    </row>
    <row r="498" spans="1:20" ht="16.5">
      <c r="A498" s="4"/>
      <c r="B498" s="4"/>
      <c r="C498" s="4"/>
      <c r="D498" s="4"/>
      <c r="E498" s="4"/>
      <c r="F498" s="4"/>
      <c r="G498" s="4"/>
      <c r="H498" s="4"/>
      <c r="I498" s="4"/>
      <c r="J498" s="4"/>
      <c r="P498" s="4"/>
      <c r="Q498" s="4"/>
      <c r="R498" s="4"/>
      <c r="S498" s="4"/>
      <c r="T498" s="4"/>
    </row>
    <row r="499" spans="1:20" ht="16.5">
      <c r="A499" s="4"/>
      <c r="B499" s="4"/>
      <c r="C499" s="4"/>
      <c r="D499" s="4"/>
      <c r="E499" s="4"/>
      <c r="F499" s="4"/>
      <c r="G499" s="4"/>
      <c r="H499" s="4"/>
      <c r="I499" s="4"/>
      <c r="J499" s="4"/>
      <c r="P499" s="4"/>
      <c r="Q499" s="4"/>
      <c r="R499" s="4"/>
      <c r="S499" s="4"/>
      <c r="T499" s="4"/>
    </row>
    <row r="500" spans="1:20" ht="16.5">
      <c r="A500" s="4"/>
      <c r="B500" s="4"/>
      <c r="C500" s="4"/>
      <c r="D500" s="4"/>
      <c r="E500" s="4"/>
      <c r="F500" s="4"/>
      <c r="G500" s="4"/>
      <c r="H500" s="4"/>
      <c r="I500" s="4"/>
      <c r="J500" s="4"/>
      <c r="P500" s="4"/>
      <c r="Q500" s="4"/>
      <c r="R500" s="4"/>
      <c r="S500" s="4"/>
      <c r="T500" s="4"/>
    </row>
    <row r="501" spans="1:20" ht="16.5">
      <c r="A501" s="4"/>
      <c r="B501" s="4"/>
      <c r="C501" s="4"/>
      <c r="D501" s="4"/>
      <c r="E501" s="4"/>
      <c r="F501" s="4"/>
      <c r="G501" s="4"/>
      <c r="H501" s="4"/>
      <c r="I501" s="4"/>
      <c r="J501" s="4"/>
      <c r="P501" s="4"/>
      <c r="Q501" s="4"/>
      <c r="R501" s="4"/>
      <c r="S501" s="4"/>
      <c r="T501" s="4"/>
    </row>
    <row r="502" spans="1:20" ht="16.5">
      <c r="A502" s="4"/>
      <c r="B502" s="4"/>
      <c r="C502" s="4"/>
      <c r="D502" s="4"/>
      <c r="E502" s="4"/>
      <c r="F502" s="4"/>
      <c r="G502" s="4"/>
      <c r="H502" s="4"/>
      <c r="I502" s="4"/>
      <c r="J502" s="4"/>
      <c r="P502" s="4"/>
      <c r="Q502" s="4"/>
      <c r="R502" s="4"/>
      <c r="S502" s="4"/>
      <c r="T502" s="4"/>
    </row>
    <row r="503" spans="1:20" ht="16.5">
      <c r="A503" s="4"/>
      <c r="B503" s="4"/>
      <c r="C503" s="4"/>
      <c r="D503" s="4"/>
      <c r="E503" s="4"/>
      <c r="F503" s="4"/>
      <c r="G503" s="4"/>
      <c r="H503" s="4"/>
      <c r="I503" s="4"/>
      <c r="J503" s="4"/>
      <c r="P503" s="4"/>
      <c r="Q503" s="4"/>
      <c r="R503" s="4"/>
      <c r="S503" s="4"/>
      <c r="T503" s="4"/>
    </row>
    <row r="504" spans="1:20" ht="16.5">
      <c r="A504" s="4"/>
      <c r="B504" s="4"/>
      <c r="C504" s="4"/>
      <c r="D504" s="4"/>
      <c r="E504" s="4"/>
      <c r="F504" s="4"/>
      <c r="G504" s="4"/>
      <c r="H504" s="4"/>
      <c r="I504" s="4"/>
      <c r="J504" s="4"/>
      <c r="P504" s="4"/>
      <c r="Q504" s="4"/>
      <c r="R504" s="4"/>
      <c r="S504" s="4"/>
      <c r="T504" s="4"/>
    </row>
    <row r="505" spans="1:20" ht="16.5">
      <c r="A505" s="4"/>
      <c r="B505" s="4"/>
      <c r="C505" s="4"/>
      <c r="D505" s="4"/>
      <c r="E505" s="4"/>
      <c r="F505" s="4"/>
      <c r="G505" s="4"/>
      <c r="H505" s="4"/>
      <c r="I505" s="4"/>
      <c r="J505" s="4"/>
      <c r="P505" s="4"/>
      <c r="Q505" s="4"/>
      <c r="R505" s="4"/>
      <c r="S505" s="4"/>
      <c r="T505" s="4"/>
    </row>
    <row r="506" spans="1:20" ht="16.5">
      <c r="A506" s="4"/>
      <c r="B506" s="4"/>
      <c r="C506" s="4"/>
      <c r="D506" s="4"/>
      <c r="E506" s="4"/>
      <c r="F506" s="4"/>
      <c r="G506" s="4"/>
      <c r="H506" s="4"/>
      <c r="I506" s="4"/>
      <c r="J506" s="4"/>
      <c r="P506" s="4"/>
      <c r="Q506" s="4"/>
      <c r="R506" s="4"/>
      <c r="S506" s="4"/>
      <c r="T506" s="4"/>
    </row>
    <row r="507" spans="1:20" ht="16.5">
      <c r="A507" s="4"/>
      <c r="B507" s="4"/>
      <c r="C507" s="4"/>
      <c r="D507" s="4"/>
      <c r="E507" s="4"/>
      <c r="F507" s="4"/>
      <c r="G507" s="4"/>
      <c r="H507" s="4"/>
      <c r="I507" s="4"/>
      <c r="J507" s="4"/>
      <c r="P507" s="4"/>
      <c r="Q507" s="4"/>
      <c r="R507" s="4"/>
      <c r="S507" s="4"/>
      <c r="T507" s="4"/>
    </row>
    <row r="508" spans="1:20" ht="16.5">
      <c r="A508" s="4"/>
      <c r="B508" s="4"/>
      <c r="C508" s="4"/>
      <c r="D508" s="4"/>
      <c r="E508" s="4"/>
      <c r="F508" s="4"/>
      <c r="G508" s="4"/>
      <c r="H508" s="4"/>
      <c r="I508" s="4"/>
      <c r="J508" s="4"/>
      <c r="P508" s="4"/>
      <c r="Q508" s="4"/>
      <c r="R508" s="4"/>
      <c r="S508" s="4"/>
      <c r="T508" s="4"/>
    </row>
    <row r="509" spans="1:20" ht="16.5">
      <c r="A509" s="4"/>
      <c r="B509" s="4"/>
      <c r="C509" s="4"/>
      <c r="D509" s="4"/>
      <c r="E509" s="4"/>
      <c r="F509" s="4"/>
      <c r="G509" s="4"/>
      <c r="H509" s="4"/>
      <c r="I509" s="4"/>
      <c r="J509" s="4"/>
      <c r="P509" s="4"/>
      <c r="Q509" s="4"/>
      <c r="R509" s="4"/>
      <c r="S509" s="4"/>
      <c r="T509" s="4"/>
    </row>
    <row r="510" spans="1:20" ht="16.5">
      <c r="A510" s="4"/>
      <c r="B510" s="4"/>
      <c r="C510" s="4"/>
      <c r="D510" s="4"/>
      <c r="E510" s="4"/>
      <c r="F510" s="4"/>
      <c r="G510" s="4"/>
      <c r="H510" s="4"/>
      <c r="I510" s="4"/>
      <c r="J510" s="4"/>
      <c r="P510" s="4"/>
      <c r="Q510" s="4"/>
      <c r="R510" s="4"/>
      <c r="S510" s="4"/>
      <c r="T510" s="4"/>
    </row>
    <row r="511" spans="1:20" ht="16.5">
      <c r="A511" s="4"/>
      <c r="B511" s="4"/>
      <c r="C511" s="4"/>
      <c r="D511" s="4"/>
      <c r="E511" s="4"/>
      <c r="F511" s="4"/>
      <c r="G511" s="4"/>
      <c r="H511" s="4"/>
      <c r="I511" s="4"/>
      <c r="J511" s="4"/>
      <c r="P511" s="4"/>
      <c r="Q511" s="4"/>
      <c r="R511" s="4"/>
      <c r="S511" s="4"/>
      <c r="T511" s="4"/>
    </row>
    <row r="512" spans="1:20" ht="16.5">
      <c r="A512" s="4"/>
      <c r="B512" s="4"/>
      <c r="C512" s="4"/>
      <c r="D512" s="4"/>
      <c r="E512" s="4"/>
      <c r="F512" s="4"/>
      <c r="G512" s="4"/>
      <c r="H512" s="4"/>
      <c r="I512" s="4"/>
      <c r="J512" s="4"/>
      <c r="P512" s="4"/>
      <c r="Q512" s="4"/>
      <c r="R512" s="4"/>
      <c r="S512" s="4"/>
      <c r="T512" s="4"/>
    </row>
    <row r="513" spans="1:20" ht="16.5">
      <c r="A513" s="4"/>
      <c r="B513" s="4"/>
      <c r="C513" s="4"/>
      <c r="D513" s="4"/>
      <c r="E513" s="4"/>
      <c r="F513" s="4"/>
      <c r="G513" s="4"/>
      <c r="H513" s="4"/>
      <c r="I513" s="4"/>
      <c r="J513" s="4"/>
      <c r="P513" s="4"/>
      <c r="Q513" s="4"/>
      <c r="R513" s="4"/>
      <c r="S513" s="4"/>
      <c r="T513" s="4"/>
    </row>
    <row r="514" spans="1:20" ht="16.5">
      <c r="A514" s="4"/>
      <c r="B514" s="4"/>
      <c r="C514" s="4"/>
      <c r="D514" s="4"/>
      <c r="E514" s="4"/>
      <c r="F514" s="4"/>
      <c r="G514" s="4"/>
      <c r="H514" s="4"/>
      <c r="I514" s="4"/>
      <c r="J514" s="4"/>
      <c r="P514" s="4"/>
      <c r="Q514" s="4"/>
      <c r="R514" s="4"/>
      <c r="S514" s="4"/>
      <c r="T514" s="4"/>
    </row>
    <row r="515" spans="1:20" ht="16.5">
      <c r="A515" s="4"/>
      <c r="B515" s="4"/>
      <c r="C515" s="4"/>
      <c r="D515" s="4"/>
      <c r="E515" s="4"/>
      <c r="F515" s="4"/>
      <c r="G515" s="4"/>
      <c r="H515" s="4"/>
      <c r="I515" s="4"/>
      <c r="J515" s="4"/>
      <c r="P515" s="4"/>
      <c r="Q515" s="4"/>
      <c r="R515" s="4"/>
      <c r="S515" s="4"/>
      <c r="T515" s="4"/>
    </row>
    <row r="516" spans="1:20" ht="16.5">
      <c r="A516" s="4"/>
      <c r="B516" s="4"/>
      <c r="C516" s="4"/>
      <c r="D516" s="4"/>
      <c r="E516" s="4"/>
      <c r="F516" s="4"/>
      <c r="G516" s="4"/>
      <c r="H516" s="4"/>
      <c r="I516" s="4"/>
      <c r="J516" s="4"/>
      <c r="P516" s="4"/>
      <c r="Q516" s="4"/>
      <c r="R516" s="4"/>
      <c r="S516" s="4"/>
      <c r="T516" s="4"/>
    </row>
    <row r="517" spans="1:20" ht="16.5">
      <c r="A517" s="4"/>
      <c r="B517" s="4"/>
      <c r="C517" s="4"/>
      <c r="D517" s="4"/>
      <c r="E517" s="4"/>
      <c r="F517" s="4"/>
      <c r="G517" s="4"/>
      <c r="H517" s="4"/>
      <c r="I517" s="4"/>
      <c r="J517" s="4"/>
      <c r="P517" s="4"/>
      <c r="Q517" s="4"/>
      <c r="R517" s="4"/>
      <c r="S517" s="4"/>
      <c r="T517" s="4"/>
    </row>
    <row r="518" spans="1:20" ht="16.5">
      <c r="A518" s="4"/>
      <c r="B518" s="4"/>
      <c r="C518" s="4"/>
      <c r="D518" s="4"/>
      <c r="E518" s="4"/>
      <c r="F518" s="4"/>
      <c r="G518" s="4"/>
      <c r="H518" s="4"/>
      <c r="I518" s="4"/>
      <c r="J518" s="4"/>
      <c r="P518" s="4"/>
      <c r="Q518" s="4"/>
      <c r="R518" s="4"/>
      <c r="S518" s="4"/>
      <c r="T518" s="4"/>
    </row>
    <row r="519" spans="1:20" ht="16.5">
      <c r="A519" s="4"/>
      <c r="B519" s="4"/>
      <c r="C519" s="4"/>
      <c r="D519" s="4"/>
      <c r="E519" s="4"/>
      <c r="F519" s="4"/>
      <c r="G519" s="4"/>
      <c r="H519" s="4"/>
      <c r="I519" s="4"/>
      <c r="J519" s="4"/>
      <c r="P519" s="4"/>
      <c r="Q519" s="4"/>
      <c r="R519" s="4"/>
      <c r="S519" s="4"/>
      <c r="T519" s="4"/>
    </row>
    <row r="520" spans="1:20" ht="16.5">
      <c r="A520" s="4"/>
      <c r="B520" s="4"/>
      <c r="C520" s="4"/>
      <c r="D520" s="4"/>
      <c r="E520" s="4"/>
      <c r="F520" s="4"/>
      <c r="G520" s="4"/>
      <c r="H520" s="4"/>
      <c r="I520" s="4"/>
      <c r="J520" s="4"/>
      <c r="P520" s="4"/>
      <c r="Q520" s="4"/>
      <c r="R520" s="4"/>
      <c r="S520" s="4"/>
      <c r="T520" s="4"/>
    </row>
    <row r="521" spans="1:20" ht="16.5">
      <c r="A521" s="4"/>
      <c r="B521" s="4"/>
      <c r="C521" s="4"/>
      <c r="D521" s="4"/>
      <c r="E521" s="4"/>
      <c r="F521" s="4"/>
      <c r="G521" s="4"/>
      <c r="H521" s="4"/>
      <c r="I521" s="4"/>
      <c r="J521" s="4"/>
      <c r="P521" s="4"/>
      <c r="Q521" s="4"/>
      <c r="R521" s="4"/>
      <c r="S521" s="4"/>
      <c r="T521" s="4"/>
    </row>
    <row r="522" spans="1:20" ht="16.5">
      <c r="A522" s="4"/>
      <c r="B522" s="4"/>
      <c r="C522" s="4"/>
      <c r="D522" s="4"/>
      <c r="E522" s="4"/>
      <c r="F522" s="4"/>
      <c r="G522" s="4"/>
      <c r="H522" s="4"/>
      <c r="I522" s="4"/>
      <c r="J522" s="4"/>
      <c r="P522" s="4"/>
      <c r="Q522" s="4"/>
      <c r="R522" s="4"/>
      <c r="S522" s="4"/>
      <c r="T522" s="4"/>
    </row>
    <row r="523" spans="1:20" ht="16.5">
      <c r="A523" s="4"/>
      <c r="B523" s="4"/>
      <c r="C523" s="4"/>
      <c r="D523" s="4"/>
      <c r="E523" s="4"/>
      <c r="F523" s="4"/>
      <c r="G523" s="4"/>
      <c r="H523" s="4"/>
      <c r="I523" s="4"/>
      <c r="J523" s="4"/>
      <c r="P523" s="4"/>
      <c r="Q523" s="4"/>
      <c r="R523" s="4"/>
      <c r="S523" s="4"/>
      <c r="T523" s="4"/>
    </row>
    <row r="524" spans="1:20" ht="16.5">
      <c r="A524" s="4"/>
      <c r="B524" s="4"/>
      <c r="C524" s="4"/>
      <c r="D524" s="4"/>
      <c r="E524" s="4"/>
      <c r="F524" s="4"/>
      <c r="G524" s="4"/>
      <c r="H524" s="4"/>
      <c r="I524" s="4"/>
      <c r="J524" s="4"/>
      <c r="P524" s="4"/>
      <c r="Q524" s="4"/>
      <c r="R524" s="4"/>
      <c r="S524" s="4"/>
      <c r="T524" s="4"/>
    </row>
    <row r="525" spans="1:20" ht="16.5">
      <c r="A525" s="4"/>
      <c r="B525" s="4"/>
      <c r="C525" s="4"/>
      <c r="D525" s="4"/>
      <c r="E525" s="4"/>
      <c r="F525" s="4"/>
      <c r="G525" s="4"/>
      <c r="H525" s="4"/>
      <c r="I525" s="4"/>
      <c r="J525" s="4"/>
      <c r="P525" s="4"/>
      <c r="Q525" s="4"/>
      <c r="R525" s="4"/>
      <c r="S525" s="4"/>
      <c r="T525" s="4"/>
    </row>
    <row r="526" spans="1:20" ht="16.5">
      <c r="A526" s="4"/>
      <c r="B526" s="4"/>
      <c r="C526" s="4"/>
      <c r="D526" s="4"/>
      <c r="E526" s="4"/>
      <c r="F526" s="4"/>
      <c r="G526" s="4"/>
      <c r="H526" s="4"/>
      <c r="I526" s="4"/>
      <c r="J526" s="4"/>
      <c r="P526" s="4"/>
      <c r="Q526" s="4"/>
      <c r="R526" s="4"/>
      <c r="S526" s="4"/>
      <c r="T526" s="4"/>
    </row>
    <row r="527" spans="1:20" ht="16.5">
      <c r="A527" s="4"/>
      <c r="B527" s="4"/>
      <c r="C527" s="4"/>
      <c r="D527" s="4"/>
      <c r="E527" s="4"/>
      <c r="F527" s="4"/>
      <c r="G527" s="4"/>
      <c r="H527" s="4"/>
      <c r="I527" s="4"/>
      <c r="J527" s="4"/>
      <c r="P527" s="4"/>
      <c r="Q527" s="4"/>
      <c r="R527" s="4"/>
      <c r="S527" s="4"/>
      <c r="T527" s="4"/>
    </row>
    <row r="528" spans="1:20" ht="16.5">
      <c r="A528" s="4"/>
      <c r="B528" s="4"/>
      <c r="C528" s="4"/>
      <c r="D528" s="4"/>
      <c r="E528" s="4"/>
      <c r="F528" s="4"/>
      <c r="G528" s="4"/>
      <c r="H528" s="4"/>
      <c r="I528" s="4"/>
      <c r="J528" s="4"/>
      <c r="P528" s="4"/>
      <c r="Q528" s="4"/>
      <c r="R528" s="4"/>
      <c r="S528" s="4"/>
      <c r="T528" s="4"/>
    </row>
    <row r="529" spans="1:20" ht="16.5">
      <c r="A529" s="4"/>
      <c r="B529" s="4"/>
      <c r="C529" s="4"/>
      <c r="D529" s="4"/>
      <c r="E529" s="4"/>
      <c r="F529" s="4"/>
      <c r="G529" s="4"/>
      <c r="H529" s="4"/>
      <c r="I529" s="4"/>
      <c r="J529" s="4"/>
      <c r="P529" s="4"/>
      <c r="Q529" s="4"/>
      <c r="R529" s="4"/>
      <c r="S529" s="4"/>
      <c r="T529" s="4"/>
    </row>
    <row r="530" spans="1:20" ht="16.5">
      <c r="A530" s="4"/>
      <c r="B530" s="4"/>
      <c r="C530" s="4"/>
      <c r="D530" s="4"/>
      <c r="E530" s="4"/>
      <c r="F530" s="4"/>
      <c r="G530" s="4"/>
      <c r="H530" s="4"/>
      <c r="I530" s="4"/>
      <c r="J530" s="4"/>
      <c r="P530" s="4"/>
      <c r="Q530" s="4"/>
      <c r="R530" s="4"/>
      <c r="S530" s="4"/>
      <c r="T530" s="4"/>
    </row>
    <row r="531" spans="1:20" ht="16.5">
      <c r="A531" s="4"/>
      <c r="B531" s="4"/>
      <c r="C531" s="4"/>
      <c r="D531" s="4"/>
      <c r="E531" s="4"/>
      <c r="F531" s="4"/>
      <c r="G531" s="4"/>
      <c r="H531" s="4"/>
      <c r="I531" s="4"/>
      <c r="J531" s="4"/>
      <c r="P531" s="4"/>
      <c r="Q531" s="4"/>
      <c r="R531" s="4"/>
      <c r="S531" s="4"/>
      <c r="T531" s="4"/>
    </row>
    <row r="532" spans="1:20" ht="16.5">
      <c r="A532" s="4"/>
      <c r="B532" s="4"/>
      <c r="C532" s="4"/>
      <c r="D532" s="4"/>
      <c r="E532" s="4"/>
      <c r="F532" s="4"/>
      <c r="G532" s="4"/>
      <c r="H532" s="4"/>
      <c r="I532" s="4"/>
      <c r="J532" s="4"/>
      <c r="P532" s="4"/>
      <c r="Q532" s="4"/>
      <c r="R532" s="4"/>
      <c r="S532" s="4"/>
      <c r="T532" s="4"/>
    </row>
    <row r="533" spans="1:20" ht="16.5">
      <c r="A533" s="4"/>
      <c r="B533" s="4"/>
      <c r="C533" s="4"/>
      <c r="D533" s="4"/>
      <c r="E533" s="4"/>
      <c r="F533" s="4"/>
      <c r="G533" s="4"/>
      <c r="H533" s="4"/>
      <c r="I533" s="4"/>
      <c r="J533" s="4"/>
      <c r="P533" s="4"/>
      <c r="Q533" s="4"/>
      <c r="R533" s="4"/>
      <c r="S533" s="4"/>
      <c r="T533" s="4"/>
    </row>
    <row r="534" spans="1:20" ht="16.5">
      <c r="A534" s="4"/>
      <c r="B534" s="4"/>
      <c r="C534" s="4"/>
      <c r="D534" s="4"/>
      <c r="E534" s="4"/>
      <c r="F534" s="4"/>
      <c r="G534" s="4"/>
      <c r="H534" s="4"/>
      <c r="I534" s="4"/>
      <c r="J534" s="4"/>
      <c r="P534" s="4"/>
      <c r="Q534" s="4"/>
      <c r="R534" s="4"/>
      <c r="S534" s="4"/>
      <c r="T534" s="4"/>
    </row>
    <row r="535" spans="1:20" ht="16.5">
      <c r="A535" s="4"/>
      <c r="B535" s="4"/>
      <c r="C535" s="4"/>
      <c r="D535" s="4"/>
      <c r="E535" s="4"/>
      <c r="F535" s="4"/>
      <c r="G535" s="4"/>
      <c r="H535" s="4"/>
      <c r="I535" s="4"/>
      <c r="J535" s="4"/>
      <c r="P535" s="4"/>
      <c r="Q535" s="4"/>
      <c r="R535" s="4"/>
      <c r="S535" s="4"/>
      <c r="T535" s="4"/>
    </row>
    <row r="536" spans="1:20" ht="16.5">
      <c r="A536" s="4"/>
      <c r="B536" s="4"/>
      <c r="C536" s="4"/>
      <c r="D536" s="4"/>
      <c r="E536" s="4"/>
      <c r="F536" s="4"/>
      <c r="G536" s="4"/>
      <c r="H536" s="4"/>
      <c r="I536" s="4"/>
      <c r="J536" s="4"/>
      <c r="P536" s="4"/>
      <c r="Q536" s="4"/>
      <c r="R536" s="4"/>
      <c r="S536" s="4"/>
      <c r="T536" s="4"/>
    </row>
    <row r="537" spans="1:20" ht="16.5">
      <c r="A537" s="4"/>
      <c r="B537" s="4"/>
      <c r="C537" s="4"/>
      <c r="D537" s="4"/>
      <c r="E537" s="4"/>
      <c r="F537" s="4"/>
      <c r="G537" s="4"/>
      <c r="H537" s="4"/>
      <c r="I537" s="4"/>
      <c r="J537" s="4"/>
      <c r="P537" s="4"/>
      <c r="Q537" s="4"/>
      <c r="R537" s="4"/>
      <c r="S537" s="4"/>
      <c r="T537" s="4"/>
    </row>
    <row r="538" spans="1:20" ht="16.5">
      <c r="A538" s="4"/>
      <c r="B538" s="4"/>
      <c r="C538" s="4"/>
      <c r="D538" s="4"/>
      <c r="E538" s="4"/>
      <c r="F538" s="4"/>
      <c r="G538" s="4"/>
      <c r="H538" s="4"/>
      <c r="I538" s="4"/>
      <c r="J538" s="4"/>
      <c r="P538" s="4"/>
      <c r="Q538" s="4"/>
      <c r="R538" s="4"/>
      <c r="S538" s="4"/>
      <c r="T538" s="4"/>
    </row>
    <row r="539" spans="1:20" ht="16.5">
      <c r="A539" s="4"/>
      <c r="B539" s="4"/>
      <c r="C539" s="4"/>
      <c r="D539" s="4"/>
      <c r="E539" s="4"/>
      <c r="F539" s="4"/>
      <c r="G539" s="4"/>
      <c r="H539" s="4"/>
      <c r="I539" s="4"/>
      <c r="J539" s="4"/>
      <c r="P539" s="4"/>
      <c r="Q539" s="4"/>
      <c r="R539" s="4"/>
      <c r="S539" s="4"/>
      <c r="T539" s="4"/>
    </row>
    <row r="540" spans="1:20" ht="16.5">
      <c r="A540" s="4"/>
      <c r="B540" s="4"/>
      <c r="C540" s="4"/>
      <c r="D540" s="4"/>
      <c r="E540" s="4"/>
      <c r="F540" s="4"/>
      <c r="G540" s="4"/>
      <c r="H540" s="4"/>
      <c r="I540" s="4"/>
      <c r="J540" s="4"/>
      <c r="P540" s="4"/>
      <c r="Q540" s="4"/>
      <c r="R540" s="4"/>
      <c r="S540" s="4"/>
      <c r="T540" s="4"/>
    </row>
    <row r="541" spans="1:20" ht="16.5">
      <c r="A541" s="4"/>
      <c r="B541" s="4"/>
      <c r="C541" s="4"/>
      <c r="D541" s="4"/>
      <c r="E541" s="4"/>
      <c r="F541" s="4"/>
      <c r="G541" s="4"/>
      <c r="H541" s="4"/>
      <c r="I541" s="4"/>
      <c r="J541" s="4"/>
      <c r="P541" s="4"/>
      <c r="Q541" s="4"/>
      <c r="R541" s="4"/>
      <c r="S541" s="4"/>
      <c r="T541" s="4"/>
    </row>
    <row r="542" spans="1:20" ht="16.5">
      <c r="A542" s="4"/>
      <c r="B542" s="4"/>
      <c r="C542" s="4"/>
      <c r="D542" s="4"/>
      <c r="E542" s="4"/>
      <c r="F542" s="4"/>
      <c r="G542" s="4"/>
      <c r="H542" s="4"/>
      <c r="I542" s="4"/>
      <c r="J542" s="4"/>
      <c r="P542" s="4"/>
      <c r="Q542" s="4"/>
      <c r="R542" s="4"/>
      <c r="S542" s="4"/>
      <c r="T542" s="4"/>
    </row>
    <row r="543" spans="1:20" ht="16.5">
      <c r="A543" s="4"/>
      <c r="B543" s="4"/>
      <c r="C543" s="4"/>
      <c r="D543" s="4"/>
      <c r="E543" s="4"/>
      <c r="F543" s="4"/>
      <c r="G543" s="4"/>
      <c r="H543" s="4"/>
      <c r="I543" s="4"/>
      <c r="J543" s="4"/>
      <c r="P543" s="4"/>
      <c r="Q543" s="4"/>
      <c r="R543" s="4"/>
      <c r="S543" s="4"/>
      <c r="T543" s="4"/>
    </row>
    <row r="544" spans="1:20" ht="16.5">
      <c r="A544" s="4"/>
      <c r="B544" s="4"/>
      <c r="C544" s="4"/>
      <c r="D544" s="4"/>
      <c r="E544" s="4"/>
      <c r="F544" s="4"/>
      <c r="G544" s="4"/>
      <c r="H544" s="4"/>
      <c r="I544" s="4"/>
      <c r="J544" s="4"/>
      <c r="P544" s="4"/>
      <c r="Q544" s="4"/>
      <c r="R544" s="4"/>
      <c r="S544" s="4"/>
      <c r="T544" s="4"/>
    </row>
    <row r="545" spans="1:20" ht="16.5">
      <c r="A545" s="4"/>
      <c r="B545" s="4"/>
      <c r="C545" s="4"/>
      <c r="D545" s="4"/>
      <c r="E545" s="4"/>
      <c r="F545" s="4"/>
      <c r="G545" s="4"/>
      <c r="H545" s="4"/>
      <c r="I545" s="4"/>
      <c r="J545" s="4"/>
      <c r="P545" s="4"/>
      <c r="Q545" s="4"/>
      <c r="R545" s="4"/>
      <c r="S545" s="4"/>
      <c r="T545" s="4"/>
    </row>
    <row r="546" spans="1:20" ht="16.5">
      <c r="A546" s="4"/>
      <c r="B546" s="4"/>
      <c r="C546" s="4"/>
      <c r="D546" s="4"/>
      <c r="E546" s="4"/>
      <c r="F546" s="4"/>
      <c r="G546" s="4"/>
      <c r="H546" s="4"/>
      <c r="I546" s="4"/>
      <c r="J546" s="4"/>
      <c r="P546" s="4"/>
      <c r="Q546" s="4"/>
      <c r="R546" s="4"/>
      <c r="S546" s="4"/>
      <c r="T546" s="4"/>
    </row>
    <row r="547" spans="1:20" ht="16.5">
      <c r="A547" s="4"/>
      <c r="B547" s="4"/>
      <c r="C547" s="4"/>
      <c r="D547" s="4"/>
      <c r="E547" s="4"/>
      <c r="F547" s="4"/>
      <c r="G547" s="4"/>
      <c r="H547" s="4"/>
      <c r="I547" s="4"/>
      <c r="J547" s="4"/>
      <c r="P547" s="4"/>
      <c r="Q547" s="4"/>
      <c r="R547" s="4"/>
      <c r="S547" s="4"/>
      <c r="T547" s="4"/>
    </row>
    <row r="548" spans="1:20" ht="16.5">
      <c r="A548" s="4"/>
      <c r="B548" s="4"/>
      <c r="C548" s="4"/>
      <c r="D548" s="4"/>
      <c r="E548" s="4"/>
      <c r="F548" s="4"/>
      <c r="G548" s="4"/>
      <c r="H548" s="4"/>
      <c r="I548" s="4"/>
      <c r="J548" s="4"/>
      <c r="P548" s="4"/>
      <c r="Q548" s="4"/>
      <c r="R548" s="4"/>
      <c r="S548" s="4"/>
      <c r="T548" s="4"/>
    </row>
    <row r="549" spans="1:20" ht="16.5">
      <c r="A549" s="4"/>
      <c r="B549" s="4"/>
      <c r="C549" s="4"/>
      <c r="D549" s="4"/>
      <c r="E549" s="4"/>
      <c r="F549" s="4"/>
      <c r="G549" s="4"/>
      <c r="H549" s="4"/>
      <c r="I549" s="4"/>
      <c r="J549" s="4"/>
      <c r="P549" s="4"/>
      <c r="Q549" s="4"/>
      <c r="R549" s="4"/>
      <c r="S549" s="4"/>
      <c r="T549" s="4"/>
    </row>
    <row r="550" spans="1:20" ht="16.5">
      <c r="A550" s="4"/>
      <c r="B550" s="4"/>
      <c r="C550" s="4"/>
      <c r="D550" s="4"/>
      <c r="E550" s="4"/>
      <c r="F550" s="4"/>
      <c r="G550" s="4"/>
      <c r="H550" s="4"/>
      <c r="I550" s="4"/>
      <c r="J550" s="4"/>
      <c r="P550" s="4"/>
      <c r="Q550" s="4"/>
      <c r="R550" s="4"/>
      <c r="S550" s="4"/>
      <c r="T550" s="4"/>
    </row>
    <row r="551" spans="1:20" ht="16.5">
      <c r="A551" s="4"/>
      <c r="B551" s="4"/>
      <c r="C551" s="4"/>
      <c r="D551" s="4"/>
      <c r="E551" s="4"/>
      <c r="F551" s="4"/>
      <c r="G551" s="4"/>
      <c r="H551" s="4"/>
      <c r="I551" s="4"/>
      <c r="J551" s="4"/>
      <c r="P551" s="4"/>
      <c r="Q551" s="4"/>
      <c r="R551" s="4"/>
      <c r="S551" s="4"/>
      <c r="T551" s="4"/>
    </row>
    <row r="552" spans="1:20" ht="16.5">
      <c r="A552" s="4"/>
      <c r="B552" s="4"/>
      <c r="C552" s="4"/>
      <c r="D552" s="4"/>
      <c r="E552" s="4"/>
      <c r="F552" s="4"/>
      <c r="G552" s="4"/>
      <c r="H552" s="4"/>
      <c r="I552" s="4"/>
      <c r="J552" s="4"/>
      <c r="P552" s="4"/>
      <c r="Q552" s="4"/>
      <c r="R552" s="4"/>
      <c r="S552" s="4"/>
      <c r="T552" s="4"/>
    </row>
    <row r="553" spans="1:20" ht="16.5">
      <c r="A553" s="4"/>
      <c r="B553" s="4"/>
      <c r="C553" s="4"/>
      <c r="D553" s="4"/>
      <c r="E553" s="4"/>
      <c r="F553" s="4"/>
      <c r="G553" s="4"/>
      <c r="H553" s="4"/>
      <c r="I553" s="4"/>
      <c r="J553" s="4"/>
      <c r="P553" s="4"/>
      <c r="Q553" s="4"/>
      <c r="R553" s="4"/>
      <c r="S553" s="4"/>
      <c r="T553" s="4"/>
    </row>
    <row r="554" spans="1:20" ht="16.5">
      <c r="A554" s="4"/>
      <c r="B554" s="4"/>
      <c r="C554" s="4"/>
      <c r="D554" s="4"/>
      <c r="E554" s="4"/>
      <c r="F554" s="4"/>
      <c r="G554" s="4"/>
      <c r="H554" s="4"/>
      <c r="I554" s="4"/>
      <c r="J554" s="4"/>
      <c r="P554" s="4"/>
      <c r="Q554" s="4"/>
      <c r="R554" s="4"/>
      <c r="S554" s="4"/>
      <c r="T554" s="4"/>
    </row>
    <row r="555" spans="1:20" ht="16.5">
      <c r="A555" s="4"/>
      <c r="B555" s="4"/>
      <c r="C555" s="4"/>
      <c r="D555" s="4"/>
      <c r="E555" s="4"/>
      <c r="F555" s="4"/>
      <c r="G555" s="4"/>
      <c r="H555" s="4"/>
      <c r="I555" s="4"/>
      <c r="J555" s="4"/>
      <c r="P555" s="4"/>
      <c r="Q555" s="4"/>
      <c r="R555" s="4"/>
      <c r="S555" s="4"/>
      <c r="T555" s="4"/>
    </row>
    <row r="556" spans="1:20" ht="16.5">
      <c r="A556" s="4"/>
      <c r="B556" s="4"/>
      <c r="C556" s="4"/>
      <c r="D556" s="4"/>
      <c r="E556" s="4"/>
      <c r="F556" s="4"/>
      <c r="G556" s="4"/>
      <c r="H556" s="4"/>
      <c r="I556" s="4"/>
      <c r="J556" s="4"/>
      <c r="P556" s="4"/>
      <c r="Q556" s="4"/>
      <c r="R556" s="4"/>
      <c r="S556" s="4"/>
      <c r="T556" s="4"/>
    </row>
    <row r="557" spans="1:20" ht="16.5">
      <c r="A557" s="4"/>
      <c r="B557" s="4"/>
      <c r="C557" s="4"/>
      <c r="D557" s="4"/>
      <c r="E557" s="4"/>
      <c r="F557" s="4"/>
      <c r="G557" s="4"/>
      <c r="H557" s="4"/>
      <c r="I557" s="4"/>
      <c r="J557" s="4"/>
      <c r="P557" s="4"/>
      <c r="Q557" s="4"/>
      <c r="R557" s="4"/>
      <c r="S557" s="4"/>
      <c r="T557" s="4"/>
    </row>
    <row r="558" spans="1:20" ht="16.5">
      <c r="A558" s="4"/>
      <c r="B558" s="4"/>
      <c r="C558" s="4"/>
      <c r="D558" s="4"/>
      <c r="E558" s="4"/>
      <c r="F558" s="4"/>
      <c r="G558" s="4"/>
      <c r="H558" s="4"/>
      <c r="I558" s="4"/>
      <c r="J558" s="4"/>
      <c r="P558" s="4"/>
      <c r="Q558" s="4"/>
      <c r="R558" s="4"/>
      <c r="S558" s="4"/>
      <c r="T558" s="4"/>
    </row>
    <row r="559" spans="1:20" ht="16.5">
      <c r="A559" s="4"/>
      <c r="B559" s="4"/>
      <c r="C559" s="4"/>
      <c r="D559" s="4"/>
      <c r="E559" s="4"/>
      <c r="F559" s="4"/>
      <c r="G559" s="4"/>
      <c r="H559" s="4"/>
      <c r="I559" s="4"/>
      <c r="J559" s="4"/>
      <c r="P559" s="4"/>
      <c r="Q559" s="4"/>
      <c r="R559" s="4"/>
      <c r="S559" s="4"/>
      <c r="T559" s="4"/>
    </row>
    <row r="560" spans="1:20" ht="16.5">
      <c r="A560" s="4"/>
      <c r="B560" s="4"/>
      <c r="C560" s="4"/>
      <c r="D560" s="4"/>
      <c r="E560" s="4"/>
      <c r="F560" s="4"/>
      <c r="G560" s="4"/>
      <c r="H560" s="4"/>
      <c r="I560" s="4"/>
      <c r="J560" s="4"/>
      <c r="P560" s="4"/>
      <c r="Q560" s="4"/>
      <c r="R560" s="4"/>
      <c r="S560" s="4"/>
      <c r="T560" s="4"/>
    </row>
    <row r="561" spans="1:20" ht="16.5">
      <c r="A561" s="4"/>
      <c r="B561" s="4"/>
      <c r="C561" s="4"/>
      <c r="D561" s="4"/>
      <c r="E561" s="4"/>
      <c r="F561" s="4"/>
      <c r="G561" s="4"/>
      <c r="H561" s="4"/>
      <c r="I561" s="4"/>
      <c r="J561" s="4"/>
      <c r="P561" s="4"/>
      <c r="Q561" s="4"/>
      <c r="R561" s="4"/>
      <c r="S561" s="4"/>
      <c r="T561" s="4"/>
    </row>
    <row r="562" spans="1:20" ht="16.5">
      <c r="A562" s="4"/>
      <c r="B562" s="4"/>
      <c r="C562" s="4"/>
      <c r="D562" s="4"/>
      <c r="E562" s="4"/>
      <c r="F562" s="4"/>
      <c r="G562" s="4"/>
      <c r="H562" s="4"/>
      <c r="I562" s="4"/>
      <c r="J562" s="4"/>
      <c r="P562" s="4"/>
      <c r="Q562" s="4"/>
      <c r="R562" s="4"/>
      <c r="S562" s="4"/>
      <c r="T562" s="4"/>
    </row>
    <row r="563" spans="1:20" ht="16.5">
      <c r="A563" s="4"/>
      <c r="B563" s="4"/>
      <c r="C563" s="4"/>
      <c r="D563" s="4"/>
      <c r="E563" s="4"/>
      <c r="F563" s="4"/>
      <c r="G563" s="4"/>
      <c r="H563" s="4"/>
      <c r="I563" s="4"/>
      <c r="J563" s="4"/>
      <c r="P563" s="4"/>
      <c r="Q563" s="4"/>
      <c r="R563" s="4"/>
      <c r="S563" s="4"/>
      <c r="T563" s="4"/>
    </row>
    <row r="564" spans="1:20" ht="16.5">
      <c r="A564" s="4"/>
      <c r="B564" s="4"/>
      <c r="C564" s="4"/>
      <c r="D564" s="4"/>
      <c r="E564" s="4"/>
      <c r="F564" s="4"/>
      <c r="G564" s="4"/>
      <c r="H564" s="4"/>
      <c r="I564" s="4"/>
      <c r="J564" s="4"/>
      <c r="P564" s="4"/>
      <c r="Q564" s="4"/>
      <c r="R564" s="4"/>
      <c r="S564" s="4"/>
      <c r="T564" s="4"/>
    </row>
    <row r="565" spans="1:20" ht="16.5">
      <c r="A565" s="4"/>
      <c r="B565" s="4"/>
      <c r="C565" s="4"/>
      <c r="D565" s="4"/>
      <c r="E565" s="4"/>
      <c r="F565" s="4"/>
      <c r="G565" s="4"/>
      <c r="H565" s="4"/>
      <c r="I565" s="4"/>
      <c r="J565" s="4"/>
      <c r="P565" s="4"/>
      <c r="Q565" s="4"/>
      <c r="R565" s="4"/>
      <c r="S565" s="4"/>
      <c r="T565" s="4"/>
    </row>
    <row r="566" spans="1:20" ht="16.5">
      <c r="A566" s="4"/>
      <c r="B566" s="4"/>
      <c r="C566" s="4"/>
      <c r="D566" s="4"/>
      <c r="E566" s="4"/>
      <c r="F566" s="4"/>
      <c r="G566" s="4"/>
      <c r="H566" s="4"/>
      <c r="I566" s="4"/>
      <c r="J566" s="4"/>
      <c r="P566" s="4"/>
      <c r="Q566" s="4"/>
      <c r="R566" s="4"/>
      <c r="S566" s="4"/>
      <c r="T566" s="4"/>
    </row>
    <row r="567" spans="1:20" ht="16.5">
      <c r="A567" s="4"/>
      <c r="B567" s="4"/>
      <c r="C567" s="4"/>
      <c r="D567" s="4"/>
      <c r="E567" s="4"/>
      <c r="F567" s="4"/>
      <c r="G567" s="4"/>
      <c r="H567" s="4"/>
      <c r="I567" s="4"/>
      <c r="J567" s="4"/>
      <c r="P567" s="4"/>
      <c r="Q567" s="4"/>
      <c r="R567" s="4"/>
      <c r="S567" s="4"/>
      <c r="T567" s="4"/>
    </row>
    <row r="568" spans="1:20" ht="16.5">
      <c r="A568" s="4"/>
      <c r="B568" s="4"/>
      <c r="C568" s="4"/>
      <c r="D568" s="4"/>
      <c r="E568" s="4"/>
      <c r="F568" s="4"/>
      <c r="G568" s="4"/>
      <c r="H568" s="4"/>
      <c r="I568" s="4"/>
      <c r="J568" s="4"/>
      <c r="P568" s="4"/>
      <c r="Q568" s="4"/>
      <c r="R568" s="4"/>
      <c r="S568" s="4"/>
      <c r="T568" s="4"/>
    </row>
    <row r="569" spans="1:20" ht="16.5">
      <c r="A569" s="4"/>
      <c r="B569" s="4"/>
      <c r="C569" s="4"/>
      <c r="D569" s="4"/>
      <c r="E569" s="4"/>
      <c r="F569" s="4"/>
      <c r="G569" s="4"/>
      <c r="H569" s="4"/>
      <c r="I569" s="4"/>
      <c r="J569" s="4"/>
      <c r="P569" s="4"/>
      <c r="Q569" s="4"/>
      <c r="R569" s="4"/>
      <c r="S569" s="4"/>
      <c r="T569" s="4"/>
    </row>
    <row r="570" spans="1:20" ht="16.5">
      <c r="A570" s="4"/>
      <c r="B570" s="4"/>
      <c r="C570" s="4"/>
      <c r="D570" s="4"/>
      <c r="E570" s="4"/>
      <c r="F570" s="4"/>
      <c r="G570" s="4"/>
      <c r="H570" s="4"/>
      <c r="I570" s="4"/>
      <c r="J570" s="4"/>
      <c r="P570" s="4"/>
      <c r="Q570" s="4"/>
      <c r="R570" s="4"/>
      <c r="S570" s="4"/>
      <c r="T570" s="4"/>
    </row>
    <row r="571" spans="1:20" ht="16.5">
      <c r="A571" s="4"/>
      <c r="B571" s="4"/>
      <c r="C571" s="4"/>
      <c r="D571" s="4"/>
      <c r="E571" s="4"/>
      <c r="F571" s="4"/>
      <c r="G571" s="4"/>
      <c r="H571" s="4"/>
      <c r="I571" s="4"/>
      <c r="J571" s="4"/>
      <c r="P571" s="4"/>
      <c r="Q571" s="4"/>
      <c r="R571" s="4"/>
      <c r="S571" s="4"/>
      <c r="T571" s="4"/>
    </row>
    <row r="572" spans="1:20" ht="16.5">
      <c r="A572" s="4"/>
      <c r="B572" s="4"/>
      <c r="C572" s="4"/>
      <c r="D572" s="4"/>
      <c r="E572" s="4"/>
      <c r="F572" s="4"/>
      <c r="G572" s="4"/>
      <c r="H572" s="4"/>
      <c r="I572" s="4"/>
      <c r="J572" s="4"/>
      <c r="P572" s="4"/>
      <c r="Q572" s="4"/>
      <c r="R572" s="4"/>
      <c r="S572" s="4"/>
      <c r="T572" s="4"/>
    </row>
    <row r="573" spans="1:20" ht="16.5">
      <c r="A573" s="4"/>
      <c r="B573" s="4"/>
      <c r="C573" s="4"/>
      <c r="D573" s="4"/>
      <c r="E573" s="4"/>
      <c r="F573" s="4"/>
      <c r="G573" s="4"/>
      <c r="H573" s="4"/>
      <c r="I573" s="4"/>
      <c r="J573" s="4"/>
      <c r="P573" s="4"/>
      <c r="Q573" s="4"/>
      <c r="R573" s="4"/>
      <c r="S573" s="4"/>
      <c r="T573" s="4"/>
    </row>
    <row r="574" spans="1:20" ht="16.5">
      <c r="A574" s="4"/>
      <c r="B574" s="4"/>
      <c r="C574" s="4"/>
      <c r="D574" s="4"/>
      <c r="E574" s="4"/>
      <c r="F574" s="4"/>
      <c r="G574" s="4"/>
      <c r="H574" s="4"/>
      <c r="I574" s="4"/>
      <c r="J574" s="4"/>
      <c r="P574" s="4"/>
      <c r="Q574" s="4"/>
      <c r="R574" s="4"/>
      <c r="S574" s="4"/>
      <c r="T574" s="4"/>
    </row>
    <row r="575" spans="1:20" ht="16.5">
      <c r="A575" s="4"/>
      <c r="B575" s="4"/>
      <c r="C575" s="4"/>
      <c r="D575" s="4"/>
      <c r="E575" s="4"/>
      <c r="F575" s="4"/>
      <c r="G575" s="4"/>
      <c r="H575" s="4"/>
      <c r="I575" s="4"/>
      <c r="J575" s="4"/>
      <c r="P575" s="4"/>
      <c r="Q575" s="4"/>
      <c r="R575" s="4"/>
      <c r="S575" s="4"/>
      <c r="T575" s="4"/>
    </row>
    <row r="576" spans="1:20" ht="16.5">
      <c r="A576" s="4"/>
      <c r="B576" s="4"/>
      <c r="C576" s="4"/>
      <c r="D576" s="4"/>
      <c r="E576" s="4"/>
      <c r="F576" s="4"/>
      <c r="G576" s="4"/>
      <c r="H576" s="4"/>
      <c r="I576" s="4"/>
      <c r="J576" s="4"/>
      <c r="P576" s="4"/>
      <c r="Q576" s="4"/>
      <c r="R576" s="4"/>
      <c r="S576" s="4"/>
      <c r="T576" s="4"/>
    </row>
    <row r="577" spans="1:20" ht="16.5">
      <c r="A577" s="4"/>
      <c r="B577" s="4"/>
      <c r="C577" s="4"/>
      <c r="D577" s="4"/>
      <c r="E577" s="4"/>
      <c r="F577" s="4"/>
      <c r="G577" s="4"/>
      <c r="H577" s="4"/>
      <c r="I577" s="4"/>
      <c r="J577" s="4"/>
      <c r="P577" s="4"/>
      <c r="Q577" s="4"/>
      <c r="R577" s="4"/>
      <c r="S577" s="4"/>
      <c r="T577" s="4"/>
    </row>
    <row r="578" spans="1:20" ht="16.5">
      <c r="A578" s="4"/>
      <c r="B578" s="4"/>
      <c r="C578" s="4"/>
      <c r="D578" s="4"/>
      <c r="E578" s="4"/>
      <c r="F578" s="4"/>
      <c r="G578" s="4"/>
      <c r="H578" s="4"/>
      <c r="I578" s="4"/>
      <c r="J578" s="4"/>
      <c r="P578" s="4"/>
      <c r="Q578" s="4"/>
      <c r="R578" s="4"/>
      <c r="S578" s="4"/>
      <c r="T578" s="4"/>
    </row>
    <row r="579" spans="1:20" ht="16.5">
      <c r="A579" s="4"/>
      <c r="B579" s="4"/>
      <c r="C579" s="4"/>
      <c r="D579" s="4"/>
      <c r="E579" s="4"/>
      <c r="F579" s="4"/>
      <c r="G579" s="4"/>
      <c r="H579" s="4"/>
      <c r="I579" s="4"/>
      <c r="J579" s="4"/>
      <c r="P579" s="4"/>
      <c r="Q579" s="4"/>
      <c r="R579" s="4"/>
      <c r="S579" s="4"/>
      <c r="T579" s="4"/>
    </row>
    <row r="580" spans="1:20" ht="16.5">
      <c r="A580" s="4"/>
      <c r="B580" s="4"/>
      <c r="C580" s="4"/>
      <c r="D580" s="4"/>
      <c r="E580" s="4"/>
      <c r="F580" s="4"/>
      <c r="G580" s="4"/>
      <c r="H580" s="4"/>
      <c r="I580" s="4"/>
      <c r="J580" s="4"/>
      <c r="P580" s="4"/>
      <c r="Q580" s="4"/>
      <c r="R580" s="4"/>
      <c r="S580" s="4"/>
      <c r="T580" s="4"/>
    </row>
    <row r="581" spans="1:20" ht="16.5">
      <c r="A581" s="4"/>
      <c r="B581" s="4"/>
      <c r="C581" s="4"/>
      <c r="D581" s="4"/>
      <c r="E581" s="4"/>
      <c r="F581" s="4"/>
      <c r="G581" s="4"/>
      <c r="H581" s="4"/>
      <c r="I581" s="4"/>
      <c r="J581" s="4"/>
      <c r="P581" s="4"/>
      <c r="Q581" s="4"/>
      <c r="R581" s="4"/>
      <c r="S581" s="4"/>
      <c r="T581" s="4"/>
    </row>
    <row r="582" spans="1:20" ht="16.5">
      <c r="A582" s="4"/>
      <c r="B582" s="4"/>
      <c r="C582" s="4"/>
      <c r="D582" s="4"/>
      <c r="E582" s="4"/>
      <c r="F582" s="4"/>
      <c r="G582" s="4"/>
      <c r="H582" s="4"/>
      <c r="I582" s="4"/>
      <c r="J582" s="4"/>
      <c r="P582" s="4"/>
      <c r="Q582" s="4"/>
      <c r="R582" s="4"/>
      <c r="S582" s="4"/>
      <c r="T582" s="4"/>
    </row>
    <row r="583" spans="1:20" ht="16.5">
      <c r="A583" s="4"/>
      <c r="B583" s="4"/>
      <c r="C583" s="4"/>
      <c r="D583" s="4"/>
      <c r="E583" s="4"/>
      <c r="F583" s="4"/>
      <c r="G583" s="4"/>
      <c r="H583" s="4"/>
      <c r="I583" s="4"/>
      <c r="J583" s="4"/>
      <c r="P583" s="4"/>
      <c r="Q583" s="4"/>
      <c r="R583" s="4"/>
      <c r="S583" s="4"/>
      <c r="T583" s="4"/>
    </row>
    <row r="584" spans="1:20" ht="16.5">
      <c r="A584" s="4"/>
      <c r="B584" s="4"/>
      <c r="C584" s="4"/>
      <c r="D584" s="4"/>
      <c r="E584" s="4"/>
      <c r="F584" s="4"/>
      <c r="G584" s="4"/>
      <c r="H584" s="4"/>
      <c r="I584" s="4"/>
      <c r="J584" s="4"/>
      <c r="P584" s="4"/>
      <c r="Q584" s="4"/>
      <c r="R584" s="4"/>
      <c r="S584" s="4"/>
      <c r="T584" s="4"/>
    </row>
    <row r="585" spans="1:20" ht="16.5">
      <c r="A585" s="4"/>
      <c r="B585" s="4"/>
      <c r="C585" s="4"/>
      <c r="D585" s="4"/>
      <c r="E585" s="4"/>
      <c r="F585" s="4"/>
      <c r="G585" s="4"/>
      <c r="H585" s="4"/>
      <c r="I585" s="4"/>
      <c r="J585" s="4"/>
      <c r="P585" s="4"/>
      <c r="Q585" s="4"/>
      <c r="R585" s="4"/>
      <c r="S585" s="4"/>
      <c r="T585" s="4"/>
    </row>
    <row r="586" spans="1:20" ht="16.5">
      <c r="A586" s="4"/>
      <c r="B586" s="4"/>
      <c r="C586" s="4"/>
      <c r="D586" s="4"/>
      <c r="E586" s="4"/>
      <c r="F586" s="4"/>
      <c r="G586" s="4"/>
      <c r="H586" s="4"/>
      <c r="I586" s="4"/>
      <c r="J586" s="4"/>
      <c r="P586" s="4"/>
      <c r="Q586" s="4"/>
      <c r="R586" s="4"/>
      <c r="S586" s="4"/>
      <c r="T586" s="4"/>
    </row>
    <row r="587" spans="1:20" ht="16.5">
      <c r="A587" s="4"/>
      <c r="B587" s="4"/>
      <c r="C587" s="4"/>
      <c r="D587" s="4"/>
      <c r="E587" s="4"/>
      <c r="F587" s="4"/>
      <c r="G587" s="4"/>
      <c r="H587" s="4"/>
      <c r="I587" s="4"/>
      <c r="J587" s="4"/>
      <c r="P587" s="4"/>
      <c r="Q587" s="4"/>
      <c r="R587" s="4"/>
      <c r="S587" s="4"/>
      <c r="T587" s="4"/>
    </row>
    <row r="588" spans="1:20" ht="16.5">
      <c r="A588" s="4"/>
      <c r="B588" s="4"/>
      <c r="C588" s="4"/>
      <c r="D588" s="4"/>
      <c r="E588" s="4"/>
      <c r="F588" s="4"/>
      <c r="G588" s="4"/>
      <c r="H588" s="4"/>
      <c r="I588" s="4"/>
      <c r="J588" s="4"/>
      <c r="P588" s="4"/>
      <c r="Q588" s="4"/>
      <c r="R588" s="4"/>
      <c r="S588" s="4"/>
      <c r="T588" s="4"/>
    </row>
    <row r="589" spans="1:20" ht="16.5">
      <c r="A589" s="4"/>
      <c r="B589" s="4"/>
      <c r="C589" s="4"/>
      <c r="D589" s="4"/>
      <c r="E589" s="4"/>
      <c r="F589" s="4"/>
      <c r="G589" s="4"/>
      <c r="H589" s="4"/>
      <c r="I589" s="4"/>
      <c r="J589" s="4"/>
      <c r="P589" s="4"/>
      <c r="Q589" s="4"/>
      <c r="R589" s="4"/>
      <c r="S589" s="4"/>
      <c r="T589" s="4"/>
    </row>
    <row r="590" spans="1:20" ht="16.5">
      <c r="A590" s="4"/>
      <c r="B590" s="4"/>
      <c r="C590" s="4"/>
      <c r="D590" s="4"/>
      <c r="E590" s="4"/>
      <c r="F590" s="4"/>
      <c r="G590" s="4"/>
      <c r="H590" s="4"/>
      <c r="I590" s="4"/>
      <c r="J590" s="4"/>
      <c r="P590" s="4"/>
      <c r="Q590" s="4"/>
      <c r="R590" s="4"/>
      <c r="S590" s="4"/>
      <c r="T590" s="4"/>
    </row>
    <row r="591" spans="1:20" ht="16.5">
      <c r="A591" s="4"/>
      <c r="B591" s="4"/>
      <c r="C591" s="4"/>
      <c r="D591" s="4"/>
      <c r="E591" s="4"/>
      <c r="F591" s="4"/>
      <c r="G591" s="4"/>
      <c r="H591" s="4"/>
      <c r="I591" s="4"/>
      <c r="J591" s="4"/>
      <c r="P591" s="4"/>
      <c r="Q591" s="4"/>
      <c r="R591" s="4"/>
      <c r="S591" s="4"/>
      <c r="T591" s="4"/>
    </row>
    <row r="592" spans="1:20" ht="16.5">
      <c r="A592" s="4"/>
      <c r="B592" s="4"/>
      <c r="C592" s="4"/>
      <c r="D592" s="4"/>
      <c r="E592" s="4"/>
      <c r="F592" s="4"/>
      <c r="G592" s="4"/>
      <c r="H592" s="4"/>
      <c r="I592" s="4"/>
      <c r="J592" s="4"/>
      <c r="P592" s="4"/>
      <c r="Q592" s="4"/>
      <c r="R592" s="4"/>
      <c r="S592" s="4"/>
      <c r="T592" s="4"/>
    </row>
    <row r="593" spans="1:20" ht="16.5">
      <c r="A593" s="4"/>
      <c r="B593" s="4"/>
      <c r="C593" s="4"/>
      <c r="D593" s="4"/>
      <c r="E593" s="4"/>
      <c r="F593" s="4"/>
      <c r="G593" s="4"/>
      <c r="H593" s="4"/>
      <c r="I593" s="4"/>
      <c r="J593" s="4"/>
      <c r="P593" s="4"/>
      <c r="Q593" s="4"/>
      <c r="R593" s="4"/>
      <c r="S593" s="4"/>
      <c r="T593" s="4"/>
    </row>
    <row r="594" spans="1:20" ht="16.5">
      <c r="A594" s="4"/>
      <c r="B594" s="4"/>
      <c r="C594" s="4"/>
      <c r="D594" s="4"/>
      <c r="E594" s="4"/>
      <c r="F594" s="4"/>
      <c r="G594" s="4"/>
      <c r="H594" s="4"/>
      <c r="I594" s="4"/>
      <c r="J594" s="4"/>
      <c r="P594" s="4"/>
      <c r="Q594" s="4"/>
      <c r="R594" s="4"/>
      <c r="S594" s="4"/>
      <c r="T594" s="4"/>
    </row>
    <row r="595" spans="1:20" ht="16.5">
      <c r="A595" s="4"/>
      <c r="B595" s="4"/>
      <c r="C595" s="4"/>
      <c r="D595" s="4"/>
      <c r="E595" s="4"/>
      <c r="F595" s="4"/>
      <c r="G595" s="4"/>
      <c r="H595" s="4"/>
      <c r="I595" s="4"/>
      <c r="J595" s="4"/>
      <c r="P595" s="4"/>
      <c r="Q595" s="4"/>
      <c r="R595" s="4"/>
      <c r="S595" s="4"/>
      <c r="T595" s="4"/>
    </row>
    <row r="596" spans="1:20" ht="16.5">
      <c r="A596" s="4"/>
      <c r="B596" s="4"/>
      <c r="C596" s="4"/>
      <c r="D596" s="4"/>
      <c r="E596" s="4"/>
      <c r="F596" s="4"/>
      <c r="G596" s="4"/>
      <c r="H596" s="4"/>
      <c r="I596" s="4"/>
      <c r="J596" s="4"/>
      <c r="P596" s="4"/>
      <c r="Q596" s="4"/>
      <c r="R596" s="4"/>
      <c r="S596" s="4"/>
      <c r="T596" s="4"/>
    </row>
    <row r="597" spans="1:20" ht="16.5">
      <c r="A597" s="4"/>
      <c r="B597" s="4"/>
      <c r="C597" s="4"/>
      <c r="D597" s="4"/>
      <c r="E597" s="4"/>
      <c r="F597" s="4"/>
      <c r="G597" s="4"/>
      <c r="H597" s="4"/>
      <c r="I597" s="4"/>
      <c r="J597" s="4"/>
      <c r="P597" s="4"/>
      <c r="Q597" s="4"/>
      <c r="R597" s="4"/>
      <c r="S597" s="4"/>
      <c r="T597" s="4"/>
    </row>
    <row r="598" spans="1:20" ht="16.5">
      <c r="A598" s="4"/>
      <c r="B598" s="4"/>
      <c r="C598" s="4"/>
      <c r="D598" s="4"/>
      <c r="E598" s="4"/>
      <c r="F598" s="4"/>
      <c r="G598" s="4"/>
      <c r="H598" s="4"/>
      <c r="I598" s="4"/>
      <c r="J598" s="4"/>
      <c r="P598" s="4"/>
      <c r="Q598" s="4"/>
      <c r="R598" s="4"/>
      <c r="S598" s="4"/>
      <c r="T598" s="4"/>
    </row>
    <row r="599" spans="1:20" ht="16.5">
      <c r="A599" s="4"/>
      <c r="B599" s="4"/>
      <c r="C599" s="4"/>
      <c r="D599" s="4"/>
      <c r="E599" s="4"/>
      <c r="F599" s="4"/>
      <c r="G599" s="4"/>
      <c r="H599" s="4"/>
      <c r="I599" s="4"/>
      <c r="J599" s="4"/>
      <c r="P599" s="4"/>
      <c r="Q599" s="4"/>
      <c r="R599" s="4"/>
      <c r="S599" s="4"/>
      <c r="T599" s="4"/>
    </row>
    <row r="600" spans="1:20" ht="16.5">
      <c r="A600" s="4"/>
      <c r="B600" s="4"/>
      <c r="C600" s="4"/>
      <c r="D600" s="4"/>
      <c r="E600" s="4"/>
      <c r="F600" s="4"/>
      <c r="G600" s="4"/>
      <c r="H600" s="4"/>
      <c r="I600" s="4"/>
      <c r="J600" s="4"/>
      <c r="P600" s="4"/>
      <c r="Q600" s="4"/>
      <c r="R600" s="4"/>
      <c r="S600" s="4"/>
      <c r="T600" s="4"/>
    </row>
    <row r="601" spans="1:20" ht="16.5">
      <c r="A601" s="4"/>
      <c r="B601" s="4"/>
      <c r="C601" s="4"/>
      <c r="D601" s="4"/>
      <c r="E601" s="4"/>
      <c r="F601" s="4"/>
      <c r="G601" s="4"/>
      <c r="H601" s="4"/>
      <c r="I601" s="4"/>
      <c r="J601" s="4"/>
      <c r="P601" s="4"/>
      <c r="Q601" s="4"/>
      <c r="R601" s="4"/>
      <c r="S601" s="4"/>
      <c r="T601" s="4"/>
    </row>
    <row r="602" spans="1:20" ht="16.5">
      <c r="A602" s="4"/>
      <c r="B602" s="4"/>
      <c r="C602" s="4"/>
      <c r="D602" s="4"/>
      <c r="E602" s="4"/>
      <c r="F602" s="4"/>
      <c r="G602" s="4"/>
      <c r="H602" s="4"/>
      <c r="I602" s="4"/>
      <c r="J602" s="4"/>
      <c r="P602" s="4"/>
      <c r="Q602" s="4"/>
      <c r="R602" s="4"/>
      <c r="S602" s="4"/>
      <c r="T602" s="4"/>
    </row>
    <row r="603" spans="1:20" ht="16.5">
      <c r="A603" s="4"/>
      <c r="B603" s="4"/>
      <c r="C603" s="4"/>
      <c r="D603" s="4"/>
      <c r="E603" s="4"/>
      <c r="F603" s="4"/>
      <c r="G603" s="4"/>
      <c r="H603" s="4"/>
      <c r="I603" s="4"/>
      <c r="J603" s="4"/>
      <c r="P603" s="4"/>
      <c r="Q603" s="4"/>
      <c r="R603" s="4"/>
      <c r="S603" s="4"/>
      <c r="T603" s="4"/>
    </row>
    <row r="604" spans="1:20" ht="16.5">
      <c r="A604" s="4"/>
      <c r="B604" s="4"/>
      <c r="C604" s="4"/>
      <c r="D604" s="4"/>
      <c r="E604" s="4"/>
      <c r="F604" s="4"/>
      <c r="G604" s="4"/>
      <c r="H604" s="4"/>
      <c r="I604" s="4"/>
      <c r="J604" s="4"/>
      <c r="P604" s="4"/>
      <c r="Q604" s="4"/>
      <c r="R604" s="4"/>
      <c r="S604" s="4"/>
      <c r="T604" s="4"/>
    </row>
    <row r="605" spans="1:20" ht="16.5">
      <c r="A605" s="4"/>
      <c r="B605" s="4"/>
      <c r="C605" s="4"/>
      <c r="D605" s="4"/>
      <c r="E605" s="4"/>
      <c r="F605" s="4"/>
      <c r="G605" s="4"/>
      <c r="H605" s="4"/>
      <c r="I605" s="4"/>
      <c r="J605" s="4"/>
      <c r="P605" s="4"/>
      <c r="Q605" s="4"/>
      <c r="R605" s="4"/>
      <c r="S605" s="4"/>
      <c r="T605" s="4"/>
    </row>
    <row r="606" spans="1:20" ht="16.5">
      <c r="A606" s="4"/>
      <c r="B606" s="4"/>
      <c r="C606" s="4"/>
      <c r="D606" s="4"/>
      <c r="E606" s="4"/>
      <c r="F606" s="4"/>
      <c r="G606" s="4"/>
      <c r="H606" s="4"/>
      <c r="I606" s="4"/>
      <c r="J606" s="4"/>
      <c r="P606" s="4"/>
      <c r="Q606" s="4"/>
      <c r="R606" s="4"/>
      <c r="S606" s="4"/>
      <c r="T606" s="4"/>
    </row>
    <row r="607" spans="1:20" ht="16.5">
      <c r="A607" s="4"/>
      <c r="B607" s="4"/>
      <c r="C607" s="4"/>
      <c r="D607" s="4"/>
      <c r="E607" s="4"/>
      <c r="F607" s="4"/>
      <c r="G607" s="4"/>
      <c r="H607" s="4"/>
      <c r="I607" s="4"/>
      <c r="J607" s="4"/>
      <c r="P607" s="4"/>
      <c r="Q607" s="4"/>
      <c r="R607" s="4"/>
      <c r="S607" s="4"/>
      <c r="T607" s="4"/>
    </row>
    <row r="608" spans="1:20" ht="16.5">
      <c r="A608" s="4"/>
      <c r="B608" s="4"/>
      <c r="C608" s="4"/>
      <c r="D608" s="4"/>
      <c r="E608" s="4"/>
      <c r="F608" s="4"/>
      <c r="G608" s="4"/>
      <c r="H608" s="4"/>
      <c r="I608" s="4"/>
      <c r="J608" s="4"/>
      <c r="P608" s="4"/>
      <c r="Q608" s="4"/>
      <c r="R608" s="4"/>
      <c r="S608" s="4"/>
      <c r="T608" s="4"/>
    </row>
    <row r="609" spans="1:20" ht="16.5">
      <c r="A609" s="4"/>
      <c r="B609" s="4"/>
      <c r="C609" s="4"/>
      <c r="D609" s="4"/>
      <c r="E609" s="4"/>
      <c r="F609" s="4"/>
      <c r="G609" s="4"/>
      <c r="H609" s="4"/>
      <c r="I609" s="4"/>
      <c r="J609" s="4"/>
      <c r="P609" s="4"/>
      <c r="Q609" s="4"/>
      <c r="R609" s="4"/>
      <c r="S609" s="4"/>
      <c r="T609" s="4"/>
    </row>
    <row r="610" spans="1:20" ht="16.5">
      <c r="A610" s="4"/>
      <c r="B610" s="4"/>
      <c r="C610" s="4"/>
      <c r="D610" s="4"/>
      <c r="E610" s="4"/>
      <c r="F610" s="4"/>
      <c r="G610" s="4"/>
      <c r="H610" s="4"/>
      <c r="I610" s="4"/>
      <c r="J610" s="4"/>
      <c r="P610" s="4"/>
      <c r="Q610" s="4"/>
      <c r="R610" s="4"/>
      <c r="S610" s="4"/>
      <c r="T610" s="4"/>
    </row>
    <row r="611" spans="1:20" ht="16.5">
      <c r="A611" s="4"/>
      <c r="B611" s="4"/>
      <c r="C611" s="4"/>
      <c r="D611" s="4"/>
      <c r="E611" s="4"/>
      <c r="F611" s="4"/>
      <c r="G611" s="4"/>
      <c r="H611" s="4"/>
      <c r="I611" s="4"/>
      <c r="J611" s="4"/>
      <c r="P611" s="4"/>
      <c r="Q611" s="4"/>
      <c r="R611" s="4"/>
      <c r="S611" s="4"/>
      <c r="T611" s="4"/>
    </row>
    <row r="612" spans="1:20" ht="16.5">
      <c r="A612" s="4"/>
      <c r="B612" s="4"/>
      <c r="C612" s="4"/>
      <c r="D612" s="4"/>
      <c r="E612" s="4"/>
      <c r="F612" s="4"/>
      <c r="G612" s="4"/>
      <c r="H612" s="4"/>
      <c r="I612" s="4"/>
      <c r="J612" s="4"/>
      <c r="P612" s="4"/>
      <c r="Q612" s="4"/>
      <c r="R612" s="4"/>
      <c r="S612" s="4"/>
      <c r="T612" s="4"/>
    </row>
    <row r="613" spans="1:20" ht="16.5">
      <c r="A613" s="4"/>
      <c r="B613" s="4"/>
      <c r="C613" s="4"/>
      <c r="D613" s="4"/>
      <c r="E613" s="4"/>
      <c r="F613" s="4"/>
      <c r="G613" s="4"/>
      <c r="H613" s="4"/>
      <c r="I613" s="4"/>
      <c r="J613" s="4"/>
      <c r="P613" s="4"/>
      <c r="Q613" s="4"/>
      <c r="R613" s="4"/>
      <c r="S613" s="4"/>
      <c r="T613" s="4"/>
    </row>
    <row r="614" spans="1:20" ht="16.5">
      <c r="A614" s="4"/>
      <c r="B614" s="4"/>
      <c r="C614" s="4"/>
      <c r="D614" s="4"/>
      <c r="E614" s="4"/>
      <c r="F614" s="4"/>
      <c r="G614" s="4"/>
      <c r="H614" s="4"/>
      <c r="I614" s="4"/>
      <c r="J614" s="4"/>
      <c r="P614" s="4"/>
      <c r="Q614" s="4"/>
      <c r="R614" s="4"/>
      <c r="S614" s="4"/>
      <c r="T614" s="4"/>
    </row>
    <row r="615" spans="1:20" ht="16.5">
      <c r="A615" s="4"/>
      <c r="B615" s="4"/>
      <c r="C615" s="4"/>
      <c r="D615" s="4"/>
      <c r="E615" s="4"/>
      <c r="F615" s="4"/>
      <c r="G615" s="4"/>
      <c r="H615" s="4"/>
      <c r="I615" s="4"/>
      <c r="J615" s="4"/>
      <c r="P615" s="4"/>
      <c r="Q615" s="4"/>
      <c r="R615" s="4"/>
      <c r="S615" s="4"/>
      <c r="T615" s="4"/>
    </row>
    <row r="616" spans="1:20" ht="16.5">
      <c r="A616" s="4"/>
      <c r="B616" s="4"/>
      <c r="C616" s="4"/>
      <c r="D616" s="4"/>
      <c r="E616" s="4"/>
      <c r="F616" s="4"/>
      <c r="G616" s="4"/>
      <c r="H616" s="4"/>
      <c r="I616" s="4"/>
      <c r="J616" s="4"/>
      <c r="P616" s="4"/>
      <c r="Q616" s="4"/>
      <c r="R616" s="4"/>
      <c r="S616" s="4"/>
      <c r="T616" s="4"/>
    </row>
    <row r="617" spans="1:20" ht="16.5">
      <c r="A617" s="4"/>
      <c r="B617" s="4"/>
      <c r="C617" s="4"/>
      <c r="D617" s="4"/>
      <c r="E617" s="4"/>
      <c r="F617" s="4"/>
      <c r="G617" s="4"/>
      <c r="H617" s="4"/>
      <c r="I617" s="4"/>
      <c r="J617" s="4"/>
      <c r="P617" s="4"/>
      <c r="Q617" s="4"/>
      <c r="R617" s="4"/>
      <c r="S617" s="4"/>
      <c r="T617" s="4"/>
    </row>
    <row r="618" spans="1:20" ht="16.5">
      <c r="A618" s="4"/>
      <c r="B618" s="4"/>
      <c r="C618" s="4"/>
      <c r="D618" s="4"/>
      <c r="E618" s="4"/>
      <c r="F618" s="4"/>
      <c r="G618" s="4"/>
      <c r="H618" s="4"/>
      <c r="I618" s="4"/>
      <c r="J618" s="4"/>
      <c r="P618" s="4"/>
      <c r="Q618" s="4"/>
      <c r="R618" s="4"/>
      <c r="S618" s="4"/>
      <c r="T618" s="4"/>
    </row>
    <row r="619" spans="1:20" ht="16.5">
      <c r="A619" s="4"/>
      <c r="B619" s="4"/>
      <c r="C619" s="4"/>
      <c r="D619" s="4"/>
      <c r="E619" s="4"/>
      <c r="F619" s="4"/>
      <c r="G619" s="4"/>
      <c r="H619" s="4"/>
      <c r="I619" s="4"/>
      <c r="J619" s="4"/>
      <c r="P619" s="4"/>
      <c r="Q619" s="4"/>
      <c r="R619" s="4"/>
      <c r="S619" s="4"/>
      <c r="T619" s="4"/>
    </row>
    <row r="620" spans="1:20" ht="16.5">
      <c r="A620" s="4"/>
      <c r="B620" s="4"/>
      <c r="C620" s="4"/>
      <c r="D620" s="4"/>
      <c r="E620" s="4"/>
      <c r="F620" s="4"/>
      <c r="G620" s="4"/>
      <c r="H620" s="4"/>
      <c r="I620" s="4"/>
      <c r="J620" s="4"/>
      <c r="P620" s="4"/>
      <c r="Q620" s="4"/>
      <c r="R620" s="4"/>
      <c r="S620" s="4"/>
      <c r="T620" s="4"/>
    </row>
    <row r="621" spans="1:20" ht="16.5">
      <c r="A621" s="4"/>
      <c r="B621" s="4"/>
      <c r="C621" s="4"/>
      <c r="D621" s="4"/>
      <c r="E621" s="4"/>
      <c r="F621" s="4"/>
      <c r="G621" s="4"/>
      <c r="H621" s="4"/>
      <c r="I621" s="4"/>
      <c r="J621" s="4"/>
      <c r="P621" s="4"/>
      <c r="Q621" s="4"/>
      <c r="R621" s="4"/>
      <c r="S621" s="4"/>
      <c r="T621" s="4"/>
    </row>
    <row r="622" spans="1:20" ht="16.5">
      <c r="A622" s="4"/>
      <c r="B622" s="4"/>
      <c r="C622" s="4"/>
      <c r="D622" s="4"/>
      <c r="E622" s="4"/>
      <c r="F622" s="4"/>
      <c r="G622" s="4"/>
      <c r="H622" s="4"/>
      <c r="I622" s="4"/>
      <c r="J622" s="4"/>
      <c r="P622" s="4"/>
      <c r="Q622" s="4"/>
      <c r="R622" s="4"/>
      <c r="S622" s="4"/>
      <c r="T622" s="4"/>
    </row>
    <row r="623" spans="1:20" ht="16.5">
      <c r="A623" s="4"/>
      <c r="B623" s="4"/>
      <c r="C623" s="4"/>
      <c r="D623" s="4"/>
      <c r="E623" s="4"/>
      <c r="F623" s="4"/>
      <c r="G623" s="4"/>
      <c r="H623" s="4"/>
      <c r="I623" s="4"/>
      <c r="J623" s="4"/>
      <c r="P623" s="4"/>
      <c r="Q623" s="4"/>
      <c r="R623" s="4"/>
      <c r="S623" s="4"/>
      <c r="T623" s="4"/>
    </row>
    <row r="624" ht="16.5">
      <c r="B624" s="4"/>
    </row>
    <row r="625" ht="16.5">
      <c r="B625" s="4"/>
    </row>
    <row r="626" ht="16.5">
      <c r="B626" s="4"/>
    </row>
    <row r="627" ht="16.5">
      <c r="B627" s="4"/>
    </row>
    <row r="628" ht="16.5">
      <c r="B628" s="4"/>
    </row>
    <row r="629" ht="16.5">
      <c r="B629" s="4"/>
    </row>
    <row r="630" ht="16.5">
      <c r="B630" s="4"/>
    </row>
    <row r="631" ht="16.5">
      <c r="B631" s="4"/>
    </row>
    <row r="632" ht="16.5">
      <c r="B632" s="4"/>
    </row>
    <row r="633" ht="16.5">
      <c r="B633" s="4"/>
    </row>
    <row r="634" ht="16.5">
      <c r="B634" s="4"/>
    </row>
    <row r="635" ht="16.5">
      <c r="B635" s="4"/>
    </row>
    <row r="636" ht="16.5">
      <c r="B636" s="4"/>
    </row>
    <row r="637" ht="16.5">
      <c r="B637" s="4"/>
    </row>
    <row r="638" ht="16.5">
      <c r="B638" s="4"/>
    </row>
    <row r="639" ht="16.5">
      <c r="B639" s="4"/>
    </row>
    <row r="640" ht="16.5">
      <c r="B640" s="4"/>
    </row>
    <row r="641" ht="16.5">
      <c r="B641" s="4"/>
    </row>
    <row r="642" ht="16.5">
      <c r="B642" s="4"/>
    </row>
    <row r="643" ht="16.5">
      <c r="B643" s="4"/>
    </row>
    <row r="644" ht="16.5">
      <c r="B644" s="4"/>
    </row>
    <row r="645" ht="16.5">
      <c r="B645" s="4"/>
    </row>
    <row r="646" ht="16.5">
      <c r="B646" s="4"/>
    </row>
    <row r="647" ht="16.5">
      <c r="B647" s="4"/>
    </row>
    <row r="648" ht="16.5">
      <c r="B648" s="4"/>
    </row>
    <row r="649" ht="16.5">
      <c r="B649" s="4"/>
    </row>
    <row r="650" ht="16.5">
      <c r="B650" s="4"/>
    </row>
    <row r="651" ht="16.5">
      <c r="B651" s="4"/>
    </row>
    <row r="652" ht="16.5">
      <c r="B652" s="4"/>
    </row>
    <row r="653" ht="16.5">
      <c r="B653" s="4"/>
    </row>
    <row r="654" ht="16.5">
      <c r="B654" s="4"/>
    </row>
    <row r="655" ht="16.5">
      <c r="B655" s="4"/>
    </row>
    <row r="656" ht="16.5">
      <c r="B656" s="4"/>
    </row>
    <row r="657" ht="16.5">
      <c r="B657" s="4"/>
    </row>
    <row r="658" ht="16.5">
      <c r="B658" s="4"/>
    </row>
    <row r="659" ht="16.5">
      <c r="B659" s="4"/>
    </row>
    <row r="660" ht="16.5">
      <c r="B660" s="4"/>
    </row>
    <row r="661" ht="16.5">
      <c r="B661" s="4"/>
    </row>
    <row r="662" ht="16.5">
      <c r="B662" s="4"/>
    </row>
    <row r="663" ht="16.5">
      <c r="B663" s="4"/>
    </row>
    <row r="664" ht="16.5">
      <c r="B664" s="4"/>
    </row>
    <row r="665" ht="16.5">
      <c r="B665" s="4"/>
    </row>
    <row r="666" ht="16.5">
      <c r="B666" s="4"/>
    </row>
    <row r="667" ht="16.5">
      <c r="B667" s="4"/>
    </row>
    <row r="668" ht="16.5">
      <c r="B668" s="4"/>
    </row>
    <row r="669" ht="16.5">
      <c r="B669" s="4"/>
    </row>
    <row r="670" ht="16.5">
      <c r="B670" s="4"/>
    </row>
    <row r="671" ht="16.5">
      <c r="B671" s="4"/>
    </row>
    <row r="672" ht="16.5">
      <c r="B672" s="4"/>
    </row>
    <row r="673" ht="16.5">
      <c r="B673" s="4"/>
    </row>
    <row r="674" ht="16.5">
      <c r="B674" s="4"/>
    </row>
    <row r="675" ht="16.5">
      <c r="B675" s="4"/>
    </row>
    <row r="676" ht="16.5">
      <c r="B676" s="4"/>
    </row>
    <row r="677" ht="16.5">
      <c r="B677" s="4"/>
    </row>
    <row r="678" ht="16.5">
      <c r="B678" s="4"/>
    </row>
    <row r="679" ht="16.5">
      <c r="B679" s="4"/>
    </row>
    <row r="680" ht="16.5">
      <c r="B680" s="4"/>
    </row>
    <row r="681" ht="16.5">
      <c r="B681" s="4"/>
    </row>
    <row r="682" ht="16.5">
      <c r="B682" s="4"/>
    </row>
    <row r="683" ht="16.5">
      <c r="B683" s="4"/>
    </row>
    <row r="684" ht="16.5">
      <c r="B684" s="4"/>
    </row>
    <row r="685" ht="16.5">
      <c r="B685" s="4"/>
    </row>
    <row r="686" ht="16.5">
      <c r="B686" s="4"/>
    </row>
    <row r="687" ht="16.5">
      <c r="B687" s="4"/>
    </row>
    <row r="688" ht="16.5">
      <c r="B688" s="4"/>
    </row>
    <row r="689" ht="16.5">
      <c r="B689" s="4"/>
    </row>
    <row r="690" ht="16.5">
      <c r="B690" s="4"/>
    </row>
    <row r="691" ht="16.5">
      <c r="B691" s="4"/>
    </row>
    <row r="692" ht="16.5">
      <c r="B692" s="4"/>
    </row>
    <row r="693" ht="16.5">
      <c r="B693" s="4"/>
    </row>
    <row r="694" ht="16.5">
      <c r="B694" s="4"/>
    </row>
    <row r="695" ht="16.5">
      <c r="B695" s="4"/>
    </row>
    <row r="696" ht="16.5">
      <c r="B696" s="4"/>
    </row>
    <row r="697" ht="16.5">
      <c r="B697" s="4"/>
    </row>
    <row r="698" ht="16.5">
      <c r="B698" s="4"/>
    </row>
    <row r="699" ht="16.5">
      <c r="B699" s="4"/>
    </row>
    <row r="700" ht="16.5">
      <c r="B700" s="4"/>
    </row>
    <row r="701" ht="16.5">
      <c r="B701" s="4"/>
    </row>
    <row r="702" ht="16.5">
      <c r="B702" s="4"/>
    </row>
    <row r="703" ht="16.5">
      <c r="B703" s="4"/>
    </row>
    <row r="704" ht="16.5">
      <c r="B704" s="4"/>
    </row>
    <row r="705" ht="16.5">
      <c r="B705" s="4"/>
    </row>
    <row r="706" ht="16.5">
      <c r="B706" s="4"/>
    </row>
    <row r="707" ht="16.5">
      <c r="B707" s="4"/>
    </row>
    <row r="708" ht="16.5">
      <c r="B708" s="4"/>
    </row>
    <row r="709" ht="16.5">
      <c r="B709" s="4"/>
    </row>
    <row r="710" ht="16.5">
      <c r="B710" s="4"/>
    </row>
    <row r="711" ht="16.5">
      <c r="B711" s="4"/>
    </row>
    <row r="712" ht="16.5">
      <c r="B712" s="4"/>
    </row>
    <row r="713" ht="16.5">
      <c r="B713" s="4"/>
    </row>
    <row r="714" ht="16.5">
      <c r="B714" s="4"/>
    </row>
    <row r="715" ht="16.5">
      <c r="B715" s="4"/>
    </row>
    <row r="716" ht="16.5">
      <c r="B716" s="4"/>
    </row>
    <row r="717" ht="16.5">
      <c r="B717" s="4"/>
    </row>
    <row r="718" ht="16.5">
      <c r="B718" s="4"/>
    </row>
    <row r="719" ht="16.5">
      <c r="B719" s="4"/>
    </row>
    <row r="720" ht="16.5">
      <c r="B720" s="4"/>
    </row>
    <row r="721" ht="16.5">
      <c r="B721" s="4"/>
    </row>
    <row r="722" ht="16.5">
      <c r="B722" s="4"/>
    </row>
    <row r="723" ht="16.5">
      <c r="B723" s="4"/>
    </row>
    <row r="724" ht="16.5">
      <c r="B724" s="4"/>
    </row>
    <row r="725" ht="16.5">
      <c r="B725" s="4"/>
    </row>
    <row r="726" ht="16.5">
      <c r="B726" s="4"/>
    </row>
    <row r="727" ht="16.5">
      <c r="B727" s="4"/>
    </row>
    <row r="728" ht="16.5">
      <c r="B728" s="4"/>
    </row>
    <row r="729" ht="16.5">
      <c r="B729" s="4"/>
    </row>
    <row r="730" ht="16.5">
      <c r="B730" s="4"/>
    </row>
    <row r="731" ht="16.5">
      <c r="B731" s="4"/>
    </row>
    <row r="732" ht="16.5">
      <c r="B732" s="4"/>
    </row>
    <row r="733" ht="16.5">
      <c r="B733" s="4"/>
    </row>
    <row r="734" ht="16.5">
      <c r="B734" s="4"/>
    </row>
    <row r="735" ht="16.5">
      <c r="B735" s="4"/>
    </row>
    <row r="736" ht="16.5">
      <c r="B736" s="4"/>
    </row>
    <row r="737" ht="16.5">
      <c r="B737" s="4"/>
    </row>
    <row r="738" ht="16.5">
      <c r="B738" s="4"/>
    </row>
    <row r="739" ht="16.5">
      <c r="B739" s="4"/>
    </row>
    <row r="740" ht="16.5">
      <c r="B740" s="4"/>
    </row>
    <row r="741" ht="16.5">
      <c r="B741" s="4"/>
    </row>
    <row r="742" ht="16.5">
      <c r="B742" s="4"/>
    </row>
    <row r="743" ht="16.5">
      <c r="B743" s="4"/>
    </row>
    <row r="744" ht="16.5">
      <c r="B744" s="4"/>
    </row>
    <row r="745" ht="16.5">
      <c r="B745" s="4"/>
    </row>
    <row r="746" ht="16.5">
      <c r="B746" s="4"/>
    </row>
    <row r="747" ht="16.5">
      <c r="B747" s="4"/>
    </row>
    <row r="748" ht="16.5">
      <c r="B748" s="4"/>
    </row>
    <row r="749" ht="16.5">
      <c r="B749" s="4"/>
    </row>
    <row r="750" ht="16.5">
      <c r="B750" s="4"/>
    </row>
    <row r="751" ht="16.5">
      <c r="B751" s="4"/>
    </row>
    <row r="752" ht="16.5">
      <c r="B752" s="4"/>
    </row>
    <row r="753" ht="16.5">
      <c r="B753" s="4"/>
    </row>
    <row r="754" ht="16.5">
      <c r="B754" s="4"/>
    </row>
    <row r="755" ht="16.5">
      <c r="B755" s="4"/>
    </row>
    <row r="756" ht="16.5">
      <c r="B756" s="4"/>
    </row>
    <row r="757" ht="16.5">
      <c r="B757" s="4"/>
    </row>
    <row r="758" ht="16.5">
      <c r="B758" s="4"/>
    </row>
    <row r="759" ht="16.5">
      <c r="B759" s="4"/>
    </row>
    <row r="760" ht="16.5">
      <c r="B760" s="4"/>
    </row>
    <row r="761" ht="16.5">
      <c r="B761" s="4"/>
    </row>
    <row r="762" ht="16.5">
      <c r="B762" s="4"/>
    </row>
    <row r="763" ht="16.5">
      <c r="B763" s="4"/>
    </row>
    <row r="764" ht="16.5">
      <c r="B764" s="4"/>
    </row>
    <row r="765" ht="16.5">
      <c r="B765" s="4"/>
    </row>
    <row r="766" ht="16.5">
      <c r="B766" s="4"/>
    </row>
    <row r="767" ht="16.5">
      <c r="B767" s="4"/>
    </row>
    <row r="768" ht="16.5">
      <c r="B768" s="4"/>
    </row>
    <row r="769" ht="16.5">
      <c r="B769" s="4"/>
    </row>
    <row r="770" ht="16.5">
      <c r="B770" s="4"/>
    </row>
    <row r="771" ht="16.5">
      <c r="B771" s="4"/>
    </row>
    <row r="772" ht="16.5">
      <c r="B772" s="4"/>
    </row>
    <row r="773" ht="16.5">
      <c r="B773" s="4"/>
    </row>
    <row r="774" ht="16.5">
      <c r="B774" s="4"/>
    </row>
    <row r="775" ht="16.5">
      <c r="B775" s="4"/>
    </row>
    <row r="776" ht="16.5">
      <c r="B776" s="4"/>
    </row>
    <row r="777" ht="16.5">
      <c r="B777" s="4"/>
    </row>
    <row r="778" ht="16.5">
      <c r="B778" s="4"/>
    </row>
    <row r="779" ht="16.5">
      <c r="B779" s="4"/>
    </row>
    <row r="780" ht="16.5">
      <c r="B780" s="4"/>
    </row>
    <row r="781" ht="16.5">
      <c r="B781" s="4"/>
    </row>
    <row r="782" ht="16.5">
      <c r="B782" s="4"/>
    </row>
    <row r="783" ht="16.5">
      <c r="B783" s="4"/>
    </row>
    <row r="784" ht="16.5">
      <c r="B784" s="4"/>
    </row>
    <row r="785" ht="16.5">
      <c r="B785" s="4"/>
    </row>
    <row r="786" ht="16.5">
      <c r="B786" s="4"/>
    </row>
    <row r="787" ht="16.5">
      <c r="B787" s="4"/>
    </row>
    <row r="788" ht="16.5">
      <c r="B788" s="4"/>
    </row>
    <row r="789" ht="16.5">
      <c r="B789" s="4"/>
    </row>
    <row r="790" ht="16.5">
      <c r="B790" s="4"/>
    </row>
    <row r="791" ht="16.5">
      <c r="B791" s="4"/>
    </row>
    <row r="792" ht="16.5">
      <c r="B792" s="4"/>
    </row>
    <row r="793" ht="16.5">
      <c r="B793" s="4"/>
    </row>
    <row r="794" ht="16.5">
      <c r="B794" s="4"/>
    </row>
    <row r="795" ht="16.5">
      <c r="B795" s="4"/>
    </row>
    <row r="796" ht="16.5">
      <c r="B796" s="4"/>
    </row>
    <row r="797" ht="16.5">
      <c r="B797" s="4"/>
    </row>
    <row r="798" ht="16.5">
      <c r="B798" s="4"/>
    </row>
    <row r="799" ht="16.5">
      <c r="B799" s="4"/>
    </row>
    <row r="800" ht="16.5">
      <c r="B800" s="4"/>
    </row>
    <row r="801" ht="16.5">
      <c r="B801" s="4"/>
    </row>
    <row r="802" ht="16.5">
      <c r="B802" s="4"/>
    </row>
    <row r="803" ht="16.5">
      <c r="B803" s="4"/>
    </row>
    <row r="804" ht="16.5">
      <c r="B804" s="4"/>
    </row>
    <row r="805" ht="16.5">
      <c r="B805" s="4"/>
    </row>
    <row r="806" ht="16.5">
      <c r="B806" s="4"/>
    </row>
    <row r="807" ht="16.5">
      <c r="B807" s="4"/>
    </row>
    <row r="808" ht="16.5">
      <c r="B808" s="4"/>
    </row>
    <row r="809" ht="16.5">
      <c r="B809" s="4"/>
    </row>
    <row r="810" ht="16.5">
      <c r="B810" s="4"/>
    </row>
    <row r="811" ht="16.5">
      <c r="B811" s="4"/>
    </row>
    <row r="812" ht="16.5">
      <c r="B812" s="4"/>
    </row>
    <row r="813" ht="16.5">
      <c r="B813" s="4"/>
    </row>
    <row r="814" ht="16.5">
      <c r="B814" s="4"/>
    </row>
    <row r="815" ht="16.5">
      <c r="B815" s="4"/>
    </row>
    <row r="816" ht="16.5">
      <c r="B816" s="4"/>
    </row>
    <row r="817" ht="16.5">
      <c r="B817" s="4"/>
    </row>
    <row r="818" ht="16.5">
      <c r="B818" s="4"/>
    </row>
    <row r="819" ht="16.5">
      <c r="B819" s="4"/>
    </row>
    <row r="820" ht="16.5">
      <c r="B820" s="4"/>
    </row>
    <row r="821" ht="16.5">
      <c r="B821" s="4"/>
    </row>
    <row r="822" ht="16.5">
      <c r="B822" s="4"/>
    </row>
    <row r="823" ht="16.5">
      <c r="B823" s="4"/>
    </row>
    <row r="824" ht="16.5">
      <c r="B824" s="4"/>
    </row>
    <row r="825" ht="16.5">
      <c r="B825" s="4"/>
    </row>
    <row r="826" ht="16.5">
      <c r="B826" s="4"/>
    </row>
    <row r="827" ht="16.5">
      <c r="B827" s="4"/>
    </row>
    <row r="828" ht="16.5">
      <c r="B828" s="4"/>
    </row>
    <row r="829" ht="16.5">
      <c r="B829" s="4"/>
    </row>
    <row r="830" ht="16.5">
      <c r="B830" s="4"/>
    </row>
    <row r="831" ht="16.5">
      <c r="B831" s="4"/>
    </row>
    <row r="832" ht="16.5">
      <c r="B832" s="4"/>
    </row>
    <row r="833" ht="16.5">
      <c r="B833" s="4"/>
    </row>
    <row r="834" ht="16.5">
      <c r="B834" s="4"/>
    </row>
    <row r="835" ht="16.5">
      <c r="B835" s="4"/>
    </row>
    <row r="836" ht="16.5">
      <c r="B836" s="4"/>
    </row>
    <row r="837" ht="16.5">
      <c r="B837" s="4"/>
    </row>
    <row r="838" ht="16.5">
      <c r="B838" s="4"/>
    </row>
    <row r="839" ht="16.5">
      <c r="B839" s="4"/>
    </row>
    <row r="840" ht="16.5">
      <c r="B840" s="4"/>
    </row>
    <row r="841" ht="16.5">
      <c r="B841" s="4"/>
    </row>
    <row r="842" ht="16.5">
      <c r="B842" s="4"/>
    </row>
    <row r="843" ht="16.5">
      <c r="B843" s="4"/>
    </row>
    <row r="844" ht="16.5">
      <c r="B844" s="4"/>
    </row>
    <row r="845" ht="16.5">
      <c r="B845" s="4"/>
    </row>
    <row r="846" ht="16.5">
      <c r="B846" s="4"/>
    </row>
    <row r="847" ht="16.5">
      <c r="B847" s="4"/>
    </row>
    <row r="848" ht="16.5">
      <c r="B848" s="4"/>
    </row>
    <row r="849" ht="16.5">
      <c r="B849" s="4"/>
    </row>
    <row r="850" ht="16.5">
      <c r="B850" s="4"/>
    </row>
    <row r="851" ht="16.5">
      <c r="B851" s="4"/>
    </row>
    <row r="852" ht="16.5">
      <c r="B852" s="4"/>
    </row>
    <row r="853" ht="16.5">
      <c r="B853" s="4"/>
    </row>
    <row r="854" ht="16.5">
      <c r="B854" s="4"/>
    </row>
    <row r="855" ht="16.5">
      <c r="B855" s="4"/>
    </row>
    <row r="856" ht="16.5">
      <c r="B856" s="4"/>
    </row>
    <row r="857" ht="16.5">
      <c r="B857" s="4"/>
    </row>
    <row r="858" ht="16.5">
      <c r="B858" s="4"/>
    </row>
    <row r="859" ht="16.5">
      <c r="B859" s="4"/>
    </row>
    <row r="860" ht="16.5">
      <c r="B860" s="4"/>
    </row>
    <row r="861" ht="16.5">
      <c r="B861" s="4"/>
    </row>
    <row r="862" ht="16.5">
      <c r="B862" s="4"/>
    </row>
    <row r="863" ht="16.5">
      <c r="B863" s="4"/>
    </row>
    <row r="864" ht="16.5">
      <c r="B864" s="4"/>
    </row>
    <row r="865" ht="16.5">
      <c r="B865" s="4"/>
    </row>
    <row r="866" ht="16.5">
      <c r="B866" s="4"/>
    </row>
    <row r="867" ht="16.5">
      <c r="B867" s="4"/>
    </row>
    <row r="868" ht="16.5">
      <c r="B868" s="4"/>
    </row>
    <row r="869" ht="16.5">
      <c r="B869" s="4"/>
    </row>
    <row r="870" ht="16.5">
      <c r="B870" s="4"/>
    </row>
    <row r="871" ht="16.5">
      <c r="B871" s="4"/>
    </row>
    <row r="872" ht="16.5">
      <c r="B872" s="4"/>
    </row>
    <row r="873" ht="16.5">
      <c r="B873" s="4"/>
    </row>
    <row r="874" ht="16.5">
      <c r="B874" s="4"/>
    </row>
    <row r="875" ht="16.5">
      <c r="B875" s="4"/>
    </row>
    <row r="876" ht="16.5">
      <c r="B876" s="4"/>
    </row>
    <row r="877" ht="16.5">
      <c r="B877" s="4"/>
    </row>
    <row r="878" ht="16.5">
      <c r="B878" s="4"/>
    </row>
    <row r="879" ht="16.5">
      <c r="B879" s="4"/>
    </row>
    <row r="880" ht="16.5">
      <c r="B880" s="4"/>
    </row>
    <row r="881" ht="16.5">
      <c r="B881" s="4"/>
    </row>
    <row r="882" ht="16.5">
      <c r="B882" s="4"/>
    </row>
    <row r="883" ht="16.5">
      <c r="B883" s="4"/>
    </row>
    <row r="884" ht="16.5">
      <c r="B884" s="4"/>
    </row>
    <row r="885" ht="16.5">
      <c r="B885" s="4"/>
    </row>
    <row r="886" ht="16.5">
      <c r="B886" s="4"/>
    </row>
    <row r="887" ht="16.5">
      <c r="B887" s="4"/>
    </row>
    <row r="888" ht="16.5">
      <c r="B888" s="4"/>
    </row>
    <row r="889" ht="16.5">
      <c r="B889" s="4"/>
    </row>
    <row r="890" ht="16.5">
      <c r="B890" s="4"/>
    </row>
    <row r="891" ht="16.5">
      <c r="B891" s="4"/>
    </row>
    <row r="892" ht="16.5">
      <c r="B892" s="4"/>
    </row>
    <row r="893" ht="16.5">
      <c r="B893" s="4"/>
    </row>
    <row r="894" ht="16.5">
      <c r="B894" s="4"/>
    </row>
    <row r="895" ht="16.5">
      <c r="B895" s="4"/>
    </row>
    <row r="896" ht="16.5">
      <c r="B896" s="4"/>
    </row>
    <row r="897" ht="16.5">
      <c r="B897" s="4"/>
    </row>
    <row r="898" ht="16.5">
      <c r="B898" s="4"/>
    </row>
    <row r="899" ht="16.5">
      <c r="B899" s="4"/>
    </row>
    <row r="900" ht="16.5">
      <c r="B900" s="4"/>
    </row>
  </sheetData>
  <sheetProtection/>
  <mergeCells count="19">
    <mergeCell ref="O11:O14"/>
    <mergeCell ref="O15:O18"/>
    <mergeCell ref="O19:O22"/>
    <mergeCell ref="A5:A6"/>
    <mergeCell ref="N19:N22"/>
    <mergeCell ref="N11:N14"/>
    <mergeCell ref="N15:N18"/>
    <mergeCell ref="P5:P6"/>
    <mergeCell ref="Q5:T5"/>
    <mergeCell ref="F5:I5"/>
    <mergeCell ref="K5:K6"/>
    <mergeCell ref="N5:N6"/>
    <mergeCell ref="O5:O6"/>
    <mergeCell ref="K1:N1"/>
    <mergeCell ref="A2:E2"/>
    <mergeCell ref="E5:E6"/>
    <mergeCell ref="D5:D6"/>
    <mergeCell ref="C5:C6"/>
    <mergeCell ref="B5:B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56"/>
  <sheetViews>
    <sheetView zoomScalePageLayoutView="0" workbookViewId="0" topLeftCell="B4">
      <pane xSplit="7" ySplit="5" topLeftCell="I9" activePane="bottomRight" state="frozen"/>
      <selection pane="topLeft" activeCell="BU18" sqref="BU18:CI18"/>
      <selection pane="topRight" activeCell="BU18" sqref="BU18:CI18"/>
      <selection pane="bottomLeft" activeCell="BU18" sqref="BU18:CI18"/>
      <selection pane="bottomRight" activeCell="BU18" sqref="BU18:CI18"/>
    </sheetView>
  </sheetViews>
  <sheetFormatPr defaultColWidth="9.140625" defaultRowHeight="12.75"/>
  <cols>
    <col min="2" max="2" width="61.7109375" style="0" customWidth="1"/>
    <col min="3" max="3" width="7.7109375" style="0" hidden="1" customWidth="1"/>
    <col min="4" max="4" width="7.57421875" style="0" hidden="1" customWidth="1"/>
    <col min="5" max="5" width="9.140625" style="0" hidden="1" customWidth="1"/>
    <col min="6" max="6" width="9.7109375" style="0" hidden="1" customWidth="1"/>
    <col min="7" max="7" width="0" style="0" hidden="1" customWidth="1"/>
    <col min="8" max="8" width="10.57421875" style="0" hidden="1" customWidth="1"/>
    <col min="9" max="9" width="9.00390625" style="0" customWidth="1"/>
    <col min="10" max="10" width="8.140625" style="0" customWidth="1"/>
    <col min="11" max="11" width="8.421875" style="0" customWidth="1"/>
    <col min="12" max="12" width="8.140625" style="0" customWidth="1"/>
    <col min="13" max="13" width="8.00390625" style="0" customWidth="1"/>
    <col min="14" max="14" width="8.421875" style="0" customWidth="1"/>
    <col min="15" max="16" width="8.421875" style="31" hidden="1" customWidth="1"/>
    <col min="21" max="21" width="13.57421875" style="0" customWidth="1"/>
    <col min="22" max="22" width="16.00390625" style="0" customWidth="1"/>
    <col min="24" max="24" width="10.8515625" style="0" customWidth="1"/>
  </cols>
  <sheetData>
    <row r="2" spans="2:18" ht="39.75" customHeight="1">
      <c r="B2" s="363" t="s">
        <v>273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4" spans="1:22" ht="30.75" customHeight="1">
      <c r="A4" s="360" t="s">
        <v>1</v>
      </c>
      <c r="B4" s="92"/>
      <c r="C4" s="356" t="s">
        <v>149</v>
      </c>
      <c r="D4" s="357"/>
      <c r="E4" s="361" t="s">
        <v>150</v>
      </c>
      <c r="F4" s="362"/>
      <c r="G4" s="361" t="s">
        <v>151</v>
      </c>
      <c r="H4" s="362"/>
      <c r="I4" s="354" t="s">
        <v>208</v>
      </c>
      <c r="J4" s="355"/>
      <c r="K4" s="354" t="s">
        <v>234</v>
      </c>
      <c r="L4" s="355"/>
      <c r="M4" s="354" t="s">
        <v>235</v>
      </c>
      <c r="N4" s="355"/>
      <c r="O4" s="354" t="s">
        <v>233</v>
      </c>
      <c r="P4" s="355"/>
      <c r="Q4" s="7" t="s">
        <v>262</v>
      </c>
      <c r="R4" s="93"/>
      <c r="S4" s="365" t="s">
        <v>152</v>
      </c>
      <c r="T4" s="366"/>
      <c r="U4" s="333" t="s">
        <v>153</v>
      </c>
      <c r="V4" s="364" t="s">
        <v>427</v>
      </c>
    </row>
    <row r="5" spans="1:22" ht="12.75">
      <c r="A5" s="360"/>
      <c r="B5" s="333" t="s">
        <v>154</v>
      </c>
      <c r="C5" s="356" t="s">
        <v>155</v>
      </c>
      <c r="D5" s="357"/>
      <c r="E5" s="356" t="s">
        <v>155</v>
      </c>
      <c r="F5" s="357"/>
      <c r="G5" s="356" t="s">
        <v>155</v>
      </c>
      <c r="H5" s="357"/>
      <c r="I5" s="356" t="s">
        <v>155</v>
      </c>
      <c r="J5" s="357"/>
      <c r="K5" s="356" t="s">
        <v>155</v>
      </c>
      <c r="L5" s="357"/>
      <c r="M5" s="356" t="s">
        <v>155</v>
      </c>
      <c r="N5" s="357"/>
      <c r="O5" s="356" t="s">
        <v>155</v>
      </c>
      <c r="P5" s="357"/>
      <c r="Q5" s="358" t="s">
        <v>156</v>
      </c>
      <c r="R5" s="358" t="s">
        <v>157</v>
      </c>
      <c r="S5" s="358" t="s">
        <v>156</v>
      </c>
      <c r="T5" s="358" t="s">
        <v>171</v>
      </c>
      <c r="U5" s="334"/>
      <c r="V5" s="334"/>
    </row>
    <row r="6" spans="1:22" ht="12.75">
      <c r="A6" s="360"/>
      <c r="B6" s="334"/>
      <c r="C6" s="5" t="s">
        <v>156</v>
      </c>
      <c r="D6" s="5" t="s">
        <v>157</v>
      </c>
      <c r="E6" s="5" t="s">
        <v>156</v>
      </c>
      <c r="F6" s="5" t="s">
        <v>157</v>
      </c>
      <c r="G6" s="5" t="s">
        <v>156</v>
      </c>
      <c r="H6" s="5" t="s">
        <v>157</v>
      </c>
      <c r="I6" s="5" t="s">
        <v>156</v>
      </c>
      <c r="J6" s="5" t="s">
        <v>157</v>
      </c>
      <c r="K6" s="5" t="s">
        <v>156</v>
      </c>
      <c r="L6" s="5" t="s">
        <v>157</v>
      </c>
      <c r="M6" s="5" t="s">
        <v>156</v>
      </c>
      <c r="N6" s="5" t="s">
        <v>157</v>
      </c>
      <c r="O6" s="5" t="s">
        <v>156</v>
      </c>
      <c r="P6" s="5" t="s">
        <v>157</v>
      </c>
      <c r="Q6" s="359"/>
      <c r="R6" s="359"/>
      <c r="S6" s="359"/>
      <c r="T6" s="359"/>
      <c r="U6" s="335"/>
      <c r="V6" s="335"/>
    </row>
    <row r="7" spans="1:22" s="31" customFormat="1" ht="12.75">
      <c r="A7" s="123"/>
      <c r="B7" s="110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76"/>
    </row>
    <row r="8" spans="1:22" ht="15">
      <c r="A8" s="96"/>
      <c r="B8" s="215" t="s">
        <v>258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23"/>
      <c r="P8" s="123"/>
      <c r="Q8" s="96"/>
      <c r="R8" s="96"/>
      <c r="S8" s="96"/>
      <c r="T8" s="96"/>
      <c r="U8" s="96"/>
      <c r="V8" s="111"/>
    </row>
    <row r="9" spans="1:22" s="121" customFormat="1" ht="27.75" customHeight="1">
      <c r="A9" s="119">
        <v>1</v>
      </c>
      <c r="B9" s="224" t="s">
        <v>94</v>
      </c>
      <c r="C9" s="119">
        <v>0.2</v>
      </c>
      <c r="D9" s="119"/>
      <c r="E9" s="119">
        <v>2.095</v>
      </c>
      <c r="F9" s="119"/>
      <c r="G9" s="119"/>
      <c r="H9" s="119"/>
      <c r="I9" s="119"/>
      <c r="J9" s="119"/>
      <c r="K9" s="119"/>
      <c r="L9" s="119"/>
      <c r="M9" s="219">
        <v>0.835</v>
      </c>
      <c r="N9" s="119"/>
      <c r="O9" s="119"/>
      <c r="P9" s="119"/>
      <c r="Q9" s="200">
        <f aca="true" t="shared" si="0" ref="Q9:R12">I9+K9+M9</f>
        <v>0.835</v>
      </c>
      <c r="R9" s="200">
        <f t="shared" si="0"/>
        <v>0</v>
      </c>
      <c r="S9" s="200">
        <f>Q9/3</f>
        <v>0.2783333333333333</v>
      </c>
      <c r="T9" s="171"/>
      <c r="U9" s="172">
        <f>'станд. ставки '!K11</f>
        <v>2382.035</v>
      </c>
      <c r="V9" s="173">
        <f>U9*S9</f>
        <v>662.9997416666666</v>
      </c>
    </row>
    <row r="10" spans="1:22" s="121" customFormat="1" ht="27.75" customHeight="1">
      <c r="A10" s="119">
        <v>1</v>
      </c>
      <c r="B10" s="224" t="s">
        <v>159</v>
      </c>
      <c r="C10" s="119">
        <v>0.2</v>
      </c>
      <c r="D10" s="119"/>
      <c r="E10" s="119">
        <v>2.095</v>
      </c>
      <c r="F10" s="119"/>
      <c r="G10" s="119"/>
      <c r="H10" s="119"/>
      <c r="I10" s="119"/>
      <c r="J10" s="119"/>
      <c r="K10" s="119"/>
      <c r="L10" s="119"/>
      <c r="M10" s="257"/>
      <c r="N10" s="119"/>
      <c r="O10" s="119"/>
      <c r="P10" s="119"/>
      <c r="Q10" s="200">
        <f>I10+K10+M10</f>
        <v>0</v>
      </c>
      <c r="R10" s="200">
        <f>J10+L10+N10</f>
        <v>0</v>
      </c>
      <c r="S10" s="200">
        <f>Q10/3</f>
        <v>0</v>
      </c>
      <c r="T10" s="171"/>
      <c r="U10" s="172">
        <f>'станд. ставки '!K17</f>
        <v>1440.328</v>
      </c>
      <c r="V10" s="173">
        <f>U10*S10</f>
        <v>0</v>
      </c>
    </row>
    <row r="11" spans="1:23" s="183" customFormat="1" ht="21" customHeight="1">
      <c r="A11" s="119">
        <v>2</v>
      </c>
      <c r="B11" s="97" t="s">
        <v>106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219">
        <v>40</v>
      </c>
      <c r="O11" s="119"/>
      <c r="P11" s="119"/>
      <c r="Q11" s="200">
        <f t="shared" si="0"/>
        <v>0</v>
      </c>
      <c r="R11" s="200">
        <f t="shared" si="0"/>
        <v>40</v>
      </c>
      <c r="S11" s="200">
        <f>Q11/3</f>
        <v>0</v>
      </c>
      <c r="T11" s="95">
        <v>1</v>
      </c>
      <c r="U11" s="172">
        <f>'станд. ставки '!K23</f>
        <v>276.532</v>
      </c>
      <c r="V11" s="173">
        <f>U11</f>
        <v>276.532</v>
      </c>
      <c r="W11" s="185"/>
    </row>
    <row r="12" spans="1:23" s="183" customFormat="1" ht="28.5" customHeight="1">
      <c r="A12" s="119">
        <v>3</v>
      </c>
      <c r="B12" s="97" t="s">
        <v>98</v>
      </c>
      <c r="C12" s="182"/>
      <c r="D12" s="182"/>
      <c r="E12" s="182"/>
      <c r="F12" s="182"/>
      <c r="G12" s="119"/>
      <c r="H12" s="119"/>
      <c r="I12" s="205"/>
      <c r="J12" s="119"/>
      <c r="K12" s="119"/>
      <c r="L12" s="119"/>
      <c r="M12" s="119"/>
      <c r="N12" s="119"/>
      <c r="O12" s="119"/>
      <c r="P12" s="119"/>
      <c r="Q12" s="200">
        <f t="shared" si="0"/>
        <v>0</v>
      </c>
      <c r="R12" s="200">
        <f t="shared" si="0"/>
        <v>0</v>
      </c>
      <c r="S12" s="200">
        <f>Q12/3</f>
        <v>0</v>
      </c>
      <c r="T12" s="171"/>
      <c r="U12" s="172">
        <f>U31</f>
        <v>2136.033</v>
      </c>
      <c r="V12" s="173">
        <f>U12*S12</f>
        <v>0</v>
      </c>
      <c r="W12" s="185"/>
    </row>
    <row r="13" spans="1:22" ht="15">
      <c r="A13" s="96"/>
      <c r="B13" s="11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123"/>
      <c r="P13" s="123"/>
      <c r="Q13" s="96"/>
      <c r="R13" s="96"/>
      <c r="S13" s="96"/>
      <c r="T13" s="96"/>
      <c r="U13" s="96"/>
      <c r="V13" s="111"/>
    </row>
    <row r="14" spans="1:22" ht="15">
      <c r="A14" s="96"/>
      <c r="B14" s="215" t="s">
        <v>259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123"/>
      <c r="P14" s="123"/>
      <c r="Q14" s="96"/>
      <c r="R14" s="96"/>
      <c r="S14" s="96"/>
      <c r="T14" s="96"/>
      <c r="U14" s="96"/>
      <c r="V14" s="111"/>
    </row>
    <row r="15" spans="1:22" ht="12.75">
      <c r="A15" s="96"/>
      <c r="B15" s="222" t="s">
        <v>419</v>
      </c>
      <c r="C15" s="169"/>
      <c r="D15" s="169"/>
      <c r="E15" s="169"/>
      <c r="F15" s="169"/>
      <c r="G15" s="169"/>
      <c r="H15" s="169"/>
      <c r="I15" s="119"/>
      <c r="J15" s="119"/>
      <c r="K15" s="119"/>
      <c r="L15" s="119"/>
      <c r="M15" s="119"/>
      <c r="N15" s="219">
        <v>1000</v>
      </c>
      <c r="O15" s="119"/>
      <c r="P15" s="119"/>
      <c r="Q15" s="171">
        <f>E15+G15+I15</f>
        <v>0</v>
      </c>
      <c r="R15" s="200">
        <f>J15+L15+N15</f>
        <v>1000</v>
      </c>
      <c r="S15" s="200">
        <f>Q15/3</f>
        <v>0</v>
      </c>
      <c r="T15" s="172">
        <v>4</v>
      </c>
      <c r="U15" s="172">
        <f>'станд. ставки '!K26</f>
        <v>869.834</v>
      </c>
      <c r="V15" s="173">
        <f>U15*T15</f>
        <v>3479.336</v>
      </c>
    </row>
    <row r="16" spans="1:22" s="114" customFormat="1" ht="12.75" customHeight="1">
      <c r="A16" s="112">
        <v>1</v>
      </c>
      <c r="B16" s="113" t="s">
        <v>245</v>
      </c>
      <c r="C16" s="119"/>
      <c r="D16" s="119"/>
      <c r="E16" s="119"/>
      <c r="F16" s="119">
        <v>100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71">
        <f>E16+G16+I16</f>
        <v>0</v>
      </c>
      <c r="R16" s="200">
        <f aca="true" t="shared" si="1" ref="R16:R27">J16+L16+N16</f>
        <v>0</v>
      </c>
      <c r="S16" s="200">
        <f aca="true" t="shared" si="2" ref="S16:S27">Q16/3</f>
        <v>0</v>
      </c>
      <c r="T16" s="172">
        <v>1</v>
      </c>
      <c r="U16" s="172">
        <f>'станд. ставки '!K27</f>
        <v>1546.779</v>
      </c>
      <c r="V16" s="173">
        <f>U16</f>
        <v>1546.779</v>
      </c>
    </row>
    <row r="17" spans="1:27" s="121" customFormat="1" ht="26.25">
      <c r="A17" s="119">
        <v>2</v>
      </c>
      <c r="B17" s="109" t="s">
        <v>159</v>
      </c>
      <c r="C17" s="119"/>
      <c r="D17" s="119"/>
      <c r="E17" s="119">
        <f>0.18</f>
        <v>0.18</v>
      </c>
      <c r="F17" s="119"/>
      <c r="G17" s="119">
        <v>0.144</v>
      </c>
      <c r="H17" s="119"/>
      <c r="I17" s="219">
        <v>0.195</v>
      </c>
      <c r="J17" s="119"/>
      <c r="K17" s="219">
        <v>0.013</v>
      </c>
      <c r="L17" s="119"/>
      <c r="M17" s="219">
        <f>0.045+0.056+0.045</f>
        <v>0.14600000000000002</v>
      </c>
      <c r="N17" s="119"/>
      <c r="O17" s="219">
        <f>0.03+0.152</f>
        <v>0.182</v>
      </c>
      <c r="P17" s="119"/>
      <c r="Q17" s="200">
        <f aca="true" t="shared" si="3" ref="Q17:Q28">I17+K17+M17</f>
        <v>0.35400000000000004</v>
      </c>
      <c r="R17" s="200">
        <f t="shared" si="1"/>
        <v>0</v>
      </c>
      <c r="S17" s="200">
        <f t="shared" si="2"/>
        <v>0.11800000000000001</v>
      </c>
      <c r="T17" s="171"/>
      <c r="U17" s="172">
        <f>'станд. ставки '!K17</f>
        <v>1440.328</v>
      </c>
      <c r="V17" s="173">
        <f>U17*S17</f>
        <v>169.958704</v>
      </c>
      <c r="W17" s="286" t="s">
        <v>428</v>
      </c>
      <c r="X17" s="286">
        <f>V9+V10+V12+V17+V18+V21+V22+V23+V24+V26+V27+V31+V32</f>
        <v>2495.251836</v>
      </c>
      <c r="Y17" s="218" t="s">
        <v>156</v>
      </c>
      <c r="Z17" s="286">
        <f>S9+S17+S23+S27+S31</f>
        <v>0.7426666666666666</v>
      </c>
      <c r="AA17" s="283">
        <f>X17/Z17</f>
        <v>3359.8543572710955</v>
      </c>
    </row>
    <row r="18" spans="1:27" s="121" customFormat="1" ht="26.25">
      <c r="A18" s="119"/>
      <c r="B18" s="109" t="s">
        <v>158</v>
      </c>
      <c r="C18" s="119"/>
      <c r="D18" s="119"/>
      <c r="E18" s="119"/>
      <c r="F18" s="119"/>
      <c r="G18" s="119">
        <v>0.186</v>
      </c>
      <c r="H18" s="119"/>
      <c r="I18" s="119"/>
      <c r="J18" s="119"/>
      <c r="K18" s="119"/>
      <c r="L18" s="119"/>
      <c r="M18" s="119"/>
      <c r="N18" s="119"/>
      <c r="O18" s="119"/>
      <c r="P18" s="119"/>
      <c r="Q18" s="200">
        <f t="shared" si="3"/>
        <v>0</v>
      </c>
      <c r="R18" s="200">
        <f t="shared" si="1"/>
        <v>0</v>
      </c>
      <c r="S18" s="200">
        <f t="shared" si="2"/>
        <v>0</v>
      </c>
      <c r="T18" s="171"/>
      <c r="U18" s="172">
        <f>'станд. ставки '!K9</f>
        <v>1554.149</v>
      </c>
      <c r="V18" s="173">
        <f>U18*S18</f>
        <v>0</v>
      </c>
      <c r="W18" s="283" t="s">
        <v>429</v>
      </c>
      <c r="X18" s="286">
        <f>V11+V15+V16+V20+V25+V30+V33+V34</f>
        <v>15363.937</v>
      </c>
      <c r="Y18" s="218" t="s">
        <v>430</v>
      </c>
      <c r="Z18" s="287">
        <f>(N11+N15+N35)*0.89</f>
        <v>925.6</v>
      </c>
      <c r="AA18" s="283">
        <f>X18/Z18</f>
        <v>16.598894770959376</v>
      </c>
    </row>
    <row r="19" spans="1:22" s="114" customFormat="1" ht="12.75">
      <c r="A19" s="112"/>
      <c r="B19" s="206" t="s">
        <v>164</v>
      </c>
      <c r="C19" s="119"/>
      <c r="D19" s="119"/>
      <c r="E19" s="119">
        <v>0.07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200">
        <f t="shared" si="3"/>
        <v>0</v>
      </c>
      <c r="R19" s="200">
        <f t="shared" si="1"/>
        <v>0</v>
      </c>
      <c r="S19" s="200">
        <f t="shared" si="2"/>
        <v>0</v>
      </c>
      <c r="T19" s="171"/>
      <c r="U19" s="172">
        <f>'станд. ставки '!K44</f>
        <v>4629.221</v>
      </c>
      <c r="V19" s="173">
        <f>U19*S19</f>
        <v>0</v>
      </c>
    </row>
    <row r="20" spans="1:24" s="114" customFormat="1" ht="12.75">
      <c r="A20" s="112"/>
      <c r="B20" s="207" t="s">
        <v>246</v>
      </c>
      <c r="C20" s="119"/>
      <c r="D20" s="119"/>
      <c r="E20" s="119"/>
      <c r="F20" s="119">
        <v>160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200">
        <f t="shared" si="3"/>
        <v>0</v>
      </c>
      <c r="R20" s="200">
        <f t="shared" si="1"/>
        <v>0</v>
      </c>
      <c r="S20" s="200">
        <f t="shared" si="2"/>
        <v>0</v>
      </c>
      <c r="T20" s="172">
        <v>1</v>
      </c>
      <c r="U20" s="172">
        <f>'станд. ставки '!K28</f>
        <v>2117.058</v>
      </c>
      <c r="V20" s="173">
        <f>U20</f>
        <v>2117.058</v>
      </c>
      <c r="X20" s="288">
        <f>X17+X18</f>
        <v>17859.188836</v>
      </c>
    </row>
    <row r="21" spans="1:22" s="121" customFormat="1" ht="26.25">
      <c r="A21" s="119"/>
      <c r="B21" s="109" t="s">
        <v>162</v>
      </c>
      <c r="C21" s="119">
        <v>0.2</v>
      </c>
      <c r="D21" s="119"/>
      <c r="E21" s="119">
        <v>2.095</v>
      </c>
      <c r="F21" s="119"/>
      <c r="G21" s="119"/>
      <c r="H21" s="119"/>
      <c r="I21" s="119"/>
      <c r="J21" s="119"/>
      <c r="K21" s="119"/>
      <c r="L21" s="119"/>
      <c r="M21" s="219">
        <v>1.2</v>
      </c>
      <c r="N21" s="119"/>
      <c r="O21" s="219">
        <f>0.42+0.06+0.054+0.355</f>
        <v>0.889</v>
      </c>
      <c r="P21" s="119"/>
      <c r="Q21" s="200">
        <f>I21+K21+M21</f>
        <v>1.2</v>
      </c>
      <c r="R21" s="200">
        <f t="shared" si="1"/>
        <v>0</v>
      </c>
      <c r="S21" s="200">
        <f t="shared" si="2"/>
        <v>0.39999999999999997</v>
      </c>
      <c r="T21" s="171"/>
      <c r="U21" s="172">
        <f>'станд. ставки '!K19</f>
        <v>2285.43</v>
      </c>
      <c r="V21" s="173">
        <f>U21*S21</f>
        <v>914.1719999999999</v>
      </c>
    </row>
    <row r="22" spans="1:22" s="121" customFormat="1" ht="26.25">
      <c r="A22" s="119"/>
      <c r="B22" s="109" t="s">
        <v>94</v>
      </c>
      <c r="C22" s="119">
        <v>0.2</v>
      </c>
      <c r="D22" s="119"/>
      <c r="E22" s="119">
        <v>2.095</v>
      </c>
      <c r="F22" s="119"/>
      <c r="G22" s="119"/>
      <c r="H22" s="119"/>
      <c r="I22" s="119"/>
      <c r="J22" s="119"/>
      <c r="K22" s="119"/>
      <c r="L22" s="119"/>
      <c r="M22" s="257"/>
      <c r="N22" s="119"/>
      <c r="O22" s="219">
        <f>0.42+0.06+0.054+0.355</f>
        <v>0.889</v>
      </c>
      <c r="P22" s="119"/>
      <c r="Q22" s="200">
        <f>I22+K22+M22</f>
        <v>0</v>
      </c>
      <c r="R22" s="200">
        <f>J22+L22+N22</f>
        <v>0</v>
      </c>
      <c r="S22" s="200">
        <f>Q22/3</f>
        <v>0</v>
      </c>
      <c r="T22" s="171"/>
      <c r="U22" s="172">
        <f>'станд. ставки '!K11</f>
        <v>2382.035</v>
      </c>
      <c r="V22" s="173">
        <f>U22*S22</f>
        <v>0</v>
      </c>
    </row>
    <row r="23" spans="1:25" s="121" customFormat="1" ht="26.25">
      <c r="A23" s="119">
        <v>3</v>
      </c>
      <c r="B23" s="109" t="s">
        <v>160</v>
      </c>
      <c r="C23" s="119"/>
      <c r="D23" s="119"/>
      <c r="E23" s="119">
        <v>0.6</v>
      </c>
      <c r="F23" s="119"/>
      <c r="G23" s="119"/>
      <c r="H23" s="119"/>
      <c r="I23" s="119"/>
      <c r="J23" s="119"/>
      <c r="K23" s="119"/>
      <c r="L23" s="119"/>
      <c r="M23" s="219">
        <v>0.064</v>
      </c>
      <c r="N23" s="119"/>
      <c r="O23" s="119"/>
      <c r="P23" s="119"/>
      <c r="Q23" s="200">
        <f t="shared" si="3"/>
        <v>0.064</v>
      </c>
      <c r="R23" s="200">
        <f t="shared" si="1"/>
        <v>0</v>
      </c>
      <c r="S23" s="200">
        <f t="shared" si="2"/>
        <v>0.021333333333333333</v>
      </c>
      <c r="T23" s="171"/>
      <c r="U23" s="172">
        <f>'станд. ставки '!K16</f>
        <v>2782.639</v>
      </c>
      <c r="V23" s="173">
        <f>U23*S23</f>
        <v>59.362965333333335</v>
      </c>
      <c r="W23" s="218"/>
      <c r="X23" s="120"/>
      <c r="Y23" s="218"/>
    </row>
    <row r="24" spans="1:25" s="121" customFormat="1" ht="26.25">
      <c r="A24" s="119">
        <v>4</v>
      </c>
      <c r="B24" s="109" t="s">
        <v>163</v>
      </c>
      <c r="C24" s="119"/>
      <c r="D24" s="119"/>
      <c r="E24" s="119">
        <v>0.07</v>
      </c>
      <c r="F24" s="119"/>
      <c r="G24" s="119"/>
      <c r="H24" s="119"/>
      <c r="I24" s="119"/>
      <c r="J24" s="119"/>
      <c r="K24" s="119"/>
      <c r="L24" s="119"/>
      <c r="M24" s="119"/>
      <c r="N24" s="119"/>
      <c r="O24" s="219">
        <v>0.16</v>
      </c>
      <c r="P24" s="119"/>
      <c r="Q24" s="200">
        <f t="shared" si="3"/>
        <v>0</v>
      </c>
      <c r="R24" s="200">
        <f t="shared" si="1"/>
        <v>0</v>
      </c>
      <c r="S24" s="200">
        <f t="shared" si="2"/>
        <v>0</v>
      </c>
      <c r="T24" s="171"/>
      <c r="U24" s="172">
        <f>'станд. ставки '!K21</f>
        <v>1638.844</v>
      </c>
      <c r="V24" s="173">
        <f>U24*S24</f>
        <v>0</v>
      </c>
      <c r="W24" s="218"/>
      <c r="X24" s="120"/>
      <c r="Y24" s="218"/>
    </row>
    <row r="25" spans="1:23" s="114" customFormat="1" ht="12.75">
      <c r="A25" s="112"/>
      <c r="B25" s="207" t="s">
        <v>252</v>
      </c>
      <c r="C25" s="119"/>
      <c r="D25" s="119"/>
      <c r="E25" s="119"/>
      <c r="F25" s="119"/>
      <c r="G25" s="119"/>
      <c r="H25" s="119">
        <v>400</v>
      </c>
      <c r="I25" s="119"/>
      <c r="J25" s="119"/>
      <c r="K25" s="119"/>
      <c r="L25" s="119"/>
      <c r="M25" s="119"/>
      <c r="N25" s="119"/>
      <c r="O25" s="119"/>
      <c r="P25" s="119"/>
      <c r="Q25" s="200">
        <f t="shared" si="3"/>
        <v>0</v>
      </c>
      <c r="R25" s="200">
        <f t="shared" si="1"/>
        <v>0</v>
      </c>
      <c r="S25" s="200">
        <f t="shared" si="2"/>
        <v>0</v>
      </c>
      <c r="T25" s="172">
        <v>1</v>
      </c>
      <c r="U25" s="172">
        <f>'станд. ставки '!K34</f>
        <v>4853.287</v>
      </c>
      <c r="V25" s="173">
        <f>U25</f>
        <v>4853.287</v>
      </c>
      <c r="W25" s="115"/>
    </row>
    <row r="26" spans="1:22" s="121" customFormat="1" ht="26.25">
      <c r="A26" s="119"/>
      <c r="B26" s="109" t="s">
        <v>161</v>
      </c>
      <c r="C26" s="119"/>
      <c r="D26" s="119"/>
      <c r="E26" s="119">
        <v>0.116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200">
        <f t="shared" si="3"/>
        <v>0</v>
      </c>
      <c r="R26" s="200">
        <f t="shared" si="1"/>
        <v>0</v>
      </c>
      <c r="S26" s="200">
        <f t="shared" si="2"/>
        <v>0</v>
      </c>
      <c r="T26" s="171"/>
      <c r="U26" s="172">
        <f>'станд. ставки '!K13</f>
        <v>1764.604</v>
      </c>
      <c r="V26" s="173">
        <f aca="true" t="shared" si="4" ref="V26:V32">U26*S26</f>
        <v>0</v>
      </c>
    </row>
    <row r="27" spans="1:23" s="183" customFormat="1" ht="36" customHeight="1">
      <c r="A27" s="119">
        <v>5</v>
      </c>
      <c r="B27" s="109" t="s">
        <v>101</v>
      </c>
      <c r="C27" s="119"/>
      <c r="D27" s="119"/>
      <c r="E27" s="119"/>
      <c r="F27" s="119"/>
      <c r="G27" s="119"/>
      <c r="H27" s="119"/>
      <c r="I27" s="219">
        <v>0.3</v>
      </c>
      <c r="J27" s="119"/>
      <c r="K27" s="119"/>
      <c r="L27" s="119"/>
      <c r="M27" s="119"/>
      <c r="N27" s="119"/>
      <c r="O27" s="119"/>
      <c r="P27" s="119"/>
      <c r="Q27" s="200">
        <f t="shared" si="3"/>
        <v>0.3</v>
      </c>
      <c r="R27" s="200">
        <f t="shared" si="1"/>
        <v>0</v>
      </c>
      <c r="S27" s="200">
        <f t="shared" si="2"/>
        <v>0.09999999999999999</v>
      </c>
      <c r="T27" s="171"/>
      <c r="U27" s="172">
        <f>'станд. ставки '!K18</f>
        <v>2081.51</v>
      </c>
      <c r="V27" s="173">
        <f t="shared" si="4"/>
        <v>208.151</v>
      </c>
      <c r="W27" s="185"/>
    </row>
    <row r="28" spans="1:23" s="183" customFormat="1" ht="25.5" customHeight="1">
      <c r="A28" s="119">
        <v>6</v>
      </c>
      <c r="B28" s="209" t="s">
        <v>274</v>
      </c>
      <c r="C28" s="182"/>
      <c r="D28" s="182"/>
      <c r="E28" s="119"/>
      <c r="F28" s="119"/>
      <c r="G28" s="119"/>
      <c r="H28" s="119"/>
      <c r="I28" s="119"/>
      <c r="J28" s="219">
        <v>2</v>
      </c>
      <c r="K28" s="119"/>
      <c r="L28" s="119"/>
      <c r="M28" s="119"/>
      <c r="N28" s="119"/>
      <c r="O28" s="119"/>
      <c r="P28" s="119"/>
      <c r="Q28" s="200">
        <f t="shared" si="3"/>
        <v>0</v>
      </c>
      <c r="R28" s="200">
        <f aca="true" t="shared" si="5" ref="R28:R34">J28+L28+N28</f>
        <v>2</v>
      </c>
      <c r="S28" s="200"/>
      <c r="T28" s="95">
        <v>2</v>
      </c>
      <c r="U28" s="168">
        <f>'станд. ставки '!K46</f>
        <v>245.706</v>
      </c>
      <c r="V28" s="204">
        <f>T28*U28</f>
        <v>491.412</v>
      </c>
      <c r="W28" s="185"/>
    </row>
    <row r="29" spans="1:23" s="183" customFormat="1" ht="23.25" customHeight="1">
      <c r="A29" s="119">
        <v>7</v>
      </c>
      <c r="B29" s="209" t="s">
        <v>255</v>
      </c>
      <c r="C29" s="182"/>
      <c r="D29" s="182"/>
      <c r="E29" s="201"/>
      <c r="F29" s="201"/>
      <c r="G29" s="201"/>
      <c r="H29" s="201"/>
      <c r="I29" s="201"/>
      <c r="J29" s="220">
        <v>1</v>
      </c>
      <c r="K29" s="201"/>
      <c r="L29" s="220">
        <v>1</v>
      </c>
      <c r="M29" s="201"/>
      <c r="N29" s="201"/>
      <c r="O29" s="201"/>
      <c r="P29" s="201"/>
      <c r="Q29" s="202">
        <f aca="true" t="shared" si="6" ref="Q29:Q35">I29+K29+M29</f>
        <v>0</v>
      </c>
      <c r="R29" s="202">
        <f t="shared" si="5"/>
        <v>2</v>
      </c>
      <c r="S29" s="200"/>
      <c r="T29" s="214">
        <v>2</v>
      </c>
      <c r="U29" s="208">
        <f>'станд. ставки '!K45</f>
        <v>168.032</v>
      </c>
      <c r="V29" s="204">
        <f>T29*U29</f>
        <v>336.064</v>
      </c>
      <c r="W29" s="185"/>
    </row>
    <row r="30" spans="1:23" s="183" customFormat="1" ht="20.25" customHeight="1">
      <c r="A30" s="119">
        <v>8</v>
      </c>
      <c r="B30" s="113" t="s">
        <v>248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201"/>
      <c r="P30" s="201"/>
      <c r="Q30" s="202">
        <f t="shared" si="6"/>
        <v>0</v>
      </c>
      <c r="R30" s="202">
        <f t="shared" si="5"/>
        <v>0</v>
      </c>
      <c r="S30" s="202">
        <f aca="true" t="shared" si="7" ref="S30:S35">Q30/3</f>
        <v>0</v>
      </c>
      <c r="T30" s="203">
        <v>1</v>
      </c>
      <c r="U30" s="172">
        <f>'станд. ставки '!K30</f>
        <v>2261.349</v>
      </c>
      <c r="V30" s="204">
        <f>U30*T30</f>
        <v>2261.349</v>
      </c>
      <c r="W30" s="185"/>
    </row>
    <row r="31" spans="1:23" s="183" customFormat="1" ht="28.5" customHeight="1">
      <c r="A31" s="119">
        <v>9</v>
      </c>
      <c r="B31" s="221" t="s">
        <v>98</v>
      </c>
      <c r="C31" s="182"/>
      <c r="D31" s="182"/>
      <c r="E31" s="182"/>
      <c r="F31" s="182"/>
      <c r="G31" s="119"/>
      <c r="H31" s="119"/>
      <c r="I31" s="205"/>
      <c r="J31" s="119"/>
      <c r="K31" s="219">
        <v>0.038</v>
      </c>
      <c r="L31" s="119"/>
      <c r="M31" s="219">
        <f>0.137+0.5</f>
        <v>0.637</v>
      </c>
      <c r="N31" s="119"/>
      <c r="O31" s="219">
        <f>0.066+0.029+0.16</f>
        <v>0.255</v>
      </c>
      <c r="P31" s="119"/>
      <c r="Q31" s="200">
        <f t="shared" si="6"/>
        <v>0.675</v>
      </c>
      <c r="R31" s="200">
        <f t="shared" si="5"/>
        <v>0</v>
      </c>
      <c r="S31" s="200">
        <f t="shared" si="7"/>
        <v>0.225</v>
      </c>
      <c r="T31" s="171"/>
      <c r="U31" s="172">
        <f>'станд. ставки '!K15</f>
        <v>2136.033</v>
      </c>
      <c r="V31" s="173">
        <f t="shared" si="4"/>
        <v>480.607425</v>
      </c>
      <c r="W31" s="185"/>
    </row>
    <row r="32" spans="1:23" s="183" customFormat="1" ht="42" customHeight="1">
      <c r="A32" s="182"/>
      <c r="B32" s="221" t="s">
        <v>105</v>
      </c>
      <c r="C32" s="182"/>
      <c r="D32" s="182"/>
      <c r="E32" s="182"/>
      <c r="F32" s="182"/>
      <c r="G32" s="119"/>
      <c r="H32" s="119"/>
      <c r="I32" s="205"/>
      <c r="J32" s="119"/>
      <c r="K32" s="119"/>
      <c r="L32" s="119"/>
      <c r="M32" s="119"/>
      <c r="N32" s="119"/>
      <c r="O32" s="119"/>
      <c r="P32" s="119"/>
      <c r="Q32" s="200">
        <f t="shared" si="6"/>
        <v>0</v>
      </c>
      <c r="R32" s="200">
        <f t="shared" si="5"/>
        <v>0</v>
      </c>
      <c r="S32" s="200">
        <f t="shared" si="7"/>
        <v>0</v>
      </c>
      <c r="T32" s="171"/>
      <c r="U32" s="172">
        <f>'станд. ставки '!K22</f>
        <v>2568.145</v>
      </c>
      <c r="V32" s="173">
        <f t="shared" si="4"/>
        <v>0</v>
      </c>
      <c r="W32" s="185"/>
    </row>
    <row r="33" spans="1:22" s="185" customFormat="1" ht="21" customHeight="1">
      <c r="A33" s="226"/>
      <c r="B33" s="97" t="s">
        <v>275</v>
      </c>
      <c r="C33" s="258"/>
      <c r="D33" s="258"/>
      <c r="E33" s="258"/>
      <c r="F33" s="258"/>
      <c r="G33" s="259"/>
      <c r="H33" s="259"/>
      <c r="I33" s="259"/>
      <c r="J33" s="259"/>
      <c r="K33" s="259"/>
      <c r="L33" s="259"/>
      <c r="M33" s="259"/>
      <c r="N33" s="259"/>
      <c r="O33" s="259"/>
      <c r="P33" s="260">
        <v>250</v>
      </c>
      <c r="Q33" s="259">
        <f>I33+K33+M33</f>
        <v>0</v>
      </c>
      <c r="R33" s="259">
        <f>J33+L33+N33</f>
        <v>0</v>
      </c>
      <c r="S33" s="259">
        <f t="shared" si="7"/>
        <v>0</v>
      </c>
      <c r="T33" s="261">
        <v>1</v>
      </c>
      <c r="U33" s="263"/>
      <c r="V33" s="262">
        <f>U33*T33</f>
        <v>0</v>
      </c>
    </row>
    <row r="34" spans="1:23" s="183" customFormat="1" ht="21" customHeight="1">
      <c r="A34" s="182"/>
      <c r="B34" s="210" t="s">
        <v>106</v>
      </c>
      <c r="C34" s="182"/>
      <c r="D34" s="182"/>
      <c r="E34" s="182"/>
      <c r="F34" s="182"/>
      <c r="G34" s="119"/>
      <c r="H34" s="119"/>
      <c r="I34" s="119"/>
      <c r="J34" s="119"/>
      <c r="K34" s="119"/>
      <c r="L34" s="119"/>
      <c r="M34" s="119"/>
      <c r="N34" s="119"/>
      <c r="O34" s="119"/>
      <c r="P34" s="219">
        <f>40</f>
        <v>40</v>
      </c>
      <c r="Q34" s="200">
        <f t="shared" si="6"/>
        <v>0</v>
      </c>
      <c r="R34" s="200">
        <f t="shared" si="5"/>
        <v>0</v>
      </c>
      <c r="S34" s="200">
        <f t="shared" si="7"/>
        <v>0</v>
      </c>
      <c r="T34" s="95">
        <v>3</v>
      </c>
      <c r="U34" s="172">
        <f>'станд. ставки '!K23</f>
        <v>276.532</v>
      </c>
      <c r="V34" s="173">
        <f>U34*T34</f>
        <v>829.596</v>
      </c>
      <c r="W34" s="185"/>
    </row>
    <row r="35" spans="1:23" s="183" customFormat="1" ht="18" customHeight="1">
      <c r="A35" s="182"/>
      <c r="B35" s="113" t="s">
        <v>106</v>
      </c>
      <c r="C35" s="182"/>
      <c r="D35" s="182"/>
      <c r="E35" s="182"/>
      <c r="F35" s="182"/>
      <c r="G35" s="119"/>
      <c r="H35" s="119"/>
      <c r="I35" s="119"/>
      <c r="J35" s="119"/>
      <c r="K35" s="119"/>
      <c r="L35" s="119"/>
      <c r="M35" s="119"/>
      <c r="N35" s="119"/>
      <c r="O35" s="119"/>
      <c r="P35" s="219">
        <v>40</v>
      </c>
      <c r="Q35" s="171">
        <f t="shared" si="6"/>
        <v>0</v>
      </c>
      <c r="R35" s="171">
        <f>J35+L35+N35</f>
        <v>0</v>
      </c>
      <c r="S35" s="171">
        <f t="shared" si="7"/>
        <v>0</v>
      </c>
      <c r="T35" s="171">
        <v>1</v>
      </c>
      <c r="U35" s="172">
        <f>'станд. ставки '!K23</f>
        <v>276.532</v>
      </c>
      <c r="V35" s="173">
        <f>U35*T35</f>
        <v>276.532</v>
      </c>
      <c r="W35" s="185"/>
    </row>
    <row r="36" spans="1:22" s="114" customFormat="1" ht="12.75">
      <c r="A36" s="116"/>
      <c r="B36" s="117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70"/>
      <c r="R36" s="170"/>
      <c r="S36" s="170"/>
      <c r="T36" s="170"/>
      <c r="U36" s="174"/>
      <c r="V36" s="175"/>
    </row>
    <row r="37" spans="1:22" s="114" customFormat="1" ht="15">
      <c r="A37" s="116"/>
      <c r="B37" s="215" t="s">
        <v>260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70"/>
      <c r="R37" s="170"/>
      <c r="S37" s="170"/>
      <c r="T37" s="170"/>
      <c r="U37" s="174"/>
      <c r="V37" s="175"/>
    </row>
    <row r="38" spans="1:22" s="121" customFormat="1" ht="26.25">
      <c r="A38" s="119">
        <v>1</v>
      </c>
      <c r="B38" s="109" t="s">
        <v>160</v>
      </c>
      <c r="C38" s="119">
        <v>0.09</v>
      </c>
      <c r="D38" s="119"/>
      <c r="E38" s="119"/>
      <c r="F38" s="119"/>
      <c r="G38" s="119">
        <v>0.186</v>
      </c>
      <c r="H38" s="119"/>
      <c r="I38" s="219">
        <f>0.25+0.5</f>
        <v>0.75</v>
      </c>
      <c r="J38" s="119"/>
      <c r="K38" s="119"/>
      <c r="L38" s="119"/>
      <c r="M38" s="119"/>
      <c r="N38" s="119"/>
      <c r="O38" s="219">
        <v>0.203</v>
      </c>
      <c r="P38" s="119"/>
      <c r="Q38" s="200">
        <f aca="true" t="shared" si="8" ref="Q38:Q44">I38+K38+M38</f>
        <v>0.75</v>
      </c>
      <c r="R38" s="171">
        <f>F38+H38+J38</f>
        <v>0</v>
      </c>
      <c r="S38" s="171">
        <f aca="true" t="shared" si="9" ref="S38:S44">Q38/3</f>
        <v>0.25</v>
      </c>
      <c r="T38" s="171"/>
      <c r="U38" s="172">
        <f>'станд. ставки '!K16</f>
        <v>2782.639</v>
      </c>
      <c r="V38" s="173">
        <f>U38*S38</f>
        <v>695.65975</v>
      </c>
    </row>
    <row r="39" spans="1:23" s="121" customFormat="1" ht="26.25">
      <c r="A39" s="119">
        <v>2</v>
      </c>
      <c r="B39" s="109" t="s">
        <v>159</v>
      </c>
      <c r="C39" s="119"/>
      <c r="D39" s="119"/>
      <c r="E39" s="119">
        <f>0.18</f>
        <v>0.18</v>
      </c>
      <c r="F39" s="119"/>
      <c r="G39" s="119">
        <v>0.144</v>
      </c>
      <c r="H39" s="119"/>
      <c r="I39" s="119"/>
      <c r="J39" s="119"/>
      <c r="K39" s="119"/>
      <c r="L39" s="119"/>
      <c r="M39" s="119"/>
      <c r="N39" s="119"/>
      <c r="O39" s="219">
        <v>0.06</v>
      </c>
      <c r="P39" s="119"/>
      <c r="Q39" s="200">
        <f t="shared" si="8"/>
        <v>0</v>
      </c>
      <c r="R39" s="200">
        <f>J39+L39+N39</f>
        <v>0</v>
      </c>
      <c r="S39" s="200">
        <f t="shared" si="9"/>
        <v>0</v>
      </c>
      <c r="T39" s="171"/>
      <c r="U39" s="172">
        <f>U17</f>
        <v>1440.328</v>
      </c>
      <c r="V39" s="173">
        <f>U39*S39</f>
        <v>0</v>
      </c>
      <c r="W39" s="120"/>
    </row>
    <row r="40" spans="1:22" s="121" customFormat="1" ht="26.25">
      <c r="A40" s="119"/>
      <c r="B40" s="109" t="s">
        <v>94</v>
      </c>
      <c r="C40" s="119">
        <v>0.2</v>
      </c>
      <c r="D40" s="119"/>
      <c r="E40" s="119">
        <v>2.095</v>
      </c>
      <c r="F40" s="119"/>
      <c r="G40" s="119"/>
      <c r="H40" s="119"/>
      <c r="I40" s="119"/>
      <c r="J40" s="119"/>
      <c r="K40" s="119"/>
      <c r="L40" s="119"/>
      <c r="M40" s="219">
        <v>13.5</v>
      </c>
      <c r="N40" s="119"/>
      <c r="O40" s="219">
        <f>0.42+0.06+0.054+0.355</f>
        <v>0.889</v>
      </c>
      <c r="P40" s="119"/>
      <c r="Q40" s="200">
        <f>I40+K40+M40</f>
        <v>13.5</v>
      </c>
      <c r="R40" s="200">
        <f>J40+L40+N40</f>
        <v>0</v>
      </c>
      <c r="S40" s="200">
        <f t="shared" si="9"/>
        <v>4.5</v>
      </c>
      <c r="T40" s="171"/>
      <c r="U40" s="172">
        <f>'станд. ставки '!K11</f>
        <v>2382.035</v>
      </c>
      <c r="V40" s="173">
        <f>U40*S40</f>
        <v>10719.1575</v>
      </c>
    </row>
    <row r="41" spans="1:23" s="183" customFormat="1" ht="20.25" customHeight="1">
      <c r="A41" s="119">
        <v>3</v>
      </c>
      <c r="B41" s="207" t="s">
        <v>248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219">
        <v>400</v>
      </c>
      <c r="Q41" s="200">
        <f t="shared" si="8"/>
        <v>0</v>
      </c>
      <c r="R41" s="200">
        <f>J41+L41+N41</f>
        <v>0</v>
      </c>
      <c r="S41" s="200">
        <f t="shared" si="9"/>
        <v>0</v>
      </c>
      <c r="T41" s="171">
        <v>1</v>
      </c>
      <c r="U41" s="172">
        <f>U30</f>
        <v>2261.349</v>
      </c>
      <c r="V41" s="173">
        <f>U41*T41</f>
        <v>2261.349</v>
      </c>
      <c r="W41" s="185"/>
    </row>
    <row r="42" spans="1:23" s="114" customFormat="1" ht="12.75">
      <c r="A42" s="112">
        <v>10</v>
      </c>
      <c r="B42" s="113" t="s">
        <v>252</v>
      </c>
      <c r="C42" s="119"/>
      <c r="D42" s="119"/>
      <c r="E42" s="119"/>
      <c r="F42" s="119">
        <v>400</v>
      </c>
      <c r="G42" s="119"/>
      <c r="H42" s="119">
        <v>1200</v>
      </c>
      <c r="I42" s="119"/>
      <c r="J42" s="119"/>
      <c r="K42" s="119"/>
      <c r="L42" s="119"/>
      <c r="M42" s="119"/>
      <c r="N42" s="119"/>
      <c r="O42" s="119"/>
      <c r="P42" s="119"/>
      <c r="Q42" s="200">
        <f t="shared" si="8"/>
        <v>0</v>
      </c>
      <c r="R42" s="171">
        <f>F42+H42+J42</f>
        <v>1600</v>
      </c>
      <c r="S42" s="171">
        <f t="shared" si="9"/>
        <v>0</v>
      </c>
      <c r="T42" s="172">
        <v>1</v>
      </c>
      <c r="U42" s="172">
        <f>U25</f>
        <v>4853.287</v>
      </c>
      <c r="V42" s="173">
        <f>U42</f>
        <v>4853.287</v>
      </c>
      <c r="W42" s="115"/>
    </row>
    <row r="43" spans="1:23" s="114" customFormat="1" ht="26.25">
      <c r="A43" s="116">
        <v>13</v>
      </c>
      <c r="B43" s="225" t="s">
        <v>102</v>
      </c>
      <c r="C43" s="182"/>
      <c r="D43" s="182"/>
      <c r="E43" s="201"/>
      <c r="F43" s="201"/>
      <c r="G43" s="201">
        <v>0.25</v>
      </c>
      <c r="H43" s="201"/>
      <c r="I43" s="201"/>
      <c r="J43" s="119"/>
      <c r="K43" s="119"/>
      <c r="L43" s="119"/>
      <c r="M43" s="119"/>
      <c r="N43" s="119"/>
      <c r="O43" s="119"/>
      <c r="P43" s="119"/>
      <c r="Q43" s="200">
        <f t="shared" si="8"/>
        <v>0</v>
      </c>
      <c r="R43" s="171">
        <f>F43+H43+J43</f>
        <v>0</v>
      </c>
      <c r="S43" s="171">
        <f t="shared" si="9"/>
        <v>0</v>
      </c>
      <c r="T43" s="172"/>
      <c r="U43" s="172">
        <f>'станд. ставки '!K19</f>
        <v>2285.43</v>
      </c>
      <c r="V43" s="173">
        <f>U43*S43</f>
        <v>0</v>
      </c>
      <c r="W43" s="115"/>
    </row>
    <row r="44" spans="1:23" s="114" customFormat="1" ht="39">
      <c r="A44" s="119">
        <v>4</v>
      </c>
      <c r="B44" s="94" t="s">
        <v>96</v>
      </c>
      <c r="C44" s="122"/>
      <c r="D44" s="122"/>
      <c r="E44" s="122"/>
      <c r="F44" s="122"/>
      <c r="G44" s="122"/>
      <c r="H44" s="122"/>
      <c r="I44" s="122"/>
      <c r="J44" s="119"/>
      <c r="K44" s="119"/>
      <c r="L44" s="119"/>
      <c r="M44" s="119"/>
      <c r="N44" s="119"/>
      <c r="O44" s="119"/>
      <c r="P44" s="119"/>
      <c r="Q44" s="200">
        <f t="shared" si="8"/>
        <v>0</v>
      </c>
      <c r="R44" s="200">
        <f>J44+L44+N44</f>
        <v>0</v>
      </c>
      <c r="S44" s="200">
        <f t="shared" si="9"/>
        <v>0</v>
      </c>
      <c r="T44" s="171"/>
      <c r="U44" s="172">
        <f>'станд. ставки '!K13</f>
        <v>1764.604</v>
      </c>
      <c r="V44" s="173">
        <f>U44*S44</f>
        <v>0</v>
      </c>
      <c r="W44" s="115"/>
    </row>
    <row r="45" spans="1:22" s="114" customFormat="1" ht="12.75">
      <c r="A45" s="116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223"/>
      <c r="P45" s="223"/>
      <c r="Q45" s="178"/>
      <c r="R45" s="178"/>
      <c r="S45" s="178"/>
      <c r="T45" s="178"/>
      <c r="U45" s="179"/>
      <c r="V45" s="180"/>
    </row>
    <row r="46" spans="1:22" ht="12.75">
      <c r="A46" s="96"/>
      <c r="B46" s="110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223"/>
      <c r="P46" s="223"/>
      <c r="Q46" s="178"/>
      <c r="R46" s="178"/>
      <c r="S46" s="178"/>
      <c r="T46" s="178"/>
      <c r="U46" s="178"/>
      <c r="V46" s="111"/>
    </row>
    <row r="47" spans="1:22" ht="12.75">
      <c r="A47" s="96"/>
      <c r="B47" s="110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223"/>
      <c r="P47" s="223"/>
      <c r="Q47" s="178"/>
      <c r="R47" s="178"/>
      <c r="S47" s="178"/>
      <c r="T47" s="178"/>
      <c r="U47" s="178"/>
      <c r="V47" s="111"/>
    </row>
    <row r="48" spans="1:22" ht="12.75">
      <c r="A48" s="96"/>
      <c r="B48" s="110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223"/>
      <c r="P48" s="223"/>
      <c r="Q48" s="178"/>
      <c r="R48" s="178"/>
      <c r="S48" s="178"/>
      <c r="T48" s="178"/>
      <c r="U48" s="178"/>
      <c r="V48" s="111"/>
    </row>
    <row r="49" spans="1:22" ht="12.75">
      <c r="A49" s="96"/>
      <c r="B49" s="110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223"/>
      <c r="P49" s="223"/>
      <c r="Q49" s="178"/>
      <c r="R49" s="178"/>
      <c r="S49" s="178"/>
      <c r="T49" s="178"/>
      <c r="U49" s="178"/>
      <c r="V49" s="111"/>
    </row>
    <row r="50" spans="1:22" ht="12.75">
      <c r="A50" s="96"/>
      <c r="B50" s="110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223"/>
      <c r="P50" s="223"/>
      <c r="Q50" s="178"/>
      <c r="R50" s="178"/>
      <c r="S50" s="178"/>
      <c r="T50" s="178"/>
      <c r="U50" s="178"/>
      <c r="V50" s="111"/>
    </row>
    <row r="51" spans="2:22" ht="12.75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83"/>
      <c r="P51" s="183"/>
      <c r="Q51" s="121"/>
      <c r="R51" s="121"/>
      <c r="S51" s="121"/>
      <c r="T51" s="121"/>
      <c r="U51" s="181"/>
      <c r="V51" s="120"/>
    </row>
    <row r="52" spans="2:12" ht="13.5">
      <c r="B52" s="53" t="s">
        <v>431</v>
      </c>
      <c r="C52" s="54"/>
      <c r="D52" s="54"/>
      <c r="E52" s="54" t="s">
        <v>89</v>
      </c>
      <c r="L52" s="53" t="s">
        <v>89</v>
      </c>
    </row>
    <row r="53" spans="1:5" ht="13.5">
      <c r="A53" s="53"/>
      <c r="B53" s="53"/>
      <c r="C53" s="8"/>
      <c r="D53" s="8"/>
      <c r="E53" s="8"/>
    </row>
    <row r="54" spans="3:5" ht="12.75">
      <c r="C54" s="8"/>
      <c r="D54" s="8"/>
      <c r="E54" s="8"/>
    </row>
    <row r="55" spans="1:5" ht="12.75">
      <c r="A55" s="58"/>
      <c r="B55" s="58" t="s">
        <v>81</v>
      </c>
      <c r="C55" s="8"/>
      <c r="D55" s="8"/>
      <c r="E55" s="8"/>
    </row>
    <row r="56" spans="1:5" ht="12.75">
      <c r="A56" s="58"/>
      <c r="B56" s="58" t="s">
        <v>61</v>
      </c>
      <c r="C56" s="8"/>
      <c r="D56" s="8"/>
      <c r="E56" s="8"/>
    </row>
  </sheetData>
  <sheetProtection/>
  <mergeCells count="24">
    <mergeCell ref="B2:R2"/>
    <mergeCell ref="V4:V6"/>
    <mergeCell ref="B5:B6"/>
    <mergeCell ref="C5:D5"/>
    <mergeCell ref="E5:F5"/>
    <mergeCell ref="G5:H5"/>
    <mergeCell ref="U4:U6"/>
    <mergeCell ref="S4:T4"/>
    <mergeCell ref="S5:S6"/>
    <mergeCell ref="T5:T6"/>
    <mergeCell ref="A4:A6"/>
    <mergeCell ref="C4:D4"/>
    <mergeCell ref="E4:F4"/>
    <mergeCell ref="I4:J4"/>
    <mergeCell ref="I5:J5"/>
    <mergeCell ref="G4:H4"/>
    <mergeCell ref="K4:L4"/>
    <mergeCell ref="K5:L5"/>
    <mergeCell ref="Q5:Q6"/>
    <mergeCell ref="R5:R6"/>
    <mergeCell ref="M4:N4"/>
    <mergeCell ref="M5:N5"/>
    <mergeCell ref="O4:P4"/>
    <mergeCell ref="O5:P5"/>
  </mergeCells>
  <printOptions/>
  <pageMargins left="0.1968503937007874" right="0.1968503937007874" top="0.71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Артемьева Вера Анатольевна</cp:lastModifiedBy>
  <cp:lastPrinted>2015-10-13T07:05:17Z</cp:lastPrinted>
  <dcterms:created xsi:type="dcterms:W3CDTF">1996-10-08T23:32:33Z</dcterms:created>
  <dcterms:modified xsi:type="dcterms:W3CDTF">2015-10-14T23:40:50Z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