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10" windowWidth="10620" windowHeight="13035" firstSheet="3" activeTab="3"/>
  </bookViews>
  <sheets>
    <sheet name="ХЭС_Приложение № 2" sheetId="1" r:id="rId1"/>
    <sheet name="ПЭС_Приложение № 2" sheetId="2" r:id="rId2"/>
    <sheet name="ЕАО_Приложение № 2" sheetId="3" r:id="rId3"/>
    <sheet name="Приложение № 2" sheetId="4" r:id="rId4"/>
  </sheets>
  <externalReferences>
    <externalReference r:id="rId7"/>
    <externalReference r:id="rId8"/>
    <externalReference r:id="rId9"/>
  </externalReferences>
  <definedNames>
    <definedName name="TABLE" localSheetId="2">'ЕАО_Приложение № 2'!$A$7:$F$43</definedName>
    <definedName name="TABLE" localSheetId="3">'Приложение № 2'!$A$7:$F$43</definedName>
    <definedName name="TABLE" localSheetId="1">'ПЭС_Приложение № 2'!$A$7:$F$43</definedName>
    <definedName name="TABLE" localSheetId="0">'ХЭС_Приложение № 2'!$A$7:$F$43</definedName>
    <definedName name="_xlnm.Print_Titles" localSheetId="2">'ЕАО_Приложение № 2'!$7:$7</definedName>
    <definedName name="_xlnm.Print_Titles" localSheetId="3">'Приложение № 2'!$7:$7</definedName>
    <definedName name="_xlnm.Print_Titles" localSheetId="1">'ПЭС_Приложение № 2'!$7:$7</definedName>
    <definedName name="_xlnm.Print_Titles" localSheetId="0">'ХЭС_Приложение № 2'!$7:$7</definedName>
    <definedName name="_xlnm.Print_Area" localSheetId="2">'ЕАО_Приложение № 2'!$A$1:$F$47</definedName>
    <definedName name="_xlnm.Print_Area" localSheetId="3">'Приложение № 2'!$A$1:$F$47</definedName>
    <definedName name="_xlnm.Print_Area" localSheetId="1">'ПЭС_Приложение № 2'!$A$1:$F$50</definedName>
    <definedName name="_xlnm.Print_Area" localSheetId="0">'ХЭС_Приложение № 2'!$A$1:$F$47</definedName>
  </definedNames>
  <calcPr fullCalcOnLoad="1"/>
</workbook>
</file>

<file path=xl/sharedStrings.xml><?xml version="1.0" encoding="utf-8"?>
<sst xmlns="http://schemas.openxmlformats.org/spreadsheetml/2006/main" count="481" uniqueCount="136">
  <si>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</si>
  <si>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</si>
  <si>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</si>
  <si>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</si>
  <si>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</si>
  <si>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</si>
  <si>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</si>
  <si>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</si>
  <si>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</si>
  <si>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</si>
  <si>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</si>
  <si>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</si>
  <si>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</si>
  <si>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</si>
  <si>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</si>
  <si>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</si>
  <si>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</si>
  <si>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</si>
  <si>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</si>
  <si>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</si>
  <si>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</si>
  <si>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</si>
  <si>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</si>
  <si>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</si>
  <si>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</si>
  <si>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</si>
  <si>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</si>
  <si>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</si>
  <si>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</si>
  <si>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</si>
  <si>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</si>
  <si>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</si>
  <si>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</si>
  <si>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</si>
  <si>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</si>
  <si>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</si>
  <si>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</si>
  <si>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</si>
  <si>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</si>
  <si>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</si>
  <si>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</si>
  <si>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</si>
  <si>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</si>
  <si>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</si>
  <si>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</si>
  <si>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</si>
  <si>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</si>
  <si>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</si>
  <si>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</si>
  <si>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</si>
  <si>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</si>
  <si>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</si>
  <si>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</si>
  <si>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</si>
  <si>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</si>
  <si>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</si>
  <si>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</si>
  <si>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</si>
  <si>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</si>
  <si>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</si>
  <si>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</si>
  <si>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</si>
  <si>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</si>
  <si>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</si>
  <si>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</si>
  <si>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</si>
  <si>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</si>
  <si>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</si>
  <si>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</si>
  <si>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</si>
  <si>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</si>
  <si>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</si>
  <si>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</si>
  <si>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</si>
  <si>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*</t>
  </si>
  <si>
    <t>Отраслевое тарифное соглашение в элекроэнергетике РФ на 2013-2015 годы заключено между Общественным объединением "Всероссийский Электропрофсоюз" и Общероссийским отраслевым объединением    работодателей  электроэнергетики 18.03.2013 года</t>
  </si>
  <si>
    <r>
      <t xml:space="preserve">Фактические показатели, предшествующий базовому периоду
</t>
    </r>
    <r>
      <rPr>
        <sz val="10"/>
        <rFont val="Times New Roman"/>
        <family val="1"/>
      </rPr>
      <t>(2014 год)</t>
    </r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</si>
  <si>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 xml:space="preserve">1
</t>
    </r>
    <r>
      <rPr>
        <sz val="10"/>
        <rFont val="Times New Roman"/>
        <family val="1"/>
      </rPr>
      <t>(2015год)</t>
    </r>
  </si>
  <si>
    <r>
      <t xml:space="preserve">Предложения 
на расчетный период регулирования
</t>
    </r>
    <r>
      <rPr>
        <sz val="10"/>
        <rFont val="Times New Roman"/>
        <family val="1"/>
      </rPr>
      <t>(2016 год)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</si>
  <si>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</si>
  <si>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</t>
    </r>
    <r>
      <rPr>
        <u val="single"/>
        <sz val="12"/>
        <rFont val="Times New Roman"/>
        <family val="1"/>
      </rPr>
      <t xml:space="preserve">подконтрольные расходы </t>
    </r>
    <r>
      <rPr>
        <u val="single"/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</si>
  <si>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Распоряжение Правительства Хабаровского края от 28.11.2014 № 846-рп о"О внесении изменений в Инвестиционную программу филиала ОАО "ДРСК"-"ХЭС" на 2012-2017 гг., утвержденную распоряжением Правительства Хабаровского края от 14.06.2012 № 366-рп" (изменения в части основных характеристик инвестиционной программы на 2014-2017 годы)</t>
  </si>
  <si>
    <t>Программа в области энергосбережения и повышения энергетической эффективности на 2014г.
утверждена Приказом ОАО "ДРСК" № 53 от 21.02.2014г.</t>
  </si>
  <si>
    <t>Программа в области энергосбережения и повышения энергетической эффективности на 2015г.
утверждена Приказом ОАО "ДРСК" № 85 от 13.03.2015г.</t>
  </si>
  <si>
    <t>Программа в области энергосбережения и повышения энергетической эффективности на 2016г.
утверждена Приказом ОАО "ДРСК" № 85 от 13.03.2015г.</t>
  </si>
  <si>
    <t>4.3.</t>
  </si>
  <si>
    <r>
      <t>Норматив потерь электрической энергии приказ Минэнерго России  от 26.09.2014 №649 - 7,96% )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</si>
  <si>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</si>
  <si>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 xml:space="preserve">2, 4 </t>
    </r>
    <r>
      <rPr>
        <sz val="12"/>
        <rFont val="Times New Roman"/>
        <family val="1"/>
      </rPr>
      <t xml:space="preserve">и  </t>
    </r>
    <r>
      <rPr>
        <sz val="12"/>
        <color indexed="10"/>
        <rFont val="Times New Roman"/>
        <family val="1"/>
      </rPr>
      <t>подпункте 4.3</t>
    </r>
    <r>
      <rPr>
        <sz val="12"/>
        <rFont val="Times New Roman"/>
        <family val="1"/>
      </rPr>
      <t xml:space="preserve">.; </t>
    </r>
    <r>
      <rPr>
        <u val="single"/>
        <sz val="12"/>
        <rFont val="Times New Roman"/>
        <family val="1"/>
      </rPr>
      <t>неподконтрольные расходы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 xml:space="preserve">3   </t>
    </r>
  </si>
  <si>
    <t xml:space="preserve"> филиал ОАО "ДРСК" "Приморские электрические сети"</t>
  </si>
  <si>
    <t>Фактические показатели 
за год, предшествующий базовому периоду  2014 год</t>
  </si>
  <si>
    <t>Показатели, утвержденные 
на базовый период 2015 год</t>
  </si>
  <si>
    <t>Предложения 
на расчетный период регулирования 2016 год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</si>
  <si>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</si>
  <si>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                     ( приказ Минэнерго России от 05.09.2014г. №579 -  6,41%)</t>
    </r>
    <r>
      <rPr>
        <vertAlign val="superscript"/>
        <sz val="12"/>
        <rFont val="Times New Roman"/>
        <family val="1"/>
      </rPr>
      <t>3</t>
    </r>
  </si>
  <si>
    <t>6,98%</t>
  </si>
  <si>
    <t>6,84%</t>
  </si>
  <si>
    <t>приказ ОАО "ДРСК" от 21.02.2014  №53 "Об утверждении "Программы в области энергосбережения и повышения энергетической эффективности ОАО «ДРСК» на период 2014-2019 годы"</t>
  </si>
  <si>
    <t>приказ ОАО "ДРСК" от 13.03.2015  № 85 "Об утверждении "Программы в области энергосбережения и повышения энергетической эффективности ОАО «ДРСК» на период 2015-2020 годы"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</si>
  <si>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</si>
  <si>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 xml:space="preserve">2, 4  </t>
    </r>
    <r>
      <rPr>
        <sz val="12"/>
        <rFont val="Times New Roman"/>
        <family val="1"/>
      </rPr>
      <t>и 4.3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</si>
  <si>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Постановление ДТПК № 58/5 от 09.10.2013г. «О внесении изменений в постановление департамента по тарифам Приморского края от 29 февраля 2012 года № 10/9 «Об утверждении инвестиционной программы филиала ОАО «ДРСК» «Приморские электрические сети» на 2012-2017 годы».</t>
  </si>
  <si>
    <t>Постановление ДТПК № 39/5 от 27.08.2014г. «О внесении изменений в постановление департамента по тарифам Приморского края от 29 февраля 2012 года № 10/9 «Об утверждении инвестиционной программы филиала ОАО «ДРСК» «Приморские электрические сети» на 2012-2017 годы».</t>
  </si>
  <si>
    <t xml:space="preserve">Отраслевое тарифное соглашение в электроэнергетике РФ на 2013-2015г годы  заключено между Общественным объединением "Всероссийский Электропрофсоюз и Общероссийским отраслевым объдинением работодателей электроэнергетики от 18 марта 2013 года </t>
  </si>
  <si>
    <t>ОАО "ДРСК" филиал "Электрические сети Еврейской автономной области"</t>
  </si>
  <si>
    <t>Проверено Решетовой</t>
  </si>
  <si>
    <t>Пересчитано на 17.04.15</t>
  </si>
  <si>
    <t xml:space="preserve">Фактические показатели  
за год, предшествующий базовому периоду 2014 </t>
  </si>
  <si>
    <r>
      <t xml:space="preserve">Показатели, утвержденные 
на базовый период 2015  </t>
    </r>
    <r>
      <rPr>
        <vertAlign val="superscript"/>
        <sz val="12"/>
        <rFont val="Times New Roman"/>
        <family val="1"/>
      </rPr>
      <t xml:space="preserve">1 </t>
    </r>
  </si>
  <si>
    <t xml:space="preserve">Предложения 
на расчетный период регулирования 2016 </t>
  </si>
  <si>
    <t>Показатели, утвержденные 
на базовый период 1
(2015год)</t>
  </si>
  <si>
    <t>Предложения на расчетный период регулирования 2016</t>
  </si>
  <si>
    <t>тариф</t>
  </si>
  <si>
    <t>логика</t>
  </si>
  <si>
    <t>бп, прочка</t>
  </si>
  <si>
    <t>итого</t>
  </si>
  <si>
    <t>котловая выручка</t>
  </si>
  <si>
    <t>доход с учетом сглаживания и коректировок по факту +налог на прибыль</t>
  </si>
  <si>
    <t>ЧП+налог на прибыль+амортизация+проценты</t>
  </si>
  <si>
    <t>НВВ - подконтрольные-неподконтрольные-амортизация-проценты по кредиту-дивиденды-соцрасходы+выпадающие+досудебка</t>
  </si>
  <si>
    <t>НВВ - котловое: ДРСК ( содержание) - 2961582,092 тыс. руб. , прочие сетевые- содержание  ( шаблон от 11,02.15 ) - 50260,54 тыс. руб., потери 256815,99</t>
  </si>
  <si>
    <r>
      <t>Норматив потерь электрической энергии ( Приказ Минэнерго России от 30.11.2011 № 556 - 11,45% )</t>
    </r>
    <r>
      <rPr>
        <vertAlign val="superscript"/>
        <sz val="12"/>
        <rFont val="Times New Roman"/>
        <family val="1"/>
      </rPr>
      <t>3</t>
    </r>
  </si>
  <si>
    <t xml:space="preserve">  Приказ ОАО "ДРСК" от 21.02.2014 №53  "Об утверждении «Программы в области энергосбережения и повышения энергетической эффективности ОАО «ДРСК» на период 2014-2019 годы"  </t>
  </si>
  <si>
    <t xml:space="preserve">  Приказ ОАО "ДРСК" от 13.03.2015 №85  "Об утверждении «Программы  энергосбережения и повышения энергетической эффективности ОАО «ДРСК» на период 2014-2020 годы"  </t>
  </si>
  <si>
    <t>Расходы, за исключением указанных в подпункте 4.1  и 4.3,  неподконтрольные расходы  - всего 3</t>
  </si>
  <si>
    <t>Выпадающие, 
излишние доходы (расходы) прошлых лет (расходы по компенсации льготного ТП, досудебному решению спора, корректировке НВВ на основе фактических данных)</t>
  </si>
  <si>
    <t>Приказ Управления жилищно-коммунального хозяйства и энергетики Правительства Еврейской автономной области от 30.09.2014 №81 «Об утверждении скорректированной инвестиционной программы филиала открытого акционерного общества «Дальневосточная распределительная сетевая компания» «Электрические сети Еврейской автономной области на 2014-2017 годы»</t>
  </si>
  <si>
    <t>-</t>
  </si>
  <si>
    <t>Раздел 2. Основные показатели деятельности организаций, относящихся к субъектам естественных монополий.
а также коммерческого оператора оптового рынка электрической энергии (мощности)</t>
  </si>
  <si>
    <t>Фактические показатели 
за год, предшествующий базовому периоду (2014 г.)</t>
  </si>
  <si>
    <r>
      <t xml:space="preserve">Показатели, утвержденные 
на базовый период   (2015 г.) </t>
    </r>
    <r>
      <rPr>
        <vertAlign val="superscript"/>
        <sz val="12"/>
        <rFont val="Times New Roman"/>
        <family val="1"/>
      </rPr>
      <t xml:space="preserve">1 </t>
    </r>
  </si>
  <si>
    <t>Предложения 
на расчетный период регулирования (2016 г.)</t>
  </si>
  <si>
    <r>
      <t>Норматив потерь электрической энергии (приказ Минэнерго России от 24.05.12 №270 - 8,67%)</t>
    </r>
    <r>
      <rPr>
        <vertAlign val="superscript"/>
        <sz val="12"/>
        <rFont val="Times New Roman"/>
        <family val="1"/>
      </rPr>
      <t>3</t>
    </r>
  </si>
  <si>
    <t>Распоряжение Правительства РС(Я) от 27.10.2014г. № 1222-р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</si>
  <si>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 xml:space="preserve">2, 4 </t>
    </r>
    <r>
      <rPr>
        <sz val="12"/>
        <rFont val="Times New Roman"/>
        <family val="1"/>
      </rPr>
      <t xml:space="preserve">и подпункте 4.3.;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</si>
  <si>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филиал ОАО "ДРСК" "Южно-Якутские электрические сети"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</si>
</sst>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#,##0.000"/>
    <numFmt numFmtId="174" formatCode="0.000"/>
    <numFmt numFmtId="175" formatCode="0.00000"/>
    <numFmt numFmtId="176" formatCode="0.000000"/>
    <numFmt numFmtId="177" formatCode="0.0000"/>
    <numFmt numFmtId="178" formatCode="#,##0.0"/>
    <numFmt numFmtId="179" formatCode="0.0%"/>
    <numFmt numFmtId="180" formatCode="_-* #,##0_р_._-;\-* #,##0_р_._-;_-* &quot;-&quot;??_р_._-;_-@_-"/>
    <numFmt numFmtId="181" formatCode="0.0"/>
  </numFmts>
  <fonts count="5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u val="single"/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4" fillId="32" borderId="0" applyBorder="0">
      <alignment horizontal="right"/>
      <protection/>
    </xf>
    <xf numFmtId="0" fontId="53" fillId="3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1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" fillId="0" borderId="0" xfId="65" applyNumberFormat="1" applyFont="1" applyFill="1" applyBorder="1" applyAlignment="1">
      <alignment horizontal="left" vertical="center"/>
    </xf>
    <xf numFmtId="4" fontId="54" fillId="0" borderId="0" xfId="0" applyNumberFormat="1" applyFont="1" applyAlignment="1">
      <alignment horizontal="center" vertical="center"/>
    </xf>
    <xf numFmtId="4" fontId="54" fillId="0" borderId="0" xfId="65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0" fontId="1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3" fontId="1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4" fillId="0" borderId="14" xfId="0" applyFont="1" applyFill="1" applyBorder="1" applyAlignment="1">
      <alignment horizontal="left" vertical="center" wrapText="1"/>
    </xf>
    <xf numFmtId="173" fontId="1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" fontId="54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35" borderId="0" xfId="0" applyFont="1" applyFill="1" applyAlignment="1">
      <alignment vertical="top"/>
    </xf>
    <xf numFmtId="0" fontId="4" fillId="35" borderId="0" xfId="0" applyFont="1" applyFill="1" applyAlignment="1">
      <alignment vertical="top"/>
    </xf>
    <xf numFmtId="0" fontId="10" fillId="35" borderId="0" xfId="0" applyFont="1" applyFill="1" applyAlignment="1">
      <alignment vertical="top"/>
    </xf>
    <xf numFmtId="3" fontId="1" fillId="0" borderId="14" xfId="0" applyNumberFormat="1" applyFont="1" applyBorder="1" applyAlignment="1">
      <alignment horizontal="center" vertical="top"/>
    </xf>
    <xf numFmtId="3" fontId="54" fillId="0" borderId="14" xfId="0" applyNumberFormat="1" applyFont="1" applyBorder="1" applyAlignment="1">
      <alignment horizontal="center" vertical="top"/>
    </xf>
    <xf numFmtId="178" fontId="1" fillId="35" borderId="0" xfId="0" applyNumberFormat="1" applyFont="1" applyFill="1" applyAlignment="1">
      <alignment vertical="top"/>
    </xf>
    <xf numFmtId="0" fontId="4" fillId="35" borderId="0" xfId="0" applyFont="1" applyFill="1" applyAlignment="1">
      <alignment vertical="top" wrapText="1"/>
    </xf>
    <xf numFmtId="4" fontId="1" fillId="35" borderId="0" xfId="0" applyNumberFormat="1" applyFont="1" applyFill="1" applyAlignment="1">
      <alignment vertical="top"/>
    </xf>
    <xf numFmtId="4" fontId="10" fillId="35" borderId="0" xfId="0" applyNumberFormat="1" applyFont="1" applyFill="1" applyAlignment="1">
      <alignment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34" borderId="14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center" wrapText="1"/>
    </xf>
    <xf numFmtId="174" fontId="1" fillId="34" borderId="14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center" vertical="top" wrapText="1"/>
    </xf>
    <xf numFmtId="2" fontId="1" fillId="34" borderId="16" xfId="55" applyNumberFormat="1" applyFont="1" applyFill="1" applyBorder="1" applyAlignment="1" applyProtection="1">
      <alignment horizontal="center" vertical="center" wrapText="1"/>
      <protection/>
    </xf>
    <xf numFmtId="4" fontId="1" fillId="34" borderId="14" xfId="0" applyNumberFormat="1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178" fontId="7" fillId="0" borderId="0" xfId="0" applyNumberFormat="1" applyFont="1" applyFill="1" applyAlignment="1">
      <alignment horizontal="center" vertical="center"/>
    </xf>
    <xf numFmtId="0" fontId="55" fillId="0" borderId="0" xfId="0" applyFont="1" applyBorder="1" applyAlignment="1">
      <alignment vertical="top"/>
    </xf>
    <xf numFmtId="181" fontId="1" fillId="0" borderId="14" xfId="0" applyNumberFormat="1" applyFont="1" applyBorder="1" applyAlignment="1">
      <alignment horizontal="center" vertical="top"/>
    </xf>
    <xf numFmtId="181" fontId="55" fillId="0" borderId="0" xfId="0" applyNumberFormat="1" applyFont="1" applyBorder="1" applyAlignment="1">
      <alignment vertical="top"/>
    </xf>
    <xf numFmtId="181" fontId="55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4" fontId="1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center" vertical="top"/>
    </xf>
    <xf numFmtId="2" fontId="54" fillId="0" borderId="14" xfId="0" applyNumberFormat="1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4" fontId="1" fillId="35" borderId="14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3" fillId="34" borderId="0" xfId="0" applyFont="1" applyFill="1" applyAlignment="1">
      <alignment/>
    </xf>
    <xf numFmtId="3" fontId="56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1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4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FORM3.1" xfId="55"/>
    <cellStyle name="Плохой" xfId="56"/>
    <cellStyle name="Пояснение" xfId="57"/>
    <cellStyle name="Примечание" xfId="58"/>
    <cellStyle name="Percent" xfId="59"/>
    <cellStyle name="Процентный 5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ормула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hetova-mv\Documents\&#1056;&#1077;&#1096;&#1077;&#1090;&#1086;&#1074;&#1072;\&#1054;&#1058;&#1063;&#1045;&#1058;&#1067;%20&#1041;&#1055;\&#1054;&#1090;&#1095;&#1077;&#1090;%202014%20&#1075;\&#1050;%20&#1089;&#1086;&#1074;&#1077;&#1097;&#1072;&#1085;&#1080;&#1102;%20&#1087;&#1086;%20&#1090;&#1072;&#1088;.&#1082;&#1072;&#1084;&#1087;.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rsk.ru/doc/reports/plan/1301151522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shetova-mv\Documents\&#1056;&#1077;&#1096;&#1077;&#1090;&#1086;&#1074;&#1072;\&#1058;&#1072;&#1088;&#1080;&#1092;&#1085;&#1099;&#1077;%20&#1088;&#1077;&#1096;&#1077;&#1085;&#1080;&#1103;\2015%20&#1075;&#1086;&#1076;\&#1064;&#1072;&#1073;&#1083;&#1086;&#1085;&#1099;\&#1069;&#1057;&#1045;&#1040;&#1054;_&#1059;&#1090;&#1074;&#1077;&#1088;&#1078;&#1076;&#1077;&#1085;&#1086;%20&#1050;&#1086;&#1088;&#1088;&#1077;&#1082;&#1090;&#1080;&#1088;&#1086;&#1074;&#1082;&#1072;%20&#1085;&#1072;%202015%20&#1075;&#1086;&#1076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ЭС"/>
      <sheetName val="ПЭС"/>
      <sheetName val="ХЭС"/>
      <sheetName val="ЭСЕАО"/>
      <sheetName val="ЮЯЭС"/>
      <sheetName val="ДРСК"/>
      <sheetName val="свод"/>
      <sheetName val="ДРСК_Слайд"/>
      <sheetName val="Лист2"/>
      <sheetName val="с распределением коррект ИК"/>
    </sheetNames>
    <sheetDataSet>
      <sheetData sheetId="3">
        <row r="10">
          <cell r="E10">
            <v>1399.39235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2 Оценочные показатели"/>
      <sheetName val="2б Расчет дивидендов"/>
      <sheetName val="3 Выручка"/>
      <sheetName val="6 Смета"/>
      <sheetName val="6 Смета подробно"/>
      <sheetName val="7 Ремонты"/>
      <sheetName val="8  Инвестиции свод"/>
      <sheetName val="8а  Инвестиции-программа"/>
      <sheetName val="9 Закупки план"/>
      <sheetName val="9 Закупки факт"/>
      <sheetName val="10 Оплата труда"/>
      <sheetName val="Служба заказчика"/>
      <sheetName val="11 Прочие доходы и расходы"/>
      <sheetName val="12 План прибылей и убытков"/>
      <sheetName val="12 Налог на прибыль"/>
      <sheetName val="13 Прогнозный баланс"/>
      <sheetName val="14а ДПН _план"/>
      <sheetName val="14б ДПН_факт"/>
      <sheetName val="14 ДПН"/>
      <sheetName val="15 Повышение эффективности"/>
    </sheetNames>
    <sheetDataSet>
      <sheetData sheetId="3">
        <row r="9">
          <cell r="E9">
            <v>1466844.242510117</v>
          </cell>
        </row>
        <row r="16">
          <cell r="E16">
            <v>1457635.125510117</v>
          </cell>
        </row>
      </sheetData>
      <sheetData sheetId="5">
        <row r="226">
          <cell r="E226">
            <v>19601.58589765011</v>
          </cell>
        </row>
        <row r="263">
          <cell r="E263">
            <v>7</v>
          </cell>
        </row>
        <row r="444">
          <cell r="E444">
            <v>105.98200000000011</v>
          </cell>
        </row>
        <row r="481">
          <cell r="E481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Лог обновления"/>
      <sheetName val="Титульный"/>
      <sheetName val="Справочники"/>
      <sheetName val="P2.1 У.Е. 2015"/>
      <sheetName val="P2.2 У.Е. 2015"/>
      <sheetName val="4 баланс ээ"/>
      <sheetName val="5 баланс мощности"/>
      <sheetName val="6 баланс мощности"/>
      <sheetName val="Расчет ВН1"/>
      <sheetName val="НВВ РСК 2015 (I пол) МИН"/>
      <sheetName val="НВВ РСК 2015 (II пол) МИН"/>
      <sheetName val="НВВ РСК 2015 МИН"/>
      <sheetName val="НВВ РСК 2015 (I пол) МАКС"/>
      <sheetName val="НВВ РСК 2015 (II пол) МАКС"/>
      <sheetName val="НВВ РСК 2015 МАКС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0"/>
      <sheetName val="modList08"/>
      <sheetName val="modList16"/>
    </sheetNames>
    <sheetDataSet>
      <sheetData sheetId="24">
        <row r="50">
          <cell r="N50">
            <v>13436.5681418776</v>
          </cell>
        </row>
        <row r="51">
          <cell r="N51">
            <v>12269.02</v>
          </cell>
        </row>
        <row r="52">
          <cell r="N52">
            <v>82393.91008077</v>
          </cell>
        </row>
        <row r="57">
          <cell r="N57">
            <v>134790</v>
          </cell>
        </row>
        <row r="58">
          <cell r="N58">
            <v>99870.37730113554</v>
          </cell>
        </row>
      </sheetData>
      <sheetData sheetId="25">
        <row r="8">
          <cell r="L8">
            <v>1095008.1096168247</v>
          </cell>
        </row>
        <row r="9">
          <cell r="L9">
            <v>359163.1835277512</v>
          </cell>
        </row>
        <row r="10">
          <cell r="L10">
            <v>587307.7762204274</v>
          </cell>
        </row>
        <row r="12">
          <cell r="L12">
            <v>99336.50272578879</v>
          </cell>
        </row>
        <row r="14">
          <cell r="L14">
            <v>-33070</v>
          </cell>
        </row>
        <row r="17">
          <cell r="L17">
            <v>-21597.5</v>
          </cell>
        </row>
        <row r="18">
          <cell r="L18">
            <v>-26079.19</v>
          </cell>
        </row>
        <row r="59">
          <cell r="L59">
            <v>134790</v>
          </cell>
        </row>
        <row r="61">
          <cell r="L61">
            <v>99870.37730113554</v>
          </cell>
        </row>
        <row r="69">
          <cell r="L69">
            <v>3572.094576643374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="98" zoomScaleNormal="98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0.25390625" style="1" customWidth="1"/>
    <col min="2" max="2" width="31.00390625" style="1" customWidth="1"/>
    <col min="3" max="3" width="12.25390625" style="1" customWidth="1"/>
    <col min="4" max="6" width="27.625" style="1" customWidth="1"/>
    <col min="7" max="7" width="21.125" style="1" customWidth="1"/>
    <col min="8" max="8" width="32.00390625" style="1" customWidth="1"/>
    <col min="9" max="9" width="13.125" style="1" bestFit="1" customWidth="1"/>
    <col min="10" max="10" width="12.75390625" style="1" bestFit="1" customWidth="1"/>
    <col min="11" max="11" width="15.25390625" style="1" customWidth="1"/>
    <col min="12" max="12" width="33.75390625" style="1" customWidth="1"/>
    <col min="13" max="13" width="15.125" style="1" customWidth="1"/>
    <col min="14" max="14" width="15.625" style="1" customWidth="1"/>
    <col min="15" max="16384" width="9.125" style="1" customWidth="1"/>
  </cols>
  <sheetData>
    <row r="1" ht="54" customHeight="1">
      <c r="F1" s="3" t="s">
        <v>53</v>
      </c>
    </row>
    <row r="4" spans="1:6" ht="31.5" customHeight="1">
      <c r="A4" s="111" t="s">
        <v>72</v>
      </c>
      <c r="B4" s="112"/>
      <c r="C4" s="112"/>
      <c r="D4" s="112"/>
      <c r="E4" s="112"/>
      <c r="F4" s="112"/>
    </row>
    <row r="7" spans="1:14" s="2" customFormat="1" ht="62.25" customHeight="1">
      <c r="A7" s="8" t="s">
        <v>52</v>
      </c>
      <c r="B7" s="9" t="s">
        <v>0</v>
      </c>
      <c r="C7" s="9" t="s">
        <v>1</v>
      </c>
      <c r="D7" s="9" t="s">
        <v>76</v>
      </c>
      <c r="E7" s="10" t="s">
        <v>77</v>
      </c>
      <c r="F7" s="14" t="s">
        <v>78</v>
      </c>
      <c r="G7" s="34"/>
      <c r="H7" s="35"/>
      <c r="I7" s="35"/>
      <c r="J7" s="35"/>
      <c r="K7" s="35"/>
      <c r="L7" s="35"/>
      <c r="M7" s="35"/>
      <c r="N7" s="35"/>
    </row>
    <row r="8" spans="1:14" s="4" customFormat="1" ht="36" customHeight="1">
      <c r="A8" s="11" t="s">
        <v>2</v>
      </c>
      <c r="B8" s="12" t="s">
        <v>3</v>
      </c>
      <c r="C8" s="14" t="s">
        <v>74</v>
      </c>
      <c r="D8" s="13" t="s">
        <v>74</v>
      </c>
      <c r="E8" s="13" t="s">
        <v>74</v>
      </c>
      <c r="F8" s="13" t="s">
        <v>74</v>
      </c>
      <c r="H8" s="32"/>
      <c r="J8" s="30"/>
      <c r="L8" s="32"/>
      <c r="N8" s="30"/>
    </row>
    <row r="9" spans="1:14" s="4" customFormat="1" ht="15.75" customHeight="1">
      <c r="A9" s="14" t="s">
        <v>4</v>
      </c>
      <c r="B9" s="20" t="s">
        <v>5</v>
      </c>
      <c r="C9" s="14" t="s">
        <v>6</v>
      </c>
      <c r="D9" s="15">
        <v>5660873.05719</v>
      </c>
      <c r="E9" s="27">
        <f>(4702022.24+1637479.16)+164474.9+12335.38+5439.22</f>
        <v>6521750.9</v>
      </c>
      <c r="F9" s="27">
        <f>(5172394.5+925575.48+2248186.8)+8475+12915.14+5694.86</f>
        <v>8373241.78</v>
      </c>
      <c r="G9" s="29"/>
      <c r="H9" s="33"/>
      <c r="I9" s="17"/>
      <c r="J9" s="31"/>
      <c r="K9" s="29"/>
      <c r="L9" s="33"/>
      <c r="M9" s="17"/>
      <c r="N9" s="31"/>
    </row>
    <row r="10" spans="1:14" s="4" customFormat="1" ht="33" customHeight="1">
      <c r="A10" s="14" t="s">
        <v>7</v>
      </c>
      <c r="B10" s="20" t="s">
        <v>8</v>
      </c>
      <c r="C10" s="14" t="s">
        <v>6</v>
      </c>
      <c r="D10" s="15">
        <v>318451.46630836464</v>
      </c>
      <c r="E10" s="37" t="e">
        <f>#REF!</f>
        <v>#REF!</v>
      </c>
      <c r="F10" s="37" t="e">
        <f>#REF!</f>
        <v>#REF!</v>
      </c>
      <c r="G10" s="29"/>
      <c r="H10" s="33"/>
      <c r="I10" s="17"/>
      <c r="J10" s="31"/>
      <c r="K10" s="29"/>
      <c r="L10" s="33"/>
      <c r="M10" s="17"/>
      <c r="N10" s="31"/>
    </row>
    <row r="11" spans="1:14" s="4" customFormat="1" ht="48" customHeight="1">
      <c r="A11" s="14" t="s">
        <v>9</v>
      </c>
      <c r="B11" s="20" t="s">
        <v>10</v>
      </c>
      <c r="C11" s="14" t="s">
        <v>6</v>
      </c>
      <c r="D11" s="15">
        <v>788943.4223769025</v>
      </c>
      <c r="E11" s="37" t="e">
        <f>#REF!</f>
        <v>#REF!</v>
      </c>
      <c r="F11" s="37" t="e">
        <f>#REF!</f>
        <v>#REF!</v>
      </c>
      <c r="G11" s="29"/>
      <c r="H11" s="33"/>
      <c r="I11" s="17"/>
      <c r="J11" s="31"/>
      <c r="K11" s="29"/>
      <c r="L11" s="33"/>
      <c r="M11" s="17"/>
      <c r="N11" s="31"/>
    </row>
    <row r="12" spans="1:14" s="4" customFormat="1" ht="36" customHeight="1">
      <c r="A12" s="14" t="s">
        <v>11</v>
      </c>
      <c r="B12" s="20" t="s">
        <v>12</v>
      </c>
      <c r="C12" s="14" t="s">
        <v>6</v>
      </c>
      <c r="D12" s="15">
        <v>107411.18314166578</v>
      </c>
      <c r="E12" s="37" t="e">
        <f>#REF!</f>
        <v>#REF!</v>
      </c>
      <c r="F12" s="37" t="e">
        <f>#REF!</f>
        <v>#REF!</v>
      </c>
      <c r="G12" s="29"/>
      <c r="H12" s="33"/>
      <c r="I12" s="17"/>
      <c r="J12" s="31"/>
      <c r="K12" s="29"/>
      <c r="L12" s="33"/>
      <c r="M12" s="17"/>
      <c r="N12" s="31"/>
    </row>
    <row r="13" spans="1:8" s="4" customFormat="1" ht="41.25" customHeight="1">
      <c r="A13" s="14" t="s">
        <v>13</v>
      </c>
      <c r="B13" s="20" t="s">
        <v>14</v>
      </c>
      <c r="C13" s="14" t="s">
        <v>74</v>
      </c>
      <c r="D13" s="13" t="s">
        <v>74</v>
      </c>
      <c r="E13" s="16" t="s">
        <v>74</v>
      </c>
      <c r="F13" s="16" t="s">
        <v>74</v>
      </c>
      <c r="H13" s="32"/>
    </row>
    <row r="14" spans="1:9" s="4" customFormat="1" ht="110.25">
      <c r="A14" s="14" t="s">
        <v>15</v>
      </c>
      <c r="B14" s="20" t="s">
        <v>61</v>
      </c>
      <c r="C14" s="14" t="s">
        <v>16</v>
      </c>
      <c r="D14" s="19">
        <f>D10/D9</f>
        <v>0.056254832618776424</v>
      </c>
      <c r="E14" s="19" t="e">
        <f>E10/E9</f>
        <v>#REF!</v>
      </c>
      <c r="F14" s="19" t="e">
        <f>F10/F9</f>
        <v>#REF!</v>
      </c>
      <c r="I14" s="17"/>
    </row>
    <row r="15" spans="1:6" s="4" customFormat="1" ht="58.5" customHeight="1">
      <c r="A15" s="14" t="s">
        <v>17</v>
      </c>
      <c r="B15" s="20" t="s">
        <v>60</v>
      </c>
      <c r="C15" s="14" t="s">
        <v>74</v>
      </c>
      <c r="D15" s="13" t="s">
        <v>74</v>
      </c>
      <c r="E15" s="13" t="s">
        <v>74</v>
      </c>
      <c r="F15" s="13" t="s">
        <v>74</v>
      </c>
    </row>
    <row r="16" spans="1:7" s="4" customFormat="1" ht="60.75" customHeight="1">
      <c r="A16" s="14" t="s">
        <v>18</v>
      </c>
      <c r="B16" s="20" t="s">
        <v>54</v>
      </c>
      <c r="C16" s="14" t="s">
        <v>19</v>
      </c>
      <c r="D16" s="13" t="s">
        <v>74</v>
      </c>
      <c r="E16" s="13" t="s">
        <v>74</v>
      </c>
      <c r="F16" s="13" t="s">
        <v>74</v>
      </c>
      <c r="G16" s="25"/>
    </row>
    <row r="17" spans="1:7" s="4" customFormat="1" ht="39.75" customHeight="1">
      <c r="A17" s="14" t="s">
        <v>20</v>
      </c>
      <c r="B17" s="20" t="s">
        <v>55</v>
      </c>
      <c r="C17" s="14" t="s">
        <v>21</v>
      </c>
      <c r="D17" s="13" t="s">
        <v>74</v>
      </c>
      <c r="E17" s="13" t="s">
        <v>74</v>
      </c>
      <c r="F17" s="13" t="s">
        <v>74</v>
      </c>
      <c r="G17" s="25"/>
    </row>
    <row r="18" spans="1:7" s="5" customFormat="1" ht="24.75" customHeight="1">
      <c r="A18" s="14" t="s">
        <v>22</v>
      </c>
      <c r="B18" s="20" t="s">
        <v>56</v>
      </c>
      <c r="C18" s="14" t="s">
        <v>19</v>
      </c>
      <c r="D18" s="15">
        <v>883.545</v>
      </c>
      <c r="E18" s="15">
        <v>779.58</v>
      </c>
      <c r="F18" s="15">
        <v>876.852</v>
      </c>
      <c r="G18" s="25"/>
    </row>
    <row r="19" spans="1:8" s="4" customFormat="1" ht="60" customHeight="1">
      <c r="A19" s="14" t="s">
        <v>57</v>
      </c>
      <c r="B19" s="20" t="s">
        <v>79</v>
      </c>
      <c r="C19" s="14" t="s">
        <v>58</v>
      </c>
      <c r="D19" s="15">
        <f>5359.5838*1000</f>
        <v>5359583.800000001</v>
      </c>
      <c r="E19" s="15">
        <f>5481.68*1000</f>
        <v>5481680</v>
      </c>
      <c r="F19" s="15">
        <f>5318.9847*1000</f>
        <v>5318984.7</v>
      </c>
      <c r="G19" s="25"/>
      <c r="H19" s="25"/>
    </row>
    <row r="20" spans="1:8" s="4" customFormat="1" ht="76.5" customHeight="1">
      <c r="A20" s="14" t="s">
        <v>24</v>
      </c>
      <c r="B20" s="20" t="s">
        <v>59</v>
      </c>
      <c r="C20" s="14" t="s">
        <v>23</v>
      </c>
      <c r="D20" s="15">
        <v>1611001.85</v>
      </c>
      <c r="E20" s="26">
        <v>1681400</v>
      </c>
      <c r="F20" s="26">
        <v>1600998.94</v>
      </c>
      <c r="G20" s="22"/>
      <c r="H20" s="22"/>
    </row>
    <row r="21" spans="1:6" s="4" customFormat="1" ht="93" customHeight="1">
      <c r="A21" s="14" t="s">
        <v>25</v>
      </c>
      <c r="B21" s="20" t="s">
        <v>86</v>
      </c>
      <c r="C21" s="14" t="s">
        <v>16</v>
      </c>
      <c r="D21" s="23">
        <v>8.0998</v>
      </c>
      <c r="E21" s="16">
        <v>7.52</v>
      </c>
      <c r="F21" s="23">
        <v>7.9444</v>
      </c>
    </row>
    <row r="22" spans="1:6" s="4" customFormat="1" ht="129.75" customHeight="1">
      <c r="A22" s="14" t="s">
        <v>26</v>
      </c>
      <c r="B22" s="20" t="s">
        <v>62</v>
      </c>
      <c r="C22" s="14"/>
      <c r="D22" s="14" t="s">
        <v>82</v>
      </c>
      <c r="E22" s="14" t="s">
        <v>83</v>
      </c>
      <c r="F22" s="14" t="s">
        <v>84</v>
      </c>
    </row>
    <row r="23" spans="1:6" s="4" customFormat="1" ht="90" customHeight="1">
      <c r="A23" s="14" t="s">
        <v>27</v>
      </c>
      <c r="B23" s="20" t="s">
        <v>63</v>
      </c>
      <c r="C23" s="14" t="s">
        <v>21</v>
      </c>
      <c r="D23" s="13" t="s">
        <v>74</v>
      </c>
      <c r="E23" s="13" t="s">
        <v>74</v>
      </c>
      <c r="F23" s="13" t="s">
        <v>74</v>
      </c>
    </row>
    <row r="24" spans="1:6" s="4" customFormat="1" ht="72" customHeight="1">
      <c r="A24" s="14" t="s">
        <v>28</v>
      </c>
      <c r="B24" s="20" t="s">
        <v>29</v>
      </c>
      <c r="C24" s="14" t="s">
        <v>6</v>
      </c>
      <c r="D24" s="24">
        <v>2769286.1</v>
      </c>
      <c r="E24" s="24">
        <v>3286268.3</v>
      </c>
      <c r="F24" s="28">
        <v>5172394.5</v>
      </c>
    </row>
    <row r="25" spans="1:6" s="4" customFormat="1" ht="90" customHeight="1">
      <c r="A25" s="14" t="s">
        <v>30</v>
      </c>
      <c r="B25" s="20" t="s">
        <v>80</v>
      </c>
      <c r="C25" s="14" t="s">
        <v>6</v>
      </c>
      <c r="D25" s="24">
        <v>1214347.7</v>
      </c>
      <c r="E25" s="24">
        <v>1154599.97</v>
      </c>
      <c r="F25" s="28">
        <v>1231479.1</v>
      </c>
    </row>
    <row r="26" spans="1:6" s="4" customFormat="1" ht="27" customHeight="1">
      <c r="A26" s="14"/>
      <c r="B26" s="20" t="s">
        <v>64</v>
      </c>
      <c r="C26" s="14"/>
      <c r="D26" s="13"/>
      <c r="E26" s="13"/>
      <c r="F26" s="13"/>
    </row>
    <row r="27" spans="1:9" s="4" customFormat="1" ht="27" customHeight="1">
      <c r="A27" s="14"/>
      <c r="B27" s="20" t="s">
        <v>31</v>
      </c>
      <c r="C27" s="14"/>
      <c r="D27" s="15">
        <v>782532</v>
      </c>
      <c r="E27" s="15">
        <v>596523</v>
      </c>
      <c r="F27" s="15">
        <v>591181.9668542648</v>
      </c>
      <c r="I27" s="17"/>
    </row>
    <row r="28" spans="1:7" s="4" customFormat="1" ht="27" customHeight="1">
      <c r="A28" s="14"/>
      <c r="B28" s="20" t="s">
        <v>32</v>
      </c>
      <c r="C28" s="14"/>
      <c r="D28" s="15">
        <v>85104.79</v>
      </c>
      <c r="E28" s="15">
        <v>215420.22</v>
      </c>
      <c r="F28" s="15">
        <v>229763.99662845902</v>
      </c>
      <c r="G28" s="25"/>
    </row>
    <row r="29" spans="1:7" s="4" customFormat="1" ht="27" customHeight="1">
      <c r="A29" s="14"/>
      <c r="B29" s="20" t="s">
        <v>33</v>
      </c>
      <c r="C29" s="14"/>
      <c r="D29" s="15">
        <f>91346.27+16428.61</f>
        <v>107774.88</v>
      </c>
      <c r="E29" s="15">
        <f>75581.62+29658.87</f>
        <v>105240.48999999999</v>
      </c>
      <c r="F29" s="15">
        <f>80614.2284810872+31633.71</f>
        <v>112247.93848108719</v>
      </c>
      <c r="G29" s="22"/>
    </row>
    <row r="30" spans="1:9" s="4" customFormat="1" ht="102" customHeight="1">
      <c r="A30" s="14" t="s">
        <v>34</v>
      </c>
      <c r="B30" s="20" t="s">
        <v>88</v>
      </c>
      <c r="C30" s="14" t="s">
        <v>6</v>
      </c>
      <c r="D30" s="15">
        <f>940201.03-43153.26</f>
        <v>897047.77</v>
      </c>
      <c r="E30" s="15">
        <f>1320469-46152.38-197983.2</f>
        <v>1076333.4200000002</v>
      </c>
      <c r="F30" s="27">
        <f>2082792.5-81653.25692-645961.35</f>
        <v>1355177.8930799998</v>
      </c>
      <c r="G30" s="22"/>
      <c r="I30" s="18"/>
    </row>
    <row r="31" spans="1:8" s="4" customFormat="1" ht="60.75" customHeight="1">
      <c r="A31" s="36" t="s">
        <v>85</v>
      </c>
      <c r="B31" s="20" t="s">
        <v>87</v>
      </c>
      <c r="C31" s="14" t="s">
        <v>6</v>
      </c>
      <c r="D31" s="15">
        <v>497252.60536453617</v>
      </c>
      <c r="E31" s="15">
        <v>240356.27665</v>
      </c>
      <c r="F31" s="15">
        <v>961414.8953645362</v>
      </c>
      <c r="G31" s="22"/>
      <c r="H31" s="22"/>
    </row>
    <row r="32" spans="1:6" s="4" customFormat="1" ht="43.5" customHeight="1">
      <c r="A32" s="14" t="s">
        <v>35</v>
      </c>
      <c r="B32" s="20" t="s">
        <v>73</v>
      </c>
      <c r="C32" s="14" t="s">
        <v>6</v>
      </c>
      <c r="D32" s="15">
        <f>378374.9+12452</f>
        <v>390826.9</v>
      </c>
      <c r="E32" s="15">
        <f>668270-49661</f>
        <v>618609</v>
      </c>
      <c r="F32" s="15">
        <f>554483-53361</f>
        <v>501122</v>
      </c>
    </row>
    <row r="33" spans="1:6" s="4" customFormat="1" ht="283.5">
      <c r="A33" s="14" t="s">
        <v>36</v>
      </c>
      <c r="B33" s="20" t="s">
        <v>37</v>
      </c>
      <c r="C33" s="14"/>
      <c r="D33" s="14" t="s">
        <v>81</v>
      </c>
      <c r="E33" s="14" t="s">
        <v>81</v>
      </c>
      <c r="F33" s="14" t="s">
        <v>81</v>
      </c>
    </row>
    <row r="34" spans="1:6" s="4" customFormat="1" ht="27" customHeight="1">
      <c r="A34" s="14"/>
      <c r="B34" s="21" t="s">
        <v>38</v>
      </c>
      <c r="C34" s="14"/>
      <c r="D34" s="13"/>
      <c r="E34" s="13"/>
      <c r="F34" s="13"/>
    </row>
    <row r="35" spans="1:6" s="4" customFormat="1" ht="30.75" customHeight="1">
      <c r="A35" s="14"/>
      <c r="B35" s="20" t="s">
        <v>65</v>
      </c>
      <c r="C35" s="14" t="s">
        <v>39</v>
      </c>
      <c r="D35" s="15">
        <v>53399.53</v>
      </c>
      <c r="E35" s="15">
        <v>53248.63</v>
      </c>
      <c r="F35" s="15">
        <v>53870.77</v>
      </c>
    </row>
    <row r="36" spans="1:6" s="4" customFormat="1" ht="47.25">
      <c r="A36" s="14"/>
      <c r="B36" s="20" t="s">
        <v>66</v>
      </c>
      <c r="C36" s="14" t="s">
        <v>40</v>
      </c>
      <c r="D36" s="15">
        <f>D25/D35</f>
        <v>22.740793786012723</v>
      </c>
      <c r="E36" s="15">
        <f>E25/E35</f>
        <v>21.683186403105584</v>
      </c>
      <c r="F36" s="15">
        <f>F25/F35</f>
        <v>22.85987558744752</v>
      </c>
    </row>
    <row r="37" spans="1:6" s="4" customFormat="1" ht="72.75" customHeight="1">
      <c r="A37" s="14" t="s">
        <v>41</v>
      </c>
      <c r="B37" s="20" t="s">
        <v>42</v>
      </c>
      <c r="C37" s="14"/>
      <c r="D37" s="13" t="s">
        <v>74</v>
      </c>
      <c r="E37" s="13" t="s">
        <v>74</v>
      </c>
      <c r="F37" s="13" t="s">
        <v>74</v>
      </c>
    </row>
    <row r="38" spans="1:7" s="4" customFormat="1" ht="41.25" customHeight="1">
      <c r="A38" s="14" t="s">
        <v>43</v>
      </c>
      <c r="B38" s="20" t="s">
        <v>44</v>
      </c>
      <c r="C38" s="14" t="s">
        <v>45</v>
      </c>
      <c r="D38" s="24">
        <v>1302.3</v>
      </c>
      <c r="E38" s="24">
        <v>1306</v>
      </c>
      <c r="F38" s="24">
        <v>1306</v>
      </c>
      <c r="G38" s="113"/>
    </row>
    <row r="39" spans="1:7" s="4" customFormat="1" ht="47.25">
      <c r="A39" s="14" t="s">
        <v>46</v>
      </c>
      <c r="B39" s="20" t="s">
        <v>47</v>
      </c>
      <c r="C39" s="14" t="s">
        <v>67</v>
      </c>
      <c r="D39" s="15">
        <f>49409.05/1000</f>
        <v>49.40905</v>
      </c>
      <c r="E39" s="15">
        <f>37975.1/1000</f>
        <v>37.9751</v>
      </c>
      <c r="F39" s="15">
        <v>40.50952</v>
      </c>
      <c r="G39" s="113"/>
    </row>
    <row r="40" spans="1:6" s="4" customFormat="1" ht="236.25">
      <c r="A40" s="14" t="s">
        <v>48</v>
      </c>
      <c r="B40" s="20" t="s">
        <v>49</v>
      </c>
      <c r="C40" s="14"/>
      <c r="D40" s="14" t="s">
        <v>75</v>
      </c>
      <c r="E40" s="14" t="s">
        <v>75</v>
      </c>
      <c r="F40" s="14"/>
    </row>
    <row r="41" spans="1:6" s="4" customFormat="1" ht="27" customHeight="1">
      <c r="A41" s="14"/>
      <c r="B41" s="21" t="s">
        <v>38</v>
      </c>
      <c r="C41" s="14"/>
      <c r="D41" s="13"/>
      <c r="E41" s="13"/>
      <c r="F41" s="13"/>
    </row>
    <row r="42" spans="1:8" s="4" customFormat="1" ht="67.5" customHeight="1">
      <c r="A42" s="14"/>
      <c r="B42" s="20" t="s">
        <v>50</v>
      </c>
      <c r="C42" s="14" t="s">
        <v>6</v>
      </c>
      <c r="D42" s="27">
        <v>2005453.208540753</v>
      </c>
      <c r="E42" s="27">
        <v>2005453.208540753</v>
      </c>
      <c r="F42" s="27">
        <v>2005453.208540753</v>
      </c>
      <c r="G42" s="22"/>
      <c r="H42" s="22"/>
    </row>
    <row r="43" spans="1:8" s="4" customFormat="1" ht="78.75" customHeight="1">
      <c r="A43" s="14"/>
      <c r="B43" s="20" t="s">
        <v>51</v>
      </c>
      <c r="C43" s="14" t="s">
        <v>6</v>
      </c>
      <c r="D43" s="27">
        <v>-706481.8440984737</v>
      </c>
      <c r="E43" s="27">
        <v>-798902.1636433695</v>
      </c>
      <c r="F43" s="27">
        <v>853609.5228428391</v>
      </c>
      <c r="G43" s="22"/>
      <c r="H43" s="22"/>
    </row>
    <row r="44" s="7" customFormat="1" ht="19.5" customHeight="1">
      <c r="A44" s="6" t="s">
        <v>68</v>
      </c>
    </row>
    <row r="45" s="7" customFormat="1" ht="15.75">
      <c r="A45" s="6" t="s">
        <v>69</v>
      </c>
    </row>
    <row r="46" s="7" customFormat="1" ht="15.75">
      <c r="A46" s="6" t="s">
        <v>70</v>
      </c>
    </row>
    <row r="47" s="7" customFormat="1" ht="15.75">
      <c r="A47" s="6" t="s">
        <v>71</v>
      </c>
    </row>
  </sheetData>
  <sheetProtection/>
  <mergeCells count="2">
    <mergeCell ref="A4:F4"/>
    <mergeCell ref="G38:G39"/>
  </mergeCells>
  <printOptions/>
  <pageMargins left="0.7874015748031497" right="0" top="0.7874015748031497" bottom="0.3937007874015748" header="0" footer="0"/>
  <pageSetup fitToHeight="2" fitToWidth="2"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9" sqref="F9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6" width="27.625" style="1" customWidth="1"/>
    <col min="7" max="7" width="16.625" style="1" customWidth="1"/>
    <col min="8" max="8" width="17.125" style="1" customWidth="1"/>
    <col min="9" max="9" width="9.125" style="1" customWidth="1"/>
    <col min="10" max="10" width="11.875" style="1" bestFit="1" customWidth="1"/>
    <col min="11" max="16384" width="9.125" style="1" customWidth="1"/>
  </cols>
  <sheetData>
    <row r="1" ht="68.25" customHeight="1">
      <c r="F1" s="3" t="s">
        <v>53</v>
      </c>
    </row>
    <row r="4" spans="1:6" ht="31.5" customHeight="1">
      <c r="A4" s="111" t="s">
        <v>72</v>
      </c>
      <c r="B4" s="112"/>
      <c r="C4" s="112"/>
      <c r="D4" s="112"/>
      <c r="E4" s="112"/>
      <c r="F4" s="112"/>
    </row>
    <row r="5" spans="2:6" ht="17.25" customHeight="1">
      <c r="B5" s="114" t="s">
        <v>89</v>
      </c>
      <c r="C5" s="114"/>
      <c r="D5" s="114"/>
      <c r="E5" s="114"/>
      <c r="F5" s="114"/>
    </row>
    <row r="6" spans="4:6" ht="15.75">
      <c r="D6" s="38"/>
      <c r="E6" s="38"/>
      <c r="F6" s="38"/>
    </row>
    <row r="7" spans="1:6" s="2" customFormat="1" ht="63">
      <c r="A7" s="14" t="s">
        <v>52</v>
      </c>
      <c r="B7" s="14" t="s">
        <v>0</v>
      </c>
      <c r="C7" s="14" t="s">
        <v>1</v>
      </c>
      <c r="D7" s="14" t="s">
        <v>90</v>
      </c>
      <c r="E7" s="14" t="s">
        <v>91</v>
      </c>
      <c r="F7" s="14" t="s">
        <v>92</v>
      </c>
    </row>
    <row r="8" spans="1:6" s="4" customFormat="1" ht="42" customHeight="1">
      <c r="A8" s="39" t="s">
        <v>2</v>
      </c>
      <c r="B8" s="40" t="s">
        <v>3</v>
      </c>
      <c r="C8" s="39"/>
      <c r="D8" s="41"/>
      <c r="E8" s="41"/>
      <c r="F8" s="41"/>
    </row>
    <row r="9" spans="1:6" s="4" customFormat="1" ht="28.5" customHeight="1">
      <c r="A9" s="39" t="s">
        <v>4</v>
      </c>
      <c r="B9" s="40" t="s">
        <v>5</v>
      </c>
      <c r="C9" s="39" t="s">
        <v>6</v>
      </c>
      <c r="D9" s="41">
        <v>7355662.92430917</v>
      </c>
      <c r="E9" s="60" t="e">
        <f>#REF!</f>
        <v>#REF!</v>
      </c>
      <c r="F9" s="60" t="e">
        <f>#REF!</f>
        <v>#REF!</v>
      </c>
    </row>
    <row r="10" spans="1:7" s="4" customFormat="1" ht="28.5" customHeight="1">
      <c r="A10" s="39" t="s">
        <v>7</v>
      </c>
      <c r="B10" s="40" t="s">
        <v>8</v>
      </c>
      <c r="C10" s="39" t="s">
        <v>6</v>
      </c>
      <c r="D10" s="41">
        <v>-872552.643225973</v>
      </c>
      <c r="E10" s="60" t="e">
        <f>#REF!</f>
        <v>#REF!</v>
      </c>
      <c r="F10" s="60" t="e">
        <f>#REF!</f>
        <v>#REF!</v>
      </c>
      <c r="G10" s="17"/>
    </row>
    <row r="11" spans="1:6" s="4" customFormat="1" ht="59.25" customHeight="1">
      <c r="A11" s="39" t="s">
        <v>9</v>
      </c>
      <c r="B11" s="40" t="s">
        <v>10</v>
      </c>
      <c r="C11" s="39" t="s">
        <v>6</v>
      </c>
      <c r="D11" s="41">
        <f>-856164.786996071+913261.07</f>
        <v>57096.283003928955</v>
      </c>
      <c r="E11" s="60" t="e">
        <f>#REF!</f>
        <v>#REF!</v>
      </c>
      <c r="F11" s="60" t="e">
        <f>#REF!</f>
        <v>#REF!</v>
      </c>
    </row>
    <row r="12" spans="1:6" s="4" customFormat="1" ht="27.75" customHeight="1">
      <c r="A12" s="39" t="s">
        <v>11</v>
      </c>
      <c r="B12" s="40" t="s">
        <v>12</v>
      </c>
      <c r="C12" s="39" t="s">
        <v>6</v>
      </c>
      <c r="D12" s="41">
        <v>-1113141.8144192942</v>
      </c>
      <c r="E12" s="60" t="e">
        <f>#REF!</f>
        <v>#REF!</v>
      </c>
      <c r="F12" s="60" t="e">
        <f>#REF!</f>
        <v>#REF!</v>
      </c>
    </row>
    <row r="13" spans="1:6" s="4" customFormat="1" ht="41.25" customHeight="1">
      <c r="A13" s="39" t="s">
        <v>13</v>
      </c>
      <c r="B13" s="40" t="s">
        <v>14</v>
      </c>
      <c r="C13" s="39"/>
      <c r="D13" s="16"/>
      <c r="E13" s="16"/>
      <c r="F13" s="16"/>
    </row>
    <row r="14" spans="1:6" s="4" customFormat="1" ht="110.25">
      <c r="A14" s="39" t="s">
        <v>15</v>
      </c>
      <c r="B14" s="40" t="s">
        <v>61</v>
      </c>
      <c r="C14" s="39" t="s">
        <v>16</v>
      </c>
      <c r="D14" s="42">
        <f>D10/D9</f>
        <v>-0.11862325016856608</v>
      </c>
      <c r="E14" s="42" t="e">
        <f>E10/E9</f>
        <v>#REF!</v>
      </c>
      <c r="F14" s="42" t="e">
        <f>F10/F9</f>
        <v>#REF!</v>
      </c>
    </row>
    <row r="15" spans="1:6" s="4" customFormat="1" ht="58.5" customHeight="1">
      <c r="A15" s="39" t="s">
        <v>17</v>
      </c>
      <c r="B15" s="40" t="s">
        <v>60</v>
      </c>
      <c r="C15" s="39"/>
      <c r="D15" s="16"/>
      <c r="E15" s="16"/>
      <c r="F15" s="16"/>
    </row>
    <row r="16" spans="1:6" s="4" customFormat="1" ht="60.75" customHeight="1">
      <c r="A16" s="39" t="s">
        <v>18</v>
      </c>
      <c r="B16" s="40" t="s">
        <v>54</v>
      </c>
      <c r="C16" s="39" t="s">
        <v>19</v>
      </c>
      <c r="D16" s="16" t="s">
        <v>74</v>
      </c>
      <c r="E16" s="16" t="s">
        <v>74</v>
      </c>
      <c r="F16" s="16" t="s">
        <v>74</v>
      </c>
    </row>
    <row r="17" spans="1:7" s="4" customFormat="1" ht="39.75" customHeight="1">
      <c r="A17" s="39" t="s">
        <v>20</v>
      </c>
      <c r="B17" s="40" t="s">
        <v>55</v>
      </c>
      <c r="C17" s="39" t="s">
        <v>21</v>
      </c>
      <c r="D17" s="16" t="s">
        <v>74</v>
      </c>
      <c r="E17" s="16" t="s">
        <v>74</v>
      </c>
      <c r="F17" s="16" t="s">
        <v>74</v>
      </c>
      <c r="G17" s="43"/>
    </row>
    <row r="18" spans="1:8" s="5" customFormat="1" ht="24.75" customHeight="1">
      <c r="A18" s="39" t="s">
        <v>22</v>
      </c>
      <c r="B18" s="40" t="s">
        <v>56</v>
      </c>
      <c r="C18" s="39" t="s">
        <v>19</v>
      </c>
      <c r="D18" s="27">
        <v>1493.811</v>
      </c>
      <c r="E18" s="27">
        <v>1485.181</v>
      </c>
      <c r="F18" s="27">
        <v>1490.97</v>
      </c>
      <c r="H18" s="44"/>
    </row>
    <row r="19" spans="1:8" s="4" customFormat="1" ht="50.25">
      <c r="A19" s="39" t="s">
        <v>57</v>
      </c>
      <c r="B19" s="40" t="s">
        <v>93</v>
      </c>
      <c r="C19" s="39" t="s">
        <v>58</v>
      </c>
      <c r="D19" s="27">
        <v>8664102.51</v>
      </c>
      <c r="E19" s="26">
        <v>8614048.806</v>
      </c>
      <c r="F19" s="27">
        <v>8643804.484</v>
      </c>
      <c r="G19" s="45"/>
      <c r="H19" s="46"/>
    </row>
    <row r="20" spans="1:8" s="4" customFormat="1" ht="76.5" customHeight="1">
      <c r="A20" s="39" t="s">
        <v>24</v>
      </c>
      <c r="B20" s="40" t="s">
        <v>59</v>
      </c>
      <c r="C20" s="39" t="s">
        <v>23</v>
      </c>
      <c r="D20" s="27">
        <v>1593659.71</v>
      </c>
      <c r="E20" s="47">
        <v>1763450</v>
      </c>
      <c r="F20" s="27">
        <v>1592972.49</v>
      </c>
      <c r="G20" s="45"/>
      <c r="H20" s="45"/>
    </row>
    <row r="21" spans="1:6" s="4" customFormat="1" ht="114" customHeight="1">
      <c r="A21" s="39" t="s">
        <v>25</v>
      </c>
      <c r="B21" s="40" t="s">
        <v>94</v>
      </c>
      <c r="C21" s="39" t="s">
        <v>16</v>
      </c>
      <c r="D21" s="48" t="s">
        <v>95</v>
      </c>
      <c r="E21" s="49">
        <v>0.0635</v>
      </c>
      <c r="F21" s="27" t="s">
        <v>96</v>
      </c>
    </row>
    <row r="22" spans="1:8" s="4" customFormat="1" ht="84">
      <c r="A22" s="39" t="s">
        <v>26</v>
      </c>
      <c r="B22" s="40" t="s">
        <v>62</v>
      </c>
      <c r="C22" s="39"/>
      <c r="D22" s="50" t="s">
        <v>97</v>
      </c>
      <c r="E22" s="50" t="s">
        <v>98</v>
      </c>
      <c r="F22" s="50" t="s">
        <v>98</v>
      </c>
      <c r="H22" s="51"/>
    </row>
    <row r="23" spans="1:8" s="4" customFormat="1" ht="84.75" customHeight="1">
      <c r="A23" s="39" t="s">
        <v>27</v>
      </c>
      <c r="B23" s="40" t="s">
        <v>63</v>
      </c>
      <c r="C23" s="39" t="s">
        <v>21</v>
      </c>
      <c r="D23" s="16"/>
      <c r="E23" s="16"/>
      <c r="F23" s="16"/>
      <c r="H23" s="17"/>
    </row>
    <row r="24" spans="1:8" s="4" customFormat="1" ht="72" customHeight="1">
      <c r="A24" s="39" t="s">
        <v>28</v>
      </c>
      <c r="B24" s="40" t="s">
        <v>29</v>
      </c>
      <c r="C24" s="39"/>
      <c r="D24" s="41">
        <v>4427632.83603154</v>
      </c>
      <c r="E24" s="41">
        <v>4703580.934374323</v>
      </c>
      <c r="F24" s="41">
        <v>13289740.03</v>
      </c>
      <c r="H24" s="17"/>
    </row>
    <row r="25" spans="1:6" s="4" customFormat="1" ht="90" customHeight="1">
      <c r="A25" s="39" t="s">
        <v>30</v>
      </c>
      <c r="B25" s="40" t="s">
        <v>99</v>
      </c>
      <c r="C25" s="39" t="s">
        <v>6</v>
      </c>
      <c r="D25" s="41">
        <v>1734399.3688824214</v>
      </c>
      <c r="E25" s="41">
        <v>1508743.122317242</v>
      </c>
      <c r="F25" s="41">
        <v>1604657.3188346347</v>
      </c>
    </row>
    <row r="26" spans="1:6" s="4" customFormat="1" ht="27" customHeight="1">
      <c r="A26" s="39"/>
      <c r="B26" s="40" t="s">
        <v>64</v>
      </c>
      <c r="C26" s="39"/>
      <c r="D26" s="41"/>
      <c r="E26" s="41"/>
      <c r="F26" s="41"/>
    </row>
    <row r="27" spans="1:6" s="4" customFormat="1" ht="27" customHeight="1">
      <c r="A27" s="39"/>
      <c r="B27" s="40" t="s">
        <v>31</v>
      </c>
      <c r="C27" s="39"/>
      <c r="D27" s="41">
        <v>1249652.0215600003</v>
      </c>
      <c r="E27" s="41">
        <v>1050808.725581621</v>
      </c>
      <c r="F27" s="41">
        <f>E27*1.063572251</f>
        <v>1117611.001637286</v>
      </c>
    </row>
    <row r="28" spans="1:6" s="4" customFormat="1" ht="27" customHeight="1">
      <c r="A28" s="39"/>
      <c r="B28" s="40" t="s">
        <v>32</v>
      </c>
      <c r="C28" s="39"/>
      <c r="D28" s="41">
        <f>37214.4+12776.7</f>
        <v>49991.100000000006</v>
      </c>
      <c r="E28" s="41">
        <f>130739.5+73286.7</f>
        <v>204026.2</v>
      </c>
      <c r="F28" s="41">
        <f>E28*1.063572251</f>
        <v>216996.60479697623</v>
      </c>
    </row>
    <row r="29" spans="1:6" s="4" customFormat="1" ht="27" customHeight="1">
      <c r="A29" s="39"/>
      <c r="B29" s="40" t="s">
        <v>33</v>
      </c>
      <c r="C29" s="39"/>
      <c r="D29" s="41">
        <f>150613.19789-D28</f>
        <v>100622.09789</v>
      </c>
      <c r="E29" s="41">
        <f>301026.549599273-E28</f>
        <v>97000.349599273</v>
      </c>
      <c r="F29" s="41">
        <f>E29*1.063572251</f>
        <v>103166.88017108574</v>
      </c>
    </row>
    <row r="30" spans="1:10" s="4" customFormat="1" ht="85.5" customHeight="1">
      <c r="A30" s="39" t="s">
        <v>34</v>
      </c>
      <c r="B30" s="40" t="s">
        <v>100</v>
      </c>
      <c r="C30" s="39" t="s">
        <v>6</v>
      </c>
      <c r="D30" s="52">
        <f>2585598.71879-181866.9</f>
        <v>2403731.81879</v>
      </c>
      <c r="E30" s="41">
        <f>2899159.95447311-99812.32</f>
        <v>2799347.63447311</v>
      </c>
      <c r="F30" s="41">
        <f>7238228.29-3544359.7</f>
        <v>3693868.59</v>
      </c>
      <c r="G30" s="53"/>
      <c r="J30" s="54"/>
    </row>
    <row r="31" spans="1:6" s="4" customFormat="1" ht="60.75" customHeight="1">
      <c r="A31" s="39" t="s">
        <v>85</v>
      </c>
      <c r="B31" s="40" t="s">
        <v>87</v>
      </c>
      <c r="C31" s="39" t="s">
        <v>6</v>
      </c>
      <c r="D31" s="41">
        <v>1910859.5688970338</v>
      </c>
      <c r="E31" s="41">
        <f>-911222-266571.2-138360+99812.4</f>
        <v>-1216340.8</v>
      </c>
      <c r="F31" s="41">
        <f>1420685.7+3039724.15+504635.51</f>
        <v>4965045.359999999</v>
      </c>
    </row>
    <row r="32" spans="1:6" s="4" customFormat="1" ht="43.5" customHeight="1">
      <c r="A32" s="39" t="s">
        <v>35</v>
      </c>
      <c r="B32" s="40" t="s">
        <v>73</v>
      </c>
      <c r="C32" s="39" t="s">
        <v>6</v>
      </c>
      <c r="D32" s="41">
        <v>333214.99867</v>
      </c>
      <c r="E32" s="41">
        <v>576431.4</v>
      </c>
      <c r="F32" s="41">
        <v>629917</v>
      </c>
    </row>
    <row r="33" spans="1:6" s="4" customFormat="1" ht="135.75" customHeight="1">
      <c r="A33" s="39" t="s">
        <v>36</v>
      </c>
      <c r="B33" s="40" t="s">
        <v>37</v>
      </c>
      <c r="C33" s="39"/>
      <c r="D33" s="50" t="s">
        <v>101</v>
      </c>
      <c r="E33" s="50" t="s">
        <v>102</v>
      </c>
      <c r="F33" s="50" t="s">
        <v>102</v>
      </c>
    </row>
    <row r="34" spans="1:6" s="4" customFormat="1" ht="27" customHeight="1">
      <c r="A34" s="39"/>
      <c r="B34" s="55" t="s">
        <v>38</v>
      </c>
      <c r="C34" s="39"/>
      <c r="D34" s="16"/>
      <c r="E34" s="16"/>
      <c r="F34" s="16"/>
    </row>
    <row r="35" spans="1:6" s="4" customFormat="1" ht="36" customHeight="1">
      <c r="A35" s="39"/>
      <c r="B35" s="40" t="s">
        <v>65</v>
      </c>
      <c r="C35" s="39" t="s">
        <v>39</v>
      </c>
      <c r="D35" s="27">
        <v>97641.81599999999</v>
      </c>
      <c r="E35" s="27">
        <v>98955.38</v>
      </c>
      <c r="F35" s="27">
        <v>98871.35599999999</v>
      </c>
    </row>
    <row r="36" spans="1:6" s="4" customFormat="1" ht="47.25">
      <c r="A36" s="39"/>
      <c r="B36" s="40" t="s">
        <v>66</v>
      </c>
      <c r="C36" s="39" t="s">
        <v>40</v>
      </c>
      <c r="D36" s="56">
        <f>D25/D35</f>
        <v>17.76287496416926</v>
      </c>
      <c r="E36" s="56">
        <f>E25/E35</f>
        <v>15.246701314443357</v>
      </c>
      <c r="F36" s="56">
        <f>F25/F35</f>
        <v>16.229749279807944</v>
      </c>
    </row>
    <row r="37" spans="1:6" s="4" customFormat="1" ht="72.75" customHeight="1">
      <c r="A37" s="39" t="s">
        <v>41</v>
      </c>
      <c r="B37" s="40" t="s">
        <v>42</v>
      </c>
      <c r="C37" s="39"/>
      <c r="D37" s="16"/>
      <c r="E37" s="16"/>
      <c r="F37" s="16"/>
    </row>
    <row r="38" spans="1:6" s="4" customFormat="1" ht="41.25" customHeight="1">
      <c r="A38" s="39" t="s">
        <v>43</v>
      </c>
      <c r="B38" s="40" t="s">
        <v>44</v>
      </c>
      <c r="C38" s="39" t="s">
        <v>45</v>
      </c>
      <c r="D38" s="28">
        <v>2242.45</v>
      </c>
      <c r="E38" s="28">
        <v>2423</v>
      </c>
      <c r="F38" s="28">
        <v>2424.5</v>
      </c>
    </row>
    <row r="39" spans="1:6" s="4" customFormat="1" ht="47.25">
      <c r="A39" s="39" t="s">
        <v>46</v>
      </c>
      <c r="B39" s="40" t="s">
        <v>47</v>
      </c>
      <c r="C39" s="39" t="s">
        <v>67</v>
      </c>
      <c r="D39" s="27">
        <f>D27/D38/12</f>
        <v>46.43923764781081</v>
      </c>
      <c r="E39" s="27">
        <f>E27/E38/12</f>
        <v>36.140071728629145</v>
      </c>
      <c r="F39" s="27">
        <f>F27/F38/12</f>
        <v>38.4137967153807</v>
      </c>
    </row>
    <row r="40" spans="1:6" s="4" customFormat="1" ht="140.25">
      <c r="A40" s="39" t="s">
        <v>48</v>
      </c>
      <c r="B40" s="40" t="s">
        <v>49</v>
      </c>
      <c r="C40" s="39"/>
      <c r="D40" s="57" t="s">
        <v>103</v>
      </c>
      <c r="E40" s="57" t="s">
        <v>103</v>
      </c>
      <c r="F40" s="57" t="s">
        <v>74</v>
      </c>
    </row>
    <row r="41" spans="1:6" s="4" customFormat="1" ht="37.5" customHeight="1">
      <c r="A41" s="39"/>
      <c r="B41" s="55" t="s">
        <v>38</v>
      </c>
      <c r="C41" s="39"/>
      <c r="D41" s="16"/>
      <c r="E41" s="16"/>
      <c r="F41" s="16"/>
    </row>
    <row r="42" spans="1:6" s="4" customFormat="1" ht="60.75" customHeight="1">
      <c r="A42" s="39"/>
      <c r="B42" s="40" t="s">
        <v>50</v>
      </c>
      <c r="C42" s="39" t="s">
        <v>6</v>
      </c>
      <c r="D42" s="27">
        <v>3520612.3871753896</v>
      </c>
      <c r="E42" s="27">
        <v>3520612.3871753896</v>
      </c>
      <c r="F42" s="27">
        <v>3520612.3871753896</v>
      </c>
    </row>
    <row r="43" spans="1:6" s="4" customFormat="1" ht="82.5" customHeight="1">
      <c r="A43" s="39"/>
      <c r="B43" s="40" t="s">
        <v>51</v>
      </c>
      <c r="C43" s="39" t="s">
        <v>6</v>
      </c>
      <c r="D43" s="27">
        <v>-7498648.807127179</v>
      </c>
      <c r="E43" s="27">
        <v>-9015267.9050415</v>
      </c>
      <c r="F43" s="27">
        <v>-2748210.545721863</v>
      </c>
    </row>
    <row r="44" s="7" customFormat="1" ht="19.5" customHeight="1">
      <c r="A44" s="6" t="s">
        <v>68</v>
      </c>
    </row>
    <row r="45" s="7" customFormat="1" ht="15.75">
      <c r="A45" s="6" t="s">
        <v>69</v>
      </c>
    </row>
    <row r="46" s="7" customFormat="1" ht="15.75">
      <c r="A46" s="6" t="s">
        <v>70</v>
      </c>
    </row>
    <row r="47" s="7" customFormat="1" ht="15.75">
      <c r="A47" s="6" t="s">
        <v>71</v>
      </c>
    </row>
    <row r="50" spans="2:5" ht="15.75">
      <c r="B50" s="58"/>
      <c r="E50" s="59"/>
    </row>
    <row r="69" ht="15.75">
      <c r="D69" s="1">
        <v>2585598.71879</v>
      </c>
    </row>
  </sheetData>
  <sheetProtection/>
  <mergeCells count="2">
    <mergeCell ref="A4:F4"/>
    <mergeCell ref="B5:F5"/>
  </mergeCells>
  <printOptions/>
  <pageMargins left="0.7874015748031497" right="0.7086614173228347" top="0.7874015748031497" bottom="0.3937007874015748" header="0.1968503937007874" footer="0.1968503937007874"/>
  <pageSetup blackAndWhite="1" fitToHeight="2" fitToWidth="2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SheetLayoutView="100" zoomScalePageLayoutView="0" workbookViewId="0" topLeftCell="A4">
      <selection activeCell="F10" sqref="F10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5.125" style="1" customWidth="1"/>
    <col min="7" max="7" width="14.625" style="1" hidden="1" customWidth="1"/>
    <col min="8" max="8" width="31.25390625" style="1" hidden="1" customWidth="1"/>
    <col min="9" max="9" width="12.625" style="1" hidden="1" customWidth="1"/>
    <col min="10" max="10" width="13.00390625" style="1" hidden="1" customWidth="1"/>
    <col min="11" max="11" width="16.375" style="1" hidden="1" customWidth="1"/>
    <col min="12" max="12" width="15.00390625" style="1" hidden="1" customWidth="1"/>
    <col min="13" max="13" width="10.625" style="1" hidden="1" customWidth="1"/>
    <col min="14" max="14" width="9.625" style="1" bestFit="1" customWidth="1"/>
    <col min="15" max="15" width="10.375" style="1" customWidth="1"/>
    <col min="16" max="16" width="9.625" style="1" bestFit="1" customWidth="1"/>
    <col min="17" max="20" width="9.125" style="1" customWidth="1"/>
    <col min="21" max="21" width="12.25390625" style="1" customWidth="1"/>
    <col min="22" max="24" width="9.125" style="1" customWidth="1"/>
    <col min="25" max="25" width="11.375" style="1" customWidth="1"/>
    <col min="26" max="16384" width="9.125" style="1" customWidth="1"/>
  </cols>
  <sheetData>
    <row r="1" ht="54" customHeight="1">
      <c r="F1" s="3" t="s">
        <v>53</v>
      </c>
    </row>
    <row r="4" spans="1:6" ht="31.5" customHeight="1">
      <c r="A4" s="111" t="s">
        <v>72</v>
      </c>
      <c r="B4" s="112"/>
      <c r="C4" s="112"/>
      <c r="D4" s="112"/>
      <c r="E4" s="112"/>
      <c r="F4" s="112"/>
    </row>
    <row r="5" spans="1:6" ht="15.75">
      <c r="A5" s="115" t="s">
        <v>104</v>
      </c>
      <c r="B5" s="114"/>
      <c r="C5" s="114"/>
      <c r="D5" s="114"/>
      <c r="E5" s="114"/>
      <c r="F5" s="114"/>
    </row>
    <row r="6" spans="8:11" ht="15.75">
      <c r="H6" s="1" t="s">
        <v>105</v>
      </c>
      <c r="K6" s="1" t="s">
        <v>106</v>
      </c>
    </row>
    <row r="7" spans="1:13" s="2" customFormat="1" ht="46.5" customHeight="1">
      <c r="A7" s="8" t="s">
        <v>52</v>
      </c>
      <c r="B7" s="9" t="s">
        <v>0</v>
      </c>
      <c r="C7" s="9" t="s">
        <v>1</v>
      </c>
      <c r="D7" s="9" t="s">
        <v>107</v>
      </c>
      <c r="E7" s="9" t="s">
        <v>108</v>
      </c>
      <c r="F7" s="10" t="s">
        <v>109</v>
      </c>
      <c r="G7" s="116" t="s">
        <v>110</v>
      </c>
      <c r="H7" s="117"/>
      <c r="I7" s="117"/>
      <c r="J7" s="117"/>
      <c r="K7" s="118" t="s">
        <v>111</v>
      </c>
      <c r="L7" s="118"/>
      <c r="M7" s="118"/>
    </row>
    <row r="8" spans="1:13" s="4" customFormat="1" ht="42" customHeight="1">
      <c r="A8" s="11" t="s">
        <v>2</v>
      </c>
      <c r="B8" s="12" t="s">
        <v>3</v>
      </c>
      <c r="C8" s="11"/>
      <c r="D8" s="61"/>
      <c r="E8" s="61"/>
      <c r="F8" s="61"/>
      <c r="G8" s="62" t="s">
        <v>112</v>
      </c>
      <c r="H8" s="63" t="s">
        <v>113</v>
      </c>
      <c r="I8" s="62" t="s">
        <v>114</v>
      </c>
      <c r="J8" s="64" t="s">
        <v>115</v>
      </c>
      <c r="K8" s="4" t="s">
        <v>112</v>
      </c>
      <c r="L8" s="4" t="s">
        <v>114</v>
      </c>
      <c r="M8" s="30" t="s">
        <v>115</v>
      </c>
    </row>
    <row r="9" spans="1:13" s="4" customFormat="1" ht="28.5" customHeight="1">
      <c r="A9" s="11" t="s">
        <v>4</v>
      </c>
      <c r="B9" s="12" t="s">
        <v>5</v>
      </c>
      <c r="C9" s="11" t="s">
        <v>6</v>
      </c>
      <c r="D9" s="65">
        <v>1411711</v>
      </c>
      <c r="E9" s="100">
        <v>1408601</v>
      </c>
      <c r="F9" s="100">
        <v>3272446.632</v>
      </c>
      <c r="G9" s="67">
        <f>'[1]ЭСЕАО'!$E$10*1000</f>
        <v>1399392.35</v>
      </c>
      <c r="H9" s="68" t="s">
        <v>116</v>
      </c>
      <c r="I9" s="69">
        <f>'[2]3 Выручка'!$E$9-'[2]3 Выручка'!$E$16</f>
        <v>9209.116999999853</v>
      </c>
      <c r="J9" s="70">
        <f>I9+G9</f>
        <v>1408601.467</v>
      </c>
      <c r="K9" s="4">
        <f>2961582.092+50260.54+256815.99</f>
        <v>3268658.6220000004</v>
      </c>
      <c r="L9" s="4">
        <v>3788.01</v>
      </c>
      <c r="M9" s="30">
        <f>L9+K9</f>
        <v>3272446.632</v>
      </c>
    </row>
    <row r="10" spans="1:13" s="4" customFormat="1" ht="44.25" customHeight="1">
      <c r="A10" s="11" t="s">
        <v>7</v>
      </c>
      <c r="B10" s="12" t="s">
        <v>8</v>
      </c>
      <c r="C10" s="11" t="s">
        <v>6</v>
      </c>
      <c r="D10" s="65">
        <v>152586</v>
      </c>
      <c r="E10" s="66">
        <v>116190.84732499735</v>
      </c>
      <c r="F10" s="66">
        <v>1844743.7599999998</v>
      </c>
      <c r="G10" s="67">
        <f>'[3]Расчет НВВ по RAB (2011-2017)'!$L$12+'[3]Расчет НВВ по RAB (2011-2017)'!$L$14+'[3]Расчет НВВ по RAB (2011-2017)'!$L$17+'[3]Расчет НВВ по RAB (2011-2017)'!$L$18+'[3]Расчет расх. по RAB (2011-2017)'!$N$50</f>
        <v>32026.380867666387</v>
      </c>
      <c r="H10" s="68" t="s">
        <v>117</v>
      </c>
      <c r="I10" s="69">
        <f>I9-'[2]6 Смета подробно'!$E$444-'[2]6 Смета подробно'!$E$226</f>
        <v>-10498.450897650258</v>
      </c>
      <c r="J10" s="70">
        <f>I10+G10</f>
        <v>21527.92997001613</v>
      </c>
      <c r="K10" s="4">
        <f>239953.1+17279.8+130000+79171.5</f>
        <v>466404.4</v>
      </c>
      <c r="L10" s="4">
        <v>-15608.54</v>
      </c>
      <c r="M10" s="30">
        <f>L10+K10</f>
        <v>450795.86000000004</v>
      </c>
    </row>
    <row r="11" spans="1:13" s="4" customFormat="1" ht="63" customHeight="1">
      <c r="A11" s="11" t="s">
        <v>9</v>
      </c>
      <c r="B11" s="12" t="s">
        <v>10</v>
      </c>
      <c r="C11" s="11" t="s">
        <v>6</v>
      </c>
      <c r="D11" s="65">
        <f>55849+103421+90001-0</f>
        <v>249271</v>
      </c>
      <c r="E11" s="65">
        <v>242573</v>
      </c>
      <c r="F11" s="65">
        <v>1960644</v>
      </c>
      <c r="G11" s="67">
        <f>G12+'[3]Расчет расх. по RAB (2011-2017)'!$N$50+'[3]Расчет расх. по RAB (2011-2017)'!$N$58+'[3]Расчет расх. по RAB (2011-2017)'!$N$57</f>
        <v>253064.5535146504</v>
      </c>
      <c r="H11" s="68" t="s">
        <v>118</v>
      </c>
      <c r="I11" s="69">
        <f>I10+'[2]6 Смета подробно'!$E$263+'[2]6 Смета подробно'!$E$481</f>
        <v>-10491.350897650258</v>
      </c>
      <c r="J11" s="70">
        <f>I11+G11</f>
        <v>242573.20261700015</v>
      </c>
      <c r="K11" s="4">
        <f>1652866.492+79171.5+124034.8+120172.1</f>
        <v>1976244.8920000002</v>
      </c>
      <c r="L11" s="4">
        <v>-15601.11</v>
      </c>
      <c r="M11" s="30">
        <f>L11+K11</f>
        <v>1960643.7820000001</v>
      </c>
    </row>
    <row r="12" spans="1:13" s="4" customFormat="1" ht="109.5" customHeight="1">
      <c r="A12" s="11" t="s">
        <v>11</v>
      </c>
      <c r="B12" s="12" t="s">
        <v>12</v>
      </c>
      <c r="C12" s="11" t="s">
        <v>6</v>
      </c>
      <c r="D12" s="65">
        <v>39054</v>
      </c>
      <c r="E12" s="65">
        <v>-5530.84</v>
      </c>
      <c r="F12" s="65">
        <v>1637258</v>
      </c>
      <c r="G12" s="67">
        <f>'[3]Расчет НВВ по RAB (2011-2017)'!$L$8-'[3]Расчет НВВ по RAB (2011-2017)'!$L$9-'[3]Расчет НВВ по RAB (2011-2017)'!$L$10-'[3]Расчет НВВ по RAB (2011-2017)'!$L$59-'[3]Расчет НВВ по RAB (2011-2017)'!$L$61-'[3]Расчет НВВ по RAB (2011-2017)'!$L$69+'[3]Расчет расх. по RAB (2011-2017)'!$N$51+'[3]Расчет расх. по RAB (2011-2017)'!$N$52</f>
        <v>4967.608071637267</v>
      </c>
      <c r="H12" s="68" t="s">
        <v>119</v>
      </c>
      <c r="I12" s="69">
        <f>I10</f>
        <v>-10498.450897650258</v>
      </c>
      <c r="J12" s="70">
        <f>I12+G12</f>
        <v>-5530.842826012991</v>
      </c>
      <c r="K12" s="4">
        <f>2961582.092-2062493.4-378029-124034.8-120172.1-17934.2+1393947.9</f>
        <v>1652866.492</v>
      </c>
      <c r="L12" s="17">
        <v>-15608.54</v>
      </c>
      <c r="M12" s="30">
        <f>L12+K12</f>
        <v>1637257.952</v>
      </c>
    </row>
    <row r="13" spans="1:10" s="4" customFormat="1" ht="41.25" customHeight="1">
      <c r="A13" s="11" t="s">
        <v>13</v>
      </c>
      <c r="B13" s="12" t="s">
        <v>14</v>
      </c>
      <c r="C13" s="11"/>
      <c r="D13" s="61"/>
      <c r="E13" s="61"/>
      <c r="F13" s="61"/>
      <c r="G13" s="62"/>
      <c r="H13" s="62"/>
      <c r="I13" s="62"/>
      <c r="J13" s="62"/>
    </row>
    <row r="14" spans="1:11" s="4" customFormat="1" ht="204.75">
      <c r="A14" s="11" t="s">
        <v>15</v>
      </c>
      <c r="B14" s="12" t="s">
        <v>61</v>
      </c>
      <c r="C14" s="11" t="s">
        <v>16</v>
      </c>
      <c r="D14" s="71">
        <f>D10/D9*100</f>
        <v>10.808586176632469</v>
      </c>
      <c r="E14" s="71">
        <f>E10/E9*100</f>
        <v>8.248669944505034</v>
      </c>
      <c r="F14" s="71">
        <f>F10/F9*100</f>
        <v>56.37200441898603</v>
      </c>
      <c r="K14" s="72" t="s">
        <v>120</v>
      </c>
    </row>
    <row r="15" spans="1:6" s="4" customFormat="1" ht="58.5" customHeight="1">
      <c r="A15" s="11" t="s">
        <v>17</v>
      </c>
      <c r="B15" s="12" t="s">
        <v>60</v>
      </c>
      <c r="C15" s="11"/>
      <c r="D15" s="61"/>
      <c r="E15" s="61"/>
      <c r="F15" s="61"/>
    </row>
    <row r="16" spans="1:6" s="4" customFormat="1" ht="60.75" customHeight="1">
      <c r="A16" s="11" t="s">
        <v>18</v>
      </c>
      <c r="B16" s="12" t="s">
        <v>54</v>
      </c>
      <c r="C16" s="11" t="s">
        <v>19</v>
      </c>
      <c r="D16" s="13" t="s">
        <v>74</v>
      </c>
      <c r="E16" s="13" t="s">
        <v>74</v>
      </c>
      <c r="F16" s="13" t="s">
        <v>74</v>
      </c>
    </row>
    <row r="17" spans="1:6" s="4" customFormat="1" ht="39.75" customHeight="1">
      <c r="A17" s="11" t="s">
        <v>20</v>
      </c>
      <c r="B17" s="12" t="s">
        <v>55</v>
      </c>
      <c r="C17" s="11" t="s">
        <v>21</v>
      </c>
      <c r="D17" s="13" t="s">
        <v>74</v>
      </c>
      <c r="E17" s="13" t="s">
        <v>74</v>
      </c>
      <c r="F17" s="13" t="s">
        <v>74</v>
      </c>
    </row>
    <row r="18" spans="1:6" s="5" customFormat="1" ht="24.75" customHeight="1">
      <c r="A18" s="73" t="s">
        <v>22</v>
      </c>
      <c r="B18" s="74" t="s">
        <v>56</v>
      </c>
      <c r="C18" s="75" t="s">
        <v>19</v>
      </c>
      <c r="D18" s="76">
        <v>151.7624</v>
      </c>
      <c r="E18" s="76">
        <v>157.42</v>
      </c>
      <c r="F18" s="76">
        <v>148.803</v>
      </c>
    </row>
    <row r="19" spans="1:6" s="4" customFormat="1" ht="60" customHeight="1">
      <c r="A19" s="11" t="s">
        <v>57</v>
      </c>
      <c r="B19" s="77" t="s">
        <v>93</v>
      </c>
      <c r="C19" s="78" t="s">
        <v>58</v>
      </c>
      <c r="D19" s="26">
        <v>1054455.66</v>
      </c>
      <c r="E19" s="26">
        <v>1031590</v>
      </c>
      <c r="F19" s="79">
        <v>1017952</v>
      </c>
    </row>
    <row r="20" spans="1:6" s="4" customFormat="1" ht="76.5" customHeight="1">
      <c r="A20" s="11" t="s">
        <v>24</v>
      </c>
      <c r="B20" s="77" t="s">
        <v>59</v>
      </c>
      <c r="C20" s="78" t="s">
        <v>23</v>
      </c>
      <c r="D20" s="80">
        <v>198176.239</v>
      </c>
      <c r="E20" s="80">
        <v>203289.9</v>
      </c>
      <c r="F20" s="80">
        <v>203289.9</v>
      </c>
    </row>
    <row r="21" spans="1:6" s="4" customFormat="1" ht="93" customHeight="1">
      <c r="A21" s="11" t="s">
        <v>25</v>
      </c>
      <c r="B21" s="77" t="s">
        <v>121</v>
      </c>
      <c r="C21" s="78" t="s">
        <v>16</v>
      </c>
      <c r="D21" s="81">
        <v>11.45</v>
      </c>
      <c r="E21" s="81">
        <v>11.29</v>
      </c>
      <c r="F21" s="81">
        <v>11.29</v>
      </c>
    </row>
    <row r="22" spans="1:6" s="4" customFormat="1" ht="96.75" customHeight="1">
      <c r="A22" s="11" t="s">
        <v>26</v>
      </c>
      <c r="B22" s="77" t="s">
        <v>62</v>
      </c>
      <c r="C22" s="78"/>
      <c r="D22" s="82" t="s">
        <v>122</v>
      </c>
      <c r="E22" s="82" t="s">
        <v>123</v>
      </c>
      <c r="F22" s="82" t="s">
        <v>123</v>
      </c>
    </row>
    <row r="23" spans="1:6" s="4" customFormat="1" ht="90.75" customHeight="1">
      <c r="A23" s="11" t="s">
        <v>27</v>
      </c>
      <c r="B23" s="12" t="s">
        <v>63</v>
      </c>
      <c r="C23" s="11" t="s">
        <v>21</v>
      </c>
      <c r="D23" s="61"/>
      <c r="E23" s="61"/>
      <c r="F23" s="61"/>
    </row>
    <row r="24" spans="1:6" s="4" customFormat="1" ht="72" customHeight="1">
      <c r="A24" s="11" t="s">
        <v>28</v>
      </c>
      <c r="B24" s="12" t="s">
        <v>29</v>
      </c>
      <c r="C24" s="11"/>
      <c r="D24" s="61">
        <v>1106007.2</v>
      </c>
      <c r="E24" s="61">
        <v>1095008.1</v>
      </c>
      <c r="F24" s="61">
        <v>2961582.1</v>
      </c>
    </row>
    <row r="25" spans="1:6" s="4" customFormat="1" ht="90" customHeight="1">
      <c r="A25" s="11" t="s">
        <v>30</v>
      </c>
      <c r="B25" s="12" t="s">
        <v>99</v>
      </c>
      <c r="C25" s="11" t="s">
        <v>6</v>
      </c>
      <c r="D25" s="61">
        <v>371571.1</v>
      </c>
      <c r="E25" s="61">
        <v>359163.2</v>
      </c>
      <c r="F25" s="61">
        <v>378029</v>
      </c>
    </row>
    <row r="26" spans="1:6" s="4" customFormat="1" ht="27" customHeight="1">
      <c r="A26" s="11"/>
      <c r="B26" s="12" t="s">
        <v>64</v>
      </c>
      <c r="C26" s="11"/>
      <c r="D26" s="61"/>
      <c r="E26" s="61"/>
      <c r="F26" s="61"/>
    </row>
    <row r="27" spans="1:6" s="4" customFormat="1" ht="27" customHeight="1">
      <c r="A27" s="11"/>
      <c r="B27" s="12" t="s">
        <v>31</v>
      </c>
      <c r="C27" s="11"/>
      <c r="D27" s="61">
        <v>238661.6</v>
      </c>
      <c r="E27" s="61">
        <v>196930.3</v>
      </c>
      <c r="F27" s="61">
        <v>207274.5</v>
      </c>
    </row>
    <row r="28" spans="1:26" s="4" customFormat="1" ht="27" customHeight="1">
      <c r="A28" s="11"/>
      <c r="B28" s="12" t="s">
        <v>32</v>
      </c>
      <c r="C28" s="11"/>
      <c r="D28" s="83">
        <v>45649.9</v>
      </c>
      <c r="E28" s="61">
        <v>95091.1</v>
      </c>
      <c r="F28" s="61">
        <v>100085.9</v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spans="1:26" s="4" customFormat="1" ht="27" customHeight="1">
      <c r="A29" s="11"/>
      <c r="B29" s="12" t="s">
        <v>33</v>
      </c>
      <c r="C29" s="11"/>
      <c r="D29" s="61">
        <v>69063.4</v>
      </c>
      <c r="E29" s="61">
        <v>22652.5</v>
      </c>
      <c r="F29" s="61">
        <v>23842.5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</row>
    <row r="30" spans="1:26" s="4" customFormat="1" ht="68.25" customHeight="1">
      <c r="A30" s="11" t="s">
        <v>34</v>
      </c>
      <c r="B30" s="12" t="s">
        <v>124</v>
      </c>
      <c r="C30" s="11" t="s">
        <v>6</v>
      </c>
      <c r="D30" s="85">
        <v>489227.45</v>
      </c>
      <c r="E30" s="61">
        <v>504913.9</v>
      </c>
      <c r="F30" s="85">
        <v>810962.4</v>
      </c>
      <c r="N30" s="86"/>
      <c r="O30" s="84"/>
      <c r="P30" s="87"/>
      <c r="Q30" s="84"/>
      <c r="R30" s="84"/>
      <c r="S30" s="84"/>
      <c r="T30" s="88"/>
      <c r="U30" s="84"/>
      <c r="V30" s="84"/>
      <c r="W30" s="84"/>
      <c r="X30" s="84"/>
      <c r="Y30" s="88"/>
      <c r="Z30" s="84"/>
    </row>
    <row r="31" spans="1:26" s="4" customFormat="1" ht="112.5" customHeight="1">
      <c r="A31" s="11" t="s">
        <v>85</v>
      </c>
      <c r="B31" s="12" t="s">
        <v>125</v>
      </c>
      <c r="C31" s="11" t="s">
        <v>6</v>
      </c>
      <c r="D31" s="85">
        <v>120251.11</v>
      </c>
      <c r="E31" s="85">
        <v>27726.41</v>
      </c>
      <c r="F31" s="85">
        <v>1393947.88</v>
      </c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6" s="4" customFormat="1" ht="43.5" customHeight="1">
      <c r="A32" s="11" t="s">
        <v>35</v>
      </c>
      <c r="B32" s="12" t="s">
        <v>73</v>
      </c>
      <c r="C32" s="11" t="s">
        <v>6</v>
      </c>
      <c r="D32" s="89">
        <v>124095.61</v>
      </c>
      <c r="E32" s="61">
        <v>198416.1</v>
      </c>
      <c r="F32" s="61">
        <v>186513</v>
      </c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6" s="4" customFormat="1" ht="198" customHeight="1">
      <c r="A33" s="11" t="s">
        <v>36</v>
      </c>
      <c r="B33" s="12" t="s">
        <v>37</v>
      </c>
      <c r="C33" s="11"/>
      <c r="D33" s="90" t="s">
        <v>126</v>
      </c>
      <c r="E33" s="90" t="s">
        <v>126</v>
      </c>
      <c r="F33" s="90" t="s">
        <v>126</v>
      </c>
    </row>
    <row r="34" spans="1:6" s="4" customFormat="1" ht="27" customHeight="1">
      <c r="A34" s="11"/>
      <c r="B34" s="91" t="s">
        <v>38</v>
      </c>
      <c r="C34" s="11"/>
      <c r="D34" s="61"/>
      <c r="E34" s="61"/>
      <c r="F34" s="61"/>
    </row>
    <row r="35" spans="1:6" s="4" customFormat="1" ht="30.75" customHeight="1">
      <c r="A35" s="11"/>
      <c r="B35" s="12" t="s">
        <v>65</v>
      </c>
      <c r="C35" s="11" t="s">
        <v>39</v>
      </c>
      <c r="D35" s="61">
        <f>6846.3+11123.4</f>
        <v>17969.7</v>
      </c>
      <c r="E35" s="61">
        <v>18404.71</v>
      </c>
      <c r="F35" s="61">
        <v>18174.73</v>
      </c>
    </row>
    <row r="36" spans="1:6" s="4" customFormat="1" ht="47.25">
      <c r="A36" s="11"/>
      <c r="B36" s="12" t="s">
        <v>66</v>
      </c>
      <c r="C36" s="11" t="s">
        <v>40</v>
      </c>
      <c r="D36" s="71">
        <f>D25/D35</f>
        <v>20.67764626009338</v>
      </c>
      <c r="E36" s="71">
        <f>E25/E35</f>
        <v>19.5147437802606</v>
      </c>
      <c r="F36" s="71">
        <f>F25/F35</f>
        <v>20.799703764512596</v>
      </c>
    </row>
    <row r="37" spans="1:6" s="4" customFormat="1" ht="72.75" customHeight="1">
      <c r="A37" s="11" t="s">
        <v>41</v>
      </c>
      <c r="B37" s="12" t="s">
        <v>42</v>
      </c>
      <c r="C37" s="11"/>
      <c r="D37" s="61"/>
      <c r="E37" s="61"/>
      <c r="F37" s="61"/>
    </row>
    <row r="38" spans="1:15" s="4" customFormat="1" ht="41.25" customHeight="1">
      <c r="A38" s="11" t="s">
        <v>43</v>
      </c>
      <c r="B38" s="12" t="s">
        <v>44</v>
      </c>
      <c r="C38" s="11" t="s">
        <v>45</v>
      </c>
      <c r="D38" s="61">
        <v>444.3</v>
      </c>
      <c r="E38" s="61">
        <v>445.2</v>
      </c>
      <c r="F38" s="92">
        <v>445.2</v>
      </c>
      <c r="O38" s="61">
        <v>451.5</v>
      </c>
    </row>
    <row r="39" spans="1:15" s="4" customFormat="1" ht="47.25">
      <c r="A39" s="11" t="s">
        <v>46</v>
      </c>
      <c r="B39" s="12" t="s">
        <v>47</v>
      </c>
      <c r="C39" s="11" t="s">
        <v>67</v>
      </c>
      <c r="D39" s="71">
        <f>(D27/12)/D38</f>
        <v>44.76359816940506</v>
      </c>
      <c r="E39" s="71">
        <f>(E27/12)/E38</f>
        <v>36.86176624737946</v>
      </c>
      <c r="F39" s="93">
        <f>(F27/12)/F38</f>
        <v>38.798012129380055</v>
      </c>
      <c r="O39" s="71">
        <v>38.256644518272424</v>
      </c>
    </row>
    <row r="40" spans="1:6" s="4" customFormat="1" ht="207" customHeight="1">
      <c r="A40" s="11" t="s">
        <v>48</v>
      </c>
      <c r="B40" s="12" t="s">
        <v>49</v>
      </c>
      <c r="C40" s="11"/>
      <c r="D40" s="36" t="s">
        <v>75</v>
      </c>
      <c r="E40" s="36" t="s">
        <v>75</v>
      </c>
      <c r="F40" s="94" t="s">
        <v>74</v>
      </c>
    </row>
    <row r="41" spans="1:6" s="4" customFormat="1" ht="27" customHeight="1">
      <c r="A41" s="11"/>
      <c r="B41" s="91" t="s">
        <v>38</v>
      </c>
      <c r="C41" s="11"/>
      <c r="D41" s="61"/>
      <c r="E41" s="61"/>
      <c r="F41" s="61"/>
    </row>
    <row r="42" spans="1:6" s="4" customFormat="1" ht="66" customHeight="1">
      <c r="A42" s="11"/>
      <c r="B42" s="95" t="s">
        <v>50</v>
      </c>
      <c r="C42" s="96" t="s">
        <v>6</v>
      </c>
      <c r="D42" s="97">
        <v>562563.8533392119</v>
      </c>
      <c r="E42" s="97">
        <v>562563.8533392119</v>
      </c>
      <c r="F42" s="97">
        <v>562563.8533392119</v>
      </c>
    </row>
    <row r="43" spans="1:6" s="4" customFormat="1" ht="81" customHeight="1">
      <c r="A43" s="11"/>
      <c r="B43" s="95" t="s">
        <v>51</v>
      </c>
      <c r="C43" s="96" t="s">
        <v>6</v>
      </c>
      <c r="D43" s="97">
        <v>-2049573.2731784938</v>
      </c>
      <c r="E43" s="97">
        <v>-2243912.5559892277</v>
      </c>
      <c r="F43" s="97">
        <v>-727009.3754564448</v>
      </c>
    </row>
    <row r="44" s="7" customFormat="1" ht="19.5" customHeight="1">
      <c r="A44" s="6" t="s">
        <v>68</v>
      </c>
    </row>
    <row r="45" s="7" customFormat="1" ht="15.75">
      <c r="A45" s="6" t="s">
        <v>69</v>
      </c>
    </row>
    <row r="46" s="7" customFormat="1" ht="15.75">
      <c r="A46" s="6" t="s">
        <v>70</v>
      </c>
    </row>
    <row r="47" s="7" customFormat="1" ht="15.75">
      <c r="A47" s="6" t="s">
        <v>71</v>
      </c>
    </row>
    <row r="48" spans="1:2" ht="15.75">
      <c r="A48" s="98"/>
      <c r="B48" s="99"/>
    </row>
    <row r="49" spans="1:2" ht="15.75">
      <c r="A49" s="98"/>
      <c r="B49" s="99"/>
    </row>
    <row r="50" spans="1:2" ht="15.75">
      <c r="A50" s="98"/>
      <c r="B50" s="99"/>
    </row>
    <row r="51" ht="15.75">
      <c r="B51" s="7"/>
    </row>
    <row r="53" ht="15.75">
      <c r="C53" s="1" t="s">
        <v>127</v>
      </c>
    </row>
  </sheetData>
  <sheetProtection/>
  <mergeCells count="4">
    <mergeCell ref="A4:F4"/>
    <mergeCell ref="A5:F5"/>
    <mergeCell ref="G7:J7"/>
    <mergeCell ref="K7:M7"/>
  </mergeCells>
  <dataValidations count="1">
    <dataValidation type="decimal" allowBlank="1" showInputMessage="1" showErrorMessage="1" sqref="F19">
      <formula1>0</formula1>
      <formula2>1000000000000000</formula2>
    </dataValidation>
  </dataValidations>
  <printOptions/>
  <pageMargins left="0.7874015748031497" right="0.7086614173228347" top="0.7874015748031497" bottom="0.3937007874015748" header="0.1968503937007874" footer="0.1968503937007874"/>
  <pageSetup fitToHeight="2" fitToWidth="2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0" zoomScaleNormal="80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24.75390625" style="101" customWidth="1"/>
    <col min="5" max="5" width="25.625" style="101" customWidth="1"/>
    <col min="6" max="6" width="24.625" style="101" customWidth="1"/>
    <col min="7" max="7" width="19.375" style="1" customWidth="1"/>
    <col min="8" max="16384" width="9.125" style="1" customWidth="1"/>
  </cols>
  <sheetData>
    <row r="1" ht="69.75" customHeight="1">
      <c r="F1" s="102" t="s">
        <v>53</v>
      </c>
    </row>
    <row r="4" spans="1:6" ht="31.5" customHeight="1">
      <c r="A4" s="111" t="s">
        <v>128</v>
      </c>
      <c r="B4" s="112"/>
      <c r="C4" s="112"/>
      <c r="D4" s="112"/>
      <c r="E4" s="112"/>
      <c r="F4" s="112"/>
    </row>
    <row r="5" spans="1:6" ht="15.75" customHeight="1">
      <c r="A5" s="111" t="s">
        <v>135</v>
      </c>
      <c r="B5" s="112"/>
      <c r="C5" s="112"/>
      <c r="D5" s="112"/>
      <c r="E5" s="112"/>
      <c r="F5" s="112"/>
    </row>
    <row r="7" spans="1:6" s="2" customFormat="1" ht="102.75" customHeight="1">
      <c r="A7" s="8" t="s">
        <v>52</v>
      </c>
      <c r="B7" s="9" t="s">
        <v>0</v>
      </c>
      <c r="C7" s="9" t="s">
        <v>1</v>
      </c>
      <c r="D7" s="9" t="s">
        <v>129</v>
      </c>
      <c r="E7" s="10" t="s">
        <v>130</v>
      </c>
      <c r="F7" s="14" t="s">
        <v>131</v>
      </c>
    </row>
    <row r="8" spans="1:6" s="4" customFormat="1" ht="37.5" customHeight="1">
      <c r="A8" s="11" t="s">
        <v>2</v>
      </c>
      <c r="B8" s="12" t="s">
        <v>3</v>
      </c>
      <c r="C8" s="11"/>
      <c r="D8" s="13"/>
      <c r="E8" s="13"/>
      <c r="F8" s="13"/>
    </row>
    <row r="9" spans="1:6" s="4" customFormat="1" ht="28.5" customHeight="1">
      <c r="A9" s="11" t="s">
        <v>4</v>
      </c>
      <c r="B9" s="12" t="s">
        <v>5</v>
      </c>
      <c r="C9" s="11" t="s">
        <v>6</v>
      </c>
      <c r="D9" s="24">
        <v>1377285.0295922002</v>
      </c>
      <c r="E9" s="24">
        <v>1629451.78</v>
      </c>
      <c r="F9" s="24">
        <v>1949507.4</v>
      </c>
    </row>
    <row r="10" spans="1:6" s="4" customFormat="1" ht="28.5" customHeight="1">
      <c r="A10" s="11" t="s">
        <v>7</v>
      </c>
      <c r="B10" s="12" t="s">
        <v>8</v>
      </c>
      <c r="C10" s="11" t="s">
        <v>6</v>
      </c>
      <c r="D10" s="24">
        <v>100838.87</v>
      </c>
      <c r="E10" s="24">
        <v>242092.83466796234</v>
      </c>
      <c r="F10" s="24">
        <v>447576.08165522077</v>
      </c>
    </row>
    <row r="11" spans="1:6" s="4" customFormat="1" ht="59.25" customHeight="1">
      <c r="A11" s="11" t="s">
        <v>9</v>
      </c>
      <c r="B11" s="12" t="s">
        <v>10</v>
      </c>
      <c r="C11" s="11" t="s">
        <v>6</v>
      </c>
      <c r="D11" s="24">
        <f>D10+5367+171418.36</f>
        <v>277624.23</v>
      </c>
      <c r="E11" s="24">
        <v>413555.10466796224</v>
      </c>
      <c r="F11" s="24">
        <v>625737.134499646</v>
      </c>
    </row>
    <row r="12" spans="1:13" s="4" customFormat="1" ht="27.75" customHeight="1">
      <c r="A12" s="11" t="s">
        <v>11</v>
      </c>
      <c r="B12" s="12" t="s">
        <v>12</v>
      </c>
      <c r="C12" s="11" t="s">
        <v>6</v>
      </c>
      <c r="D12" s="24">
        <v>60381.682150340406</v>
      </c>
      <c r="E12" s="24">
        <v>137725</v>
      </c>
      <c r="F12" s="24">
        <v>336951.38</v>
      </c>
      <c r="G12" s="109"/>
      <c r="H12" s="109"/>
      <c r="I12" s="109"/>
      <c r="J12" s="109"/>
      <c r="K12" s="109"/>
      <c r="L12" s="109"/>
      <c r="M12" s="109"/>
    </row>
    <row r="13" spans="1:6" s="4" customFormat="1" ht="41.25" customHeight="1">
      <c r="A13" s="11" t="s">
        <v>13</v>
      </c>
      <c r="B13" s="12" t="s">
        <v>14</v>
      </c>
      <c r="C13" s="11"/>
      <c r="D13" s="13"/>
      <c r="E13" s="13"/>
      <c r="F13" s="13"/>
    </row>
    <row r="14" spans="1:6" s="4" customFormat="1" ht="110.25">
      <c r="A14" s="11" t="s">
        <v>15</v>
      </c>
      <c r="B14" s="12" t="s">
        <v>61</v>
      </c>
      <c r="C14" s="11" t="s">
        <v>16</v>
      </c>
      <c r="D14" s="103">
        <f>D10/D9*100</f>
        <v>7.321568726399164</v>
      </c>
      <c r="E14" s="103">
        <f>E10/E9*100</f>
        <v>14.857318126220484</v>
      </c>
      <c r="F14" s="103">
        <f>F10/F9*100</f>
        <v>22.958419221964522</v>
      </c>
    </row>
    <row r="15" spans="1:6" s="4" customFormat="1" ht="58.5" customHeight="1">
      <c r="A15" s="11" t="s">
        <v>17</v>
      </c>
      <c r="B15" s="12" t="s">
        <v>60</v>
      </c>
      <c r="C15" s="11"/>
      <c r="D15" s="13"/>
      <c r="E15" s="13"/>
      <c r="F15" s="13"/>
    </row>
    <row r="16" spans="1:6" s="4" customFormat="1" ht="60.75" customHeight="1">
      <c r="A16" s="11" t="s">
        <v>18</v>
      </c>
      <c r="B16" s="12" t="s">
        <v>54</v>
      </c>
      <c r="C16" s="11" t="s">
        <v>19</v>
      </c>
      <c r="D16" s="13" t="s">
        <v>74</v>
      </c>
      <c r="E16" s="13" t="s">
        <v>74</v>
      </c>
      <c r="F16" s="13" t="s">
        <v>74</v>
      </c>
    </row>
    <row r="17" spans="1:6" s="4" customFormat="1" ht="39.75" customHeight="1">
      <c r="A17" s="11" t="s">
        <v>20</v>
      </c>
      <c r="B17" s="12" t="s">
        <v>55</v>
      </c>
      <c r="C17" s="11" t="s">
        <v>21</v>
      </c>
      <c r="D17" s="13" t="s">
        <v>74</v>
      </c>
      <c r="E17" s="13" t="s">
        <v>74</v>
      </c>
      <c r="F17" s="13" t="s">
        <v>74</v>
      </c>
    </row>
    <row r="18" spans="1:6" s="106" customFormat="1" ht="24.75" customHeight="1">
      <c r="A18" s="105" t="s">
        <v>22</v>
      </c>
      <c r="B18" s="104" t="s">
        <v>56</v>
      </c>
      <c r="C18" s="105" t="s">
        <v>19</v>
      </c>
      <c r="D18" s="56">
        <v>156.194</v>
      </c>
      <c r="E18" s="56">
        <v>141.153</v>
      </c>
      <c r="F18" s="56">
        <v>130.55566399708522</v>
      </c>
    </row>
    <row r="19" spans="1:6" s="109" customFormat="1" ht="53.25" customHeight="1">
      <c r="A19" s="108" t="s">
        <v>57</v>
      </c>
      <c r="B19" s="107" t="s">
        <v>93</v>
      </c>
      <c r="C19" s="108" t="s">
        <v>58</v>
      </c>
      <c r="D19" s="27">
        <v>940443.294</v>
      </c>
      <c r="E19" s="27">
        <v>932596</v>
      </c>
      <c r="F19" s="27">
        <v>949731.361</v>
      </c>
    </row>
    <row r="20" spans="1:6" s="109" customFormat="1" ht="76.5" customHeight="1">
      <c r="A20" s="108" t="s">
        <v>24</v>
      </c>
      <c r="B20" s="107" t="s">
        <v>59</v>
      </c>
      <c r="C20" s="108" t="s">
        <v>23</v>
      </c>
      <c r="D20" s="27">
        <v>60942.133</v>
      </c>
      <c r="E20" s="26">
        <v>62260</v>
      </c>
      <c r="F20" s="27">
        <v>62260</v>
      </c>
    </row>
    <row r="21" spans="1:6" s="109" customFormat="1" ht="93" customHeight="1">
      <c r="A21" s="108" t="s">
        <v>25</v>
      </c>
      <c r="B21" s="107" t="s">
        <v>132</v>
      </c>
      <c r="C21" s="108" t="s">
        <v>16</v>
      </c>
      <c r="D21" s="27">
        <v>10.23</v>
      </c>
      <c r="E21" s="27">
        <v>9.583</v>
      </c>
      <c r="F21" s="27">
        <v>9.49</v>
      </c>
    </row>
    <row r="22" spans="1:6" s="109" customFormat="1" ht="144.75" customHeight="1">
      <c r="A22" s="108" t="s">
        <v>26</v>
      </c>
      <c r="B22" s="107" t="s">
        <v>62</v>
      </c>
      <c r="C22" s="108"/>
      <c r="D22" s="14" t="s">
        <v>82</v>
      </c>
      <c r="E22" s="14" t="s">
        <v>83</v>
      </c>
      <c r="F22" s="14" t="s">
        <v>84</v>
      </c>
    </row>
    <row r="23" spans="1:6" s="4" customFormat="1" ht="87" customHeight="1">
      <c r="A23" s="108" t="s">
        <v>27</v>
      </c>
      <c r="B23" s="12" t="s">
        <v>63</v>
      </c>
      <c r="C23" s="11" t="s">
        <v>21</v>
      </c>
      <c r="D23" s="13"/>
      <c r="E23" s="13"/>
      <c r="F23" s="13"/>
    </row>
    <row r="24" spans="1:6" s="4" customFormat="1" ht="72" customHeight="1">
      <c r="A24" s="108" t="s">
        <v>28</v>
      </c>
      <c r="B24" s="12" t="s">
        <v>29</v>
      </c>
      <c r="C24" s="11"/>
      <c r="D24" s="24">
        <f>1363924.91-321862.56</f>
        <v>1042062.3499999999</v>
      </c>
      <c r="E24" s="24">
        <f>1557094.00479326-346380.4</f>
        <v>1210713.6047932599</v>
      </c>
      <c r="F24" s="24">
        <f>1957847.21428257-388919.12</f>
        <v>1568928.0942825698</v>
      </c>
    </row>
    <row r="25" spans="1:6" s="4" customFormat="1" ht="90" customHeight="1">
      <c r="A25" s="108" t="s">
        <v>30</v>
      </c>
      <c r="B25" s="12" t="s">
        <v>99</v>
      </c>
      <c r="C25" s="11" t="s">
        <v>6</v>
      </c>
      <c r="D25" s="24">
        <v>561330.84</v>
      </c>
      <c r="E25" s="24">
        <v>570348.6755713872</v>
      </c>
      <c r="F25" s="24">
        <v>612257.1990767915</v>
      </c>
    </row>
    <row r="26" spans="1:6" s="4" customFormat="1" ht="27" customHeight="1">
      <c r="A26" s="11"/>
      <c r="B26" s="12" t="s">
        <v>64</v>
      </c>
      <c r="C26" s="11"/>
      <c r="D26" s="13"/>
      <c r="E26" s="13"/>
      <c r="F26" s="23"/>
    </row>
    <row r="27" spans="1:6" s="4" customFormat="1" ht="27" customHeight="1">
      <c r="A27" s="11"/>
      <c r="B27" s="12" t="s">
        <v>31</v>
      </c>
      <c r="C27" s="11"/>
      <c r="D27" s="24">
        <v>396152.84</v>
      </c>
      <c r="E27" s="24">
        <v>346772.0733713872</v>
      </c>
      <c r="F27" s="24">
        <v>372252.4614398672</v>
      </c>
    </row>
    <row r="28" spans="1:6" s="4" customFormat="1" ht="27" customHeight="1">
      <c r="A28" s="11"/>
      <c r="B28" s="12" t="s">
        <v>32</v>
      </c>
      <c r="C28" s="11"/>
      <c r="D28" s="24">
        <f>15138.04+15679.8</f>
        <v>30817.84</v>
      </c>
      <c r="E28" s="24">
        <v>60954.615699999995</v>
      </c>
      <c r="F28" s="24">
        <v>65433.48635270584</v>
      </c>
    </row>
    <row r="29" spans="1:6" s="4" customFormat="1" ht="27" customHeight="1">
      <c r="A29" s="11"/>
      <c r="B29" s="12" t="s">
        <v>33</v>
      </c>
      <c r="C29" s="11"/>
      <c r="D29" s="24">
        <f>64353-D28</f>
        <v>33535.16</v>
      </c>
      <c r="E29" s="24">
        <v>50367.9484</v>
      </c>
      <c r="F29" s="24">
        <v>54068.923680297965</v>
      </c>
    </row>
    <row r="30" spans="1:6" s="4" customFormat="1" ht="90" customHeight="1">
      <c r="A30" s="11" t="s">
        <v>34</v>
      </c>
      <c r="B30" s="12" t="s">
        <v>134</v>
      </c>
      <c r="C30" s="11" t="s">
        <v>6</v>
      </c>
      <c r="D30" s="24">
        <f>508003.99-15312.46</f>
        <v>492691.52999999997</v>
      </c>
      <c r="E30" s="24">
        <f>640364.929221872-19328.6</f>
        <v>621036.329221872</v>
      </c>
      <c r="F30" s="24">
        <f>740003.670688065-17112.46</f>
        <v>722891.210688065</v>
      </c>
    </row>
    <row r="31" spans="1:6" s="4" customFormat="1" ht="60.75" customHeight="1">
      <c r="A31" s="11" t="s">
        <v>85</v>
      </c>
      <c r="B31" s="12" t="s">
        <v>87</v>
      </c>
      <c r="C31" s="11" t="s">
        <v>6</v>
      </c>
      <c r="D31" s="24">
        <v>227286.61</v>
      </c>
      <c r="E31" s="24">
        <v>19328.6</v>
      </c>
      <c r="F31" s="24">
        <v>233779.68</v>
      </c>
    </row>
    <row r="32" spans="1:6" s="109" customFormat="1" ht="43.5" customHeight="1">
      <c r="A32" s="108" t="s">
        <v>35</v>
      </c>
      <c r="B32" s="107" t="s">
        <v>73</v>
      </c>
      <c r="C32" s="108" t="s">
        <v>6</v>
      </c>
      <c r="D32" s="28">
        <v>245617</v>
      </c>
      <c r="E32" s="28">
        <v>275481</v>
      </c>
      <c r="F32" s="28">
        <v>271071</v>
      </c>
    </row>
    <row r="33" spans="1:6" s="109" customFormat="1" ht="70.5" customHeight="1">
      <c r="A33" s="108" t="s">
        <v>36</v>
      </c>
      <c r="B33" s="107" t="s">
        <v>37</v>
      </c>
      <c r="C33" s="108"/>
      <c r="D33" s="39" t="s">
        <v>133</v>
      </c>
      <c r="E33" s="39" t="s">
        <v>133</v>
      </c>
      <c r="F33" s="39" t="s">
        <v>133</v>
      </c>
    </row>
    <row r="34" spans="1:6" s="4" customFormat="1" ht="27" customHeight="1">
      <c r="A34" s="11"/>
      <c r="B34" s="91" t="s">
        <v>38</v>
      </c>
      <c r="C34" s="11"/>
      <c r="D34" s="13"/>
      <c r="E34" s="13"/>
      <c r="F34" s="13"/>
    </row>
    <row r="35" spans="1:6" s="4" customFormat="1" ht="30.75" customHeight="1">
      <c r="A35" s="11"/>
      <c r="B35" s="12" t="s">
        <v>65</v>
      </c>
      <c r="C35" s="11" t="s">
        <v>39</v>
      </c>
      <c r="D35" s="15">
        <v>11463.867999999999</v>
      </c>
      <c r="E35" s="15">
        <v>11280.8</v>
      </c>
      <c r="F35" s="15">
        <v>11411.230500000001</v>
      </c>
    </row>
    <row r="36" spans="1:6" s="4" customFormat="1" ht="47.25">
      <c r="A36" s="11"/>
      <c r="B36" s="12" t="s">
        <v>66</v>
      </c>
      <c r="C36" s="11" t="s">
        <v>40</v>
      </c>
      <c r="D36" s="23">
        <f>D25/D35</f>
        <v>48.9652218605448</v>
      </c>
      <c r="E36" s="23">
        <f>E25/E35</f>
        <v>50.55924008681895</v>
      </c>
      <c r="F36" s="23">
        <f>F25/F35</f>
        <v>53.65391568216867</v>
      </c>
    </row>
    <row r="37" spans="1:6" s="4" customFormat="1" ht="72.75" customHeight="1">
      <c r="A37" s="11" t="s">
        <v>41</v>
      </c>
      <c r="B37" s="12" t="s">
        <v>42</v>
      </c>
      <c r="C37" s="11"/>
      <c r="D37" s="13"/>
      <c r="E37" s="13"/>
      <c r="F37" s="13"/>
    </row>
    <row r="38" spans="1:6" s="4" customFormat="1" ht="41.25" customHeight="1">
      <c r="A38" s="11" t="s">
        <v>43</v>
      </c>
      <c r="B38" s="12" t="s">
        <v>44</v>
      </c>
      <c r="C38" s="11" t="s">
        <v>45</v>
      </c>
      <c r="D38" s="13">
        <v>535.9</v>
      </c>
      <c r="E38" s="13">
        <v>560</v>
      </c>
      <c r="F38" s="13">
        <v>560</v>
      </c>
    </row>
    <row r="39" spans="1:6" s="4" customFormat="1" ht="47.25">
      <c r="A39" s="11" t="s">
        <v>46</v>
      </c>
      <c r="B39" s="12" t="s">
        <v>47</v>
      </c>
      <c r="C39" s="11" t="s">
        <v>67</v>
      </c>
      <c r="D39" s="23">
        <f>D27/D38/12</f>
        <v>61.60241960564783</v>
      </c>
      <c r="E39" s="23">
        <f>51073.2324557029/1000</f>
        <v>51.0732324557029</v>
      </c>
      <c r="F39" s="23">
        <f>F27/F38/12</f>
        <v>55.394711523789766</v>
      </c>
    </row>
    <row r="40" spans="1:6" s="4" customFormat="1" ht="59.25" customHeight="1">
      <c r="A40" s="11" t="s">
        <v>48</v>
      </c>
      <c r="B40" s="12" t="s">
        <v>49</v>
      </c>
      <c r="C40" s="11"/>
      <c r="D40" s="13"/>
      <c r="E40" s="13"/>
      <c r="F40" s="13"/>
    </row>
    <row r="41" spans="1:6" s="4" customFormat="1" ht="27" customHeight="1">
      <c r="A41" s="11"/>
      <c r="B41" s="91" t="s">
        <v>38</v>
      </c>
      <c r="C41" s="11"/>
      <c r="D41" s="13"/>
      <c r="E41" s="13"/>
      <c r="F41" s="13"/>
    </row>
    <row r="42" spans="1:6" s="4" customFormat="1" ht="69" customHeight="1">
      <c r="A42" s="108"/>
      <c r="B42" s="107" t="s">
        <v>50</v>
      </c>
      <c r="C42" s="108" t="s">
        <v>6</v>
      </c>
      <c r="D42" s="27">
        <v>515051.8867640468</v>
      </c>
      <c r="E42" s="27">
        <v>515051.8867640468</v>
      </c>
      <c r="F42" s="27">
        <v>515051.8867640468</v>
      </c>
    </row>
    <row r="43" spans="1:6" s="4" customFormat="1" ht="68.25" customHeight="1">
      <c r="A43" s="108"/>
      <c r="B43" s="107" t="s">
        <v>51</v>
      </c>
      <c r="C43" s="108" t="s">
        <v>6</v>
      </c>
      <c r="D43" s="27">
        <v>-437625.0710072</v>
      </c>
      <c r="E43" s="27">
        <v>-408853.48706425686</v>
      </c>
      <c r="F43" s="27">
        <v>-172291.29051144334</v>
      </c>
    </row>
    <row r="44" spans="1:6" s="7" customFormat="1" ht="19.5" customHeight="1">
      <c r="A44" s="6" t="s">
        <v>68</v>
      </c>
      <c r="D44" s="110"/>
      <c r="E44" s="110"/>
      <c r="F44" s="110"/>
    </row>
    <row r="45" spans="1:6" s="7" customFormat="1" ht="15.75">
      <c r="A45" s="6" t="s">
        <v>69</v>
      </c>
      <c r="D45" s="110"/>
      <c r="E45" s="110"/>
      <c r="F45" s="110"/>
    </row>
    <row r="46" spans="1:6" s="7" customFormat="1" ht="15.75">
      <c r="A46" s="6" t="s">
        <v>70</v>
      </c>
      <c r="D46" s="110"/>
      <c r="E46" s="110"/>
      <c r="F46" s="110"/>
    </row>
    <row r="47" spans="1:6" s="7" customFormat="1" ht="15.75">
      <c r="A47" s="6" t="s">
        <v>71</v>
      </c>
      <c r="D47" s="110"/>
      <c r="E47" s="110"/>
      <c r="F47" s="110"/>
    </row>
  </sheetData>
  <sheetProtection/>
  <mergeCells count="2">
    <mergeCell ref="A4:F4"/>
    <mergeCell ref="A5:F5"/>
  </mergeCells>
  <printOptions/>
  <pageMargins left="0.7874015748031497" right="0.7086614173228347" top="0.7874015748031497" bottom="0.3937007874015748" header="0.1968503937007874" footer="0.1968503937007874"/>
  <pageSetup fitToHeight="2" fitToWidth="2" horizontalDpi="600" verticalDpi="600" orientation="portrait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Гаврилова Светлана Алексеевна</cp:lastModifiedBy>
  <cp:lastPrinted>2015-04-16T06:48:51Z</cp:lastPrinted>
  <dcterms:created xsi:type="dcterms:W3CDTF">2014-08-15T10:06:32Z</dcterms:created>
  <dcterms:modified xsi:type="dcterms:W3CDTF">2015-04-17T06:22:00Z</dcterms:modified>
  <cp:category/>
  <cp:version/>
  <cp:contentType/>
  <cp:contentStatus/>
</cp:coreProperties>
</file>